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Z_GELAMAI\8_RAD GRK Revisi\Perhitungan BAU Baseline dan Mitigasi_Hitung Ulang\Pertanian\"/>
    </mc:Choice>
  </mc:AlternateContent>
  <bookViews>
    <workbookView xWindow="0" yWindow="0" windowWidth="19200" windowHeight="6855" tabRatio="831" activeTab="1"/>
  </bookViews>
  <sheets>
    <sheet name="Luas Alokasi Pertanian" sheetId="22" r:id="rId1"/>
    <sheet name="Sheet1" sheetId="23" r:id="rId2"/>
    <sheet name="Paser" sheetId="3" r:id="rId3"/>
    <sheet name="Kutai Barat" sheetId="13" r:id="rId4"/>
    <sheet name="Kutai Kertanegara" sheetId="14" r:id="rId5"/>
    <sheet name="Kutai Timur" sheetId="15" r:id="rId6"/>
    <sheet name="Berau" sheetId="16" r:id="rId7"/>
    <sheet name="PPU" sheetId="17" r:id="rId8"/>
    <sheet name="Samarinda" sheetId="20" r:id="rId9"/>
    <sheet name="Balikpapan" sheetId="19" r:id="rId10"/>
    <sheet name="Bontang" sheetId="21" r:id="rId11"/>
    <sheet name="Mahulu" sheetId="18" r:id="rId12"/>
  </sheets>
  <externalReferences>
    <externalReference r:id="rId13"/>
    <externalReference r:id="rId14"/>
    <externalReference r:id="rId15"/>
    <externalReference r:id="rId16"/>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2" i="21" l="1"/>
  <c r="W23" i="21"/>
  <c r="W24" i="21"/>
  <c r="W25" i="21"/>
  <c r="W26" i="21"/>
  <c r="W27" i="21"/>
  <c r="W28" i="21"/>
  <c r="W29" i="21"/>
  <c r="W30" i="21"/>
  <c r="W31" i="21"/>
  <c r="W32" i="21"/>
  <c r="W33" i="21"/>
  <c r="W34" i="21"/>
  <c r="W35" i="21"/>
  <c r="W21" i="21"/>
  <c r="U22" i="21"/>
  <c r="U23" i="21"/>
  <c r="U24" i="21"/>
  <c r="U25" i="21"/>
  <c r="U26" i="21"/>
  <c r="U27" i="21"/>
  <c r="U28" i="21"/>
  <c r="U29" i="21"/>
  <c r="U30" i="21"/>
  <c r="U31" i="21"/>
  <c r="U32" i="21"/>
  <c r="U33" i="21"/>
  <c r="U34" i="21"/>
  <c r="U35" i="21"/>
  <c r="U21" i="21"/>
  <c r="T22" i="21"/>
  <c r="T23" i="21"/>
  <c r="T24" i="21"/>
  <c r="T25" i="21"/>
  <c r="T26" i="21"/>
  <c r="T27" i="21"/>
  <c r="T28" i="21"/>
  <c r="T29" i="21"/>
  <c r="T30" i="21"/>
  <c r="T31" i="21"/>
  <c r="T32" i="21"/>
  <c r="T33" i="21"/>
  <c r="T34" i="21"/>
  <c r="T35" i="21"/>
  <c r="T21" i="21"/>
  <c r="R22" i="21"/>
  <c r="R23" i="21"/>
  <c r="R24" i="21"/>
  <c r="R25" i="21"/>
  <c r="R26" i="21"/>
  <c r="R27" i="21"/>
  <c r="R28" i="21"/>
  <c r="R29" i="21"/>
  <c r="R30" i="21"/>
  <c r="R31" i="21"/>
  <c r="R32" i="21"/>
  <c r="R33" i="21"/>
  <c r="R34" i="21"/>
  <c r="R35" i="21"/>
  <c r="R21" i="21"/>
  <c r="Q22" i="21"/>
  <c r="Q23" i="21"/>
  <c r="Q24" i="21"/>
  <c r="Q25" i="21"/>
  <c r="Q26" i="21"/>
  <c r="Q27" i="21"/>
  <c r="Q28" i="21"/>
  <c r="Q29" i="21"/>
  <c r="Q30" i="21"/>
  <c r="Q31" i="21"/>
  <c r="Q32" i="21"/>
  <c r="Q33" i="21"/>
  <c r="Q34" i="21"/>
  <c r="Q35" i="21"/>
  <c r="Q21" i="21"/>
  <c r="P22" i="21"/>
  <c r="P23" i="21"/>
  <c r="P24" i="21"/>
  <c r="P25" i="21"/>
  <c r="P26" i="21"/>
  <c r="P27" i="21"/>
  <c r="P28" i="21"/>
  <c r="P29" i="21"/>
  <c r="P30" i="21"/>
  <c r="P31" i="21"/>
  <c r="P32" i="21"/>
  <c r="P33" i="21"/>
  <c r="P34" i="21"/>
  <c r="P35" i="21"/>
  <c r="P21" i="21"/>
  <c r="O22" i="21"/>
  <c r="O23" i="21"/>
  <c r="O24" i="21"/>
  <c r="O25" i="21"/>
  <c r="O26" i="21"/>
  <c r="O27" i="21"/>
  <c r="O28" i="21"/>
  <c r="O29" i="21"/>
  <c r="O30" i="21"/>
  <c r="O31" i="21"/>
  <c r="O32" i="21"/>
  <c r="O33" i="21"/>
  <c r="O34" i="21"/>
  <c r="O35" i="21"/>
  <c r="O21" i="21"/>
  <c r="B22" i="21" l="1"/>
  <c r="B23" i="21" s="1"/>
  <c r="B24" i="21" s="1"/>
  <c r="B25" i="21" s="1"/>
  <c r="B26" i="21" s="1"/>
  <c r="B27" i="21" s="1"/>
  <c r="B28" i="21" s="1"/>
  <c r="B29" i="21" s="1"/>
  <c r="B30" i="21" s="1"/>
  <c r="B31" i="21" s="1"/>
  <c r="B32" i="21" s="1"/>
  <c r="B33" i="21" s="1"/>
  <c r="B34" i="21" s="1"/>
  <c r="B21" i="21"/>
  <c r="B36" i="21"/>
  <c r="AE20" i="23" l="1"/>
  <c r="AE19" i="23"/>
  <c r="AE18" i="23"/>
  <c r="AE17" i="23"/>
  <c r="AE16" i="23"/>
  <c r="AE15" i="23"/>
  <c r="AE14" i="23"/>
  <c r="V20" i="23" l="1"/>
  <c r="S27" i="23"/>
  <c r="X22" i="19"/>
  <c r="X23" i="19"/>
  <c r="X24" i="19"/>
  <c r="X25" i="19"/>
  <c r="X26" i="19"/>
  <c r="X27" i="19"/>
  <c r="X28" i="19"/>
  <c r="X29" i="19"/>
  <c r="X30" i="19"/>
  <c r="X31" i="19"/>
  <c r="X32" i="19"/>
  <c r="X33" i="19"/>
  <c r="X34" i="19"/>
  <c r="X35" i="19"/>
  <c r="X21" i="19"/>
  <c r="V22" i="19"/>
  <c r="V23" i="19"/>
  <c r="V24" i="19"/>
  <c r="V25" i="19"/>
  <c r="V26" i="19"/>
  <c r="V27" i="19"/>
  <c r="V28" i="19"/>
  <c r="V29" i="19"/>
  <c r="V30" i="19"/>
  <c r="V31" i="19"/>
  <c r="V32" i="19"/>
  <c r="V33" i="19"/>
  <c r="V34" i="19"/>
  <c r="V35" i="19"/>
  <c r="V21" i="19"/>
  <c r="Q33" i="19"/>
  <c r="Q34" i="19"/>
  <c r="Q35" i="19"/>
  <c r="Q22" i="19"/>
  <c r="Q23" i="19"/>
  <c r="Q24" i="19"/>
  <c r="Q25" i="19"/>
  <c r="Q26" i="19"/>
  <c r="Q27" i="19"/>
  <c r="Q28" i="19"/>
  <c r="Q29" i="19"/>
  <c r="Q30" i="19"/>
  <c r="Q31" i="19"/>
  <c r="Q32" i="19"/>
  <c r="Q21" i="19"/>
  <c r="B22" i="19"/>
  <c r="B23" i="19"/>
  <c r="B24" i="19"/>
  <c r="B25" i="19"/>
  <c r="B26" i="19"/>
  <c r="B27" i="19"/>
  <c r="B28" i="19"/>
  <c r="B29" i="19"/>
  <c r="B30" i="19"/>
  <c r="B31" i="19"/>
  <c r="B32" i="19"/>
  <c r="B33" i="19"/>
  <c r="B34" i="19"/>
  <c r="B35" i="19"/>
  <c r="B21" i="19"/>
  <c r="G22" i="19"/>
  <c r="G23" i="19"/>
  <c r="G24" i="19"/>
  <c r="G25" i="19"/>
  <c r="G26" i="19"/>
  <c r="G27" i="19"/>
  <c r="G28" i="19"/>
  <c r="G29" i="19"/>
  <c r="G30" i="19"/>
  <c r="G31" i="19"/>
  <c r="G32" i="19"/>
  <c r="G33" i="19"/>
  <c r="G34" i="19"/>
  <c r="G35" i="19"/>
  <c r="G21" i="19"/>
  <c r="J22" i="19"/>
  <c r="J23" i="19"/>
  <c r="J24" i="19"/>
  <c r="J25" i="19"/>
  <c r="J26" i="19"/>
  <c r="J27" i="19"/>
  <c r="J28" i="19"/>
  <c r="J29" i="19" s="1"/>
  <c r="J30" i="19" s="1"/>
  <c r="J31" i="19" s="1"/>
  <c r="J32" i="19" s="1"/>
  <c r="J33" i="19" s="1"/>
  <c r="J34" i="19" s="1"/>
  <c r="J21" i="19"/>
  <c r="K36" i="19"/>
  <c r="K6" i="19"/>
  <c r="K7" i="19"/>
  <c r="K8" i="19"/>
  <c r="K9" i="19"/>
  <c r="K10" i="19"/>
  <c r="K11" i="19"/>
  <c r="K12" i="19"/>
  <c r="K13" i="19"/>
  <c r="K14" i="19"/>
  <c r="K15" i="19"/>
  <c r="K16" i="19"/>
  <c r="K17" i="19"/>
  <c r="K18" i="19"/>
  <c r="K19" i="19"/>
  <c r="K20" i="19"/>
  <c r="K5" i="19"/>
  <c r="J5" i="19"/>
  <c r="X22" i="20"/>
  <c r="X23" i="20"/>
  <c r="X24" i="20"/>
  <c r="X25" i="20"/>
  <c r="X26" i="20"/>
  <c r="X27" i="20"/>
  <c r="X28" i="20"/>
  <c r="X29" i="20"/>
  <c r="X30" i="20"/>
  <c r="X31" i="20"/>
  <c r="X32" i="20"/>
  <c r="X33" i="20"/>
  <c r="X34" i="20"/>
  <c r="X35" i="20"/>
  <c r="X21" i="20"/>
  <c r="W22" i="20"/>
  <c r="W23" i="20"/>
  <c r="W24" i="20"/>
  <c r="W25" i="20"/>
  <c r="W26" i="20"/>
  <c r="W27" i="20"/>
  <c r="W28" i="20"/>
  <c r="W29" i="20"/>
  <c r="W30" i="20"/>
  <c r="W31" i="20"/>
  <c r="W32" i="20"/>
  <c r="W33" i="20"/>
  <c r="W34" i="20"/>
  <c r="W35" i="20"/>
  <c r="W21" i="20"/>
  <c r="V22" i="20"/>
  <c r="V23" i="20"/>
  <c r="V24" i="20"/>
  <c r="V25" i="20"/>
  <c r="V26" i="20"/>
  <c r="V27" i="20"/>
  <c r="V28" i="20"/>
  <c r="V29" i="20"/>
  <c r="V30" i="20"/>
  <c r="V31" i="20"/>
  <c r="V32" i="20"/>
  <c r="V33" i="20"/>
  <c r="V34" i="20"/>
  <c r="V35" i="20"/>
  <c r="V21" i="20"/>
  <c r="U22" i="20"/>
  <c r="U23" i="20"/>
  <c r="U24" i="20"/>
  <c r="U25" i="20"/>
  <c r="U26" i="20"/>
  <c r="U27" i="20"/>
  <c r="U28" i="20"/>
  <c r="U29" i="20"/>
  <c r="U30" i="20"/>
  <c r="U31" i="20"/>
  <c r="U32" i="20"/>
  <c r="U33" i="20"/>
  <c r="U34" i="20"/>
  <c r="U35" i="20"/>
  <c r="U21" i="20"/>
  <c r="S22" i="20"/>
  <c r="S23" i="20"/>
  <c r="S24" i="20"/>
  <c r="S25" i="20"/>
  <c r="S26" i="20"/>
  <c r="S27" i="20"/>
  <c r="S28" i="20"/>
  <c r="S29" i="20"/>
  <c r="S30" i="20"/>
  <c r="S31" i="20"/>
  <c r="S32" i="20"/>
  <c r="S33" i="20"/>
  <c r="S34" i="20"/>
  <c r="S35" i="20"/>
  <c r="S21" i="20"/>
  <c r="Q22" i="20"/>
  <c r="Q23" i="20"/>
  <c r="Q24" i="20"/>
  <c r="Q25" i="20"/>
  <c r="Q26" i="20"/>
  <c r="Q27" i="20"/>
  <c r="Q28" i="20"/>
  <c r="Q29" i="20"/>
  <c r="Q30" i="20"/>
  <c r="Q31" i="20"/>
  <c r="Q32" i="20"/>
  <c r="Q33" i="20"/>
  <c r="Q34" i="20"/>
  <c r="Q35" i="20"/>
  <c r="Q21" i="20"/>
  <c r="P22" i="20"/>
  <c r="P23" i="20"/>
  <c r="P24" i="20"/>
  <c r="P25" i="20"/>
  <c r="P26" i="20"/>
  <c r="P27" i="20"/>
  <c r="P28" i="20"/>
  <c r="P29" i="20"/>
  <c r="P30" i="20"/>
  <c r="P31" i="20"/>
  <c r="P32" i="20"/>
  <c r="P33" i="20"/>
  <c r="P34" i="20"/>
  <c r="P35" i="20"/>
  <c r="P21" i="20"/>
  <c r="B34" i="20"/>
  <c r="B33" i="20"/>
  <c r="B32" i="20"/>
  <c r="B31" i="20"/>
  <c r="B30" i="20"/>
  <c r="B29" i="20"/>
  <c r="B28" i="20"/>
  <c r="B27" i="20"/>
  <c r="B26" i="20"/>
  <c r="B25" i="20"/>
  <c r="B24" i="20"/>
  <c r="B23" i="20"/>
  <c r="B22" i="20"/>
  <c r="B21" i="20"/>
  <c r="G22" i="20"/>
  <c r="G23" i="20"/>
  <c r="G24" i="20"/>
  <c r="G25" i="20"/>
  <c r="G26" i="20"/>
  <c r="G27" i="20"/>
  <c r="G28" i="20"/>
  <c r="G29" i="20"/>
  <c r="G30" i="20"/>
  <c r="G31" i="20"/>
  <c r="G32" i="20"/>
  <c r="G33" i="20"/>
  <c r="G34" i="20"/>
  <c r="G35" i="20"/>
  <c r="G21" i="20"/>
  <c r="K36" i="20"/>
  <c r="K20" i="20"/>
  <c r="K19" i="20"/>
  <c r="K18" i="20"/>
  <c r="K17" i="20"/>
  <c r="K16" i="20"/>
  <c r="K15" i="20"/>
  <c r="K12" i="20"/>
  <c r="K11" i="20"/>
  <c r="K10" i="20"/>
  <c r="K9" i="20"/>
  <c r="K8" i="20"/>
  <c r="K7" i="20"/>
  <c r="K6" i="20"/>
  <c r="K5" i="20"/>
  <c r="J22" i="20"/>
  <c r="J23" i="20"/>
  <c r="J24" i="20" s="1"/>
  <c r="J25" i="20" s="1"/>
  <c r="J26" i="20" s="1"/>
  <c r="J27" i="20" s="1"/>
  <c r="J28" i="20" s="1"/>
  <c r="J29" i="20" s="1"/>
  <c r="J30" i="20" s="1"/>
  <c r="J31" i="20" s="1"/>
  <c r="J32" i="20" s="1"/>
  <c r="J33" i="20" s="1"/>
  <c r="J34" i="20" s="1"/>
  <c r="J21" i="20"/>
  <c r="J36" i="20"/>
  <c r="X35" i="17"/>
  <c r="X34" i="17"/>
  <c r="W35" i="17"/>
  <c r="W34" i="17"/>
  <c r="V35" i="17"/>
  <c r="V34" i="17"/>
  <c r="U35" i="17"/>
  <c r="U34" i="17"/>
  <c r="S35" i="17"/>
  <c r="S34" i="17"/>
  <c r="Q35" i="17"/>
  <c r="Q34" i="17"/>
  <c r="X33" i="17"/>
  <c r="W33" i="17"/>
  <c r="V32" i="23" s="1"/>
  <c r="V33" i="17"/>
  <c r="U33" i="17"/>
  <c r="S33" i="17"/>
  <c r="Q33" i="17"/>
  <c r="X32" i="17"/>
  <c r="W32" i="17"/>
  <c r="V31" i="23" s="1"/>
  <c r="V32" i="17"/>
  <c r="U32" i="17"/>
  <c r="S32" i="17"/>
  <c r="Q32" i="17"/>
  <c r="X31" i="17"/>
  <c r="W31" i="17"/>
  <c r="V30" i="23" s="1"/>
  <c r="V31" i="17"/>
  <c r="U31" i="17"/>
  <c r="S31" i="17"/>
  <c r="Q31" i="17"/>
  <c r="X30" i="17"/>
  <c r="W30" i="17"/>
  <c r="V29" i="23" s="1"/>
  <c r="V30" i="17"/>
  <c r="U30" i="17"/>
  <c r="S30" i="17"/>
  <c r="Q30" i="17"/>
  <c r="X29" i="17"/>
  <c r="W29" i="17"/>
  <c r="V28" i="23" s="1"/>
  <c r="V29" i="17"/>
  <c r="U29" i="17"/>
  <c r="S29" i="17"/>
  <c r="Q29" i="17"/>
  <c r="X28" i="17"/>
  <c r="W28" i="17"/>
  <c r="V27" i="23" s="1"/>
  <c r="V28" i="17"/>
  <c r="U28" i="17"/>
  <c r="S28" i="17"/>
  <c r="Q28" i="17"/>
  <c r="X26" i="17"/>
  <c r="W26" i="17"/>
  <c r="V26" i="17"/>
  <c r="U26" i="17"/>
  <c r="S26" i="17"/>
  <c r="Q26" i="17"/>
  <c r="X27" i="17"/>
  <c r="W27" i="17"/>
  <c r="V27" i="17"/>
  <c r="U27" i="17"/>
  <c r="S27" i="17"/>
  <c r="Q27" i="17"/>
  <c r="X25" i="17"/>
  <c r="W25" i="17"/>
  <c r="V25" i="17"/>
  <c r="U25" i="17"/>
  <c r="S25" i="17"/>
  <c r="Q25" i="17"/>
  <c r="X24" i="17"/>
  <c r="W24" i="17"/>
  <c r="V24" i="23" s="1"/>
  <c r="V24" i="17"/>
  <c r="U24" i="17"/>
  <c r="S24" i="17"/>
  <c r="Q24" i="17"/>
  <c r="X23" i="17"/>
  <c r="W23" i="17"/>
  <c r="V23" i="23" s="1"/>
  <c r="V23" i="17"/>
  <c r="U23" i="17"/>
  <c r="S23" i="17"/>
  <c r="Q23" i="17"/>
  <c r="X22" i="17"/>
  <c r="U22" i="17"/>
  <c r="W22" i="17"/>
  <c r="V22" i="23" s="1"/>
  <c r="S22" i="17"/>
  <c r="Q22" i="17"/>
  <c r="X21" i="17"/>
  <c r="W21" i="17"/>
  <c r="V21" i="23" s="1"/>
  <c r="V22" i="17"/>
  <c r="V21" i="17"/>
  <c r="U21" i="17"/>
  <c r="S21" i="17"/>
  <c r="Q21" i="17"/>
  <c r="P35" i="17"/>
  <c r="P34" i="17"/>
  <c r="P33" i="17"/>
  <c r="P32" i="17"/>
  <c r="P31" i="17"/>
  <c r="P30" i="17"/>
  <c r="P29" i="17"/>
  <c r="P28" i="17"/>
  <c r="P27" i="17"/>
  <c r="P26" i="17"/>
  <c r="P25" i="17"/>
  <c r="P24" i="17"/>
  <c r="P23" i="17"/>
  <c r="P22" i="17"/>
  <c r="P21" i="17"/>
  <c r="O31" i="17"/>
  <c r="O35" i="17"/>
  <c r="O34" i="17"/>
  <c r="O33" i="17"/>
  <c r="O32" i="17"/>
  <c r="O30" i="17"/>
  <c r="O29" i="17"/>
  <c r="O28" i="17"/>
  <c r="O27" i="17"/>
  <c r="O26" i="17"/>
  <c r="O25" i="17"/>
  <c r="O24" i="17"/>
  <c r="O23" i="17"/>
  <c r="O22" i="17"/>
  <c r="O21" i="17"/>
  <c r="G35" i="17"/>
  <c r="G34" i="17"/>
  <c r="G33" i="17"/>
  <c r="G32" i="17"/>
  <c r="G31" i="17"/>
  <c r="G30" i="17"/>
  <c r="G29" i="17"/>
  <c r="G28" i="17"/>
  <c r="G27" i="17"/>
  <c r="G26" i="17"/>
  <c r="G25" i="17"/>
  <c r="G24" i="17"/>
  <c r="G23" i="17"/>
  <c r="G22" i="17"/>
  <c r="G21" i="17"/>
  <c r="B35" i="17"/>
  <c r="B34" i="17"/>
  <c r="B33" i="17"/>
  <c r="B32" i="17"/>
  <c r="B31" i="17"/>
  <c r="B30" i="17"/>
  <c r="B29" i="17"/>
  <c r="B28" i="17"/>
  <c r="B27" i="17"/>
  <c r="B26" i="17"/>
  <c r="B25" i="17"/>
  <c r="B24" i="17"/>
  <c r="B23" i="17"/>
  <c r="B22" i="17"/>
  <c r="B21" i="17"/>
  <c r="J36" i="17" l="1"/>
  <c r="K8" i="17"/>
  <c r="AD22" i="16"/>
  <c r="AD23" i="16"/>
  <c r="AD24" i="16"/>
  <c r="AD25" i="16"/>
  <c r="AD26" i="16"/>
  <c r="AD27" i="16"/>
  <c r="AD28" i="16"/>
  <c r="AD29" i="16"/>
  <c r="AD30" i="16"/>
  <c r="AD31" i="16"/>
  <c r="AD32" i="16"/>
  <c r="AD33" i="16"/>
  <c r="AD34" i="16"/>
  <c r="AD35" i="16"/>
  <c r="AD21" i="16"/>
  <c r="X22" i="16"/>
  <c r="X23" i="16"/>
  <c r="X24" i="16"/>
  <c r="X25" i="16"/>
  <c r="X26" i="16"/>
  <c r="X27" i="16"/>
  <c r="X28" i="16"/>
  <c r="X29" i="16"/>
  <c r="X30" i="16"/>
  <c r="X31" i="16"/>
  <c r="X32" i="16"/>
  <c r="X33" i="16"/>
  <c r="X34" i="16"/>
  <c r="X35" i="16"/>
  <c r="X21" i="16"/>
  <c r="W22" i="16"/>
  <c r="W23" i="16"/>
  <c r="W24" i="16"/>
  <c r="W25" i="16"/>
  <c r="W26" i="16"/>
  <c r="W27" i="16"/>
  <c r="W28" i="16"/>
  <c r="W29" i="16"/>
  <c r="W30" i="16"/>
  <c r="W31" i="16"/>
  <c r="W32" i="16"/>
  <c r="W33" i="16"/>
  <c r="W34" i="16"/>
  <c r="W35" i="16"/>
  <c r="W21" i="16"/>
  <c r="V22" i="16"/>
  <c r="V23" i="16"/>
  <c r="V24" i="16"/>
  <c r="V25" i="16"/>
  <c r="V26" i="16"/>
  <c r="V27" i="16"/>
  <c r="V28" i="16"/>
  <c r="V29" i="16"/>
  <c r="V30" i="16"/>
  <c r="V31" i="16"/>
  <c r="V32" i="16"/>
  <c r="V33" i="16"/>
  <c r="V34" i="16"/>
  <c r="V35" i="16"/>
  <c r="V21" i="16"/>
  <c r="U22" i="16"/>
  <c r="U23" i="16"/>
  <c r="U24" i="16"/>
  <c r="U25" i="16"/>
  <c r="U26" i="16"/>
  <c r="U27" i="16"/>
  <c r="U28" i="16"/>
  <c r="U29" i="16"/>
  <c r="U30" i="16"/>
  <c r="U31" i="16"/>
  <c r="U32" i="16"/>
  <c r="U33" i="16"/>
  <c r="U34" i="16"/>
  <c r="U35" i="16"/>
  <c r="U21" i="16"/>
  <c r="S22" i="16"/>
  <c r="S23" i="16"/>
  <c r="S24" i="16"/>
  <c r="S25" i="16"/>
  <c r="S26" i="16"/>
  <c r="S27" i="16"/>
  <c r="S28" i="16"/>
  <c r="S29" i="16"/>
  <c r="S30" i="16"/>
  <c r="S31" i="16"/>
  <c r="S32" i="16"/>
  <c r="S33" i="16"/>
  <c r="S34" i="16"/>
  <c r="S35" i="16"/>
  <c r="S21" i="16"/>
  <c r="Q22" i="16"/>
  <c r="Q23" i="16"/>
  <c r="Q24" i="16"/>
  <c r="Q25" i="16"/>
  <c r="Q26" i="16"/>
  <c r="Q27" i="16"/>
  <c r="Q28" i="16"/>
  <c r="Q29" i="16"/>
  <c r="Q30" i="16"/>
  <c r="Q31" i="16"/>
  <c r="Q32" i="16"/>
  <c r="Q33" i="16"/>
  <c r="Q34" i="16"/>
  <c r="Q35" i="16"/>
  <c r="Q21" i="16"/>
  <c r="P22" i="16"/>
  <c r="P23" i="16"/>
  <c r="P24" i="16"/>
  <c r="P25" i="16"/>
  <c r="P26" i="16"/>
  <c r="P27" i="16"/>
  <c r="P28" i="16"/>
  <c r="P29" i="16"/>
  <c r="P30" i="16"/>
  <c r="P31" i="16"/>
  <c r="P32" i="16"/>
  <c r="P33" i="16"/>
  <c r="P34" i="16"/>
  <c r="P35" i="16"/>
  <c r="P21" i="16"/>
  <c r="B35" i="14"/>
  <c r="G35" i="14"/>
  <c r="B26" i="16"/>
  <c r="C26" i="16" s="1"/>
  <c r="B35" i="16"/>
  <c r="B34" i="16"/>
  <c r="B33" i="16"/>
  <c r="B32" i="16"/>
  <c r="B31" i="16"/>
  <c r="B30" i="16"/>
  <c r="B29" i="16"/>
  <c r="B28" i="16"/>
  <c r="B27" i="16"/>
  <c r="B22" i="16"/>
  <c r="B23" i="16"/>
  <c r="B24" i="16"/>
  <c r="B25" i="16"/>
  <c r="B21" i="16"/>
  <c r="C21" i="16" s="1"/>
  <c r="G22" i="16"/>
  <c r="G23" i="16"/>
  <c r="G24" i="16"/>
  <c r="G25" i="16"/>
  <c r="G26" i="16"/>
  <c r="G27" i="16"/>
  <c r="G28" i="16"/>
  <c r="G29" i="16"/>
  <c r="G30" i="16"/>
  <c r="G31" i="16"/>
  <c r="G32" i="16"/>
  <c r="G33" i="16"/>
  <c r="G34" i="16"/>
  <c r="G35" i="16"/>
  <c r="G21" i="16"/>
  <c r="H26" i="16"/>
  <c r="K6" i="16"/>
  <c r="K36" i="16"/>
  <c r="J21" i="16"/>
  <c r="J36" i="16"/>
  <c r="C20" i="16"/>
  <c r="J22" i="15"/>
  <c r="J23" i="15" s="1"/>
  <c r="J24" i="15" s="1"/>
  <c r="J25" i="15" s="1"/>
  <c r="J26" i="15" s="1"/>
  <c r="J27" i="15" s="1"/>
  <c r="J28" i="15" s="1"/>
  <c r="J29" i="15" s="1"/>
  <c r="J30" i="15" s="1"/>
  <c r="J31" i="15" s="1"/>
  <c r="J32" i="15" s="1"/>
  <c r="J33" i="15" s="1"/>
  <c r="J34" i="15" s="1"/>
  <c r="J21" i="15"/>
  <c r="J36" i="15"/>
  <c r="AC22" i="14" l="1"/>
  <c r="AC23" i="14"/>
  <c r="AC24" i="14"/>
  <c r="AC25" i="14"/>
  <c r="AC26" i="14"/>
  <c r="AC27" i="14"/>
  <c r="AC28" i="14"/>
  <c r="AC29" i="14"/>
  <c r="AC30" i="14"/>
  <c r="AC31" i="14"/>
  <c r="AC32" i="14"/>
  <c r="AC33" i="14"/>
  <c r="AC34" i="14"/>
  <c r="AC35" i="14"/>
  <c r="AC21" i="14"/>
  <c r="AB22" i="14"/>
  <c r="AB23" i="14"/>
  <c r="AB24" i="14"/>
  <c r="AB25" i="14"/>
  <c r="AB26" i="14"/>
  <c r="AB27" i="14"/>
  <c r="AB28" i="14"/>
  <c r="AB29" i="14"/>
  <c r="AB30" i="14"/>
  <c r="AB31" i="14"/>
  <c r="AB32" i="14"/>
  <c r="AB33" i="14"/>
  <c r="AB34" i="14"/>
  <c r="AB35" i="14"/>
  <c r="AB21" i="14"/>
  <c r="AA22" i="14"/>
  <c r="AA23" i="14"/>
  <c r="AA24" i="14"/>
  <c r="AA25" i="14"/>
  <c r="AA26" i="14"/>
  <c r="AA27" i="14"/>
  <c r="AA28" i="14"/>
  <c r="AA29" i="14"/>
  <c r="AA30" i="14"/>
  <c r="AA31" i="14"/>
  <c r="AA32" i="14"/>
  <c r="AA33" i="14"/>
  <c r="AA34" i="14"/>
  <c r="AA35" i="14"/>
  <c r="AA21" i="14"/>
  <c r="Z22" i="14"/>
  <c r="Z23" i="14"/>
  <c r="Z24" i="14"/>
  <c r="Z25" i="14"/>
  <c r="Z26" i="14"/>
  <c r="Z27" i="14"/>
  <c r="Z28" i="14"/>
  <c r="Z29" i="14"/>
  <c r="Z30" i="14"/>
  <c r="Z31" i="14"/>
  <c r="Z32" i="14"/>
  <c r="Z33" i="14"/>
  <c r="Z34" i="14"/>
  <c r="Z35" i="14"/>
  <c r="Z21" i="14"/>
  <c r="W22" i="14"/>
  <c r="W23" i="14"/>
  <c r="W24" i="14"/>
  <c r="W25" i="14"/>
  <c r="W26" i="14"/>
  <c r="W27" i="14"/>
  <c r="W28" i="14"/>
  <c r="W29" i="14"/>
  <c r="W30" i="14"/>
  <c r="W31" i="14"/>
  <c r="W32" i="14"/>
  <c r="W33" i="14"/>
  <c r="W34" i="14"/>
  <c r="W35" i="14"/>
  <c r="W21" i="14"/>
  <c r="V35" i="14"/>
  <c r="V22" i="14"/>
  <c r="V23" i="14"/>
  <c r="V24" i="14"/>
  <c r="V25" i="14"/>
  <c r="V26" i="14"/>
  <c r="V27" i="14"/>
  <c r="V28" i="14"/>
  <c r="V29" i="14"/>
  <c r="V30" i="14"/>
  <c r="V31" i="14"/>
  <c r="V32" i="14"/>
  <c r="V33" i="14"/>
  <c r="V34" i="14"/>
  <c r="V21" i="14"/>
  <c r="X22" i="14"/>
  <c r="X23" i="14"/>
  <c r="X24" i="14"/>
  <c r="X25" i="14"/>
  <c r="X26" i="14"/>
  <c r="X27" i="14"/>
  <c r="X28" i="14"/>
  <c r="X29" i="14"/>
  <c r="X30" i="14"/>
  <c r="X31" i="14"/>
  <c r="X32" i="14"/>
  <c r="X33" i="14"/>
  <c r="X34" i="14"/>
  <c r="X35" i="14"/>
  <c r="X21" i="14"/>
  <c r="U22" i="14"/>
  <c r="U23" i="14"/>
  <c r="U24" i="14"/>
  <c r="U25" i="14"/>
  <c r="U26" i="14"/>
  <c r="U27" i="14"/>
  <c r="U28" i="14"/>
  <c r="U29" i="14"/>
  <c r="U30" i="14"/>
  <c r="U31" i="14"/>
  <c r="U32" i="14"/>
  <c r="U33" i="14"/>
  <c r="U34" i="14"/>
  <c r="U35" i="14"/>
  <c r="U21" i="14"/>
  <c r="S22" i="14"/>
  <c r="S23" i="14"/>
  <c r="S24" i="14"/>
  <c r="S25" i="14"/>
  <c r="S26" i="14"/>
  <c r="S27" i="14"/>
  <c r="S28" i="14"/>
  <c r="S29" i="14"/>
  <c r="S30" i="14"/>
  <c r="S31" i="14"/>
  <c r="S32" i="14"/>
  <c r="S33" i="14"/>
  <c r="S34" i="14"/>
  <c r="S35" i="14"/>
  <c r="S21" i="14"/>
  <c r="Q22" i="14"/>
  <c r="Q23" i="14"/>
  <c r="Q24" i="14"/>
  <c r="Q25" i="14"/>
  <c r="Q26" i="14"/>
  <c r="Q27" i="14"/>
  <c r="Q28" i="14"/>
  <c r="Q29" i="14"/>
  <c r="Q30" i="14"/>
  <c r="Q31" i="14"/>
  <c r="Q32" i="14"/>
  <c r="Q33" i="14"/>
  <c r="Q34" i="14"/>
  <c r="Q35" i="14"/>
  <c r="Q21" i="14"/>
  <c r="P22" i="14"/>
  <c r="P23" i="14"/>
  <c r="P24" i="14"/>
  <c r="P25" i="14"/>
  <c r="P26" i="14"/>
  <c r="P27" i="14"/>
  <c r="P28" i="14"/>
  <c r="P29" i="14"/>
  <c r="P30" i="14"/>
  <c r="P31" i="14"/>
  <c r="P32" i="14"/>
  <c r="P33" i="14"/>
  <c r="P34" i="14"/>
  <c r="P35" i="14"/>
  <c r="P21" i="14"/>
  <c r="I34" i="14"/>
  <c r="I35" i="14"/>
  <c r="I22" i="14"/>
  <c r="I23" i="14"/>
  <c r="I24" i="14"/>
  <c r="I25" i="14"/>
  <c r="I26" i="14"/>
  <c r="I27" i="14"/>
  <c r="I28" i="14"/>
  <c r="I29" i="14"/>
  <c r="I30" i="14"/>
  <c r="I31" i="14"/>
  <c r="I32" i="14"/>
  <c r="I33" i="14"/>
  <c r="I21" i="14"/>
  <c r="D21" i="14"/>
  <c r="D22" i="14"/>
  <c r="B22" i="14"/>
  <c r="B23" i="14"/>
  <c r="B24" i="14"/>
  <c r="B25" i="14"/>
  <c r="B26" i="14"/>
  <c r="B27" i="14"/>
  <c r="B28" i="14"/>
  <c r="B29" i="14"/>
  <c r="B30" i="14"/>
  <c r="B31" i="14"/>
  <c r="B32" i="14"/>
  <c r="B33" i="14"/>
  <c r="B34" i="14"/>
  <c r="B21" i="14"/>
  <c r="G22" i="14"/>
  <c r="G23" i="14"/>
  <c r="G24" i="14"/>
  <c r="G25" i="14"/>
  <c r="G26" i="14"/>
  <c r="G27" i="14"/>
  <c r="G28" i="14"/>
  <c r="G29" i="14"/>
  <c r="G30" i="14"/>
  <c r="G31" i="14"/>
  <c r="G32" i="14"/>
  <c r="G33" i="14"/>
  <c r="G34" i="14"/>
  <c r="G21" i="14"/>
  <c r="K36" i="14"/>
  <c r="K20" i="14"/>
  <c r="J22" i="14"/>
  <c r="J23" i="14"/>
  <c r="J24" i="14"/>
  <c r="J25" i="14"/>
  <c r="J26" i="14"/>
  <c r="J27" i="14"/>
  <c r="J28" i="14"/>
  <c r="J29" i="14"/>
  <c r="J30" i="14" s="1"/>
  <c r="J31" i="14" s="1"/>
  <c r="J32" i="14" s="1"/>
  <c r="J33" i="14" s="1"/>
  <c r="J34" i="14" s="1"/>
  <c r="J21" i="14"/>
  <c r="J36" i="14"/>
  <c r="J20" i="14"/>
  <c r="J19" i="14"/>
  <c r="Z27" i="3"/>
  <c r="Z28" i="3"/>
  <c r="Z29" i="3"/>
  <c r="Z30" i="3"/>
  <c r="Z31" i="3"/>
  <c r="Z32" i="3"/>
  <c r="Z33" i="3"/>
  <c r="Z34" i="3"/>
  <c r="Z35" i="3"/>
  <c r="AB28" i="3"/>
  <c r="AB29" i="3"/>
  <c r="AB30" i="3"/>
  <c r="AB31" i="3"/>
  <c r="AB32" i="3"/>
  <c r="AB33" i="3"/>
  <c r="AB34" i="3"/>
  <c r="AB35" i="3"/>
  <c r="AB27" i="3"/>
  <c r="AD35" i="3"/>
  <c r="AD34" i="3"/>
  <c r="AD33" i="3"/>
  <c r="AD32" i="3"/>
  <c r="AD31" i="3"/>
  <c r="AD30" i="3"/>
  <c r="AD29" i="3"/>
  <c r="AD28" i="3"/>
  <c r="AD27" i="3"/>
  <c r="AC28" i="3"/>
  <c r="AC29" i="3"/>
  <c r="AC30" i="3"/>
  <c r="AC31" i="3"/>
  <c r="AC32" i="3"/>
  <c r="AC33" i="3"/>
  <c r="AC34" i="3"/>
  <c r="AC35" i="3"/>
  <c r="AC27" i="3"/>
  <c r="AA28" i="3"/>
  <c r="AA29" i="3"/>
  <c r="AA30" i="3"/>
  <c r="AA31" i="3"/>
  <c r="AA32" i="3"/>
  <c r="AA33" i="3"/>
  <c r="AA34" i="3"/>
  <c r="AA35" i="3"/>
  <c r="AA27" i="3"/>
  <c r="Y28" i="3"/>
  <c r="Y29" i="3"/>
  <c r="Y30" i="3"/>
  <c r="Y31" i="3"/>
  <c r="Y32" i="3"/>
  <c r="Y33" i="3"/>
  <c r="Y34" i="3"/>
  <c r="Y35" i="3"/>
  <c r="Y27" i="3"/>
  <c r="B27" i="3"/>
  <c r="B28" i="3"/>
  <c r="B29" i="3"/>
  <c r="B30" i="3"/>
  <c r="B31" i="3"/>
  <c r="B32" i="3"/>
  <c r="B33" i="3"/>
  <c r="B34" i="3"/>
  <c r="B35" i="3"/>
  <c r="B37" i="3"/>
  <c r="G27" i="3"/>
  <c r="G29" i="3"/>
  <c r="G30" i="3"/>
  <c r="G31" i="3"/>
  <c r="G32" i="3"/>
  <c r="G33" i="3"/>
  <c r="G34" i="3"/>
  <c r="G35" i="3"/>
  <c r="G28" i="3"/>
  <c r="C76" i="3"/>
  <c r="G75" i="3"/>
  <c r="G74" i="3"/>
  <c r="G73" i="3"/>
  <c r="G72" i="3"/>
  <c r="G71" i="3"/>
  <c r="G70" i="3"/>
  <c r="H71" i="3"/>
  <c r="H70" i="3"/>
  <c r="H69" i="3"/>
  <c r="I61" i="3"/>
  <c r="I50" i="3"/>
  <c r="G61" i="3"/>
  <c r="G45" i="3"/>
  <c r="B60" i="3"/>
  <c r="B45" i="3"/>
  <c r="H45" i="3"/>
  <c r="B66" i="3"/>
  <c r="O21" i="13" l="1"/>
  <c r="R18" i="23"/>
  <c r="W22" i="3"/>
  <c r="W23" i="3"/>
  <c r="W24" i="3" s="1"/>
  <c r="W25" i="3" s="1"/>
  <c r="W26" i="3" s="1"/>
  <c r="W27" i="3" s="1"/>
  <c r="W28" i="3" s="1"/>
  <c r="W29" i="3" s="1"/>
  <c r="W30" i="3" s="1"/>
  <c r="W31" i="3" s="1"/>
  <c r="W32" i="3" s="1"/>
  <c r="W33" i="3" s="1"/>
  <c r="W34" i="3" s="1"/>
  <c r="W35" i="3" s="1"/>
  <c r="W21" i="3"/>
  <c r="U22" i="3"/>
  <c r="U23" i="3" s="1"/>
  <c r="U24" i="3" s="1"/>
  <c r="U25" i="3" s="1"/>
  <c r="U26" i="3" s="1"/>
  <c r="U27" i="3" s="1"/>
  <c r="U28" i="3" s="1"/>
  <c r="U29" i="3" s="1"/>
  <c r="U30" i="3" s="1"/>
  <c r="U31" i="3" s="1"/>
  <c r="U32" i="3" s="1"/>
  <c r="U33" i="3" s="1"/>
  <c r="U34" i="3" s="1"/>
  <c r="U35" i="3" s="1"/>
  <c r="V22" i="3"/>
  <c r="V23" i="3"/>
  <c r="V24" i="3"/>
  <c r="V25" i="3"/>
  <c r="V26" i="3" s="1"/>
  <c r="V27" i="3" s="1"/>
  <c r="V28" i="3" s="1"/>
  <c r="V29" i="3" s="1"/>
  <c r="V30" i="3" s="1"/>
  <c r="V31" i="3" s="1"/>
  <c r="V32" i="3" s="1"/>
  <c r="V33" i="3" s="1"/>
  <c r="V34" i="3" s="1"/>
  <c r="V35" i="3" s="1"/>
  <c r="U21" i="3"/>
  <c r="V21" i="3"/>
  <c r="T22" i="3"/>
  <c r="T23" i="3" s="1"/>
  <c r="T24" i="3" s="1"/>
  <c r="T25" i="3" s="1"/>
  <c r="T26" i="3" s="1"/>
  <c r="T27" i="3" s="1"/>
  <c r="T28" i="3" s="1"/>
  <c r="T29" i="3" s="1"/>
  <c r="T30" i="3" s="1"/>
  <c r="T31" i="3" s="1"/>
  <c r="T32" i="3" s="1"/>
  <c r="T33" i="3" s="1"/>
  <c r="T34" i="3" s="1"/>
  <c r="T35" i="3" s="1"/>
  <c r="T21" i="3"/>
  <c r="R26" i="3" l="1"/>
  <c r="R25" i="3"/>
  <c r="R24" i="3"/>
  <c r="R23" i="3"/>
  <c r="R22" i="3"/>
  <c r="R21" i="3"/>
  <c r="Q35" i="3"/>
  <c r="Q34" i="3"/>
  <c r="Q33" i="3"/>
  <c r="Q32" i="3"/>
  <c r="Q31" i="3"/>
  <c r="Q30" i="3"/>
  <c r="Q29" i="3"/>
  <c r="Q28" i="3"/>
  <c r="Q27" i="3"/>
  <c r="Q27" i="23" s="1"/>
  <c r="Q26" i="3"/>
  <c r="Q25" i="3"/>
  <c r="Q24" i="3"/>
  <c r="Q23" i="3"/>
  <c r="Q22" i="3"/>
  <c r="Q21" i="3"/>
  <c r="Q20" i="3"/>
  <c r="P26" i="3"/>
  <c r="P25" i="3"/>
  <c r="P24" i="3"/>
  <c r="P23" i="3"/>
  <c r="P22" i="3"/>
  <c r="P21" i="3"/>
  <c r="O35" i="3"/>
  <c r="O34" i="3"/>
  <c r="O33" i="3"/>
  <c r="O32" i="3"/>
  <c r="O31" i="3"/>
  <c r="O30" i="3"/>
  <c r="O29" i="3"/>
  <c r="O28" i="3"/>
  <c r="O27" i="3"/>
  <c r="O26" i="3"/>
  <c r="O25" i="3"/>
  <c r="O24" i="3"/>
  <c r="O23" i="3"/>
  <c r="O22" i="3"/>
  <c r="O21" i="3"/>
  <c r="AD26" i="3"/>
  <c r="AD25" i="3"/>
  <c r="AD24" i="3"/>
  <c r="AD23" i="3"/>
  <c r="AD22" i="3"/>
  <c r="AD21" i="3"/>
  <c r="AA26" i="3"/>
  <c r="AA25" i="3"/>
  <c r="AA24" i="3"/>
  <c r="AA23" i="3"/>
  <c r="AA22" i="3"/>
  <c r="AA21" i="3"/>
  <c r="Z26" i="3"/>
  <c r="Z25" i="3"/>
  <c r="Z24" i="3"/>
  <c r="Z23" i="3"/>
  <c r="Z22" i="3"/>
  <c r="Z21" i="3"/>
  <c r="AB26" i="3"/>
  <c r="AB25" i="3"/>
  <c r="AB24" i="3"/>
  <c r="AB23" i="3"/>
  <c r="AB22" i="3"/>
  <c r="AB21" i="3"/>
  <c r="AC26" i="3"/>
  <c r="AC25" i="3"/>
  <c r="AC24" i="3"/>
  <c r="AC23" i="3"/>
  <c r="AC22" i="3"/>
  <c r="AC21" i="3"/>
  <c r="Y26" i="3"/>
  <c r="Y25" i="3"/>
  <c r="Y24" i="3"/>
  <c r="Y23" i="3"/>
  <c r="Y22" i="3"/>
  <c r="Y21" i="3"/>
  <c r="P27" i="3" l="1"/>
  <c r="R27" i="3" l="1"/>
  <c r="P28" i="3"/>
  <c r="R29" i="3" l="1"/>
  <c r="R28" i="3"/>
  <c r="R30" i="3"/>
  <c r="P29" i="3" l="1"/>
  <c r="R32" i="3" l="1"/>
  <c r="R31" i="3"/>
  <c r="P30" i="3"/>
  <c r="R33" i="3" l="1"/>
  <c r="P31" i="3"/>
  <c r="R34" i="3" l="1"/>
  <c r="P32" i="3"/>
  <c r="R35" i="3" l="1"/>
  <c r="P33" i="3"/>
  <c r="P34" i="3" l="1"/>
  <c r="P35" i="3" l="1"/>
  <c r="X35" i="15" l="1"/>
  <c r="W35" i="23" s="1"/>
  <c r="X34" i="15"/>
  <c r="W34" i="23" s="1"/>
  <c r="X33" i="15"/>
  <c r="W33" i="23" s="1"/>
  <c r="X32" i="15"/>
  <c r="W32" i="23" s="1"/>
  <c r="X31" i="15"/>
  <c r="W31" i="23" s="1"/>
  <c r="X30" i="15"/>
  <c r="W30" i="23" s="1"/>
  <c r="X29" i="15"/>
  <c r="W29" i="23" s="1"/>
  <c r="X28" i="15"/>
  <c r="W28" i="23" s="1"/>
  <c r="X27" i="15"/>
  <c r="W27" i="23" s="1"/>
  <c r="X26" i="15"/>
  <c r="X25" i="15"/>
  <c r="X24" i="15"/>
  <c r="X23" i="15"/>
  <c r="X22" i="15"/>
  <c r="X21" i="15"/>
  <c r="U35" i="15"/>
  <c r="U34" i="15"/>
  <c r="U33" i="15"/>
  <c r="U32" i="15"/>
  <c r="U31" i="15"/>
  <c r="T31" i="23" s="1"/>
  <c r="U30" i="15"/>
  <c r="T30" i="23" s="1"/>
  <c r="U29" i="15"/>
  <c r="T29" i="23" s="1"/>
  <c r="U28" i="15"/>
  <c r="T28" i="23" s="1"/>
  <c r="U27" i="15"/>
  <c r="T27" i="23" s="1"/>
  <c r="U26" i="15"/>
  <c r="U25" i="15"/>
  <c r="U24" i="15"/>
  <c r="U23" i="15"/>
  <c r="U22" i="15"/>
  <c r="U21" i="15"/>
  <c r="V35" i="15"/>
  <c r="V34" i="15"/>
  <c r="V33" i="15"/>
  <c r="V32" i="15"/>
  <c r="V31" i="15"/>
  <c r="U31" i="23" s="1"/>
  <c r="V30" i="15"/>
  <c r="U30" i="23" s="1"/>
  <c r="V29" i="15"/>
  <c r="U29" i="23" s="1"/>
  <c r="V28" i="15"/>
  <c r="U28" i="23" s="1"/>
  <c r="V27" i="15"/>
  <c r="U27" i="23" s="1"/>
  <c r="V26" i="15"/>
  <c r="V25" i="15"/>
  <c r="V24" i="15"/>
  <c r="V23" i="15"/>
  <c r="V22" i="15"/>
  <c r="V21" i="15"/>
  <c r="U21" i="23" s="1"/>
  <c r="S35" i="15"/>
  <c r="S34" i="15"/>
  <c r="S33" i="15"/>
  <c r="S32" i="15"/>
  <c r="S31" i="15"/>
  <c r="S30" i="15"/>
  <c r="S29" i="15"/>
  <c r="S28" i="15"/>
  <c r="S27" i="15"/>
  <c r="R27" i="23" s="1"/>
  <c r="S26" i="15"/>
  <c r="S25" i="15"/>
  <c r="S24" i="15"/>
  <c r="S23" i="15"/>
  <c r="S22" i="15"/>
  <c r="S21" i="15"/>
  <c r="Q35" i="15"/>
  <c r="Q34" i="15"/>
  <c r="Q33" i="15"/>
  <c r="Q32" i="15"/>
  <c r="Q31" i="15"/>
  <c r="Q30" i="15"/>
  <c r="Q29" i="15"/>
  <c r="Q28" i="15"/>
  <c r="Q27" i="15"/>
  <c r="P27" i="23" s="1"/>
  <c r="Q26" i="15"/>
  <c r="Q25" i="15"/>
  <c r="Q24" i="15"/>
  <c r="Q23" i="15"/>
  <c r="Q22" i="15"/>
  <c r="Q21" i="15"/>
  <c r="P35" i="15"/>
  <c r="P34" i="15"/>
  <c r="P33" i="15"/>
  <c r="P32" i="15"/>
  <c r="P31" i="15"/>
  <c r="P30" i="15"/>
  <c r="P29" i="15"/>
  <c r="P28" i="15"/>
  <c r="P27" i="15"/>
  <c r="P26" i="15"/>
  <c r="P25" i="15"/>
  <c r="P24" i="15"/>
  <c r="P23" i="15"/>
  <c r="P21" i="15"/>
  <c r="P22" i="15"/>
  <c r="O35" i="15" l="1"/>
  <c r="N35" i="23" s="1"/>
  <c r="O34" i="15"/>
  <c r="O33" i="15"/>
  <c r="O32" i="15"/>
  <c r="O31" i="15"/>
  <c r="O30" i="15"/>
  <c r="O29" i="15"/>
  <c r="O28" i="15"/>
  <c r="O27" i="15"/>
  <c r="O26" i="15"/>
  <c r="O25" i="15"/>
  <c r="O24" i="15"/>
  <c r="O23" i="15"/>
  <c r="O22" i="15"/>
  <c r="O21" i="15"/>
  <c r="AE35" i="15"/>
  <c r="AE34" i="15"/>
  <c r="AE33" i="15"/>
  <c r="AE32" i="15"/>
  <c r="AE31" i="15"/>
  <c r="AE30" i="15"/>
  <c r="AE29" i="15"/>
  <c r="AE28" i="15"/>
  <c r="AE27" i="15"/>
  <c r="AE26" i="15"/>
  <c r="AE25" i="15"/>
  <c r="AE24" i="15"/>
  <c r="AE23" i="15"/>
  <c r="AE22" i="15"/>
  <c r="AE21" i="15"/>
  <c r="AD35" i="15"/>
  <c r="AD34" i="15"/>
  <c r="AD33" i="15"/>
  <c r="AD32" i="15"/>
  <c r="AD31" i="15"/>
  <c r="AD30" i="15"/>
  <c r="AD29" i="15"/>
  <c r="AD28" i="15"/>
  <c r="AD27" i="15"/>
  <c r="AD26" i="15"/>
  <c r="AD25" i="15"/>
  <c r="AD24" i="15"/>
  <c r="AD23" i="15"/>
  <c r="AD22" i="15"/>
  <c r="AD21" i="15"/>
  <c r="AC35" i="15"/>
  <c r="AC34" i="15"/>
  <c r="AC33" i="15"/>
  <c r="AC32" i="15"/>
  <c r="AC31" i="15"/>
  <c r="AC30" i="15"/>
  <c r="AC29" i="15"/>
  <c r="AC28" i="15"/>
  <c r="AC27" i="15"/>
  <c r="AC26" i="15"/>
  <c r="AC25" i="15"/>
  <c r="AC24" i="15"/>
  <c r="AC23" i="15"/>
  <c r="AC22" i="15"/>
  <c r="AC21" i="15"/>
  <c r="AB35" i="15"/>
  <c r="AB34" i="15"/>
  <c r="AB33" i="15"/>
  <c r="AB32" i="15"/>
  <c r="AB31" i="15"/>
  <c r="AB30" i="15"/>
  <c r="AB29" i="15"/>
  <c r="AB28" i="15"/>
  <c r="AB27" i="15"/>
  <c r="AB26" i="15"/>
  <c r="AB25" i="15"/>
  <c r="AB24" i="15"/>
  <c r="AB23" i="15"/>
  <c r="AB22" i="15"/>
  <c r="AB21" i="15"/>
  <c r="AA35" i="15"/>
  <c r="AA34" i="15"/>
  <c r="AA33" i="15"/>
  <c r="AA32" i="15"/>
  <c r="AA31" i="15"/>
  <c r="AA30" i="15"/>
  <c r="AA29" i="15"/>
  <c r="AA28" i="15"/>
  <c r="AA27" i="15"/>
  <c r="AA26" i="15"/>
  <c r="AA25" i="15"/>
  <c r="AA24" i="15"/>
  <c r="AA23" i="15"/>
  <c r="AA22" i="15"/>
  <c r="AA21" i="15"/>
  <c r="Z35" i="15"/>
  <c r="Z34" i="15"/>
  <c r="Z33" i="15"/>
  <c r="Z32" i="15"/>
  <c r="Z31" i="15"/>
  <c r="Z30" i="15"/>
  <c r="Z29" i="15"/>
  <c r="Z28" i="15"/>
  <c r="Z27" i="15"/>
  <c r="Z26" i="15"/>
  <c r="Z25" i="15"/>
  <c r="Z24" i="15"/>
  <c r="Z23" i="15"/>
  <c r="Z22" i="15"/>
  <c r="Z21" i="15"/>
  <c r="G35" i="15"/>
  <c r="G34" i="15"/>
  <c r="G33" i="15"/>
  <c r="G32" i="15"/>
  <c r="G31" i="15"/>
  <c r="G30" i="15"/>
  <c r="G29" i="15"/>
  <c r="G28" i="15"/>
  <c r="G27" i="15"/>
  <c r="G26" i="15"/>
  <c r="G25" i="15"/>
  <c r="G24" i="15"/>
  <c r="G23" i="15"/>
  <c r="G22" i="15"/>
  <c r="G21" i="15"/>
  <c r="B35" i="15"/>
  <c r="B34" i="15"/>
  <c r="B33" i="15"/>
  <c r="B32" i="15"/>
  <c r="B31" i="15"/>
  <c r="B30" i="15"/>
  <c r="B29" i="15"/>
  <c r="B28" i="15"/>
  <c r="B27" i="15"/>
  <c r="B26" i="15"/>
  <c r="B25" i="15"/>
  <c r="B24" i="15"/>
  <c r="B23" i="15"/>
  <c r="B22" i="15"/>
  <c r="B21" i="15"/>
  <c r="G35" i="13" l="1"/>
  <c r="G34" i="13"/>
  <c r="G33" i="13"/>
  <c r="G32" i="13"/>
  <c r="G31" i="13"/>
  <c r="G30" i="13"/>
  <c r="G29" i="13"/>
  <c r="G28" i="13"/>
  <c r="G27" i="13"/>
  <c r="G26" i="13"/>
  <c r="G25" i="13"/>
  <c r="G24" i="13"/>
  <c r="G23" i="13"/>
  <c r="G22" i="13"/>
  <c r="G21" i="13"/>
  <c r="B35" i="13"/>
  <c r="B34" i="13"/>
  <c r="B33" i="13"/>
  <c r="B32" i="13"/>
  <c r="B31" i="13"/>
  <c r="B30" i="13"/>
  <c r="B29" i="13"/>
  <c r="B28" i="13"/>
  <c r="B27" i="13"/>
  <c r="B26" i="13"/>
  <c r="B25" i="13"/>
  <c r="B24" i="13"/>
  <c r="B23" i="13"/>
  <c r="B22" i="13"/>
  <c r="B21" i="13"/>
  <c r="B26" i="3"/>
  <c r="B36" i="3" s="1"/>
  <c r="B25" i="3"/>
  <c r="B24" i="3"/>
  <c r="B23" i="3"/>
  <c r="B22" i="3"/>
  <c r="B21" i="3"/>
  <c r="G26" i="3"/>
  <c r="G25" i="3"/>
  <c r="G24" i="3"/>
  <c r="G23" i="3"/>
  <c r="G22" i="3"/>
  <c r="G21" i="3"/>
  <c r="C21" i="3" l="1"/>
  <c r="D21" i="3"/>
  <c r="D22" i="3" l="1"/>
  <c r="D23" i="3"/>
  <c r="D24" i="3"/>
  <c r="D25" i="3" s="1"/>
  <c r="D26" i="3" s="1"/>
  <c r="D27" i="3" s="1"/>
  <c r="D28" i="3" s="1"/>
  <c r="D29" i="3" s="1"/>
  <c r="D30" i="3" s="1"/>
  <c r="D31" i="3" s="1"/>
  <c r="D32" i="3" s="1"/>
  <c r="D33" i="3" s="1"/>
  <c r="D34" i="3" s="1"/>
  <c r="H72" i="3" l="1"/>
  <c r="H73" i="3"/>
  <c r="H74" i="3"/>
  <c r="H75" i="3"/>
  <c r="I35" i="3" s="1"/>
  <c r="H67" i="3"/>
  <c r="H35" i="3"/>
  <c r="D21" i="15" l="1"/>
  <c r="G69" i="3"/>
  <c r="B69" i="3" s="1"/>
  <c r="D35" i="3"/>
  <c r="D37" i="3" s="1"/>
  <c r="D36" i="3"/>
  <c r="Z6" i="23" l="1"/>
  <c r="AA6" i="23"/>
  <c r="AB6" i="23"/>
  <c r="AC6" i="23"/>
  <c r="AD6" i="23"/>
  <c r="Z7" i="23"/>
  <c r="AA7" i="23"/>
  <c r="AB7" i="23"/>
  <c r="AC7" i="23"/>
  <c r="AD7" i="23"/>
  <c r="Z8" i="23"/>
  <c r="AA8" i="23"/>
  <c r="AB8" i="23"/>
  <c r="AC8" i="23"/>
  <c r="AD8" i="23"/>
  <c r="Z9" i="23"/>
  <c r="AA9" i="23"/>
  <c r="AB9" i="23"/>
  <c r="AC9" i="23"/>
  <c r="AD9" i="23"/>
  <c r="Z10" i="23"/>
  <c r="AA10" i="23"/>
  <c r="AB10" i="23"/>
  <c r="AC10" i="23"/>
  <c r="AD10" i="23"/>
  <c r="Z11" i="23"/>
  <c r="AA11" i="23"/>
  <c r="AB11" i="23"/>
  <c r="AC11" i="23"/>
  <c r="AD11" i="23"/>
  <c r="Z12" i="23"/>
  <c r="AA12" i="23"/>
  <c r="AB12" i="23"/>
  <c r="AC12" i="23"/>
  <c r="AD12" i="23"/>
  <c r="Z13" i="23"/>
  <c r="AA13" i="23"/>
  <c r="AB13" i="23"/>
  <c r="AC13" i="23"/>
  <c r="AD13" i="23"/>
  <c r="Z14" i="23"/>
  <c r="AA14" i="23"/>
  <c r="AB14" i="23"/>
  <c r="AC14" i="23"/>
  <c r="AD14" i="23"/>
  <c r="Z15" i="23"/>
  <c r="AA15" i="23"/>
  <c r="AB15" i="23"/>
  <c r="AC15" i="23"/>
  <c r="AD15" i="23"/>
  <c r="Z16" i="23"/>
  <c r="AA16" i="23"/>
  <c r="AB16" i="23"/>
  <c r="AC16" i="23"/>
  <c r="AD16" i="23"/>
  <c r="Z17" i="23"/>
  <c r="AA17" i="23"/>
  <c r="AB17" i="23"/>
  <c r="AC17" i="23"/>
  <c r="AD17" i="23"/>
  <c r="Z18" i="23"/>
  <c r="AA18" i="23"/>
  <c r="AB18" i="23"/>
  <c r="AC18" i="23"/>
  <c r="AD18" i="23"/>
  <c r="Z19" i="23"/>
  <c r="AA19" i="23"/>
  <c r="AB19" i="23"/>
  <c r="AC19" i="23"/>
  <c r="AD19" i="23"/>
  <c r="Z20" i="23"/>
  <c r="AA20" i="23"/>
  <c r="AB20" i="23"/>
  <c r="AC20" i="23"/>
  <c r="AD20" i="23"/>
  <c r="Z21" i="23"/>
  <c r="AA21" i="23"/>
  <c r="AB21" i="23"/>
  <c r="AC21" i="23"/>
  <c r="AD21" i="23"/>
  <c r="Z22" i="23"/>
  <c r="AA22" i="23"/>
  <c r="AB22" i="23"/>
  <c r="AC22" i="23"/>
  <c r="AD22" i="23"/>
  <c r="Z23" i="23"/>
  <c r="AA23" i="23"/>
  <c r="AB23" i="23"/>
  <c r="AC23" i="23"/>
  <c r="AD23" i="23"/>
  <c r="Z24" i="23"/>
  <c r="AA24" i="23"/>
  <c r="AB24" i="23"/>
  <c r="AC24" i="23"/>
  <c r="AD24" i="23"/>
  <c r="Z25" i="23"/>
  <c r="AA25" i="23"/>
  <c r="AB25" i="23"/>
  <c r="AC25" i="23"/>
  <c r="AD25" i="23"/>
  <c r="Z26" i="23"/>
  <c r="AA26" i="23"/>
  <c r="AB26" i="23"/>
  <c r="AC26" i="23"/>
  <c r="AD26" i="23"/>
  <c r="Z27" i="23"/>
  <c r="AA27" i="23"/>
  <c r="AB27" i="23"/>
  <c r="AC27" i="23"/>
  <c r="AD27" i="23"/>
  <c r="Z28" i="23"/>
  <c r="AA28" i="23"/>
  <c r="AB28" i="23"/>
  <c r="AC28" i="23"/>
  <c r="AD28" i="23"/>
  <c r="Z29" i="23"/>
  <c r="AA29" i="23"/>
  <c r="AB29" i="23"/>
  <c r="AC29" i="23"/>
  <c r="AD29" i="23"/>
  <c r="Z30" i="23"/>
  <c r="AA30" i="23"/>
  <c r="AB30" i="23"/>
  <c r="AC30" i="23"/>
  <c r="AD30" i="23"/>
  <c r="Z31" i="23"/>
  <c r="AA31" i="23"/>
  <c r="AB31" i="23"/>
  <c r="AC31" i="23"/>
  <c r="AD31" i="23"/>
  <c r="Z32" i="23"/>
  <c r="AA32" i="23"/>
  <c r="AB32" i="23"/>
  <c r="AC32" i="23"/>
  <c r="AD32" i="23"/>
  <c r="Z33" i="23"/>
  <c r="AA33" i="23"/>
  <c r="AB33" i="23"/>
  <c r="AC33" i="23"/>
  <c r="AD33" i="23"/>
  <c r="Z34" i="23"/>
  <c r="AA34" i="23"/>
  <c r="AB34" i="23"/>
  <c r="AC34" i="23"/>
  <c r="AD34" i="23"/>
  <c r="Z35" i="23"/>
  <c r="AA35" i="23"/>
  <c r="AB35" i="23"/>
  <c r="AC35" i="23"/>
  <c r="AD35" i="23"/>
  <c r="Z5" i="23"/>
  <c r="AA5" i="23"/>
  <c r="AB5" i="23"/>
  <c r="AC5" i="23"/>
  <c r="AD5" i="23"/>
  <c r="Y6" i="23"/>
  <c r="Y7" i="23"/>
  <c r="Y8" i="23"/>
  <c r="Y9" i="23"/>
  <c r="Y10" i="23"/>
  <c r="Y11" i="23"/>
  <c r="Y12" i="23"/>
  <c r="Y13" i="23"/>
  <c r="Y14" i="23"/>
  <c r="Y15" i="23"/>
  <c r="Y16" i="23"/>
  <c r="Y17" i="23"/>
  <c r="Y18" i="23"/>
  <c r="Y19" i="23"/>
  <c r="Y20" i="23"/>
  <c r="Y21" i="23"/>
  <c r="Y22" i="23"/>
  <c r="Y23" i="23"/>
  <c r="Y24" i="23"/>
  <c r="Y25" i="23"/>
  <c r="Y26" i="23"/>
  <c r="Y27" i="23"/>
  <c r="Y28" i="23"/>
  <c r="Y29" i="23"/>
  <c r="Y30" i="23"/>
  <c r="Y31" i="23"/>
  <c r="Y32" i="23"/>
  <c r="Y33" i="23"/>
  <c r="Y34" i="23"/>
  <c r="Y35" i="23"/>
  <c r="Y5" i="23"/>
  <c r="C16" i="3"/>
  <c r="AE35" i="23" l="1"/>
  <c r="AE27" i="23"/>
  <c r="AE34" i="23"/>
  <c r="AE26" i="23"/>
  <c r="AE33" i="23"/>
  <c r="AE25" i="23"/>
  <c r="AE32" i="23"/>
  <c r="AE24" i="23"/>
  <c r="AE31" i="23"/>
  <c r="AE23" i="23"/>
  <c r="AE30" i="23"/>
  <c r="AE22" i="23"/>
  <c r="AE29" i="23"/>
  <c r="AE21" i="23"/>
  <c r="AE28" i="23"/>
  <c r="G21" i="23"/>
  <c r="G22" i="23"/>
  <c r="G23" i="23"/>
  <c r="G24" i="23"/>
  <c r="G25" i="23"/>
  <c r="G26" i="23"/>
  <c r="G27" i="23"/>
  <c r="G28" i="23"/>
  <c r="G29" i="23"/>
  <c r="G30" i="23"/>
  <c r="G31" i="23"/>
  <c r="G32" i="23"/>
  <c r="G33" i="23"/>
  <c r="G34" i="23"/>
  <c r="D21" i="23"/>
  <c r="B24" i="23"/>
  <c r="B25" i="23"/>
  <c r="B26" i="23"/>
  <c r="B27" i="23"/>
  <c r="B28" i="23"/>
  <c r="B29" i="23"/>
  <c r="B30" i="23"/>
  <c r="B31" i="23"/>
  <c r="B32" i="23"/>
  <c r="B33" i="23"/>
  <c r="B34" i="23"/>
  <c r="B21" i="23"/>
  <c r="B22" i="23"/>
  <c r="B23" i="23"/>
  <c r="K19" i="13"/>
  <c r="K36" i="13" s="1"/>
  <c r="H20" i="21"/>
  <c r="C20" i="21"/>
  <c r="J20" i="19"/>
  <c r="J37" i="19" s="1"/>
  <c r="H20" i="19"/>
  <c r="C20" i="19"/>
  <c r="H20" i="20"/>
  <c r="C20" i="20"/>
  <c r="H20" i="17"/>
  <c r="B20" i="23"/>
  <c r="C21" i="23" l="1"/>
  <c r="N6" i="23"/>
  <c r="O6" i="23"/>
  <c r="P6" i="23"/>
  <c r="Q6" i="23"/>
  <c r="R6" i="23"/>
  <c r="S6" i="23"/>
  <c r="T6" i="23"/>
  <c r="U6" i="23"/>
  <c r="V6" i="23"/>
  <c r="W6" i="23"/>
  <c r="N7" i="23"/>
  <c r="O7" i="23"/>
  <c r="P7" i="23"/>
  <c r="Q7" i="23"/>
  <c r="R7" i="23"/>
  <c r="S7" i="23"/>
  <c r="T7" i="23"/>
  <c r="U7" i="23"/>
  <c r="V7" i="23"/>
  <c r="W7" i="23"/>
  <c r="N8" i="23"/>
  <c r="O8" i="23"/>
  <c r="P8" i="23"/>
  <c r="Q8" i="23"/>
  <c r="R8" i="23"/>
  <c r="S8" i="23"/>
  <c r="T8" i="23"/>
  <c r="U8" i="23"/>
  <c r="V8" i="23"/>
  <c r="W8" i="23"/>
  <c r="N9" i="23"/>
  <c r="O9" i="23"/>
  <c r="P9" i="23"/>
  <c r="Q9" i="23"/>
  <c r="R9" i="23"/>
  <c r="S9" i="23"/>
  <c r="T9" i="23"/>
  <c r="U9" i="23"/>
  <c r="V9" i="23"/>
  <c r="W9" i="23"/>
  <c r="N10" i="23"/>
  <c r="O10" i="23"/>
  <c r="P10" i="23"/>
  <c r="Q10" i="23"/>
  <c r="R10" i="23"/>
  <c r="S10" i="23"/>
  <c r="T10" i="23"/>
  <c r="U10" i="23"/>
  <c r="V10" i="23"/>
  <c r="W10" i="23"/>
  <c r="N11" i="23"/>
  <c r="O11" i="23"/>
  <c r="P11" i="23"/>
  <c r="Q11" i="23"/>
  <c r="R11" i="23"/>
  <c r="S11" i="23"/>
  <c r="T11" i="23"/>
  <c r="U11" i="23"/>
  <c r="V11" i="23"/>
  <c r="W11" i="23"/>
  <c r="N12" i="23"/>
  <c r="O12" i="23"/>
  <c r="P12" i="23"/>
  <c r="Q12" i="23"/>
  <c r="R12" i="23"/>
  <c r="S12" i="23"/>
  <c r="T12" i="23"/>
  <c r="U12" i="23"/>
  <c r="V12" i="23"/>
  <c r="W12" i="23"/>
  <c r="N13" i="23"/>
  <c r="O13" i="23"/>
  <c r="P13" i="23"/>
  <c r="Q13" i="23"/>
  <c r="R13" i="23"/>
  <c r="S13" i="23"/>
  <c r="T13" i="23"/>
  <c r="U13" i="23"/>
  <c r="V13" i="23"/>
  <c r="W13" i="23"/>
  <c r="N14" i="23"/>
  <c r="O14" i="23"/>
  <c r="P14" i="23"/>
  <c r="Q14" i="23"/>
  <c r="R14" i="23"/>
  <c r="S14" i="23"/>
  <c r="T14" i="23"/>
  <c r="U14" i="23"/>
  <c r="V14" i="23"/>
  <c r="W14" i="23"/>
  <c r="N15" i="23"/>
  <c r="O15" i="23"/>
  <c r="P15" i="23"/>
  <c r="Q15" i="23"/>
  <c r="R15" i="23"/>
  <c r="S15" i="23"/>
  <c r="T15" i="23"/>
  <c r="U15" i="23"/>
  <c r="V15" i="23"/>
  <c r="W15" i="23"/>
  <c r="N16" i="23"/>
  <c r="O16" i="23"/>
  <c r="P16" i="23"/>
  <c r="Q16" i="23"/>
  <c r="R16" i="23"/>
  <c r="S16" i="23"/>
  <c r="T16" i="23"/>
  <c r="U16" i="23"/>
  <c r="V16" i="23"/>
  <c r="W16" i="23"/>
  <c r="N17" i="23"/>
  <c r="O17" i="23"/>
  <c r="P17" i="23"/>
  <c r="Q17" i="23"/>
  <c r="R17" i="23"/>
  <c r="S17" i="23"/>
  <c r="T17" i="23"/>
  <c r="U17" i="23"/>
  <c r="V17" i="23"/>
  <c r="W17" i="23"/>
  <c r="N18" i="23"/>
  <c r="O18" i="23"/>
  <c r="P18" i="23"/>
  <c r="Q18" i="23"/>
  <c r="S18" i="23"/>
  <c r="T18" i="23"/>
  <c r="U18" i="23"/>
  <c r="V18" i="23"/>
  <c r="W18" i="23"/>
  <c r="N19" i="23"/>
  <c r="O19" i="23"/>
  <c r="P19" i="23"/>
  <c r="Q19" i="23"/>
  <c r="R19" i="23"/>
  <c r="S19" i="23"/>
  <c r="T19" i="23"/>
  <c r="U19" i="23"/>
  <c r="V19" i="23"/>
  <c r="W19" i="23"/>
  <c r="N20" i="23"/>
  <c r="O20" i="23"/>
  <c r="P20" i="23"/>
  <c r="Q20" i="23"/>
  <c r="R20" i="23"/>
  <c r="S20" i="23"/>
  <c r="T20" i="23"/>
  <c r="U20" i="23"/>
  <c r="W20" i="23"/>
  <c r="N21" i="23"/>
  <c r="Q21" i="23"/>
  <c r="S21" i="23"/>
  <c r="N22" i="23"/>
  <c r="Q22" i="23"/>
  <c r="S22" i="23"/>
  <c r="N23" i="23"/>
  <c r="Q23" i="23"/>
  <c r="S23" i="23"/>
  <c r="N24" i="23"/>
  <c r="Q24" i="23"/>
  <c r="S24" i="23"/>
  <c r="N25" i="23"/>
  <c r="Q25" i="23"/>
  <c r="S25" i="23"/>
  <c r="V25" i="23"/>
  <c r="N26" i="23"/>
  <c r="Q26" i="23"/>
  <c r="S26" i="23"/>
  <c r="V26" i="23"/>
  <c r="N27" i="23"/>
  <c r="N28" i="23"/>
  <c r="Q28" i="23"/>
  <c r="S28" i="23"/>
  <c r="N29" i="23"/>
  <c r="Q29" i="23"/>
  <c r="S29" i="23"/>
  <c r="N30" i="23"/>
  <c r="Q30" i="23"/>
  <c r="S30" i="23"/>
  <c r="N31" i="23"/>
  <c r="Q31" i="23"/>
  <c r="S31" i="23"/>
  <c r="N32" i="23"/>
  <c r="Q32" i="23"/>
  <c r="S32" i="23"/>
  <c r="N33" i="23"/>
  <c r="Q33" i="23"/>
  <c r="S33" i="23"/>
  <c r="V33" i="23"/>
  <c r="N34" i="23"/>
  <c r="Q34" i="23"/>
  <c r="S34" i="23"/>
  <c r="V34" i="23"/>
  <c r="Q35" i="23"/>
  <c r="S35" i="23"/>
  <c r="V35" i="23"/>
  <c r="O5" i="23"/>
  <c r="P5" i="23"/>
  <c r="Q5" i="23"/>
  <c r="R5" i="23"/>
  <c r="S5" i="23"/>
  <c r="T5" i="23"/>
  <c r="U5" i="23"/>
  <c r="V5" i="23"/>
  <c r="W5" i="23"/>
  <c r="N5" i="23"/>
  <c r="M6" i="23"/>
  <c r="M7" i="23"/>
  <c r="M8" i="23"/>
  <c r="M9" i="23"/>
  <c r="M10" i="23"/>
  <c r="M11" i="23"/>
  <c r="M12" i="23"/>
  <c r="M13" i="23"/>
  <c r="M14" i="23"/>
  <c r="M15" i="23"/>
  <c r="M16" i="23"/>
  <c r="M17" i="23"/>
  <c r="M18" i="23"/>
  <c r="M5" i="23"/>
  <c r="D5" i="23"/>
  <c r="I21" i="23"/>
  <c r="I6" i="23"/>
  <c r="I7" i="23"/>
  <c r="I8" i="23"/>
  <c r="I9" i="23"/>
  <c r="I10" i="23"/>
  <c r="I11" i="23"/>
  <c r="I12" i="23"/>
  <c r="I13" i="23"/>
  <c r="I14" i="23"/>
  <c r="I15" i="23"/>
  <c r="I16" i="23"/>
  <c r="I17" i="23"/>
  <c r="I18" i="23"/>
  <c r="I19" i="23"/>
  <c r="I5" i="23"/>
  <c r="G19" i="23"/>
  <c r="G20" i="23"/>
  <c r="E20" i="23" s="1"/>
  <c r="G6" i="23"/>
  <c r="G7" i="23"/>
  <c r="G8" i="23"/>
  <c r="G9" i="23"/>
  <c r="G10" i="23"/>
  <c r="G11" i="23"/>
  <c r="G12" i="23"/>
  <c r="G13" i="23"/>
  <c r="G14" i="23"/>
  <c r="G15" i="23"/>
  <c r="G16" i="23"/>
  <c r="G17" i="23"/>
  <c r="G18" i="23"/>
  <c r="G5" i="23"/>
  <c r="D6" i="23"/>
  <c r="D7" i="23"/>
  <c r="D8" i="23"/>
  <c r="D9" i="23"/>
  <c r="D10" i="23"/>
  <c r="D11" i="23"/>
  <c r="D12" i="23"/>
  <c r="D13" i="23"/>
  <c r="D14" i="23"/>
  <c r="D15" i="23"/>
  <c r="D16" i="23"/>
  <c r="D17" i="23"/>
  <c r="D18" i="23"/>
  <c r="D19" i="23"/>
  <c r="B6" i="23"/>
  <c r="B7" i="23"/>
  <c r="B8" i="23"/>
  <c r="B9" i="23"/>
  <c r="E9" i="23" s="1"/>
  <c r="B10" i="23"/>
  <c r="E10" i="23" s="1"/>
  <c r="B11" i="23"/>
  <c r="E11" i="23" s="1"/>
  <c r="B12" i="23"/>
  <c r="B13" i="23"/>
  <c r="B14" i="23"/>
  <c r="B15" i="23"/>
  <c r="B16" i="23"/>
  <c r="B17" i="23"/>
  <c r="B18" i="23"/>
  <c r="B19" i="23"/>
  <c r="B5" i="23"/>
  <c r="E5" i="23" l="1"/>
  <c r="E12" i="23"/>
  <c r="H17" i="23"/>
  <c r="H9" i="23"/>
  <c r="C10" i="23"/>
  <c r="F10" i="23"/>
  <c r="F7" i="23"/>
  <c r="E16" i="23"/>
  <c r="E8" i="23"/>
  <c r="C6" i="23"/>
  <c r="F6" i="23"/>
  <c r="H13" i="23"/>
  <c r="F8" i="23"/>
  <c r="E15" i="23"/>
  <c r="E7" i="23"/>
  <c r="C5" i="23"/>
  <c r="F5" i="23"/>
  <c r="F9" i="23"/>
  <c r="E14" i="23"/>
  <c r="E6" i="23"/>
  <c r="C12" i="23"/>
  <c r="F12" i="23"/>
  <c r="E13" i="23"/>
  <c r="F11" i="23"/>
  <c r="F14" i="23"/>
  <c r="C14" i="23"/>
  <c r="C19" i="23"/>
  <c r="C11" i="23"/>
  <c r="H18" i="23"/>
  <c r="H10" i="23"/>
  <c r="F19" i="23"/>
  <c r="H19" i="23"/>
  <c r="F18" i="23"/>
  <c r="C18" i="23"/>
  <c r="F17" i="23"/>
  <c r="C17" i="23"/>
  <c r="C9" i="23"/>
  <c r="H16" i="23"/>
  <c r="H8" i="23"/>
  <c r="F13" i="23"/>
  <c r="C13" i="23"/>
  <c r="H12" i="23"/>
  <c r="F16" i="23"/>
  <c r="C16" i="23"/>
  <c r="C8" i="23"/>
  <c r="H15" i="23"/>
  <c r="H7" i="23"/>
  <c r="H5" i="23"/>
  <c r="H11" i="23"/>
  <c r="F15" i="23"/>
  <c r="C15" i="23"/>
  <c r="C7" i="23"/>
  <c r="H14" i="23"/>
  <c r="H6" i="23"/>
  <c r="E19" i="23"/>
  <c r="E18" i="23"/>
  <c r="E17" i="23"/>
  <c r="J36" i="13"/>
  <c r="H57" i="13"/>
  <c r="H58" i="13"/>
  <c r="H59" i="13"/>
  <c r="H60" i="13"/>
  <c r="H61" i="13"/>
  <c r="H62" i="13"/>
  <c r="H63" i="13"/>
  <c r="H64" i="13"/>
  <c r="H65" i="13"/>
  <c r="H66" i="13"/>
  <c r="H67" i="13"/>
  <c r="H68" i="13"/>
  <c r="H69" i="13"/>
  <c r="H70" i="13"/>
  <c r="H71" i="13"/>
  <c r="H56" i="13"/>
  <c r="I43" i="13"/>
  <c r="I44" i="13"/>
  <c r="I45" i="13"/>
  <c r="I46" i="13"/>
  <c r="I47" i="13"/>
  <c r="I48" i="13"/>
  <c r="I49" i="13"/>
  <c r="I50" i="13"/>
  <c r="I51" i="13"/>
  <c r="I52" i="13"/>
  <c r="I53" i="13"/>
  <c r="I54" i="13"/>
  <c r="I42" i="13"/>
  <c r="H72" i="13" l="1"/>
  <c r="H43" i="13"/>
  <c r="H44" i="13"/>
  <c r="H45" i="13"/>
  <c r="H46" i="13"/>
  <c r="H47" i="13"/>
  <c r="H48" i="13"/>
  <c r="H49" i="13"/>
  <c r="H50" i="13"/>
  <c r="H51" i="13"/>
  <c r="H52" i="13"/>
  <c r="H53" i="13"/>
  <c r="H54" i="13"/>
  <c r="H55" i="13"/>
  <c r="I55" i="13" s="1"/>
  <c r="I56" i="13" s="1"/>
  <c r="B57" i="13" s="1"/>
  <c r="H42" i="13"/>
  <c r="G43" i="13"/>
  <c r="G44" i="13"/>
  <c r="G45" i="13"/>
  <c r="G46" i="13"/>
  <c r="G47" i="13"/>
  <c r="G48" i="13"/>
  <c r="G49" i="13"/>
  <c r="G50" i="13"/>
  <c r="G51" i="13"/>
  <c r="G52" i="13"/>
  <c r="G53" i="13"/>
  <c r="G54" i="13"/>
  <c r="G55" i="13"/>
  <c r="G42" i="13"/>
  <c r="B43" i="13"/>
  <c r="B44" i="13"/>
  <c r="B45" i="13"/>
  <c r="B46" i="13"/>
  <c r="B47" i="13"/>
  <c r="B48" i="13"/>
  <c r="B49" i="13"/>
  <c r="B50" i="13"/>
  <c r="B51" i="13"/>
  <c r="B52" i="13"/>
  <c r="B53" i="13"/>
  <c r="B54" i="13"/>
  <c r="B55" i="13"/>
  <c r="B42" i="13"/>
  <c r="A71" i="13"/>
  <c r="A7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42" i="13"/>
  <c r="H68" i="3"/>
  <c r="K6" i="13"/>
  <c r="G46" i="3"/>
  <c r="G47" i="3"/>
  <c r="G48" i="3"/>
  <c r="G49" i="3"/>
  <c r="G50" i="3"/>
  <c r="G51" i="3"/>
  <c r="G52" i="3"/>
  <c r="G53" i="3"/>
  <c r="G54" i="3"/>
  <c r="G55" i="3"/>
  <c r="G56" i="3"/>
  <c r="G57" i="3"/>
  <c r="G58" i="3"/>
  <c r="G59" i="3"/>
  <c r="G60" i="3"/>
  <c r="B62" i="13" l="1"/>
  <c r="B65" i="13"/>
  <c r="B68" i="13"/>
  <c r="B72" i="13"/>
  <c r="B56" i="13"/>
  <c r="B69" i="13"/>
  <c r="B60" i="13"/>
  <c r="B58" i="13"/>
  <c r="B61" i="13"/>
  <c r="B63" i="13"/>
  <c r="B71" i="13"/>
  <c r="B64" i="13"/>
  <c r="B66" i="13"/>
  <c r="B67" i="13"/>
  <c r="B70" i="13"/>
  <c r="B59" i="13"/>
  <c r="H60" i="3"/>
  <c r="I60" i="3" s="1"/>
  <c r="B58" i="3"/>
  <c r="H58" i="3" s="1"/>
  <c r="I58" i="3" s="1"/>
  <c r="B59" i="3"/>
  <c r="H59" i="3" s="1"/>
  <c r="I59" i="3" s="1"/>
  <c r="A74" i="3"/>
  <c r="A75" i="3"/>
  <c r="A68" i="3"/>
  <c r="A69" i="3"/>
  <c r="A70" i="3"/>
  <c r="A71" i="3"/>
  <c r="A72" i="3"/>
  <c r="A73" i="3"/>
  <c r="A59" i="3"/>
  <c r="A60" i="3"/>
  <c r="A61" i="3"/>
  <c r="A62" i="3"/>
  <c r="A63" i="3"/>
  <c r="A64" i="3"/>
  <c r="A65" i="3"/>
  <c r="A66" i="3"/>
  <c r="A67" i="3"/>
  <c r="A46" i="3"/>
  <c r="A47" i="3"/>
  <c r="A48" i="3"/>
  <c r="A49" i="3"/>
  <c r="A50" i="3"/>
  <c r="A51" i="3"/>
  <c r="A52" i="3"/>
  <c r="A53" i="3"/>
  <c r="A54" i="3"/>
  <c r="A55" i="3"/>
  <c r="A56" i="3"/>
  <c r="A57" i="3"/>
  <c r="A58" i="3"/>
  <c r="A45" i="3"/>
  <c r="B46" i="3"/>
  <c r="H46" i="3" s="1"/>
  <c r="I46" i="3" s="1"/>
  <c r="B47" i="3"/>
  <c r="H47" i="3" s="1"/>
  <c r="I47" i="3" s="1"/>
  <c r="B48" i="3"/>
  <c r="H48" i="3" s="1"/>
  <c r="I48" i="3" s="1"/>
  <c r="B49" i="3"/>
  <c r="H49" i="3" s="1"/>
  <c r="I49" i="3" s="1"/>
  <c r="B50" i="3"/>
  <c r="H50" i="3" s="1"/>
  <c r="B51" i="3"/>
  <c r="H51" i="3" s="1"/>
  <c r="I51" i="3" s="1"/>
  <c r="B52" i="3"/>
  <c r="H52" i="3" s="1"/>
  <c r="I52" i="3" s="1"/>
  <c r="B53" i="3"/>
  <c r="H53" i="3" s="1"/>
  <c r="I53" i="3" s="1"/>
  <c r="B54" i="3"/>
  <c r="H54" i="3" s="1"/>
  <c r="I54" i="3" s="1"/>
  <c r="B55" i="3"/>
  <c r="H55" i="3" s="1"/>
  <c r="I55" i="3" s="1"/>
  <c r="B56" i="3"/>
  <c r="H56" i="3" s="1"/>
  <c r="I56" i="3" s="1"/>
  <c r="B57" i="3"/>
  <c r="H57" i="3" s="1"/>
  <c r="I57" i="3" s="1"/>
  <c r="I45" i="3"/>
  <c r="E16" i="22"/>
  <c r="D16" i="22"/>
  <c r="E7" i="22" l="1"/>
  <c r="E8" i="22"/>
  <c r="E9" i="22"/>
  <c r="E10" i="22"/>
  <c r="E11" i="22"/>
  <c r="E12" i="22"/>
  <c r="E13" i="22"/>
  <c r="E14" i="22"/>
  <c r="E15" i="22"/>
  <c r="E6" i="22"/>
  <c r="G64" i="3" l="1"/>
  <c r="B74" i="3"/>
  <c r="G62" i="3"/>
  <c r="G66" i="3"/>
  <c r="G67" i="3"/>
  <c r="G68" i="3"/>
  <c r="G63" i="3"/>
  <c r="B63" i="3" s="1"/>
  <c r="B72" i="3"/>
  <c r="G65" i="3"/>
  <c r="B65" i="3" s="1"/>
  <c r="B67" i="3"/>
  <c r="B75" i="3"/>
  <c r="B73" i="3"/>
  <c r="B64" i="3"/>
  <c r="B62" i="3"/>
  <c r="C16" i="22"/>
  <c r="B61" i="3" l="1"/>
  <c r="B70" i="3"/>
  <c r="B71" i="3"/>
  <c r="B68" i="3"/>
  <c r="J5" i="14"/>
  <c r="K5" i="14"/>
  <c r="G35" i="23" l="1"/>
  <c r="B35" i="21"/>
  <c r="J19" i="19" l="1"/>
  <c r="P36" i="14" l="1"/>
  <c r="U39" i="17" l="1"/>
  <c r="X39" i="17"/>
  <c r="V39" i="17"/>
  <c r="S39" i="17"/>
  <c r="Q39" i="17"/>
  <c r="P39" i="17"/>
  <c r="N39" i="17"/>
  <c r="M20" i="23" l="1"/>
  <c r="M19" i="23"/>
  <c r="N36" i="14"/>
  <c r="B35" i="20" l="1"/>
  <c r="K13" i="20"/>
  <c r="K14" i="20"/>
  <c r="J20" i="20"/>
  <c r="J6" i="20" l="1"/>
  <c r="J7" i="20"/>
  <c r="J8" i="20"/>
  <c r="J9" i="20"/>
  <c r="J10" i="20"/>
  <c r="J11" i="20"/>
  <c r="J12" i="20"/>
  <c r="J13" i="20"/>
  <c r="J14" i="20"/>
  <c r="J15" i="20"/>
  <c r="J16" i="20"/>
  <c r="J17" i="20"/>
  <c r="J18" i="20"/>
  <c r="J19" i="20"/>
  <c r="J5" i="20"/>
  <c r="J6" i="19"/>
  <c r="J7" i="19"/>
  <c r="J8" i="19"/>
  <c r="J9" i="19"/>
  <c r="J10" i="19"/>
  <c r="J11" i="19"/>
  <c r="J12" i="19"/>
  <c r="J13" i="19"/>
  <c r="J14" i="19"/>
  <c r="J15" i="19"/>
  <c r="J16" i="19"/>
  <c r="J17" i="19"/>
  <c r="J18" i="19"/>
  <c r="C21" i="17"/>
  <c r="C22" i="17"/>
  <c r="C23" i="17"/>
  <c r="C24" i="17"/>
  <c r="C25" i="17"/>
  <c r="C20" i="17"/>
  <c r="B35" i="23"/>
  <c r="J21" i="17"/>
  <c r="J22" i="17"/>
  <c r="J23" i="17" s="1"/>
  <c r="J24" i="17" s="1"/>
  <c r="J25" i="17" s="1"/>
  <c r="J26" i="17" s="1"/>
  <c r="J27" i="17" s="1"/>
  <c r="J28" i="17" s="1"/>
  <c r="J29" i="17" s="1"/>
  <c r="J30" i="17" s="1"/>
  <c r="J31" i="17" s="1"/>
  <c r="J32" i="17" s="1"/>
  <c r="J33" i="17" s="1"/>
  <c r="J34" i="17" s="1"/>
  <c r="J20" i="17"/>
  <c r="K36" i="17"/>
  <c r="K9" i="17"/>
  <c r="K10" i="17"/>
  <c r="K11" i="17"/>
  <c r="K12" i="17"/>
  <c r="K13" i="17"/>
  <c r="K14" i="17"/>
  <c r="K15" i="17"/>
  <c r="K16" i="17"/>
  <c r="K17" i="17"/>
  <c r="K18" i="17"/>
  <c r="K19" i="17"/>
  <c r="J9" i="17"/>
  <c r="J10" i="17"/>
  <c r="J11" i="17"/>
  <c r="J12" i="17"/>
  <c r="J13" i="17"/>
  <c r="J14" i="17"/>
  <c r="J15" i="17"/>
  <c r="J16" i="17"/>
  <c r="J17" i="17"/>
  <c r="J18" i="17"/>
  <c r="J19" i="17"/>
  <c r="J8" i="17"/>
  <c r="C37" i="14"/>
  <c r="D37" i="14"/>
  <c r="I38" i="14"/>
  <c r="I37" i="14"/>
  <c r="K19" i="14"/>
  <c r="K18" i="14"/>
  <c r="K17" i="14"/>
  <c r="K16" i="14"/>
  <c r="K15" i="14"/>
  <c r="K14" i="14"/>
  <c r="K13" i="14"/>
  <c r="K12" i="14"/>
  <c r="K11" i="14"/>
  <c r="K10" i="14"/>
  <c r="K9" i="14"/>
  <c r="K8" i="14"/>
  <c r="K7" i="14"/>
  <c r="K6" i="14"/>
  <c r="J6" i="14"/>
  <c r="J7" i="14"/>
  <c r="J8" i="14"/>
  <c r="J9" i="14"/>
  <c r="J10" i="14"/>
  <c r="J11" i="14"/>
  <c r="J12" i="14"/>
  <c r="J13" i="14"/>
  <c r="J14" i="14"/>
  <c r="J15" i="14"/>
  <c r="J16" i="14"/>
  <c r="J17" i="14"/>
  <c r="J18" i="14"/>
  <c r="J19" i="13"/>
  <c r="J20" i="13"/>
  <c r="J21" i="13" s="1"/>
  <c r="J22" i="13" s="1"/>
  <c r="J23" i="13" s="1"/>
  <c r="J24" i="13" s="1"/>
  <c r="J25" i="13" s="1"/>
  <c r="J26" i="13" s="1"/>
  <c r="J27" i="13" s="1"/>
  <c r="J28" i="13" s="1"/>
  <c r="J29" i="13" s="1"/>
  <c r="J30" i="13" s="1"/>
  <c r="J31" i="13" s="1"/>
  <c r="J32" i="13" s="1"/>
  <c r="J33" i="13" s="1"/>
  <c r="J34" i="13" s="1"/>
  <c r="J18" i="13"/>
  <c r="K18" i="13"/>
  <c r="K7" i="13"/>
  <c r="K8" i="13"/>
  <c r="K9" i="13"/>
  <c r="K10" i="13"/>
  <c r="K11" i="13"/>
  <c r="K12" i="13"/>
  <c r="K13" i="13"/>
  <c r="K14" i="13"/>
  <c r="K15" i="13"/>
  <c r="K16" i="13"/>
  <c r="K17" i="13"/>
  <c r="J6" i="13"/>
  <c r="J7" i="13"/>
  <c r="J8" i="13"/>
  <c r="J9" i="13"/>
  <c r="J10" i="13"/>
  <c r="J11" i="13"/>
  <c r="J12" i="13"/>
  <c r="J13" i="13"/>
  <c r="J14" i="13"/>
  <c r="J15" i="13"/>
  <c r="J16" i="13"/>
  <c r="J17" i="13"/>
  <c r="J5" i="13"/>
  <c r="K5" i="16"/>
  <c r="C36" i="15"/>
  <c r="K7" i="15"/>
  <c r="K8" i="15"/>
  <c r="K9" i="15"/>
  <c r="K10" i="15"/>
  <c r="K11" i="15"/>
  <c r="K12" i="15"/>
  <c r="K13" i="15"/>
  <c r="K14" i="15"/>
  <c r="K15" i="15"/>
  <c r="K16" i="15"/>
  <c r="K17" i="15"/>
  <c r="K18" i="15"/>
  <c r="K19" i="15"/>
  <c r="K6" i="15"/>
  <c r="J7" i="15"/>
  <c r="J8" i="15"/>
  <c r="J9" i="15"/>
  <c r="J10" i="15"/>
  <c r="J11" i="15"/>
  <c r="J12" i="15"/>
  <c r="J13" i="15"/>
  <c r="J14" i="15"/>
  <c r="J15" i="15"/>
  <c r="J16" i="15"/>
  <c r="J17" i="15"/>
  <c r="J18" i="15"/>
  <c r="J19" i="15"/>
  <c r="J20" i="15"/>
  <c r="J6" i="15"/>
  <c r="I27" i="23"/>
  <c r="I28" i="23"/>
  <c r="I29" i="23"/>
  <c r="I30" i="23"/>
  <c r="I31" i="23"/>
  <c r="I32" i="23"/>
  <c r="I33" i="23"/>
  <c r="I34" i="23"/>
  <c r="I22" i="23"/>
  <c r="I23" i="23"/>
  <c r="I24" i="23"/>
  <c r="I25" i="23"/>
  <c r="I26" i="23"/>
  <c r="C22" i="16"/>
  <c r="C23" i="16"/>
  <c r="C24" i="16"/>
  <c r="C25" i="16"/>
  <c r="J22" i="16"/>
  <c r="J23" i="16" s="1"/>
  <c r="J24" i="16" s="1"/>
  <c r="J25" i="16" s="1"/>
  <c r="J26" i="16" s="1"/>
  <c r="J27" i="16" s="1"/>
  <c r="J28" i="16" s="1"/>
  <c r="J29" i="16" s="1"/>
  <c r="J30" i="16" s="1"/>
  <c r="J31" i="16" s="1"/>
  <c r="J32" i="16" s="1"/>
  <c r="J33" i="16" s="1"/>
  <c r="J34" i="16" s="1"/>
  <c r="J20" i="16"/>
  <c r="K7" i="16"/>
  <c r="K8" i="16"/>
  <c r="K9" i="16"/>
  <c r="K10" i="16"/>
  <c r="K11" i="16"/>
  <c r="K12" i="16"/>
  <c r="K13" i="16"/>
  <c r="K14" i="16"/>
  <c r="K15" i="16"/>
  <c r="K16" i="16"/>
  <c r="K17" i="16"/>
  <c r="K18" i="16"/>
  <c r="K19" i="16"/>
  <c r="J6" i="16"/>
  <c r="J7" i="16"/>
  <c r="J8" i="16"/>
  <c r="J9" i="16"/>
  <c r="J10" i="16"/>
  <c r="J11" i="16"/>
  <c r="J12" i="16"/>
  <c r="J13" i="16"/>
  <c r="J14" i="16"/>
  <c r="J15" i="16"/>
  <c r="J16" i="16"/>
  <c r="J17" i="16"/>
  <c r="J18" i="16"/>
  <c r="J19" i="16"/>
  <c r="J5" i="16"/>
  <c r="K20" i="15" l="1"/>
  <c r="K36" i="15" s="1"/>
  <c r="E7" i="15"/>
  <c r="E6" i="15"/>
  <c r="E8" i="15"/>
  <c r="D22" i="15"/>
  <c r="D26" i="15"/>
  <c r="D25" i="15"/>
  <c r="D24" i="15"/>
  <c r="D23" i="15"/>
  <c r="E19" i="15"/>
  <c r="E18" i="15"/>
  <c r="E17" i="15"/>
  <c r="E16" i="15"/>
  <c r="E15" i="15"/>
  <c r="E14" i="15"/>
  <c r="E13" i="15"/>
  <c r="E12" i="15"/>
  <c r="E11" i="15"/>
  <c r="E10" i="15"/>
  <c r="E9" i="15"/>
  <c r="E20" i="15"/>
  <c r="E36" i="15" s="1"/>
  <c r="H20" i="15"/>
  <c r="C20" i="15"/>
  <c r="D27" i="15" l="1"/>
  <c r="C28" i="15"/>
  <c r="C29" i="15" s="1"/>
  <c r="C30" i="15" s="1"/>
  <c r="C31" i="15" s="1"/>
  <c r="C32" i="15" s="1"/>
  <c r="C33" i="15" s="1"/>
  <c r="C34" i="15" s="1"/>
  <c r="C27" i="15"/>
  <c r="D34" i="15"/>
  <c r="D35" i="15" l="1"/>
  <c r="D32" i="15"/>
  <c r="D31" i="15"/>
  <c r="D30" i="15"/>
  <c r="D29" i="15"/>
  <c r="D28" i="15"/>
  <c r="D33" i="15"/>
  <c r="H20" i="14" l="1"/>
  <c r="H28" i="14"/>
  <c r="H29" i="14" s="1"/>
  <c r="H30" i="14" s="1"/>
  <c r="H31" i="14" s="1"/>
  <c r="H32" i="14" s="1"/>
  <c r="H33" i="14" s="1"/>
  <c r="H34" i="14" s="1"/>
  <c r="H27" i="14"/>
  <c r="H22" i="14"/>
  <c r="H23" i="14" s="1"/>
  <c r="H24" i="14" s="1"/>
  <c r="H25" i="14" s="1"/>
  <c r="H35" i="14"/>
  <c r="D36" i="13"/>
  <c r="C28" i="14" l="1"/>
  <c r="C29" i="14" s="1"/>
  <c r="C30" i="14" s="1"/>
  <c r="C31" i="14" s="1"/>
  <c r="C32" i="14" s="1"/>
  <c r="C33" i="14" s="1"/>
  <c r="C34" i="14" s="1"/>
  <c r="C27" i="14"/>
  <c r="D23" i="14"/>
  <c r="D23" i="23" s="1"/>
  <c r="C23" i="23" s="1"/>
  <c r="D24" i="14"/>
  <c r="D24" i="23" s="1"/>
  <c r="C24" i="23" s="1"/>
  <c r="D25" i="14"/>
  <c r="D25" i="23" s="1"/>
  <c r="C25" i="23" s="1"/>
  <c r="D22" i="23"/>
  <c r="C22" i="23" s="1"/>
  <c r="C23" i="14"/>
  <c r="C24" i="14"/>
  <c r="C25" i="14" s="1"/>
  <c r="C22" i="14"/>
  <c r="D26" i="14"/>
  <c r="D26" i="23" s="1"/>
  <c r="C26" i="23" s="1"/>
  <c r="D35" i="14"/>
  <c r="C20" i="14"/>
  <c r="U21" i="13"/>
  <c r="W21" i="13"/>
  <c r="T21" i="13"/>
  <c r="R21" i="13"/>
  <c r="P21" i="13"/>
  <c r="O21" i="23"/>
  <c r="U22" i="13" l="1"/>
  <c r="W22" i="13"/>
  <c r="W21" i="23"/>
  <c r="T22" i="13"/>
  <c r="T21" i="23"/>
  <c r="R22" i="13"/>
  <c r="R21" i="23"/>
  <c r="P22" i="13"/>
  <c r="P21" i="23"/>
  <c r="O22" i="13"/>
  <c r="M21" i="23"/>
  <c r="D34" i="14"/>
  <c r="D34" i="23" s="1"/>
  <c r="C34" i="23" s="1"/>
  <c r="D33" i="14"/>
  <c r="D33" i="23" s="1"/>
  <c r="C33" i="23" s="1"/>
  <c r="D32" i="14"/>
  <c r="D32" i="23" s="1"/>
  <c r="C32" i="23" s="1"/>
  <c r="D31" i="14"/>
  <c r="D31" i="23" s="1"/>
  <c r="C31" i="23" s="1"/>
  <c r="D30" i="14"/>
  <c r="D30" i="23" s="1"/>
  <c r="C30" i="23" s="1"/>
  <c r="D29" i="14"/>
  <c r="D29" i="23" s="1"/>
  <c r="C29" i="23" s="1"/>
  <c r="D28" i="14"/>
  <c r="D28" i="23" s="1"/>
  <c r="C28" i="23" s="1"/>
  <c r="D27" i="14"/>
  <c r="D27" i="23" s="1"/>
  <c r="C27" i="23" s="1"/>
  <c r="U23" i="13" l="1"/>
  <c r="U22" i="23"/>
  <c r="W23" i="13"/>
  <c r="W22" i="23"/>
  <c r="T23" i="13"/>
  <c r="T22" i="23"/>
  <c r="R23" i="13"/>
  <c r="R22" i="23"/>
  <c r="P23" i="13"/>
  <c r="P22" i="23"/>
  <c r="O23" i="13"/>
  <c r="O22" i="23"/>
  <c r="M22" i="23"/>
  <c r="U24" i="13" l="1"/>
  <c r="U23" i="23"/>
  <c r="W24" i="13"/>
  <c r="W23" i="23"/>
  <c r="T24" i="13"/>
  <c r="T23" i="23"/>
  <c r="R24" i="13"/>
  <c r="R23" i="23"/>
  <c r="P24" i="13"/>
  <c r="P23" i="23"/>
  <c r="O24" i="13"/>
  <c r="O23" i="23"/>
  <c r="M23" i="23"/>
  <c r="U25" i="13" l="1"/>
  <c r="U24" i="23"/>
  <c r="W25" i="13"/>
  <c r="W24" i="23"/>
  <c r="T25" i="13"/>
  <c r="T24" i="23"/>
  <c r="R25" i="13"/>
  <c r="R24" i="23"/>
  <c r="P25" i="13"/>
  <c r="P24" i="23"/>
  <c r="O25" i="13"/>
  <c r="O24" i="23"/>
  <c r="M24" i="23"/>
  <c r="U26" i="13" l="1"/>
  <c r="U25" i="23"/>
  <c r="W26" i="13"/>
  <c r="W25" i="23"/>
  <c r="T26" i="13"/>
  <c r="T25" i="23"/>
  <c r="R26" i="13"/>
  <c r="R25" i="23"/>
  <c r="P26" i="13"/>
  <c r="P25" i="23"/>
  <c r="O26" i="13"/>
  <c r="O25" i="23"/>
  <c r="M25" i="23"/>
  <c r="U27" i="13" l="1"/>
  <c r="U26" i="23"/>
  <c r="W27" i="13"/>
  <c r="W26" i="23"/>
  <c r="T27" i="13"/>
  <c r="T26" i="23"/>
  <c r="R27" i="13"/>
  <c r="R26" i="23"/>
  <c r="P27" i="13"/>
  <c r="P26" i="23"/>
  <c r="O27" i="13"/>
  <c r="O26" i="23"/>
  <c r="M26" i="23"/>
  <c r="U28" i="13" l="1"/>
  <c r="W28" i="13"/>
  <c r="T28" i="13"/>
  <c r="R28" i="13"/>
  <c r="P28" i="13"/>
  <c r="O28" i="13"/>
  <c r="O27" i="23"/>
  <c r="M27" i="23"/>
  <c r="I35" i="13"/>
  <c r="I35" i="23" s="1"/>
  <c r="I36" i="13"/>
  <c r="H35" i="13"/>
  <c r="C18" i="13"/>
  <c r="D35" i="13"/>
  <c r="D35" i="23" s="1"/>
  <c r="C35" i="23" s="1"/>
  <c r="U29" i="13" l="1"/>
  <c r="W29" i="13"/>
  <c r="T29" i="13"/>
  <c r="R29" i="13"/>
  <c r="R28" i="23"/>
  <c r="P29" i="13"/>
  <c r="P28" i="23"/>
  <c r="O29" i="13"/>
  <c r="O28" i="23"/>
  <c r="M28" i="23"/>
  <c r="I37" i="3"/>
  <c r="U30" i="13" l="1"/>
  <c r="W30" i="13"/>
  <c r="T30" i="13"/>
  <c r="R30" i="13"/>
  <c r="R29" i="23"/>
  <c r="P30" i="13"/>
  <c r="P29" i="23"/>
  <c r="O30" i="13"/>
  <c r="O29" i="23"/>
  <c r="M29" i="23"/>
  <c r="A39" i="3"/>
  <c r="A40" i="3" s="1"/>
  <c r="H20" i="3"/>
  <c r="C20" i="3"/>
  <c r="C19" i="3"/>
  <c r="U31" i="13" l="1"/>
  <c r="W31" i="13"/>
  <c r="T31" i="13"/>
  <c r="R31" i="13"/>
  <c r="R30" i="23"/>
  <c r="P31" i="13"/>
  <c r="P30" i="23"/>
  <c r="O31" i="13"/>
  <c r="O30" i="23"/>
  <c r="M30" i="23"/>
  <c r="H21" i="3"/>
  <c r="H22" i="3" s="1"/>
  <c r="H23" i="3" s="1"/>
  <c r="H24" i="3" s="1"/>
  <c r="H25" i="3" s="1"/>
  <c r="H26" i="3" s="1"/>
  <c r="H27" i="3" s="1"/>
  <c r="H28" i="3" s="1"/>
  <c r="H29" i="3" s="1"/>
  <c r="H30" i="3" s="1"/>
  <c r="H31" i="3" s="1"/>
  <c r="H32" i="3" s="1"/>
  <c r="H33" i="3" s="1"/>
  <c r="H34" i="3" s="1"/>
  <c r="I36" i="3"/>
  <c r="C22" i="3"/>
  <c r="C23" i="3" s="1"/>
  <c r="C24" i="3" s="1"/>
  <c r="C25" i="3" s="1"/>
  <c r="C26" i="3" s="1"/>
  <c r="C27" i="3" s="1"/>
  <c r="C28" i="3" s="1"/>
  <c r="C29" i="3" s="1"/>
  <c r="C30" i="3" s="1"/>
  <c r="C31" i="3" s="1"/>
  <c r="C32" i="3" s="1"/>
  <c r="C33" i="3" s="1"/>
  <c r="C34" i="3" s="1"/>
  <c r="H19" i="21"/>
  <c r="H18" i="21"/>
  <c r="H17" i="21"/>
  <c r="H16" i="21"/>
  <c r="H15" i="21"/>
  <c r="H14" i="21"/>
  <c r="H13" i="21"/>
  <c r="H12" i="21"/>
  <c r="H11" i="21"/>
  <c r="H10" i="21"/>
  <c r="H9" i="21"/>
  <c r="H8" i="21"/>
  <c r="H7" i="21"/>
  <c r="H6" i="21"/>
  <c r="H5" i="21"/>
  <c r="C19" i="21"/>
  <c r="C18" i="21"/>
  <c r="C17" i="21"/>
  <c r="C16" i="21"/>
  <c r="C15" i="21"/>
  <c r="C14" i="21"/>
  <c r="C13" i="21"/>
  <c r="C12" i="21"/>
  <c r="C11" i="21"/>
  <c r="C10" i="21"/>
  <c r="C9" i="21"/>
  <c r="C8" i="21"/>
  <c r="C7" i="21"/>
  <c r="C6" i="21"/>
  <c r="C5" i="21"/>
  <c r="C19" i="20"/>
  <c r="C18" i="20"/>
  <c r="C17" i="20"/>
  <c r="C16" i="20"/>
  <c r="C15" i="20"/>
  <c r="C14" i="20"/>
  <c r="C13" i="20"/>
  <c r="C12" i="20"/>
  <c r="C11" i="20"/>
  <c r="C10" i="20"/>
  <c r="C9" i="20"/>
  <c r="C8" i="20"/>
  <c r="C7" i="20"/>
  <c r="C6" i="20"/>
  <c r="C5" i="20"/>
  <c r="H19" i="20"/>
  <c r="H18" i="20"/>
  <c r="H17" i="20"/>
  <c r="H16" i="20"/>
  <c r="H15" i="20"/>
  <c r="H14" i="20"/>
  <c r="H13" i="20"/>
  <c r="H12" i="20"/>
  <c r="H11" i="20"/>
  <c r="H10" i="20"/>
  <c r="H9" i="20"/>
  <c r="H8" i="20"/>
  <c r="H7" i="20"/>
  <c r="H6" i="20"/>
  <c r="H5" i="20"/>
  <c r="C19" i="19"/>
  <c r="C18" i="19"/>
  <c r="C17" i="19"/>
  <c r="C16" i="19"/>
  <c r="C15" i="19"/>
  <c r="C14" i="19"/>
  <c r="C13" i="19"/>
  <c r="C12" i="19"/>
  <c r="C11" i="19"/>
  <c r="C10" i="19"/>
  <c r="C9" i="19"/>
  <c r="C8" i="19"/>
  <c r="C7" i="19"/>
  <c r="C6" i="19"/>
  <c r="C5" i="19"/>
  <c r="H19" i="19"/>
  <c r="H18" i="19"/>
  <c r="H17" i="19"/>
  <c r="H16" i="19"/>
  <c r="H15" i="19"/>
  <c r="H14" i="19"/>
  <c r="H13" i="19"/>
  <c r="H12" i="19"/>
  <c r="H11" i="19"/>
  <c r="H10" i="19"/>
  <c r="H9" i="19"/>
  <c r="H8" i="19"/>
  <c r="H7" i="19"/>
  <c r="H6" i="19"/>
  <c r="H5" i="19"/>
  <c r="H19" i="17"/>
  <c r="H18" i="17"/>
  <c r="H17" i="17"/>
  <c r="H16" i="17"/>
  <c r="H15" i="17"/>
  <c r="H14" i="17"/>
  <c r="H13" i="17"/>
  <c r="H12" i="17"/>
  <c r="H11" i="17"/>
  <c r="H10" i="17"/>
  <c r="H9" i="17"/>
  <c r="H8" i="17"/>
  <c r="H7" i="17"/>
  <c r="H6" i="17"/>
  <c r="H5" i="17"/>
  <c r="C19" i="17"/>
  <c r="C18" i="17"/>
  <c r="C17" i="17"/>
  <c r="C16" i="17"/>
  <c r="C15" i="17"/>
  <c r="C14" i="17"/>
  <c r="C13" i="17"/>
  <c r="C12" i="17"/>
  <c r="C11" i="17"/>
  <c r="C10" i="17"/>
  <c r="C9" i="17"/>
  <c r="C8" i="17"/>
  <c r="C7" i="17"/>
  <c r="C6" i="17"/>
  <c r="C5" i="17"/>
  <c r="H19" i="16"/>
  <c r="H18" i="16"/>
  <c r="H17" i="16"/>
  <c r="H16" i="16"/>
  <c r="H15" i="16"/>
  <c r="H14" i="16"/>
  <c r="H13" i="16"/>
  <c r="H12" i="16"/>
  <c r="H11" i="16"/>
  <c r="H10" i="16"/>
  <c r="H9" i="16"/>
  <c r="H8" i="16"/>
  <c r="H7" i="16"/>
  <c r="H6" i="16"/>
  <c r="H5" i="16"/>
  <c r="C19" i="16"/>
  <c r="C18" i="16"/>
  <c r="C17" i="16"/>
  <c r="C16" i="16"/>
  <c r="C15" i="16"/>
  <c r="C14" i="16"/>
  <c r="C13" i="16"/>
  <c r="C12" i="16"/>
  <c r="C11" i="16"/>
  <c r="C10" i="16"/>
  <c r="C9" i="16"/>
  <c r="C8" i="16"/>
  <c r="C7" i="16"/>
  <c r="C6" i="16"/>
  <c r="C5" i="16"/>
  <c r="H19" i="15"/>
  <c r="H18" i="15"/>
  <c r="H17" i="15"/>
  <c r="H16" i="15"/>
  <c r="H15" i="15"/>
  <c r="H14" i="15"/>
  <c r="H13" i="15"/>
  <c r="H12" i="15"/>
  <c r="H11" i="15"/>
  <c r="H10" i="15"/>
  <c r="H9" i="15"/>
  <c r="H8" i="15"/>
  <c r="H7" i="15"/>
  <c r="H6" i="15"/>
  <c r="H5" i="15"/>
  <c r="C19" i="15"/>
  <c r="C18" i="15"/>
  <c r="C17" i="15"/>
  <c r="C16" i="15"/>
  <c r="C15" i="15"/>
  <c r="C14" i="15"/>
  <c r="C13" i="15"/>
  <c r="C12" i="15"/>
  <c r="C11" i="15"/>
  <c r="C10" i="15"/>
  <c r="C9" i="15"/>
  <c r="C8" i="15"/>
  <c r="C7" i="15"/>
  <c r="C6" i="15"/>
  <c r="C5" i="15"/>
  <c r="H5" i="14"/>
  <c r="H19" i="14"/>
  <c r="H18" i="14"/>
  <c r="H17" i="14"/>
  <c r="H16" i="14"/>
  <c r="H15" i="14"/>
  <c r="H14" i="14"/>
  <c r="H13" i="14"/>
  <c r="H12" i="14"/>
  <c r="H11" i="14"/>
  <c r="H10" i="14"/>
  <c r="H9" i="14"/>
  <c r="H8" i="14"/>
  <c r="H7" i="14"/>
  <c r="H6" i="14"/>
  <c r="C6" i="14"/>
  <c r="C7" i="14"/>
  <c r="C8" i="14"/>
  <c r="C9" i="14"/>
  <c r="C10" i="14"/>
  <c r="C11" i="14"/>
  <c r="C12" i="14"/>
  <c r="C13" i="14"/>
  <c r="C14" i="14"/>
  <c r="C15" i="14"/>
  <c r="C16" i="14"/>
  <c r="C17" i="14"/>
  <c r="C18" i="14"/>
  <c r="C19" i="14"/>
  <c r="C5" i="14"/>
  <c r="H6" i="13"/>
  <c r="H7" i="13"/>
  <c r="H8" i="13"/>
  <c r="H9" i="13"/>
  <c r="H10" i="13"/>
  <c r="H11" i="13"/>
  <c r="H12" i="13"/>
  <c r="H13" i="13"/>
  <c r="H14" i="13"/>
  <c r="H15" i="13"/>
  <c r="H16" i="13"/>
  <c r="H17" i="13"/>
  <c r="H18" i="13"/>
  <c r="H19" i="13"/>
  <c r="H5" i="13"/>
  <c r="C6" i="13"/>
  <c r="C7" i="13"/>
  <c r="C8" i="13"/>
  <c r="C9" i="13"/>
  <c r="C10" i="13"/>
  <c r="C11" i="13"/>
  <c r="C12" i="13"/>
  <c r="C13" i="13"/>
  <c r="C14" i="13"/>
  <c r="C15" i="13"/>
  <c r="C16" i="13"/>
  <c r="C17" i="13"/>
  <c r="C19" i="13"/>
  <c r="C5" i="13"/>
  <c r="H6" i="3"/>
  <c r="H7" i="3"/>
  <c r="H8" i="3"/>
  <c r="H9" i="3"/>
  <c r="H10" i="3"/>
  <c r="H11" i="3"/>
  <c r="H12" i="3"/>
  <c r="H13" i="3"/>
  <c r="H14" i="3"/>
  <c r="H15" i="3"/>
  <c r="H16" i="3"/>
  <c r="H17" i="3"/>
  <c r="H18" i="3"/>
  <c r="H19" i="3"/>
  <c r="H5" i="3"/>
  <c r="C15" i="3"/>
  <c r="C17" i="3"/>
  <c r="C18" i="3"/>
  <c r="U32" i="13" l="1"/>
  <c r="W32" i="13"/>
  <c r="T32" i="13"/>
  <c r="R32" i="13"/>
  <c r="R31" i="23"/>
  <c r="P32" i="13"/>
  <c r="P31" i="23"/>
  <c r="O32" i="13"/>
  <c r="O31" i="23"/>
  <c r="M31" i="23"/>
  <c r="D37" i="13"/>
  <c r="C20" i="13"/>
  <c r="H20" i="13"/>
  <c r="I37" i="13"/>
  <c r="C9" i="3"/>
  <c r="C10" i="3"/>
  <c r="C11" i="3"/>
  <c r="C12" i="3"/>
  <c r="C14" i="3"/>
  <c r="C6" i="3"/>
  <c r="C7" i="3"/>
  <c r="C8" i="3"/>
  <c r="C5" i="3"/>
  <c r="C2" i="3"/>
  <c r="U33" i="13" l="1"/>
  <c r="U32" i="23"/>
  <c r="W33" i="13"/>
  <c r="T33" i="13"/>
  <c r="T32" i="23"/>
  <c r="R33" i="13"/>
  <c r="R32" i="23"/>
  <c r="P33" i="13"/>
  <c r="P32" i="23"/>
  <c r="O33" i="13"/>
  <c r="O32" i="23"/>
  <c r="M32" i="23"/>
  <c r="D20" i="23"/>
  <c r="C20" i="23" s="1"/>
  <c r="C21" i="13"/>
  <c r="H21" i="13"/>
  <c r="I20" i="23"/>
  <c r="H20" i="23" s="1"/>
  <c r="C13" i="3"/>
  <c r="U34" i="13" l="1"/>
  <c r="U33" i="23"/>
  <c r="W34" i="13"/>
  <c r="T34" i="13"/>
  <c r="T33" i="23"/>
  <c r="R34" i="13"/>
  <c r="R33" i="23"/>
  <c r="P34" i="13"/>
  <c r="P33" i="23"/>
  <c r="O34" i="13"/>
  <c r="O33" i="23"/>
  <c r="F20" i="23"/>
  <c r="M33" i="23"/>
  <c r="C22" i="13"/>
  <c r="H22" i="13"/>
  <c r="U35" i="13" l="1"/>
  <c r="U35" i="23" s="1"/>
  <c r="U34" i="23"/>
  <c r="W35" i="13"/>
  <c r="T35" i="13"/>
  <c r="T35" i="23" s="1"/>
  <c r="T34" i="23"/>
  <c r="R35" i="13"/>
  <c r="R35" i="23" s="1"/>
  <c r="R34" i="23"/>
  <c r="P35" i="13"/>
  <c r="P35" i="23" s="1"/>
  <c r="P34" i="23"/>
  <c r="O35" i="13"/>
  <c r="O35" i="23" s="1"/>
  <c r="O34" i="23"/>
  <c r="M35" i="23"/>
  <c r="M34" i="23"/>
  <c r="C23" i="13"/>
  <c r="H23" i="13"/>
  <c r="C24" i="13" l="1"/>
  <c r="H24" i="13"/>
  <c r="C25" i="13" l="1"/>
  <c r="H25" i="13"/>
  <c r="C26" i="13" l="1"/>
  <c r="H26" i="13"/>
  <c r="C27" i="13" l="1"/>
  <c r="H27" i="13"/>
  <c r="C28" i="13" l="1"/>
  <c r="H28" i="13"/>
  <c r="C29" i="13" l="1"/>
  <c r="H29" i="13"/>
  <c r="C30" i="13" l="1"/>
  <c r="H30" i="13"/>
  <c r="C31" i="13" l="1"/>
  <c r="H31" i="13"/>
  <c r="C32" i="13" l="1"/>
  <c r="H32" i="13"/>
  <c r="C33" i="13" l="1"/>
  <c r="H33" i="13"/>
  <c r="C34" i="13" l="1"/>
  <c r="H34" i="13"/>
</calcChain>
</file>

<file path=xl/comments1.xml><?xml version="1.0" encoding="utf-8"?>
<comments xmlns="http://schemas.openxmlformats.org/spreadsheetml/2006/main">
  <authors>
    <author>Iwied</author>
  </authors>
  <commentList>
    <comment ref="B20" authorId="0" shapeId="0">
      <text>
        <r>
          <rPr>
            <b/>
            <sz val="9"/>
            <color indexed="81"/>
            <rFont val="Tahoma"/>
            <family val="2"/>
          </rPr>
          <t>Iwied:</t>
        </r>
        <r>
          <rPr>
            <sz val="9"/>
            <color indexed="81"/>
            <rFont val="Tahoma"/>
            <family val="2"/>
          </rPr>
          <t xml:space="preserve">
Data pada KDA 2016</t>
        </r>
      </text>
    </comment>
    <comment ref="G20" authorId="0" shapeId="0">
      <text>
        <r>
          <rPr>
            <b/>
            <sz val="9"/>
            <color indexed="81"/>
            <rFont val="Tahoma"/>
            <family val="2"/>
          </rPr>
          <t>Iwied:</t>
        </r>
        <r>
          <rPr>
            <sz val="9"/>
            <color indexed="81"/>
            <rFont val="Tahoma"/>
            <family val="2"/>
          </rPr>
          <t xml:space="preserve">
Data pada KDA 2016</t>
        </r>
      </text>
    </comment>
    <comment ref="B21" authorId="0" shapeId="0">
      <text>
        <r>
          <rPr>
            <b/>
            <sz val="9"/>
            <color indexed="81"/>
            <rFont val="Tahoma"/>
            <family val="2"/>
          </rPr>
          <t>Iwied:</t>
        </r>
        <r>
          <rPr>
            <sz val="9"/>
            <color indexed="81"/>
            <rFont val="Tahoma"/>
            <family val="2"/>
          </rPr>
          <t xml:space="preserve">
Data dari form Kab/Kota</t>
        </r>
      </text>
    </comment>
    <comment ref="M21" authorId="0" shapeId="0">
      <text>
        <r>
          <rPr>
            <b/>
            <sz val="9"/>
            <color indexed="81"/>
            <rFont val="Tahoma"/>
            <family val="2"/>
          </rPr>
          <t>Iwied:</t>
        </r>
        <r>
          <rPr>
            <sz val="9"/>
            <color indexed="81"/>
            <rFont val="Tahoma"/>
            <family val="2"/>
          </rPr>
          <t xml:space="preserve">
Data Tabel Dinas Peternakan, Jul 17</t>
        </r>
      </text>
    </comment>
    <comment ref="B22" authorId="0" shapeId="0">
      <text>
        <r>
          <rPr>
            <b/>
            <sz val="9"/>
            <color indexed="81"/>
            <rFont val="Tahoma"/>
            <family val="2"/>
          </rPr>
          <t>Iwied:</t>
        </r>
        <r>
          <rPr>
            <sz val="9"/>
            <color indexed="81"/>
            <rFont val="Tahoma"/>
            <family val="2"/>
          </rPr>
          <t xml:space="preserve">
Data dari form Kab/Kota</t>
        </r>
      </text>
    </comment>
    <comment ref="B23" authorId="0" shapeId="0">
      <text>
        <r>
          <rPr>
            <b/>
            <sz val="9"/>
            <color indexed="81"/>
            <rFont val="Tahoma"/>
            <family val="2"/>
          </rPr>
          <t>Iwied:</t>
        </r>
        <r>
          <rPr>
            <sz val="9"/>
            <color indexed="81"/>
            <rFont val="Tahoma"/>
            <family val="2"/>
          </rPr>
          <t xml:space="preserve">
Data dari form Kab/Kota</t>
        </r>
      </text>
    </comment>
    <comment ref="B24" authorId="0" shapeId="0">
      <text>
        <r>
          <rPr>
            <b/>
            <sz val="9"/>
            <color indexed="81"/>
            <rFont val="Tahoma"/>
            <family val="2"/>
          </rPr>
          <t>Iwied:</t>
        </r>
        <r>
          <rPr>
            <sz val="9"/>
            <color indexed="81"/>
            <rFont val="Tahoma"/>
            <family val="2"/>
          </rPr>
          <t xml:space="preserve">
Data dari form Kab/Kota</t>
        </r>
      </text>
    </comment>
    <comment ref="B25" authorId="0" shapeId="0">
      <text>
        <r>
          <rPr>
            <b/>
            <sz val="9"/>
            <color indexed="81"/>
            <rFont val="Tahoma"/>
            <family val="2"/>
          </rPr>
          <t>Iwied:</t>
        </r>
        <r>
          <rPr>
            <sz val="9"/>
            <color indexed="81"/>
            <rFont val="Tahoma"/>
            <family val="2"/>
          </rPr>
          <t xml:space="preserve">
Data dari form Kab/Kota</t>
        </r>
      </text>
    </comment>
    <comment ref="B26" authorId="0" shapeId="0">
      <text>
        <r>
          <rPr>
            <b/>
            <sz val="9"/>
            <color indexed="81"/>
            <rFont val="Tahoma"/>
            <family val="2"/>
          </rPr>
          <t>Iwied:</t>
        </r>
        <r>
          <rPr>
            <sz val="9"/>
            <color indexed="81"/>
            <rFont val="Tahoma"/>
            <family val="2"/>
          </rPr>
          <t xml:space="preserve">
Data dari form Kab/Kota</t>
        </r>
      </text>
    </comment>
    <comment ref="B27" authorId="0" shapeId="0">
      <text>
        <r>
          <rPr>
            <b/>
            <sz val="9"/>
            <color indexed="81"/>
            <rFont val="Tahoma"/>
            <family val="2"/>
          </rPr>
          <t>Iwied:</t>
        </r>
        <r>
          <rPr>
            <sz val="9"/>
            <color indexed="81"/>
            <rFont val="Tahoma"/>
            <family val="2"/>
          </rPr>
          <t xml:space="preserve">
Proyeksi dengan POLYNOMIAL hingga Tahun 2030</t>
        </r>
      </text>
    </comment>
    <comment ref="G27" authorId="0" shapeId="0">
      <text>
        <r>
          <rPr>
            <b/>
            <sz val="9"/>
            <color indexed="81"/>
            <rFont val="Tahoma"/>
            <family val="2"/>
          </rPr>
          <t>Iwied:</t>
        </r>
        <r>
          <rPr>
            <sz val="9"/>
            <color indexed="81"/>
            <rFont val="Tahoma"/>
            <family val="2"/>
          </rPr>
          <t xml:space="preserve">
Proyeksi dengan POLYNOMIAL hingga Tahun 2030</t>
        </r>
      </text>
    </comment>
    <comment ref="Y27" authorId="0" shapeId="0">
      <text>
        <r>
          <rPr>
            <b/>
            <sz val="9"/>
            <color indexed="81"/>
            <rFont val="Tahoma"/>
            <family val="2"/>
          </rPr>
          <t>Iwied:</t>
        </r>
        <r>
          <rPr>
            <sz val="9"/>
            <color indexed="81"/>
            <rFont val="Tahoma"/>
            <family val="2"/>
          </rPr>
          <t xml:space="preserve">
Proyeksi LINIER hingga tahun 2030</t>
        </r>
      </text>
    </comment>
    <comment ref="Z27" authorId="0" shapeId="0">
      <text>
        <r>
          <rPr>
            <b/>
            <sz val="9"/>
            <color indexed="81"/>
            <rFont val="Tahoma"/>
            <family val="2"/>
          </rPr>
          <t>Iwied:</t>
        </r>
        <r>
          <rPr>
            <sz val="9"/>
            <color indexed="81"/>
            <rFont val="Tahoma"/>
            <family val="2"/>
          </rPr>
          <t xml:space="preserve">
Proyeksi dengan POLYNOMIAL hingga Tahun 2030</t>
        </r>
      </text>
    </comment>
    <comment ref="AA27" authorId="0" shapeId="0">
      <text>
        <r>
          <rPr>
            <b/>
            <sz val="9"/>
            <color indexed="81"/>
            <rFont val="Tahoma"/>
            <family val="2"/>
          </rPr>
          <t>Iwied:</t>
        </r>
        <r>
          <rPr>
            <sz val="9"/>
            <color indexed="81"/>
            <rFont val="Tahoma"/>
            <family val="2"/>
          </rPr>
          <t xml:space="preserve">
Proyeksi LINIER hingga tahun 2030</t>
        </r>
      </text>
    </comment>
    <comment ref="AB27" authorId="0" shapeId="0">
      <text>
        <r>
          <rPr>
            <b/>
            <sz val="9"/>
            <color indexed="81"/>
            <rFont val="Tahoma"/>
            <family val="2"/>
          </rPr>
          <t>Iwied:</t>
        </r>
        <r>
          <rPr>
            <sz val="9"/>
            <color indexed="81"/>
            <rFont val="Tahoma"/>
            <family val="2"/>
          </rPr>
          <t xml:space="preserve">
Proyeksi dengan POLYNOMIAL hingga Tahun 2030</t>
        </r>
      </text>
    </comment>
    <comment ref="AC27" authorId="0" shapeId="0">
      <text>
        <r>
          <rPr>
            <b/>
            <sz val="9"/>
            <color indexed="81"/>
            <rFont val="Tahoma"/>
            <family val="2"/>
          </rPr>
          <t>Iwied:</t>
        </r>
        <r>
          <rPr>
            <sz val="9"/>
            <color indexed="81"/>
            <rFont val="Tahoma"/>
            <family val="2"/>
          </rPr>
          <t xml:space="preserve">
Proyeksi LINIER hingga tahun 2030</t>
        </r>
      </text>
    </comment>
    <comment ref="AD27" authorId="0" shapeId="0">
      <text>
        <r>
          <rPr>
            <b/>
            <sz val="9"/>
            <color indexed="81"/>
            <rFont val="Tahoma"/>
            <family val="2"/>
          </rPr>
          <t>Iwied:</t>
        </r>
        <r>
          <rPr>
            <sz val="9"/>
            <color indexed="81"/>
            <rFont val="Tahoma"/>
            <family val="2"/>
          </rPr>
          <t xml:space="preserve">
Proyeksi dengan POLYNOMIAL hingga Tahun 2030</t>
        </r>
      </text>
    </comment>
    <comment ref="C35" authorId="0" shapeId="0">
      <text>
        <r>
          <rPr>
            <b/>
            <sz val="9"/>
            <color indexed="81"/>
            <rFont val="Tahoma"/>
            <family val="2"/>
          </rPr>
          <t>Iwied:</t>
        </r>
        <r>
          <rPr>
            <sz val="9"/>
            <color indexed="81"/>
            <rFont val="Tahoma"/>
            <family val="2"/>
          </rPr>
          <t xml:space="preserve">
disesuaikan dengan produktifitas rata-rata nasional pada sawah irigasi dengan dua kali musim tanam (kw/ha/tahun)</t>
        </r>
      </text>
    </comment>
    <comment ref="H35" authorId="0" shapeId="0">
      <text>
        <r>
          <rPr>
            <b/>
            <sz val="9"/>
            <color indexed="81"/>
            <rFont val="Tahoma"/>
            <family val="2"/>
          </rPr>
          <t>Iwied:</t>
        </r>
        <r>
          <rPr>
            <sz val="9"/>
            <color indexed="81"/>
            <rFont val="Tahoma"/>
            <family val="2"/>
          </rPr>
          <t xml:space="preserve">
produktifitas rata-rata nasional dengan satu kali musim tanam (kw/ha/tahun)</t>
        </r>
      </text>
    </comment>
    <comment ref="B37" authorId="0" shapeId="0">
      <text>
        <r>
          <rPr>
            <b/>
            <sz val="9"/>
            <color indexed="81"/>
            <rFont val="Tahoma"/>
            <family val="2"/>
          </rPr>
          <t>Iwied:</t>
        </r>
        <r>
          <rPr>
            <sz val="9"/>
            <color indexed="81"/>
            <rFont val="Tahoma"/>
            <family val="2"/>
          </rPr>
          <t xml:space="preserve">
cross cek luas tanam sawah x indeks tanam sawah + luas tanam ladang</t>
        </r>
      </text>
    </comment>
    <comment ref="H61" authorId="0" shapeId="0">
      <text>
        <r>
          <rPr>
            <b/>
            <sz val="9"/>
            <color indexed="81"/>
            <rFont val="Tahoma"/>
            <family val="2"/>
          </rPr>
          <t>Iwied:</t>
        </r>
        <r>
          <rPr>
            <sz val="9"/>
            <color indexed="81"/>
            <rFont val="Tahoma"/>
            <family val="2"/>
          </rPr>
          <t xml:space="preserve">
Tabel 104 RPJMD Paser</t>
        </r>
      </text>
    </comment>
    <comment ref="I61" authorId="0" shapeId="0">
      <text>
        <r>
          <rPr>
            <b/>
            <sz val="9"/>
            <color indexed="81"/>
            <rFont val="Tahoma"/>
            <family val="2"/>
          </rPr>
          <t>Iwied:</t>
        </r>
        <r>
          <rPr>
            <sz val="9"/>
            <color indexed="81"/>
            <rFont val="Tahoma"/>
            <family val="2"/>
          </rPr>
          <t xml:space="preserve">
Rata-rata luas tanam ladang dibandingkan dengan total luas tanam sawah dan ladang</t>
        </r>
      </text>
    </comment>
    <comment ref="H62" authorId="0" shapeId="0">
      <text>
        <r>
          <rPr>
            <b/>
            <sz val="9"/>
            <color indexed="81"/>
            <rFont val="Tahoma"/>
            <family val="2"/>
          </rPr>
          <t>Iwied:</t>
        </r>
        <r>
          <rPr>
            <sz val="9"/>
            <color indexed="81"/>
            <rFont val="Tahoma"/>
            <family val="2"/>
          </rPr>
          <t xml:space="preserve">
Tabel 104 RPJMD Paser</t>
        </r>
      </text>
    </comment>
    <comment ref="H63" authorId="0" shapeId="0">
      <text>
        <r>
          <rPr>
            <b/>
            <sz val="9"/>
            <color indexed="81"/>
            <rFont val="Tahoma"/>
            <family val="2"/>
          </rPr>
          <t>Iwied:</t>
        </r>
        <r>
          <rPr>
            <sz val="9"/>
            <color indexed="81"/>
            <rFont val="Tahoma"/>
            <family val="2"/>
          </rPr>
          <t xml:space="preserve">
Tabel 104 RPJMD Paser</t>
        </r>
      </text>
    </comment>
    <comment ref="H64" authorId="0" shapeId="0">
      <text>
        <r>
          <rPr>
            <b/>
            <sz val="9"/>
            <color indexed="81"/>
            <rFont val="Tahoma"/>
            <family val="2"/>
          </rPr>
          <t>Iwied:</t>
        </r>
        <r>
          <rPr>
            <sz val="9"/>
            <color indexed="81"/>
            <rFont val="Tahoma"/>
            <family val="2"/>
          </rPr>
          <t xml:space="preserve">
Tabel 104 RPJMD Paser</t>
        </r>
      </text>
    </comment>
    <comment ref="H65" authorId="0" shapeId="0">
      <text>
        <r>
          <rPr>
            <b/>
            <sz val="9"/>
            <color indexed="81"/>
            <rFont val="Tahoma"/>
            <family val="2"/>
          </rPr>
          <t>Iwied:</t>
        </r>
        <r>
          <rPr>
            <sz val="9"/>
            <color indexed="81"/>
            <rFont val="Tahoma"/>
            <family val="2"/>
          </rPr>
          <t xml:space="preserve">
Tabel 104 RPJMD Paser</t>
        </r>
      </text>
    </comment>
    <comment ref="H66" authorId="0" shapeId="0">
      <text>
        <r>
          <rPr>
            <b/>
            <sz val="9"/>
            <color indexed="81"/>
            <rFont val="Tahoma"/>
            <family val="2"/>
          </rPr>
          <t>Iwied:</t>
        </r>
        <r>
          <rPr>
            <sz val="9"/>
            <color indexed="81"/>
            <rFont val="Tahoma"/>
            <family val="2"/>
          </rPr>
          <t xml:space="preserve">
Tabel 104 RPJMD Paser</t>
        </r>
      </text>
    </comment>
  </commentList>
</comments>
</file>

<file path=xl/comments2.xml><?xml version="1.0" encoding="utf-8"?>
<comments xmlns="http://schemas.openxmlformats.org/spreadsheetml/2006/main">
  <authors>
    <author>Iwied</author>
  </authors>
  <commentList>
    <comment ref="U19" authorId="0" shapeId="0">
      <text>
        <r>
          <rPr>
            <b/>
            <sz val="9"/>
            <color indexed="81"/>
            <rFont val="Tahoma"/>
            <family val="2"/>
          </rPr>
          <t>Iwied:</t>
        </r>
        <r>
          <rPr>
            <sz val="9"/>
            <color indexed="81"/>
            <rFont val="Tahoma"/>
            <family val="2"/>
          </rPr>
          <t xml:space="preserve">
Terdapat perbedaan data pada Kaltim Dalam Angka 2015, menyebutkan jumlah Ayam Ras Pedaging di Kubar pada 2014 adalah 1.341.667. Angka ini mengalami kenaikan sangat tinggi dari sebelumnya hanya 149.987 di tahun 2013.
Angka populasi yang digunakan adalah sesuai target dalam RPJMD Kubar yaitu kenaikan 2% pertahun</t>
        </r>
      </text>
    </comment>
    <comment ref="B21" authorId="0" shapeId="0">
      <text>
        <r>
          <rPr>
            <b/>
            <sz val="9"/>
            <color indexed="81"/>
            <rFont val="Tahoma"/>
            <family val="2"/>
          </rPr>
          <t>Iwied:</t>
        </r>
        <r>
          <rPr>
            <sz val="9"/>
            <color indexed="81"/>
            <rFont val="Tahoma"/>
            <family val="2"/>
          </rPr>
          <t xml:space="preserve">
Data dari Form Kab/Kota hingga tahun 2030</t>
        </r>
      </text>
    </comment>
    <comment ref="G21" authorId="0" shapeId="0">
      <text>
        <r>
          <rPr>
            <b/>
            <sz val="9"/>
            <color indexed="81"/>
            <rFont val="Tahoma"/>
            <family val="2"/>
          </rPr>
          <t>Iwied:</t>
        </r>
        <r>
          <rPr>
            <sz val="9"/>
            <color indexed="81"/>
            <rFont val="Tahoma"/>
            <family val="2"/>
          </rPr>
          <t xml:space="preserve">
Data dari Form Kab/Kota hingga tahun 2030</t>
        </r>
      </text>
    </comment>
    <comment ref="O21"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P21"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R21"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T21"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U21"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W21"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Y21" authorId="0" shapeId="0">
      <text>
        <r>
          <rPr>
            <b/>
            <sz val="9"/>
            <color indexed="81"/>
            <rFont val="Tahoma"/>
            <family val="2"/>
          </rPr>
          <t>Iwied:</t>
        </r>
        <r>
          <rPr>
            <sz val="9"/>
            <color indexed="81"/>
            <rFont val="Tahoma"/>
            <family val="2"/>
          </rPr>
          <t xml:space="preserve">
tidak dilakukan proyeksi karena trend-nya menurun</t>
        </r>
      </text>
    </comment>
    <comment ref="B35" authorId="0" shapeId="0">
      <text>
        <r>
          <rPr>
            <b/>
            <sz val="9"/>
            <color indexed="81"/>
            <rFont val="Tahoma"/>
            <family val="2"/>
          </rPr>
          <t>Iwied:</t>
        </r>
        <r>
          <rPr>
            <sz val="9"/>
            <color indexed="81"/>
            <rFont val="Tahoma"/>
            <family val="2"/>
          </rPr>
          <t xml:space="preserve">
Data dari Form Kab/Kota</t>
        </r>
      </text>
    </comment>
    <comment ref="C35" authorId="0" shapeId="0">
      <text>
        <r>
          <rPr>
            <b/>
            <sz val="9"/>
            <color indexed="81"/>
            <rFont val="Tahoma"/>
            <family val="2"/>
          </rPr>
          <t>Iwied:</t>
        </r>
        <r>
          <rPr>
            <sz val="9"/>
            <color indexed="81"/>
            <rFont val="Tahoma"/>
            <family val="2"/>
          </rPr>
          <t xml:space="preserve">
disesuaikan dengan produktifitas rata-rata nasional pada sawah irigasi dengan dua kali musim tanam (kw/ha/tahun)</t>
        </r>
      </text>
    </comment>
    <comment ref="H35" authorId="0" shapeId="0">
      <text>
        <r>
          <rPr>
            <b/>
            <sz val="9"/>
            <color indexed="81"/>
            <rFont val="Tahoma"/>
            <family val="2"/>
          </rPr>
          <t>Iwied:</t>
        </r>
        <r>
          <rPr>
            <sz val="9"/>
            <color indexed="81"/>
            <rFont val="Tahoma"/>
            <family val="2"/>
          </rPr>
          <t xml:space="preserve">
produktifitas rata-rata nasional dengan satu kali musim tanam (kw/ha/tahun)</t>
        </r>
      </text>
    </comment>
    <comment ref="J35" authorId="0" shapeId="0">
      <text>
        <r>
          <rPr>
            <b/>
            <sz val="9"/>
            <color indexed="81"/>
            <rFont val="Tahoma"/>
            <family val="2"/>
          </rPr>
          <t>Iwied:</t>
        </r>
        <r>
          <rPr>
            <sz val="9"/>
            <color indexed="81"/>
            <rFont val="Tahoma"/>
            <family val="2"/>
          </rPr>
          <t xml:space="preserve">
diambil dari luas pola ruang Tanaman Pangan dan Hortikultura di Kab Kubar (RTRW Kaltim)</t>
        </r>
      </text>
    </comment>
    <comment ref="M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6,4% pertahun</t>
        </r>
      </text>
    </comment>
    <comment ref="O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P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R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T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U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W35" authorId="0" shapeId="0">
      <text>
        <r>
          <rPr>
            <b/>
            <sz val="9"/>
            <color indexed="81"/>
            <rFont val="Tahoma"/>
            <family val="2"/>
          </rPr>
          <t>Iwied:</t>
        </r>
        <r>
          <rPr>
            <sz val="9"/>
            <color indexed="81"/>
            <rFont val="Tahoma"/>
            <family val="2"/>
          </rPr>
          <t xml:space="preserve">
Angka populasi yang digunakan untuk tahun 2015 hingga 2030 adalah sesuai target dalam RPJMD Kubar yaitu kenaikan 2% pertahun</t>
        </r>
      </text>
    </comment>
    <comment ref="K36" authorId="0" shapeId="0">
      <text>
        <r>
          <rPr>
            <b/>
            <sz val="9"/>
            <color indexed="81"/>
            <rFont val="Tahoma"/>
            <family val="2"/>
          </rPr>
          <t>Iwied:</t>
        </r>
        <r>
          <rPr>
            <sz val="9"/>
            <color indexed="81"/>
            <rFont val="Tahoma"/>
            <family val="2"/>
          </rPr>
          <t xml:space="preserve">
Rata-rata persentase luas ladang dibandingkan dengan luas sawah+ladang pada periode 2000 - 2013</t>
        </r>
      </text>
    </comment>
  </commentList>
</comments>
</file>

<file path=xl/comments3.xml><?xml version="1.0" encoding="utf-8"?>
<comments xmlns="http://schemas.openxmlformats.org/spreadsheetml/2006/main">
  <authors>
    <author>Iwied</author>
  </authors>
  <commentList>
    <comment ref="B20" authorId="0" shapeId="0">
      <text>
        <r>
          <rPr>
            <b/>
            <sz val="9"/>
            <color indexed="81"/>
            <rFont val="Tahoma"/>
            <family val="2"/>
          </rPr>
          <t>Iwied:</t>
        </r>
        <r>
          <rPr>
            <sz val="9"/>
            <color indexed="81"/>
            <rFont val="Tahoma"/>
            <family val="2"/>
          </rPr>
          <t xml:space="preserve">
Data pada KDA 2016</t>
        </r>
      </text>
    </comment>
    <comment ref="B21" authorId="0" shapeId="0">
      <text>
        <r>
          <rPr>
            <b/>
            <sz val="9"/>
            <color indexed="81"/>
            <rFont val="Tahoma"/>
            <family val="2"/>
          </rPr>
          <t>Iwied:</t>
        </r>
        <r>
          <rPr>
            <sz val="9"/>
            <color indexed="81"/>
            <rFont val="Tahoma"/>
            <family val="2"/>
          </rPr>
          <t xml:space="preserve">
Proyeksi menggunakan persentase luas ladang vs sawah dan luas alokasi lahan pertanian pada RPJMD Kukar seluas 81.558 ha</t>
        </r>
      </text>
    </comment>
    <comment ref="P21" authorId="0" shapeId="0">
      <text>
        <r>
          <rPr>
            <b/>
            <sz val="9"/>
            <color indexed="81"/>
            <rFont val="Tahoma"/>
            <family val="2"/>
          </rPr>
          <t>Iwied:</t>
        </r>
        <r>
          <rPr>
            <sz val="9"/>
            <color indexed="81"/>
            <rFont val="Tahoma"/>
            <family val="2"/>
          </rPr>
          <t xml:space="preserve">
Proyeksi POLYNOMIAL sampai dengan 2030</t>
        </r>
      </text>
    </comment>
    <comment ref="Q21" authorId="0" shapeId="0">
      <text>
        <r>
          <rPr>
            <b/>
            <sz val="9"/>
            <color indexed="81"/>
            <rFont val="Tahoma"/>
            <family val="2"/>
          </rPr>
          <t>Iwied:</t>
        </r>
        <r>
          <rPr>
            <sz val="9"/>
            <color indexed="81"/>
            <rFont val="Tahoma"/>
            <family val="2"/>
          </rPr>
          <t xml:space="preserve">
Proyeksi POLYNOMIAL sampai dengan 2030</t>
        </r>
      </text>
    </comment>
    <comment ref="S21" authorId="0" shapeId="0">
      <text>
        <r>
          <rPr>
            <b/>
            <sz val="9"/>
            <color indexed="81"/>
            <rFont val="Tahoma"/>
            <family val="2"/>
          </rPr>
          <t>Iwied:</t>
        </r>
        <r>
          <rPr>
            <sz val="9"/>
            <color indexed="81"/>
            <rFont val="Tahoma"/>
            <family val="2"/>
          </rPr>
          <t xml:space="preserve">
</t>
        </r>
      </text>
    </comment>
    <comment ref="U21" authorId="0" shapeId="0">
      <text>
        <r>
          <rPr>
            <b/>
            <sz val="9"/>
            <color indexed="81"/>
            <rFont val="Tahoma"/>
            <family val="2"/>
          </rPr>
          <t>Iwied:</t>
        </r>
        <r>
          <rPr>
            <sz val="9"/>
            <color indexed="81"/>
            <rFont val="Tahoma"/>
            <family val="2"/>
          </rPr>
          <t xml:space="preserve">
Proyeksi POLYNOMIAL sampai dengan 2030</t>
        </r>
      </text>
    </comment>
    <comment ref="V21" authorId="0" shapeId="0">
      <text>
        <r>
          <rPr>
            <b/>
            <sz val="9"/>
            <color indexed="81"/>
            <rFont val="Tahoma"/>
            <family val="2"/>
          </rPr>
          <t>Iwied:</t>
        </r>
        <r>
          <rPr>
            <sz val="9"/>
            <color indexed="81"/>
            <rFont val="Tahoma"/>
            <family val="2"/>
          </rPr>
          <t xml:space="preserve">
Proyeksi LINIER sampai dengan 2030</t>
        </r>
      </text>
    </comment>
    <comment ref="W21" authorId="0" shapeId="0">
      <text>
        <r>
          <rPr>
            <b/>
            <sz val="9"/>
            <color indexed="81"/>
            <rFont val="Tahoma"/>
            <family val="2"/>
          </rPr>
          <t>Iwied:</t>
        </r>
        <r>
          <rPr>
            <sz val="9"/>
            <color indexed="81"/>
            <rFont val="Tahoma"/>
            <family val="2"/>
          </rPr>
          <t xml:space="preserve">
Proyeksi LINIER sampai dengan 2030</t>
        </r>
      </text>
    </comment>
    <comment ref="X21" authorId="0" shapeId="0">
      <text>
        <r>
          <rPr>
            <b/>
            <sz val="9"/>
            <color indexed="81"/>
            <rFont val="Tahoma"/>
            <family val="2"/>
          </rPr>
          <t>Iwied:</t>
        </r>
        <r>
          <rPr>
            <sz val="9"/>
            <color indexed="81"/>
            <rFont val="Tahoma"/>
            <family val="2"/>
          </rPr>
          <t xml:space="preserve">
Proyeksi POLYNOMIAL sampai dengan 2030</t>
        </r>
      </text>
    </comment>
    <comment ref="Z21" authorId="0" shapeId="0">
      <text>
        <r>
          <rPr>
            <b/>
            <sz val="9"/>
            <color indexed="81"/>
            <rFont val="Tahoma"/>
            <family val="2"/>
          </rPr>
          <t>Iwied:</t>
        </r>
        <r>
          <rPr>
            <sz val="9"/>
            <color indexed="81"/>
            <rFont val="Tahoma"/>
            <family val="2"/>
          </rPr>
          <t xml:space="preserve">
Proyeksi POLYNOMIAL sampai dengan 2030</t>
        </r>
      </text>
    </comment>
    <comment ref="AA21" authorId="0" shapeId="0">
      <text>
        <r>
          <rPr>
            <b/>
            <sz val="9"/>
            <color indexed="81"/>
            <rFont val="Tahoma"/>
            <family val="2"/>
          </rPr>
          <t>Iwied:</t>
        </r>
        <r>
          <rPr>
            <sz val="9"/>
            <color indexed="81"/>
            <rFont val="Tahoma"/>
            <family val="2"/>
          </rPr>
          <t xml:space="preserve">
Proyeksi POLYNOMIAL sampai dengan 2030</t>
        </r>
      </text>
    </comment>
    <comment ref="AB21" authorId="0" shapeId="0">
      <text>
        <r>
          <rPr>
            <b/>
            <sz val="9"/>
            <color indexed="81"/>
            <rFont val="Tahoma"/>
            <family val="2"/>
          </rPr>
          <t>Iwied:</t>
        </r>
        <r>
          <rPr>
            <sz val="9"/>
            <color indexed="81"/>
            <rFont val="Tahoma"/>
            <family val="2"/>
          </rPr>
          <t xml:space="preserve">
Proyeksi POLYNOMIAL sampai dengan 2030</t>
        </r>
      </text>
    </comment>
    <comment ref="AC21" authorId="0" shapeId="0">
      <text>
        <r>
          <rPr>
            <b/>
            <sz val="9"/>
            <color indexed="81"/>
            <rFont val="Tahoma"/>
            <family val="2"/>
          </rPr>
          <t>Iwied:</t>
        </r>
        <r>
          <rPr>
            <sz val="9"/>
            <color indexed="81"/>
            <rFont val="Tahoma"/>
            <family val="2"/>
          </rPr>
          <t xml:space="preserve">
Proyeksi POLYNOMIAL sampai dengan 2030</t>
        </r>
      </text>
    </comment>
    <comment ref="AD21" authorId="0" shapeId="0">
      <text>
        <r>
          <rPr>
            <b/>
            <sz val="9"/>
            <color indexed="81"/>
            <rFont val="Tahoma"/>
            <family val="2"/>
          </rPr>
          <t>Iwied:</t>
        </r>
        <r>
          <rPr>
            <sz val="9"/>
            <color indexed="81"/>
            <rFont val="Tahoma"/>
            <family val="2"/>
          </rPr>
          <t xml:space="preserve">
Tidak dilakukan Proyeksi karena cenderung menurun (Minus)</t>
        </r>
      </text>
    </comment>
    <comment ref="AE21" authorId="0" shapeId="0">
      <text>
        <r>
          <rPr>
            <b/>
            <sz val="9"/>
            <color indexed="81"/>
            <rFont val="Tahoma"/>
            <family val="2"/>
          </rPr>
          <t>Iwied:</t>
        </r>
        <r>
          <rPr>
            <sz val="9"/>
            <color indexed="81"/>
            <rFont val="Tahoma"/>
            <family val="2"/>
          </rPr>
          <t xml:space="preserve">
Tidak dilakukan Proyeksi karena cenderung menurun (Minus)</t>
        </r>
      </text>
    </comment>
    <comment ref="B22" authorId="0" shapeId="0">
      <text>
        <r>
          <rPr>
            <b/>
            <sz val="9"/>
            <color indexed="81"/>
            <rFont val="Tahoma"/>
            <family val="2"/>
          </rPr>
          <t>Iwied:</t>
        </r>
        <r>
          <rPr>
            <sz val="9"/>
            <color indexed="81"/>
            <rFont val="Tahoma"/>
            <family val="2"/>
          </rPr>
          <t xml:space="preserve">
Dalam RPJMD disebutkan program pembukaan lahan pertanian baru seluas 10.000 ha dalam 5 tahun (Bab 7 hal VII-5)</t>
        </r>
      </text>
    </comment>
    <comment ref="B23" authorId="0" shapeId="0">
      <text>
        <r>
          <rPr>
            <b/>
            <sz val="9"/>
            <color indexed="81"/>
            <rFont val="Tahoma"/>
            <family val="2"/>
          </rPr>
          <t>Iwied:</t>
        </r>
        <r>
          <rPr>
            <sz val="9"/>
            <color indexed="81"/>
            <rFont val="Tahoma"/>
            <family val="2"/>
          </rPr>
          <t xml:space="preserve">
Dalam RPJMD disebutkan program pembukaan lahan pertanian baru seluas 10.000 ha dalam 5 tahun (Bab 7 hal VII-5)</t>
        </r>
      </text>
    </comment>
    <comment ref="B24" authorId="0" shapeId="0">
      <text>
        <r>
          <rPr>
            <b/>
            <sz val="9"/>
            <color indexed="81"/>
            <rFont val="Tahoma"/>
            <family val="2"/>
          </rPr>
          <t>Iwied:</t>
        </r>
        <r>
          <rPr>
            <sz val="9"/>
            <color indexed="81"/>
            <rFont val="Tahoma"/>
            <family val="2"/>
          </rPr>
          <t xml:space="preserve">
Dalam RPJMD disebutkan program pembukaan lahan pertanian baru seluas 10.000 ha dalam 5 tahun (Bab 7 hal VII-5)</t>
        </r>
      </text>
    </comment>
    <comment ref="B25" authorId="0" shapeId="0">
      <text>
        <r>
          <rPr>
            <b/>
            <sz val="9"/>
            <color indexed="81"/>
            <rFont val="Tahoma"/>
            <family val="2"/>
          </rPr>
          <t>Iwied:</t>
        </r>
        <r>
          <rPr>
            <sz val="9"/>
            <color indexed="81"/>
            <rFont val="Tahoma"/>
            <family val="2"/>
          </rPr>
          <t xml:space="preserve">
Dalam RPJMD disebutkan program pembukaan lahan pertanian baru seluas 10.000 ha dalam 5 tahun (Bab 7 hal VII-5)</t>
        </r>
      </text>
    </comment>
    <comment ref="B26" authorId="0" shapeId="0">
      <text>
        <r>
          <rPr>
            <b/>
            <sz val="9"/>
            <color indexed="81"/>
            <rFont val="Tahoma"/>
            <family val="2"/>
          </rPr>
          <t>Iwied:</t>
        </r>
        <r>
          <rPr>
            <sz val="9"/>
            <color indexed="81"/>
            <rFont val="Tahoma"/>
            <family val="2"/>
          </rPr>
          <t xml:space="preserve">
Dalam RPJMD disebutkan program pembukaan lahan pertanian baru seluas 10.000 ha dalam 5 tahun (Bab 7 hal VII-5)</t>
        </r>
      </text>
    </comment>
    <comment ref="C26" authorId="0" shapeId="0">
      <text>
        <r>
          <rPr>
            <b/>
            <sz val="9"/>
            <color indexed="81"/>
            <rFont val="Tahoma"/>
            <family val="2"/>
          </rPr>
          <t>Iwied:</t>
        </r>
        <r>
          <rPr>
            <sz val="9"/>
            <color indexed="81"/>
            <rFont val="Tahoma"/>
            <family val="2"/>
          </rPr>
          <t xml:space="preserve">
Target Produktifitas Padi Sawah dalam RPJMD Kukar</t>
        </r>
      </text>
    </comment>
    <comment ref="D26" authorId="0" shapeId="0">
      <text>
        <r>
          <rPr>
            <b/>
            <sz val="9"/>
            <color indexed="81"/>
            <rFont val="Tahoma"/>
            <family val="2"/>
          </rPr>
          <t>Iwied:</t>
        </r>
        <r>
          <rPr>
            <sz val="9"/>
            <color indexed="81"/>
            <rFont val="Tahoma"/>
            <family val="2"/>
          </rPr>
          <t xml:space="preserve">
Target di dalam RPJMD Kukar disebutkan target produksi padi sawah mencapai 1.359.683 ton, namun target ini dinilai terlalu tinggi sehingga produksi yang dimasukkan berdasarkan estimasi luas panen dikalikan target produktifitas padi pada tahun 2021 (tabel 7-1)</t>
        </r>
      </text>
    </comment>
    <comment ref="H26" authorId="0" shapeId="0">
      <text>
        <r>
          <rPr>
            <b/>
            <sz val="9"/>
            <color indexed="81"/>
            <rFont val="Tahoma"/>
            <family val="2"/>
          </rPr>
          <t>Iwied:</t>
        </r>
        <r>
          <rPr>
            <sz val="9"/>
            <color indexed="81"/>
            <rFont val="Tahoma"/>
            <family val="2"/>
          </rPr>
          <t xml:space="preserve">
Target Produktifitas Padi Bukan Sawah dalam RPJMD Kukar</t>
        </r>
      </text>
    </comment>
    <comment ref="I26" authorId="0" shapeId="0">
      <text>
        <r>
          <rPr>
            <b/>
            <sz val="9"/>
            <color indexed="81"/>
            <rFont val="Tahoma"/>
            <family val="2"/>
          </rPr>
          <t>Iwied:</t>
        </r>
        <r>
          <rPr>
            <sz val="9"/>
            <color indexed="81"/>
            <rFont val="Tahoma"/>
            <family val="2"/>
          </rPr>
          <t xml:space="preserve">
Target di dalam RPJMD Kukar disebutkan target produksi padi sawah mencapai 102.380 ton, namun target ini dinilai terlalu tinggi sehingga produksi yang dimasukkan berdasarkan estimasi luas panen dikalikan target produktifitas padi pada tahun 2021 (tabel 7-1)</t>
        </r>
      </text>
    </comment>
    <comment ref="P26" authorId="0" shapeId="0">
      <text>
        <r>
          <rPr>
            <b/>
            <sz val="9"/>
            <color indexed="81"/>
            <rFont val="Tahoma"/>
            <family val="2"/>
          </rPr>
          <t>Iwied:</t>
        </r>
        <r>
          <rPr>
            <sz val="9"/>
            <color indexed="81"/>
            <rFont val="Tahoma"/>
            <family val="2"/>
          </rPr>
          <t xml:space="preserve">
Angka target KUMULATIF selama 5 tahun populasi kerbau dan sapi kalang dalam RPJMD Kukar adala h 10.768 ekor</t>
        </r>
      </text>
    </comment>
    <comment ref="J35" authorId="0" shapeId="0">
      <text>
        <r>
          <rPr>
            <b/>
            <sz val="9"/>
            <color indexed="81"/>
            <rFont val="Tahoma"/>
            <family val="2"/>
          </rPr>
          <t>Iwied:</t>
        </r>
        <r>
          <rPr>
            <sz val="9"/>
            <color indexed="81"/>
            <rFont val="Tahoma"/>
            <family val="2"/>
          </rPr>
          <t xml:space="preserve">
Luas KBNK untuk Pertanian berdasarkan RTRW Kab Kukar 2013-2033 (dalam tabel 2.5 Dok RPJMD Kukar 2016-2021)</t>
        </r>
      </text>
    </comment>
    <comment ref="K36" authorId="0" shapeId="0">
      <text>
        <r>
          <rPr>
            <b/>
            <sz val="9"/>
            <color indexed="81"/>
            <rFont val="Tahoma"/>
            <family val="2"/>
          </rPr>
          <t>Iwied:</t>
        </r>
        <r>
          <rPr>
            <sz val="9"/>
            <color indexed="81"/>
            <rFont val="Tahoma"/>
            <family val="2"/>
          </rPr>
          <t xml:space="preserve">
Rata-rata persentase luas ladang dibandingkan dengan luas sawah+ladang pada periode 2000 - 2014</t>
        </r>
      </text>
    </comment>
  </commentList>
</comments>
</file>

<file path=xl/comments4.xml><?xml version="1.0" encoding="utf-8"?>
<comments xmlns="http://schemas.openxmlformats.org/spreadsheetml/2006/main">
  <authors>
    <author>Iwied</author>
  </authors>
  <commentList>
    <comment ref="N20" authorId="0" shapeId="0">
      <text>
        <r>
          <rPr>
            <b/>
            <sz val="9"/>
            <color indexed="81"/>
            <rFont val="Tahoma"/>
            <family val="2"/>
          </rPr>
          <t>Iwied:</t>
        </r>
        <r>
          <rPr>
            <sz val="9"/>
            <color indexed="81"/>
            <rFont val="Tahoma"/>
            <family val="2"/>
          </rPr>
          <t xml:space="preserve">
Angka yg dimasukkan adalah angka dari Dinas Peternakan 2016
Angka target awal Populasi ternak besar (ekor) pada RPJMD Kutim adalah 18.723</t>
        </r>
      </text>
    </comment>
    <comment ref="B21" authorId="0" shapeId="0">
      <text>
        <r>
          <rPr>
            <b/>
            <sz val="9"/>
            <color indexed="81"/>
            <rFont val="Tahoma"/>
            <family val="2"/>
          </rPr>
          <t>Iwied:</t>
        </r>
        <r>
          <rPr>
            <sz val="9"/>
            <color indexed="81"/>
            <rFont val="Tahoma"/>
            <family val="2"/>
          </rPr>
          <t xml:space="preserve">
Data dari Form Kab/Kota sampai dengan 2030</t>
        </r>
      </text>
    </comment>
    <comment ref="C21" authorId="0" shapeId="0">
      <text>
        <r>
          <rPr>
            <b/>
            <sz val="9"/>
            <color indexed="81"/>
            <rFont val="Tahoma"/>
            <family val="2"/>
          </rPr>
          <t>Iwied:</t>
        </r>
        <r>
          <rPr>
            <sz val="9"/>
            <color indexed="81"/>
            <rFont val="Tahoma"/>
            <family val="2"/>
          </rPr>
          <t xml:space="preserve">
Produktifitas padi sawah (RPJMD Kutim)</t>
        </r>
      </text>
    </comment>
    <comment ref="D21" authorId="0" shapeId="0">
      <text>
        <r>
          <rPr>
            <b/>
            <sz val="9"/>
            <color indexed="81"/>
            <rFont val="Tahoma"/>
            <family val="2"/>
          </rPr>
          <t>Iwied:</t>
        </r>
        <r>
          <rPr>
            <sz val="9"/>
            <color indexed="81"/>
            <rFont val="Tahoma"/>
            <family val="2"/>
          </rPr>
          <t xml:space="preserve">
Produksi Padi Sawah dihitung dari alokasi lahan x produktifitas per Ha</t>
        </r>
      </text>
    </comment>
    <comment ref="E21" authorId="0" shapeId="0">
      <text>
        <r>
          <rPr>
            <b/>
            <sz val="9"/>
            <color indexed="81"/>
            <rFont val="Tahoma"/>
            <family val="2"/>
          </rPr>
          <t>Iwied:</t>
        </r>
        <r>
          <rPr>
            <sz val="9"/>
            <color indexed="81"/>
            <rFont val="Tahoma"/>
            <family val="2"/>
          </rPr>
          <t xml:space="preserve">
Angka target awal 2016 untuk Produksi Padi Sawah dan Bukan Sawah (RPJMD Kutim)</t>
        </r>
      </text>
    </comment>
    <comment ref="G21" authorId="0" shapeId="0">
      <text>
        <r>
          <rPr>
            <b/>
            <sz val="9"/>
            <color indexed="81"/>
            <rFont val="Tahoma"/>
            <family val="2"/>
          </rPr>
          <t>Iwied:</t>
        </r>
        <r>
          <rPr>
            <sz val="9"/>
            <color indexed="81"/>
            <rFont val="Tahoma"/>
            <family val="2"/>
          </rPr>
          <t xml:space="preserve">
Data dari Form Kab/Kota sampai dengan 2030</t>
        </r>
      </text>
    </comment>
    <comment ref="I21" authorId="0" shapeId="0">
      <text>
        <r>
          <rPr>
            <b/>
            <sz val="9"/>
            <color indexed="81"/>
            <rFont val="Tahoma"/>
            <family val="2"/>
          </rPr>
          <t>Iwied:</t>
        </r>
        <r>
          <rPr>
            <sz val="9"/>
            <color indexed="81"/>
            <rFont val="Tahoma"/>
            <family val="2"/>
          </rPr>
          <t xml:space="preserve">
Produksi Padi Bukan Sawah (ton): angka target dalam RPJMD dikurangi dengan produksi Padi Sawah (ton)</t>
        </r>
      </text>
    </comment>
    <comment ref="O21" authorId="0" shapeId="0">
      <text>
        <r>
          <rPr>
            <b/>
            <sz val="9"/>
            <color indexed="81"/>
            <rFont val="Tahoma"/>
            <family val="2"/>
          </rPr>
          <t>Iwied:</t>
        </r>
        <r>
          <rPr>
            <sz val="9"/>
            <color indexed="81"/>
            <rFont val="Tahoma"/>
            <family val="2"/>
          </rPr>
          <t xml:space="preserve">
Data dari Form Kab/Kota sampai dengan 2030</t>
        </r>
      </text>
    </comment>
    <comment ref="P21" authorId="0" shapeId="0">
      <text>
        <r>
          <rPr>
            <b/>
            <sz val="9"/>
            <color indexed="81"/>
            <rFont val="Tahoma"/>
            <family val="2"/>
          </rPr>
          <t>Iwied:</t>
        </r>
        <r>
          <rPr>
            <sz val="9"/>
            <color indexed="81"/>
            <rFont val="Tahoma"/>
            <family val="2"/>
          </rPr>
          <t xml:space="preserve">
Data dari Form Kab/Kota sampai dengan 2030</t>
        </r>
      </text>
    </comment>
    <comment ref="Q21" authorId="0" shapeId="0">
      <text>
        <r>
          <rPr>
            <b/>
            <sz val="9"/>
            <color indexed="81"/>
            <rFont val="Tahoma"/>
            <family val="2"/>
          </rPr>
          <t>Iwied:</t>
        </r>
        <r>
          <rPr>
            <sz val="9"/>
            <color indexed="81"/>
            <rFont val="Tahoma"/>
            <family val="2"/>
          </rPr>
          <t xml:space="preserve">
Data dari Form Kab/Kota sampai dengan 2030</t>
        </r>
      </text>
    </comment>
    <comment ref="S21" authorId="0" shapeId="0">
      <text>
        <r>
          <rPr>
            <b/>
            <sz val="9"/>
            <color indexed="81"/>
            <rFont val="Tahoma"/>
            <family val="2"/>
          </rPr>
          <t>Iwied:</t>
        </r>
        <r>
          <rPr>
            <sz val="9"/>
            <color indexed="81"/>
            <rFont val="Tahoma"/>
            <family val="2"/>
          </rPr>
          <t xml:space="preserve">
Data dari Form Kab/Kota sampai dengan 2030</t>
        </r>
      </text>
    </comment>
    <comment ref="U21" authorId="0" shapeId="0">
      <text>
        <r>
          <rPr>
            <b/>
            <sz val="9"/>
            <color indexed="81"/>
            <rFont val="Tahoma"/>
            <family val="2"/>
          </rPr>
          <t>Iwied:</t>
        </r>
        <r>
          <rPr>
            <sz val="9"/>
            <color indexed="81"/>
            <rFont val="Tahoma"/>
            <family val="2"/>
          </rPr>
          <t xml:space="preserve">
Data dari Form Kab/Kota sampai dengan 2030</t>
        </r>
      </text>
    </comment>
    <comment ref="V21" authorId="0" shapeId="0">
      <text>
        <r>
          <rPr>
            <b/>
            <sz val="9"/>
            <color indexed="81"/>
            <rFont val="Tahoma"/>
            <family val="2"/>
          </rPr>
          <t>Iwied:</t>
        </r>
        <r>
          <rPr>
            <sz val="9"/>
            <color indexed="81"/>
            <rFont val="Tahoma"/>
            <family val="2"/>
          </rPr>
          <t xml:space="preserve">
Data dari Form Kab/Kota sampai dengan 2030</t>
        </r>
      </text>
    </comment>
    <comment ref="X21" authorId="0" shapeId="0">
      <text>
        <r>
          <rPr>
            <b/>
            <sz val="9"/>
            <color indexed="81"/>
            <rFont val="Tahoma"/>
            <family val="2"/>
          </rPr>
          <t>Iwied:</t>
        </r>
        <r>
          <rPr>
            <sz val="9"/>
            <color indexed="81"/>
            <rFont val="Tahoma"/>
            <family val="2"/>
          </rPr>
          <t xml:space="preserve">
Data dari Form Kab/Kota sampai dengan 2030</t>
        </r>
      </text>
    </comment>
    <comment ref="Z21" authorId="0" shapeId="0">
      <text>
        <r>
          <rPr>
            <b/>
            <sz val="9"/>
            <color indexed="81"/>
            <rFont val="Tahoma"/>
            <family val="2"/>
          </rPr>
          <t>Iwied:</t>
        </r>
        <r>
          <rPr>
            <sz val="9"/>
            <color indexed="81"/>
            <rFont val="Tahoma"/>
            <family val="2"/>
          </rPr>
          <t xml:space="preserve">
Data dari Form Kab/Kota sampai dengan 2030</t>
        </r>
      </text>
    </comment>
    <comment ref="AA21" authorId="0" shapeId="0">
      <text>
        <r>
          <rPr>
            <b/>
            <sz val="9"/>
            <color indexed="81"/>
            <rFont val="Tahoma"/>
            <family val="2"/>
          </rPr>
          <t>Iwied:</t>
        </r>
        <r>
          <rPr>
            <sz val="9"/>
            <color indexed="81"/>
            <rFont val="Tahoma"/>
            <family val="2"/>
          </rPr>
          <t xml:space="preserve">
Data dari Form Kab/Kota sampai dengan 2030</t>
        </r>
      </text>
    </comment>
    <comment ref="AB21" authorId="0" shapeId="0">
      <text>
        <r>
          <rPr>
            <b/>
            <sz val="9"/>
            <color indexed="81"/>
            <rFont val="Tahoma"/>
            <family val="2"/>
          </rPr>
          <t>Iwied:</t>
        </r>
        <r>
          <rPr>
            <sz val="9"/>
            <color indexed="81"/>
            <rFont val="Tahoma"/>
            <family val="2"/>
          </rPr>
          <t xml:space="preserve">
Data dari Form Kab/Kota sampai dengan 2030</t>
        </r>
      </text>
    </comment>
    <comment ref="AC21" authorId="0" shapeId="0">
      <text>
        <r>
          <rPr>
            <b/>
            <sz val="9"/>
            <color indexed="81"/>
            <rFont val="Tahoma"/>
            <family val="2"/>
          </rPr>
          <t>Iwied:</t>
        </r>
        <r>
          <rPr>
            <sz val="9"/>
            <color indexed="81"/>
            <rFont val="Tahoma"/>
            <family val="2"/>
          </rPr>
          <t xml:space="preserve">
Data dari Form Kab/Kota sampai dengan 2030</t>
        </r>
      </text>
    </comment>
    <comment ref="AD21" authorId="0" shapeId="0">
      <text>
        <r>
          <rPr>
            <b/>
            <sz val="9"/>
            <color indexed="81"/>
            <rFont val="Tahoma"/>
            <family val="2"/>
          </rPr>
          <t>Iwied:</t>
        </r>
        <r>
          <rPr>
            <sz val="9"/>
            <color indexed="81"/>
            <rFont val="Tahoma"/>
            <family val="2"/>
          </rPr>
          <t xml:space="preserve">
Data dari Form Kab/Kota sampai dengan 2030</t>
        </r>
      </text>
    </comment>
    <comment ref="AE21" authorId="0" shapeId="0">
      <text>
        <r>
          <rPr>
            <b/>
            <sz val="9"/>
            <color indexed="81"/>
            <rFont val="Tahoma"/>
            <family val="2"/>
          </rPr>
          <t>Iwied:</t>
        </r>
        <r>
          <rPr>
            <sz val="9"/>
            <color indexed="81"/>
            <rFont val="Tahoma"/>
            <family val="2"/>
          </rPr>
          <t xml:space="preserve">
Data dari Form Kab/Kota sampai dengan 2030</t>
        </r>
      </text>
    </comment>
    <comment ref="C22" authorId="0" shapeId="0">
      <text>
        <r>
          <rPr>
            <b/>
            <sz val="9"/>
            <color indexed="81"/>
            <rFont val="Tahoma"/>
            <family val="2"/>
          </rPr>
          <t>Iwied:</t>
        </r>
        <r>
          <rPr>
            <sz val="9"/>
            <color indexed="81"/>
            <rFont val="Tahoma"/>
            <family val="2"/>
          </rPr>
          <t xml:space="preserve">
Produktifitas padi sawah (RPJMD Kutim)</t>
        </r>
      </text>
    </comment>
    <comment ref="D22" authorId="0" shapeId="0">
      <text>
        <r>
          <rPr>
            <b/>
            <sz val="9"/>
            <color indexed="81"/>
            <rFont val="Tahoma"/>
            <family val="2"/>
          </rPr>
          <t>Iwied:</t>
        </r>
        <r>
          <rPr>
            <sz val="9"/>
            <color indexed="81"/>
            <rFont val="Tahoma"/>
            <family val="2"/>
          </rPr>
          <t xml:space="preserve">
Produksi Padi Sawah dihitung dari alokasi lahan x produktifitas per Ha</t>
        </r>
      </text>
    </comment>
    <comment ref="E22" authorId="0" shapeId="0">
      <text>
        <r>
          <rPr>
            <b/>
            <sz val="9"/>
            <color indexed="81"/>
            <rFont val="Tahoma"/>
            <family val="2"/>
          </rPr>
          <t>Iwied:</t>
        </r>
        <r>
          <rPr>
            <sz val="9"/>
            <color indexed="81"/>
            <rFont val="Tahoma"/>
            <family val="2"/>
          </rPr>
          <t xml:space="preserve">
Angka target untuk Produksi Padi Sawah dan Bukan Sawah (RPJMD Kutim)</t>
        </r>
      </text>
    </comment>
    <comment ref="I22" authorId="0" shapeId="0">
      <text>
        <r>
          <rPr>
            <b/>
            <sz val="9"/>
            <color indexed="81"/>
            <rFont val="Tahoma"/>
            <family val="2"/>
          </rPr>
          <t>Iwied:</t>
        </r>
        <r>
          <rPr>
            <sz val="9"/>
            <color indexed="81"/>
            <rFont val="Tahoma"/>
            <family val="2"/>
          </rPr>
          <t xml:space="preserve">
Produksi Padi Bukan Sawah (ton): angka target dalam RPJMD dikurangi dengan produksi Padi Sawah (ton)</t>
        </r>
      </text>
    </comment>
    <comment ref="C23" authorId="0" shapeId="0">
      <text>
        <r>
          <rPr>
            <b/>
            <sz val="9"/>
            <color indexed="81"/>
            <rFont val="Tahoma"/>
            <family val="2"/>
          </rPr>
          <t>Iwied:</t>
        </r>
        <r>
          <rPr>
            <sz val="9"/>
            <color indexed="81"/>
            <rFont val="Tahoma"/>
            <family val="2"/>
          </rPr>
          <t xml:space="preserve">
Produktifitas padi sawah (RPJMD Kutim)</t>
        </r>
      </text>
    </comment>
    <comment ref="D23" authorId="0" shapeId="0">
      <text>
        <r>
          <rPr>
            <b/>
            <sz val="9"/>
            <color indexed="81"/>
            <rFont val="Tahoma"/>
            <family val="2"/>
          </rPr>
          <t>Iwied:</t>
        </r>
        <r>
          <rPr>
            <sz val="9"/>
            <color indexed="81"/>
            <rFont val="Tahoma"/>
            <family val="2"/>
          </rPr>
          <t xml:space="preserve">
Produksi Padi Sawah dihitung dari alokasi lahan x produktifitas per Ha</t>
        </r>
      </text>
    </comment>
    <comment ref="E23" authorId="0" shapeId="0">
      <text>
        <r>
          <rPr>
            <b/>
            <sz val="9"/>
            <color indexed="81"/>
            <rFont val="Tahoma"/>
            <family val="2"/>
          </rPr>
          <t>Iwied:</t>
        </r>
        <r>
          <rPr>
            <sz val="9"/>
            <color indexed="81"/>
            <rFont val="Tahoma"/>
            <family val="2"/>
          </rPr>
          <t xml:space="preserve">
Angka target untuk Produksi Padi Sawah dan Bukan Sawah (RPJMD Kutim)</t>
        </r>
      </text>
    </comment>
    <comment ref="I23" authorId="0" shapeId="0">
      <text>
        <r>
          <rPr>
            <b/>
            <sz val="9"/>
            <color indexed="81"/>
            <rFont val="Tahoma"/>
            <family val="2"/>
          </rPr>
          <t>Iwied:</t>
        </r>
        <r>
          <rPr>
            <sz val="9"/>
            <color indexed="81"/>
            <rFont val="Tahoma"/>
            <family val="2"/>
          </rPr>
          <t xml:space="preserve">
Produksi Padi Bukan Sawah (ton): angka target dalam RPJMD dikurangi dengan produksi Padi Sawah (ton)</t>
        </r>
      </text>
    </comment>
    <comment ref="C24" authorId="0" shapeId="0">
      <text>
        <r>
          <rPr>
            <b/>
            <sz val="9"/>
            <color indexed="81"/>
            <rFont val="Tahoma"/>
            <family val="2"/>
          </rPr>
          <t>Iwied:</t>
        </r>
        <r>
          <rPr>
            <sz val="9"/>
            <color indexed="81"/>
            <rFont val="Tahoma"/>
            <family val="2"/>
          </rPr>
          <t xml:space="preserve">
Produktifitas padi sawah (RPJMD Kutim)</t>
        </r>
      </text>
    </comment>
    <comment ref="D24" authorId="0" shapeId="0">
      <text>
        <r>
          <rPr>
            <b/>
            <sz val="9"/>
            <color indexed="81"/>
            <rFont val="Tahoma"/>
            <family val="2"/>
          </rPr>
          <t>Iwied:</t>
        </r>
        <r>
          <rPr>
            <sz val="9"/>
            <color indexed="81"/>
            <rFont val="Tahoma"/>
            <family val="2"/>
          </rPr>
          <t xml:space="preserve">
Produksi Padi Sawah dihitung dari alokasi lahan x produktifitas per Ha</t>
        </r>
      </text>
    </comment>
    <comment ref="E24" authorId="0" shapeId="0">
      <text>
        <r>
          <rPr>
            <b/>
            <sz val="9"/>
            <color indexed="81"/>
            <rFont val="Tahoma"/>
            <family val="2"/>
          </rPr>
          <t>Iwied:</t>
        </r>
        <r>
          <rPr>
            <sz val="9"/>
            <color indexed="81"/>
            <rFont val="Tahoma"/>
            <family val="2"/>
          </rPr>
          <t xml:space="preserve">
Angka target untuk Produksi Padi Sawah dan Bukan Sawah (RPJMD Kutim)</t>
        </r>
      </text>
    </comment>
    <comment ref="I24" authorId="0" shapeId="0">
      <text>
        <r>
          <rPr>
            <b/>
            <sz val="9"/>
            <color indexed="81"/>
            <rFont val="Tahoma"/>
            <family val="2"/>
          </rPr>
          <t>Iwied:</t>
        </r>
        <r>
          <rPr>
            <sz val="9"/>
            <color indexed="81"/>
            <rFont val="Tahoma"/>
            <family val="2"/>
          </rPr>
          <t xml:space="preserve">
Produksi Padi Bukan Sawah (ton): angka target dalam RPJMD dikurangi dengan produksi Padi Sawah (ton)</t>
        </r>
      </text>
    </comment>
    <comment ref="C25" authorId="0" shapeId="0">
      <text>
        <r>
          <rPr>
            <b/>
            <sz val="9"/>
            <color indexed="81"/>
            <rFont val="Tahoma"/>
            <family val="2"/>
          </rPr>
          <t>Iwied:</t>
        </r>
        <r>
          <rPr>
            <sz val="9"/>
            <color indexed="81"/>
            <rFont val="Tahoma"/>
            <family val="2"/>
          </rPr>
          <t xml:space="preserve">
Produktifitas padi sawah (RPJMD Kutim)</t>
        </r>
      </text>
    </comment>
    <comment ref="D25" authorId="0" shapeId="0">
      <text>
        <r>
          <rPr>
            <b/>
            <sz val="9"/>
            <color indexed="81"/>
            <rFont val="Tahoma"/>
            <family val="2"/>
          </rPr>
          <t>Iwied:</t>
        </r>
        <r>
          <rPr>
            <sz val="9"/>
            <color indexed="81"/>
            <rFont val="Tahoma"/>
            <family val="2"/>
          </rPr>
          <t xml:space="preserve">
Produksi Padi Sawah dihitung dari alokasi lahan x produktifitas per Ha</t>
        </r>
      </text>
    </comment>
    <comment ref="E25" authorId="0" shapeId="0">
      <text>
        <r>
          <rPr>
            <b/>
            <sz val="9"/>
            <color indexed="81"/>
            <rFont val="Tahoma"/>
            <family val="2"/>
          </rPr>
          <t>Iwied:</t>
        </r>
        <r>
          <rPr>
            <sz val="9"/>
            <color indexed="81"/>
            <rFont val="Tahoma"/>
            <family val="2"/>
          </rPr>
          <t xml:space="preserve">
Angka target untuk Produksi Padi Sawah dan Bukan Sawah (RPJMD Kutim)</t>
        </r>
      </text>
    </comment>
    <comment ref="I25" authorId="0" shapeId="0">
      <text>
        <r>
          <rPr>
            <b/>
            <sz val="9"/>
            <color indexed="81"/>
            <rFont val="Tahoma"/>
            <family val="2"/>
          </rPr>
          <t>Iwied:</t>
        </r>
        <r>
          <rPr>
            <sz val="9"/>
            <color indexed="81"/>
            <rFont val="Tahoma"/>
            <family val="2"/>
          </rPr>
          <t xml:space="preserve">
Produksi Padi Bukan Sawah (ton): angka target dalam RPJMD dikurangi dengan produksi Padi Sawah (ton)</t>
        </r>
      </text>
    </comment>
    <comment ref="C26" authorId="0" shapeId="0">
      <text>
        <r>
          <rPr>
            <b/>
            <sz val="9"/>
            <color indexed="81"/>
            <rFont val="Tahoma"/>
            <family val="2"/>
          </rPr>
          <t>Iwied:</t>
        </r>
        <r>
          <rPr>
            <sz val="9"/>
            <color indexed="81"/>
            <rFont val="Tahoma"/>
            <family val="2"/>
          </rPr>
          <t xml:space="preserve">
Produktifitas padi sawah (RPJMD Kutim)</t>
        </r>
      </text>
    </comment>
    <comment ref="D26" authorId="0" shapeId="0">
      <text>
        <r>
          <rPr>
            <b/>
            <sz val="9"/>
            <color indexed="81"/>
            <rFont val="Tahoma"/>
            <family val="2"/>
          </rPr>
          <t>Iwied:</t>
        </r>
        <r>
          <rPr>
            <sz val="9"/>
            <color indexed="81"/>
            <rFont val="Tahoma"/>
            <family val="2"/>
          </rPr>
          <t xml:space="preserve">
Produksi Padi Sawah dihitung dari alokasi lahan x produktifitas per Ha</t>
        </r>
      </text>
    </comment>
    <comment ref="E26" authorId="0" shapeId="0">
      <text>
        <r>
          <rPr>
            <b/>
            <sz val="9"/>
            <color indexed="81"/>
            <rFont val="Tahoma"/>
            <family val="2"/>
          </rPr>
          <t>Iwied:</t>
        </r>
        <r>
          <rPr>
            <sz val="9"/>
            <color indexed="81"/>
            <rFont val="Tahoma"/>
            <family val="2"/>
          </rPr>
          <t xml:space="preserve">
Angka target untuk Produksi Padi Sawah dan Bukan Sawah (RPJMD Kutim)</t>
        </r>
      </text>
    </comment>
    <comment ref="I26" authorId="0" shapeId="0">
      <text>
        <r>
          <rPr>
            <b/>
            <sz val="9"/>
            <color indexed="81"/>
            <rFont val="Tahoma"/>
            <family val="2"/>
          </rPr>
          <t>Iwied:</t>
        </r>
        <r>
          <rPr>
            <sz val="9"/>
            <color indexed="81"/>
            <rFont val="Tahoma"/>
            <family val="2"/>
          </rPr>
          <t xml:space="preserve">
Produksi Padi Bukan Sawah (ton): angka target dalam RPJMD dikurangi dengan produksi Padi Sawah (ton)</t>
        </r>
      </text>
    </comment>
    <comment ref="J35" authorId="0" shapeId="0">
      <text>
        <r>
          <rPr>
            <b/>
            <sz val="9"/>
            <color indexed="81"/>
            <rFont val="Tahoma"/>
            <family val="2"/>
          </rPr>
          <t>Iwied:</t>
        </r>
        <r>
          <rPr>
            <sz val="9"/>
            <color indexed="81"/>
            <rFont val="Tahoma"/>
            <family val="2"/>
          </rPr>
          <t xml:space="preserve">
Luas Unit Perencanaan Pertanian Tanaman Pangan pada Dokumen LED Kutim (LUMENS)</t>
        </r>
      </text>
    </comment>
    <comment ref="K36" authorId="0" shapeId="0">
      <text>
        <r>
          <rPr>
            <b/>
            <sz val="9"/>
            <color indexed="81"/>
            <rFont val="Tahoma"/>
            <family val="2"/>
          </rPr>
          <t>Iwied:</t>
        </r>
        <r>
          <rPr>
            <sz val="9"/>
            <color indexed="81"/>
            <rFont val="Tahoma"/>
            <family val="2"/>
          </rPr>
          <t xml:space="preserve">
Rata-rata persentase luas ladang dibandingkan dengan luas sawah+ladang pada periode 2000 - 2015</t>
        </r>
      </text>
    </comment>
  </commentList>
</comments>
</file>

<file path=xl/comments5.xml><?xml version="1.0" encoding="utf-8"?>
<comments xmlns="http://schemas.openxmlformats.org/spreadsheetml/2006/main">
  <authors>
    <author>Iwied</author>
  </authors>
  <commentList>
    <comment ref="D20" authorId="0" shapeId="0">
      <text>
        <r>
          <rPr>
            <b/>
            <sz val="9"/>
            <color indexed="81"/>
            <rFont val="Tahoma"/>
            <family val="2"/>
          </rPr>
          <t>Iwied:</t>
        </r>
        <r>
          <rPr>
            <sz val="9"/>
            <color indexed="81"/>
            <rFont val="Tahoma"/>
            <family val="2"/>
          </rPr>
          <t xml:space="preserve">
RPJMD Berau 2016-2021</t>
        </r>
      </text>
    </comment>
    <comment ref="P21" authorId="0" shapeId="0">
      <text>
        <r>
          <rPr>
            <b/>
            <sz val="9"/>
            <color indexed="81"/>
            <rFont val="Tahoma"/>
            <family val="2"/>
          </rPr>
          <t>Iwied:</t>
        </r>
        <r>
          <rPr>
            <sz val="9"/>
            <color indexed="81"/>
            <rFont val="Tahoma"/>
            <family val="2"/>
          </rPr>
          <t xml:space="preserve">
Proyeksi LINIER sampai dengan tahun 2030</t>
        </r>
      </text>
    </comment>
    <comment ref="Q21" authorId="0" shapeId="0">
      <text>
        <r>
          <rPr>
            <b/>
            <sz val="9"/>
            <color indexed="81"/>
            <rFont val="Tahoma"/>
            <family val="2"/>
          </rPr>
          <t>Iwied:</t>
        </r>
        <r>
          <rPr>
            <sz val="9"/>
            <color indexed="81"/>
            <rFont val="Tahoma"/>
            <family val="2"/>
          </rPr>
          <t xml:space="preserve">
Proyeksi LINIER sampai dengan tahun 2030</t>
        </r>
      </text>
    </comment>
    <comment ref="S21" authorId="0" shapeId="0">
      <text>
        <r>
          <rPr>
            <b/>
            <sz val="9"/>
            <color indexed="81"/>
            <rFont val="Tahoma"/>
            <family val="2"/>
          </rPr>
          <t>Iwied:</t>
        </r>
        <r>
          <rPr>
            <sz val="9"/>
            <color indexed="81"/>
            <rFont val="Tahoma"/>
            <family val="2"/>
          </rPr>
          <t xml:space="preserve">
Proyeksi LINIER sampai dengan tahun 2030</t>
        </r>
      </text>
    </comment>
    <comment ref="U21" authorId="0" shapeId="0">
      <text>
        <r>
          <rPr>
            <b/>
            <sz val="9"/>
            <color indexed="81"/>
            <rFont val="Tahoma"/>
            <family val="2"/>
          </rPr>
          <t>Iwied:</t>
        </r>
        <r>
          <rPr>
            <sz val="9"/>
            <color indexed="81"/>
            <rFont val="Tahoma"/>
            <family val="2"/>
          </rPr>
          <t xml:space="preserve">
Proyeksi LINIER sampai dengan tahun 2030</t>
        </r>
      </text>
    </comment>
    <comment ref="V21" authorId="0" shapeId="0">
      <text>
        <r>
          <rPr>
            <b/>
            <sz val="9"/>
            <color indexed="81"/>
            <rFont val="Tahoma"/>
            <family val="2"/>
          </rPr>
          <t>Iwied:</t>
        </r>
        <r>
          <rPr>
            <sz val="9"/>
            <color indexed="81"/>
            <rFont val="Tahoma"/>
            <family val="2"/>
          </rPr>
          <t xml:space="preserve">
Proyeksi LINIER sampai dengan tahun 2030</t>
        </r>
      </text>
    </comment>
    <comment ref="W21" authorId="0" shapeId="0">
      <text>
        <r>
          <rPr>
            <b/>
            <sz val="9"/>
            <color indexed="81"/>
            <rFont val="Tahoma"/>
            <family val="2"/>
          </rPr>
          <t>Iwied:</t>
        </r>
        <r>
          <rPr>
            <sz val="9"/>
            <color indexed="81"/>
            <rFont val="Tahoma"/>
            <family val="2"/>
          </rPr>
          <t xml:space="preserve">
Proyeksi LINIER sampai dengan tahun 2030</t>
        </r>
      </text>
    </comment>
    <comment ref="X21" authorId="0" shapeId="0">
      <text>
        <r>
          <rPr>
            <b/>
            <sz val="9"/>
            <color indexed="81"/>
            <rFont val="Tahoma"/>
            <family val="2"/>
          </rPr>
          <t>Iwied:</t>
        </r>
        <r>
          <rPr>
            <sz val="9"/>
            <color indexed="81"/>
            <rFont val="Tahoma"/>
            <family val="2"/>
          </rPr>
          <t xml:space="preserve">
Proyeksi LINIER sampai dengan tahun 2030</t>
        </r>
      </text>
    </comment>
    <comment ref="AD21" authorId="0" shapeId="0">
      <text>
        <r>
          <rPr>
            <b/>
            <sz val="9"/>
            <color indexed="81"/>
            <rFont val="Tahoma"/>
            <family val="2"/>
          </rPr>
          <t>Iwied:</t>
        </r>
        <r>
          <rPr>
            <sz val="9"/>
            <color indexed="81"/>
            <rFont val="Tahoma"/>
            <family val="2"/>
          </rPr>
          <t xml:space="preserve">
Proyeksi LINIER sampai dengan 2030</t>
        </r>
      </text>
    </comment>
    <comment ref="B26" authorId="0" shapeId="0">
      <text>
        <r>
          <rPr>
            <b/>
            <sz val="9"/>
            <color indexed="81"/>
            <rFont val="Tahoma"/>
            <family val="2"/>
          </rPr>
          <t>Iwied:</t>
        </r>
        <r>
          <rPr>
            <sz val="9"/>
            <color indexed="81"/>
            <rFont val="Tahoma"/>
            <family val="2"/>
          </rPr>
          <t xml:space="preserve">
Target Luas Sawah dalam RPJMD Berau 2016-2021 adalah 7.190 ha</t>
        </r>
      </text>
    </comment>
    <comment ref="D26" authorId="0" shapeId="0">
      <text>
        <r>
          <rPr>
            <b/>
            <sz val="9"/>
            <color indexed="81"/>
            <rFont val="Tahoma"/>
            <family val="2"/>
          </rPr>
          <t>Iwied:</t>
        </r>
        <r>
          <rPr>
            <sz val="9"/>
            <color indexed="81"/>
            <rFont val="Tahoma"/>
            <family val="2"/>
          </rPr>
          <t xml:space="preserve">
RPJMD Berau 2016-2021</t>
        </r>
      </text>
    </comment>
    <comment ref="J35" authorId="0" shapeId="0">
      <text>
        <r>
          <rPr>
            <b/>
            <sz val="9"/>
            <color indexed="81"/>
            <rFont val="Tahoma"/>
            <family val="2"/>
          </rPr>
          <t>Iwied:</t>
        </r>
        <r>
          <rPr>
            <sz val="9"/>
            <color indexed="81"/>
            <rFont val="Tahoma"/>
            <family val="2"/>
          </rPr>
          <t xml:space="preserve">
Luas Unit Perencanaan Tanaman Pangan dan Hortikulturan (Dokumen LED Berau/LUMENS)</t>
        </r>
      </text>
    </comment>
    <comment ref="K36" authorId="0" shapeId="0">
      <text>
        <r>
          <rPr>
            <b/>
            <sz val="9"/>
            <color indexed="81"/>
            <rFont val="Tahoma"/>
            <family val="2"/>
          </rPr>
          <t>Iwied:</t>
        </r>
        <r>
          <rPr>
            <sz val="9"/>
            <color indexed="81"/>
            <rFont val="Tahoma"/>
            <family val="2"/>
          </rPr>
          <t xml:space="preserve">
Rata-rata persentase luas ladang dibandingkan dengan luas sawah+ladang pada periode 2000 - 2015</t>
        </r>
      </text>
    </comment>
  </commentList>
</comments>
</file>

<file path=xl/comments6.xml><?xml version="1.0" encoding="utf-8"?>
<comments xmlns="http://schemas.openxmlformats.org/spreadsheetml/2006/main">
  <authors>
    <author>Iwied</author>
  </authors>
  <commentList>
    <comment ref="D20" authorId="0" shapeId="0">
      <text>
        <r>
          <rPr>
            <b/>
            <sz val="9"/>
            <color indexed="81"/>
            <rFont val="Tahoma"/>
            <family val="2"/>
          </rPr>
          <t>Iwied:</t>
        </r>
        <r>
          <rPr>
            <sz val="9"/>
            <color indexed="81"/>
            <rFont val="Tahoma"/>
            <family val="2"/>
          </rPr>
          <t xml:space="preserve">
Target produksi padi (RPJMD PPU)</t>
        </r>
      </text>
    </comment>
    <comment ref="B21" authorId="0" shapeId="0">
      <text>
        <r>
          <rPr>
            <b/>
            <sz val="9"/>
            <color indexed="81"/>
            <rFont val="Tahoma"/>
            <family val="2"/>
          </rPr>
          <t>Iwied:</t>
        </r>
        <r>
          <rPr>
            <sz val="9"/>
            <color indexed="81"/>
            <rFont val="Tahoma"/>
            <family val="2"/>
          </rPr>
          <t xml:space="preserve">
Proyeksi berdasarkan form data Kab/Kota sampai dengan 2030</t>
        </r>
      </text>
    </comment>
    <comment ref="D21" authorId="0" shapeId="0">
      <text>
        <r>
          <rPr>
            <b/>
            <sz val="9"/>
            <color indexed="81"/>
            <rFont val="Tahoma"/>
            <family val="2"/>
          </rPr>
          <t>Iwied:</t>
        </r>
        <r>
          <rPr>
            <sz val="9"/>
            <color indexed="81"/>
            <rFont val="Tahoma"/>
            <family val="2"/>
          </rPr>
          <t xml:space="preserve">
Target produksi padi (RPJMD PPU)</t>
        </r>
      </text>
    </comment>
    <comment ref="G21" authorId="0" shapeId="0">
      <text>
        <r>
          <rPr>
            <b/>
            <sz val="9"/>
            <color indexed="81"/>
            <rFont val="Tahoma"/>
            <family val="2"/>
          </rPr>
          <t>Iwied:</t>
        </r>
        <r>
          <rPr>
            <sz val="9"/>
            <color indexed="81"/>
            <rFont val="Tahoma"/>
            <family val="2"/>
          </rPr>
          <t xml:space="preserve">
Proyeksi berdasarkan form data Kab/Kota sampai dengan 2030</t>
        </r>
      </text>
    </comment>
    <comment ref="N21" authorId="0" shapeId="0">
      <text>
        <r>
          <rPr>
            <b/>
            <sz val="9"/>
            <color indexed="81"/>
            <rFont val="Tahoma"/>
            <family val="2"/>
          </rPr>
          <t>Iwied:</t>
        </r>
        <r>
          <rPr>
            <sz val="9"/>
            <color indexed="81"/>
            <rFont val="Tahoma"/>
            <family val="2"/>
          </rPr>
          <t xml:space="preserve">
Angka Proyeksi dari Dinas Peternakan Kaltim </t>
        </r>
      </text>
    </comment>
    <comment ref="O21" authorId="0" shapeId="0">
      <text>
        <r>
          <rPr>
            <b/>
            <sz val="9"/>
            <color indexed="81"/>
            <rFont val="Tahoma"/>
            <family val="2"/>
          </rPr>
          <t>Iwied:</t>
        </r>
        <r>
          <rPr>
            <sz val="9"/>
            <color indexed="81"/>
            <rFont val="Tahoma"/>
            <family val="2"/>
          </rPr>
          <t xml:space="preserve">
Angka dari Form Data Kab/Kota sampai dengan 2030</t>
        </r>
      </text>
    </comment>
    <comment ref="P21" authorId="0" shapeId="0">
      <text>
        <r>
          <rPr>
            <b/>
            <sz val="9"/>
            <color indexed="81"/>
            <rFont val="Tahoma"/>
            <family val="2"/>
          </rPr>
          <t>Iwied:</t>
        </r>
        <r>
          <rPr>
            <sz val="9"/>
            <color indexed="81"/>
            <rFont val="Tahoma"/>
            <family val="2"/>
          </rPr>
          <t xml:space="preserve">
Angka dari Form Data Kab/Kota sampai dengan 2030</t>
        </r>
      </text>
    </comment>
    <comment ref="Q21" authorId="0" shapeId="0">
      <text>
        <r>
          <rPr>
            <b/>
            <sz val="9"/>
            <color indexed="81"/>
            <rFont val="Tahoma"/>
            <family val="2"/>
          </rPr>
          <t>Iwied:</t>
        </r>
        <r>
          <rPr>
            <sz val="9"/>
            <color indexed="81"/>
            <rFont val="Tahoma"/>
            <family val="2"/>
          </rPr>
          <t xml:space="preserve">
Angka dari Form Data Kab/Kota sampai dengan 2030</t>
        </r>
      </text>
    </comment>
    <comment ref="S21" authorId="0" shapeId="0">
      <text>
        <r>
          <rPr>
            <b/>
            <sz val="9"/>
            <color indexed="81"/>
            <rFont val="Tahoma"/>
            <family val="2"/>
          </rPr>
          <t>Iwied:</t>
        </r>
        <r>
          <rPr>
            <sz val="9"/>
            <color indexed="81"/>
            <rFont val="Tahoma"/>
            <family val="2"/>
          </rPr>
          <t xml:space="preserve">
Angka dari Form Data Kab/Kota sampai dengan 2030</t>
        </r>
      </text>
    </comment>
    <comment ref="U21" authorId="0" shapeId="0">
      <text>
        <r>
          <rPr>
            <b/>
            <sz val="9"/>
            <color indexed="81"/>
            <rFont val="Tahoma"/>
            <family val="2"/>
          </rPr>
          <t>Iwied:</t>
        </r>
        <r>
          <rPr>
            <sz val="9"/>
            <color indexed="81"/>
            <rFont val="Tahoma"/>
            <family val="2"/>
          </rPr>
          <t xml:space="preserve">
Angka dari Form Data Kab/Kota sampai dengan 2030</t>
        </r>
      </text>
    </comment>
    <comment ref="V21" authorId="0" shapeId="0">
      <text>
        <r>
          <rPr>
            <b/>
            <sz val="9"/>
            <color indexed="81"/>
            <rFont val="Tahoma"/>
            <family val="2"/>
          </rPr>
          <t>Iwied:</t>
        </r>
        <r>
          <rPr>
            <sz val="9"/>
            <color indexed="81"/>
            <rFont val="Tahoma"/>
            <family val="2"/>
          </rPr>
          <t xml:space="preserve">
Angka dari Form Data Kab/Kota sampai dengan 2030</t>
        </r>
      </text>
    </comment>
    <comment ref="W21" authorId="0" shapeId="0">
      <text>
        <r>
          <rPr>
            <b/>
            <sz val="9"/>
            <color indexed="81"/>
            <rFont val="Tahoma"/>
            <family val="2"/>
          </rPr>
          <t>Iwied:</t>
        </r>
        <r>
          <rPr>
            <sz val="9"/>
            <color indexed="81"/>
            <rFont val="Tahoma"/>
            <family val="2"/>
          </rPr>
          <t xml:space="preserve">
Angka dari Form Data Kab/Kota sampai dengan 2030</t>
        </r>
      </text>
    </comment>
    <comment ref="X21" authorId="0" shapeId="0">
      <text>
        <r>
          <rPr>
            <b/>
            <sz val="9"/>
            <color indexed="81"/>
            <rFont val="Tahoma"/>
            <family val="2"/>
          </rPr>
          <t>Iwied:</t>
        </r>
        <r>
          <rPr>
            <sz val="9"/>
            <color indexed="81"/>
            <rFont val="Tahoma"/>
            <family val="2"/>
          </rPr>
          <t xml:space="preserve">
Angka dari Form Data Kab/Kota sampai dengan 2030</t>
        </r>
      </text>
    </comment>
    <comment ref="Z21" authorId="0" shapeId="0">
      <text>
        <r>
          <rPr>
            <b/>
            <sz val="9"/>
            <color indexed="81"/>
            <rFont val="Tahoma"/>
            <family val="2"/>
          </rPr>
          <t>Iwied:</t>
        </r>
        <r>
          <rPr>
            <sz val="9"/>
            <color indexed="81"/>
            <rFont val="Tahoma"/>
            <family val="2"/>
          </rPr>
          <t xml:space="preserve">
tidak dilakukan proyeksi</t>
        </r>
      </text>
    </comment>
    <comment ref="D22" authorId="0" shapeId="0">
      <text>
        <r>
          <rPr>
            <b/>
            <sz val="9"/>
            <color indexed="81"/>
            <rFont val="Tahoma"/>
            <family val="2"/>
          </rPr>
          <t>Iwied:</t>
        </r>
        <r>
          <rPr>
            <sz val="9"/>
            <color indexed="81"/>
            <rFont val="Tahoma"/>
            <family val="2"/>
          </rPr>
          <t xml:space="preserve">
Target produksi padi (RPJMD PPU)</t>
        </r>
      </text>
    </comment>
    <comment ref="D23" authorId="0" shapeId="0">
      <text>
        <r>
          <rPr>
            <b/>
            <sz val="9"/>
            <color indexed="81"/>
            <rFont val="Tahoma"/>
            <family val="2"/>
          </rPr>
          <t>Iwied:</t>
        </r>
        <r>
          <rPr>
            <sz val="9"/>
            <color indexed="81"/>
            <rFont val="Tahoma"/>
            <family val="2"/>
          </rPr>
          <t xml:space="preserve">
Target produksi padi (RPJMD PPU)</t>
        </r>
      </text>
    </comment>
    <comment ref="D24" authorId="0" shapeId="0">
      <text>
        <r>
          <rPr>
            <b/>
            <sz val="9"/>
            <color indexed="81"/>
            <rFont val="Tahoma"/>
            <family val="2"/>
          </rPr>
          <t>Iwied:</t>
        </r>
        <r>
          <rPr>
            <sz val="9"/>
            <color indexed="81"/>
            <rFont val="Tahoma"/>
            <family val="2"/>
          </rPr>
          <t xml:space="preserve">
Target produksi padi (RPJMD PPU)</t>
        </r>
      </text>
    </comment>
    <comment ref="D25" authorId="0" shapeId="0">
      <text>
        <r>
          <rPr>
            <b/>
            <sz val="9"/>
            <color indexed="81"/>
            <rFont val="Tahoma"/>
            <family val="2"/>
          </rPr>
          <t>Iwied:</t>
        </r>
        <r>
          <rPr>
            <sz val="9"/>
            <color indexed="81"/>
            <rFont val="Tahoma"/>
            <family val="2"/>
          </rPr>
          <t xml:space="preserve">
Target produksi padi (RPJMD PPU)</t>
        </r>
      </text>
    </comment>
    <comment ref="J35" authorId="0" shapeId="0">
      <text>
        <r>
          <rPr>
            <b/>
            <sz val="9"/>
            <color indexed="81"/>
            <rFont val="Tahoma"/>
            <family val="2"/>
          </rPr>
          <t>Iwied:</t>
        </r>
        <r>
          <rPr>
            <sz val="9"/>
            <color indexed="81"/>
            <rFont val="Tahoma"/>
            <family val="2"/>
          </rPr>
          <t xml:space="preserve">
diambil dari luas pola ruang Tanaman Pangan dan Hortikultura di Kab PPU  (RTRW Kaltim)</t>
        </r>
      </text>
    </comment>
  </commentList>
</comments>
</file>

<file path=xl/comments7.xml><?xml version="1.0" encoding="utf-8"?>
<comments xmlns="http://schemas.openxmlformats.org/spreadsheetml/2006/main">
  <authors>
    <author>Iwied</author>
  </authors>
  <commentList>
    <comment ref="B21" authorId="0" shapeId="0">
      <text>
        <r>
          <rPr>
            <b/>
            <sz val="9"/>
            <color indexed="81"/>
            <rFont val="Tahoma"/>
            <family val="2"/>
          </rPr>
          <t>Iwied:</t>
        </r>
        <r>
          <rPr>
            <sz val="9"/>
            <color indexed="81"/>
            <rFont val="Tahoma"/>
            <family val="2"/>
          </rPr>
          <t xml:space="preserve">
Proyeksi menggunakan proporsi luas ladang vs sawah berdasarkan alokasi lahan pertanian</t>
        </r>
      </text>
    </comment>
    <comment ref="G21" authorId="0" shapeId="0">
      <text>
        <r>
          <rPr>
            <b/>
            <sz val="9"/>
            <color indexed="81"/>
            <rFont val="Tahoma"/>
            <family val="2"/>
          </rPr>
          <t>Iwied:</t>
        </r>
        <r>
          <rPr>
            <sz val="9"/>
            <color indexed="81"/>
            <rFont val="Tahoma"/>
            <family val="2"/>
          </rPr>
          <t xml:space="preserve">
Proyeksi menggunakan proporsi luas ladang vs sawah berdasarkan alokasi lahan pertanian</t>
        </r>
      </text>
    </comment>
    <comment ref="J35" authorId="0" shapeId="0">
      <text>
        <r>
          <rPr>
            <b/>
            <sz val="9"/>
            <color indexed="81"/>
            <rFont val="Tahoma"/>
            <family val="2"/>
          </rPr>
          <t>Iwied:</t>
        </r>
        <r>
          <rPr>
            <sz val="9"/>
            <color indexed="81"/>
            <rFont val="Tahoma"/>
            <family val="2"/>
          </rPr>
          <t xml:space="preserve">
diambil dari luas pola ruang Tanaman Pangan dan Hortikultura di Kota Samarinda  (RTRW Kaltim)</t>
        </r>
      </text>
    </comment>
  </commentList>
</comments>
</file>

<file path=xl/comments8.xml><?xml version="1.0" encoding="utf-8"?>
<comments xmlns="http://schemas.openxmlformats.org/spreadsheetml/2006/main">
  <authors>
    <author>Iwied</author>
  </authors>
  <commentList>
    <comment ref="J35" authorId="0" shapeId="0">
      <text>
        <r>
          <rPr>
            <b/>
            <sz val="9"/>
            <color indexed="81"/>
            <rFont val="Tahoma"/>
            <family val="2"/>
          </rPr>
          <t>Iwied:</t>
        </r>
        <r>
          <rPr>
            <sz val="9"/>
            <color indexed="81"/>
            <rFont val="Tahoma"/>
            <family val="2"/>
          </rPr>
          <t xml:space="preserve">
Luas Peruntukan ruang tanaman hortikultura di RTRW Kaltim</t>
        </r>
      </text>
    </comment>
  </commentList>
</comments>
</file>

<file path=xl/sharedStrings.xml><?xml version="1.0" encoding="utf-8"?>
<sst xmlns="http://schemas.openxmlformats.org/spreadsheetml/2006/main" count="342" uniqueCount="64">
  <si>
    <t>Hasil Per Ha (Kw)</t>
  </si>
  <si>
    <t>Produksi (Ton)</t>
  </si>
  <si>
    <t>Luas Panen, Hasil Per Hektar dan Produksi Padi Sawah</t>
  </si>
  <si>
    <t>KABUPATEN PASER</t>
  </si>
  <si>
    <t>Luas Panen (ha)</t>
  </si>
  <si>
    <t>Luas Panen, Hasil Per Hektar dan Produksi Padi Bukan Sawah</t>
  </si>
  <si>
    <t>KABUPATEN KUTAI BARAT</t>
  </si>
  <si>
    <t>KABUPATEN KUTAI KERTANEGARA</t>
  </si>
  <si>
    <t>KABUPATEN KUTAI TIMUR</t>
  </si>
  <si>
    <t>KABUPATEN BERAU</t>
  </si>
  <si>
    <t>KABUPATEN PENAJAM PASER UTARA</t>
  </si>
  <si>
    <t>KABUPATEN MAHULU</t>
  </si>
  <si>
    <t>KOTA BALIKPAPAN</t>
  </si>
  <si>
    <t>KOTA SAMARINDA</t>
  </si>
  <si>
    <t>KOTA BONTANG</t>
  </si>
  <si>
    <t>Sapi</t>
  </si>
  <si>
    <t>Sapi Perah</t>
  </si>
  <si>
    <t>Kerbau</t>
  </si>
  <si>
    <t>Kambing</t>
  </si>
  <si>
    <t>Domba</t>
  </si>
  <si>
    <t>Babi</t>
  </si>
  <si>
    <t>Kuda</t>
  </si>
  <si>
    <t>Ayam Kampung</t>
  </si>
  <si>
    <t>Ayam Ras Pedaging</t>
  </si>
  <si>
    <t>Ayam Ras Petelur</t>
  </si>
  <si>
    <t>Itik</t>
  </si>
  <si>
    <t>Populasi Ternak (ekor)</t>
  </si>
  <si>
    <t>rata-rata nasional dengan irigasi dan dua kali musim tanam (ton/ha/tahun)</t>
  </si>
  <si>
    <t>rata-rata nasional dengan irigasi dan dua kali musim tanam (kw/ha/tahun)</t>
  </si>
  <si>
    <t>Luas Sawah dan Ladang</t>
  </si>
  <si>
    <t>Hektar</t>
  </si>
  <si>
    <t xml:space="preserve">Luas Sawah+Ladang </t>
  </si>
  <si>
    <t>Luas Sawah_Ladang</t>
  </si>
  <si>
    <t>Luas Sawah+Ladang</t>
  </si>
  <si>
    <t>Palawija</t>
  </si>
  <si>
    <t>Jagung</t>
  </si>
  <si>
    <t>Ubi Kayu</t>
  </si>
  <si>
    <t>Ubi Jalar</t>
  </si>
  <si>
    <t>Kacang Tanah</t>
  </si>
  <si>
    <t>Kedelai</t>
  </si>
  <si>
    <t>Kacang Hijau</t>
  </si>
  <si>
    <t>Luas Alokasi Lahan Pertanian dan Hortikultura</t>
  </si>
  <si>
    <t>Berdasarkan hasil rekonsiliasi LUMENS</t>
  </si>
  <si>
    <t>Kab/Kota</t>
  </si>
  <si>
    <t>Paser</t>
  </si>
  <si>
    <t>Kubar</t>
  </si>
  <si>
    <t>Kukar</t>
  </si>
  <si>
    <t>Kutim</t>
  </si>
  <si>
    <t>Berau</t>
  </si>
  <si>
    <t>PPU</t>
  </si>
  <si>
    <t>Samarinda</t>
  </si>
  <si>
    <t>Balikpapan</t>
  </si>
  <si>
    <t>Bontang</t>
  </si>
  <si>
    <t>Mahulu</t>
  </si>
  <si>
    <t>Luas (ha): RTRW Prov</t>
  </si>
  <si>
    <t>Selisih</t>
  </si>
  <si>
    <t>Luas (ha): LUMENS</t>
  </si>
  <si>
    <t>Luas Tanam Sawah</t>
  </si>
  <si>
    <t>Luas Tanam Ladang</t>
  </si>
  <si>
    <t>Indeks Tanam Sawah Kaltim</t>
  </si>
  <si>
    <t>Luas Tanam Sawah+Ladang</t>
  </si>
  <si>
    <t>Catatan:</t>
  </si>
  <si>
    <t>Semua Angka pada tahun 2000 - 2015: bersumber dari Kaltim Dalam Angka (BPS)</t>
  </si>
  <si>
    <t>Populasi Sapi pada tahun 2017-2030: Angka Proyeksi (sementara) bersumber dari Dinas Peternakan Kaltim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</si>
</sst>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0.0%"/>
    <numFmt numFmtId="166" formatCode="0.000%"/>
    <numFmt numFmtId="167" formatCode="_-* #,##0.0_-;\-* #,##0.0_-;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2">
    <xf numFmtId="0" fontId="0" fillId="0" borderId="0" xfId="0"/>
    <xf numFmtId="0" fontId="2" fillId="0" borderId="0" xfId="0" applyFont="1" applyAlignment="1">
      <alignment horizontal="center"/>
    </xf>
    <xf numFmtId="164" fontId="0" fillId="0" borderId="0" xfId="1" applyNumberFormat="1" applyFont="1"/>
    <xf numFmtId="164" fontId="1" fillId="0" borderId="0" xfId="1" applyNumberFormat="1" applyFont="1" applyFill="1" applyBorder="1" applyAlignment="1">
      <alignment horizontal="right" vertical="center" wrapText="1"/>
    </xf>
    <xf numFmtId="0" fontId="2" fillId="0" borderId="0" xfId="0" applyFont="1" applyAlignment="1">
      <alignment horizontal="center" vertical="center"/>
    </xf>
    <xf numFmtId="164" fontId="0" fillId="0" borderId="0" xfId="1" applyNumberFormat="1" applyFont="1" applyFill="1" applyBorder="1" applyAlignment="1">
      <alignment horizontal="right" vertical="center" wrapText="1"/>
    </xf>
    <xf numFmtId="0" fontId="0" fillId="0" borderId="0" xfId="0" applyFont="1"/>
    <xf numFmtId="0" fontId="0" fillId="0" borderId="0" xfId="0" applyFont="1" applyAlignment="1">
      <alignment horizontal="center" vertical="center"/>
    </xf>
    <xf numFmtId="164" fontId="3" fillId="0" borderId="0" xfId="1" applyNumberFormat="1" applyFont="1" applyFill="1" applyAlignment="1">
      <alignment horizontal="right" vertical="center"/>
    </xf>
    <xf numFmtId="164" fontId="0" fillId="0" borderId="0" xfId="1" applyNumberFormat="1" applyFont="1" applyFill="1" applyAlignment="1">
      <alignment horizontal="right" vertical="center"/>
    </xf>
    <xf numFmtId="164" fontId="3" fillId="0" borderId="0" xfId="1" applyNumberFormat="1" applyFont="1" applyAlignment="1">
      <alignment horizontal="right" vertical="center"/>
    </xf>
    <xf numFmtId="43" fontId="0" fillId="0" borderId="0" xfId="0" applyNumberFormat="1" applyFont="1"/>
    <xf numFmtId="43" fontId="0" fillId="0" borderId="0" xfId="0" applyNumberFormat="1" applyFont="1" applyAlignment="1">
      <alignment horizontal="center" vertical="center"/>
    </xf>
    <xf numFmtId="0" fontId="0" fillId="0" borderId="0" xfId="0" applyNumberFormat="1"/>
    <xf numFmtId="2" fontId="0" fillId="0" borderId="0" xfId="0" applyNumberFormat="1"/>
    <xf numFmtId="43" fontId="0" fillId="0" borderId="0" xfId="0" applyNumberFormat="1"/>
    <xf numFmtId="164" fontId="0" fillId="0" borderId="0" xfId="0" applyNumberFormat="1" applyFont="1"/>
    <xf numFmtId="9" fontId="0" fillId="0" borderId="0" xfId="2" applyFont="1"/>
    <xf numFmtId="165" fontId="0" fillId="0" borderId="0" xfId="2" applyNumberFormat="1" applyFont="1"/>
    <xf numFmtId="10" fontId="0" fillId="0" borderId="0" xfId="2" applyNumberFormat="1" applyFont="1"/>
    <xf numFmtId="43" fontId="0" fillId="0" borderId="0" xfId="1" applyFont="1"/>
    <xf numFmtId="0" fontId="0" fillId="2" borderId="0" xfId="0" applyFont="1" applyFill="1" applyAlignment="1">
      <alignment horizontal="center" vertical="center"/>
    </xf>
    <xf numFmtId="164" fontId="0" fillId="2" borderId="0" xfId="0" applyNumberFormat="1" applyFont="1" applyFill="1"/>
    <xf numFmtId="164" fontId="3" fillId="2" borderId="0" xfId="1" applyNumberFormat="1" applyFont="1" applyFill="1" applyAlignment="1">
      <alignment horizontal="right" vertical="center"/>
    </xf>
    <xf numFmtId="0" fontId="0" fillId="3" borderId="0" xfId="0" applyFont="1" applyFill="1" applyAlignment="1">
      <alignment horizontal="center" vertical="center"/>
    </xf>
    <xf numFmtId="164" fontId="0" fillId="3" borderId="0" xfId="0" applyNumberFormat="1" applyFont="1" applyFill="1"/>
    <xf numFmtId="2" fontId="0" fillId="3" borderId="0" xfId="0" applyNumberFormat="1" applyFont="1" applyFill="1"/>
    <xf numFmtId="2" fontId="0" fillId="3" borderId="0" xfId="0" applyNumberFormat="1" applyFont="1" applyFill="1" applyAlignment="1">
      <alignment vertical="center"/>
    </xf>
    <xf numFmtId="164" fontId="0" fillId="2" borderId="0" xfId="1" applyNumberFormat="1" applyFont="1" applyFill="1"/>
    <xf numFmtId="9" fontId="0" fillId="0" borderId="0" xfId="0" applyNumberFormat="1"/>
    <xf numFmtId="164" fontId="0" fillId="0" borderId="0" xfId="0" applyNumberFormat="1"/>
    <xf numFmtId="164" fontId="0" fillId="2" borderId="0" xfId="0" applyNumberFormat="1" applyFill="1"/>
    <xf numFmtId="2" fontId="0" fillId="2" borderId="0" xfId="0" applyNumberFormat="1" applyFill="1"/>
    <xf numFmtId="0" fontId="0" fillId="2" borderId="0" xfId="0" applyFill="1"/>
    <xf numFmtId="0" fontId="0" fillId="3" borderId="0" xfId="0" applyFill="1"/>
    <xf numFmtId="164" fontId="0" fillId="3" borderId="0" xfId="0" applyNumberFormat="1" applyFill="1"/>
    <xf numFmtId="164" fontId="0" fillId="2" borderId="0" xfId="1" applyNumberFormat="1" applyFont="1" applyFill="1" applyAlignment="1">
      <alignment horizontal="right" vertical="center"/>
    </xf>
    <xf numFmtId="2" fontId="0" fillId="0" borderId="0" xfId="0" applyNumberFormat="1" applyAlignment="1">
      <alignment horizontal="right" vertical="center"/>
    </xf>
    <xf numFmtId="9" fontId="0" fillId="0" borderId="0" xfId="2" applyFont="1" applyAlignment="1">
      <alignment horizontal="center"/>
    </xf>
    <xf numFmtId="0" fontId="0" fillId="0" borderId="0" xfId="0" applyFont="1" applyAlignment="1">
      <alignment horizontal="center"/>
    </xf>
    <xf numFmtId="0" fontId="2" fillId="0" borderId="0" xfId="0" applyFont="1" applyAlignment="1">
      <alignment horizontal="center"/>
    </xf>
    <xf numFmtId="164" fontId="0" fillId="4" borderId="0" xfId="1" applyNumberFormat="1" applyFont="1" applyFill="1"/>
    <xf numFmtId="164" fontId="0" fillId="0" borderId="0" xfId="1" applyNumberFormat="1" applyFont="1" applyFill="1"/>
    <xf numFmtId="9" fontId="0" fillId="4" borderId="0" xfId="0" applyNumberFormat="1" applyFill="1"/>
    <xf numFmtId="10" fontId="0" fillId="4" borderId="0" xfId="0" applyNumberFormat="1" applyFill="1"/>
    <xf numFmtId="10" fontId="0" fillId="4" borderId="0" xfId="2" applyNumberFormat="1" applyFont="1" applyFill="1"/>
    <xf numFmtId="166" fontId="0" fillId="0" borderId="0" xfId="2" applyNumberFormat="1" applyFont="1"/>
    <xf numFmtId="164" fontId="3" fillId="0" borderId="0" xfId="1" applyNumberFormat="1" applyFont="1" applyAlignment="1">
      <alignment horizontal="center" vertical="center"/>
    </xf>
    <xf numFmtId="164" fontId="0" fillId="0" borderId="0" xfId="1" applyNumberFormat="1" applyFont="1" applyAlignment="1">
      <alignment horizontal="center" vertical="center"/>
    </xf>
    <xf numFmtId="1" fontId="0" fillId="0" borderId="0" xfId="0" applyNumberFormat="1" applyFont="1" applyAlignment="1">
      <alignment horizontal="center" vertical="center"/>
    </xf>
    <xf numFmtId="1" fontId="0" fillId="0" borderId="0" xfId="1" applyNumberFormat="1" applyFont="1" applyAlignment="1">
      <alignment horizontal="center" vertical="center"/>
    </xf>
    <xf numFmtId="1" fontId="3" fillId="0" borderId="0" xfId="1" applyNumberFormat="1" applyFont="1" applyAlignment="1">
      <alignment horizontal="center" vertical="center"/>
    </xf>
    <xf numFmtId="1" fontId="0" fillId="0" borderId="0" xfId="0" applyNumberFormat="1" applyAlignment="1">
      <alignment horizontal="center" vertical="center"/>
    </xf>
    <xf numFmtId="164" fontId="0" fillId="5" borderId="0" xfId="1" applyNumberFormat="1" applyFont="1" applyFill="1"/>
    <xf numFmtId="164" fontId="0" fillId="5" borderId="0" xfId="1" applyNumberFormat="1" applyFont="1" applyFill="1" applyAlignment="1">
      <alignment horizontal="right" vertical="center"/>
    </xf>
    <xf numFmtId="0" fontId="0" fillId="0" borderId="0" xfId="0" applyAlignment="1">
      <alignment horizontal="center" vertical="center"/>
    </xf>
    <xf numFmtId="0" fontId="0" fillId="0" borderId="0" xfId="0" applyAlignment="1">
      <alignment vertical="center"/>
    </xf>
    <xf numFmtId="164" fontId="0" fillId="0" borderId="0" xfId="1" applyNumberFormat="1" applyFont="1" applyAlignment="1">
      <alignment vertical="center"/>
    </xf>
    <xf numFmtId="164" fontId="0" fillId="0" borderId="0" xfId="0" applyNumberFormat="1" applyAlignment="1">
      <alignment vertical="center"/>
    </xf>
    <xf numFmtId="165" fontId="0" fillId="2" borderId="0" xfId="0" applyNumberFormat="1" applyFont="1" applyFill="1"/>
    <xf numFmtId="164" fontId="0" fillId="0" borderId="0" xfId="0" applyNumberFormat="1" applyFont="1" applyFill="1"/>
    <xf numFmtId="0" fontId="2" fillId="2" borderId="0" xfId="0" applyFont="1" applyFill="1" applyAlignment="1">
      <alignment vertical="center"/>
    </xf>
    <xf numFmtId="165" fontId="0" fillId="0" borderId="0" xfId="0" applyNumberFormat="1"/>
    <xf numFmtId="0" fontId="0" fillId="0" borderId="0" xfId="0" applyFont="1" applyAlignment="1">
      <alignment vertical="center" wrapText="1"/>
    </xf>
    <xf numFmtId="1" fontId="0"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Font="1" applyFill="1" applyAlignment="1">
      <alignment horizontal="center" vertical="center"/>
    </xf>
    <xf numFmtId="43" fontId="0" fillId="0" borderId="0" xfId="0" applyNumberFormat="1" applyFont="1" applyFill="1"/>
    <xf numFmtId="1" fontId="0" fillId="0" borderId="0" xfId="0" applyNumberFormat="1" applyFont="1" applyFill="1" applyAlignment="1">
      <alignment horizontal="center" vertical="center"/>
    </xf>
    <xf numFmtId="1" fontId="0" fillId="0" borderId="0" xfId="1" applyNumberFormat="1" applyFont="1" applyFill="1" applyAlignment="1">
      <alignment horizontal="center" vertical="center"/>
    </xf>
    <xf numFmtId="2" fontId="0" fillId="0" borderId="0" xfId="0" applyNumberFormat="1" applyFill="1"/>
    <xf numFmtId="164" fontId="0" fillId="0" borderId="0" xfId="0" applyNumberFormat="1" applyFill="1"/>
    <xf numFmtId="0" fontId="0" fillId="0" borderId="0" xfId="0" applyFill="1"/>
    <xf numFmtId="164" fontId="3" fillId="0" borderId="0" xfId="1" applyNumberFormat="1" applyFont="1" applyFill="1" applyAlignment="1">
      <alignment horizontal="center" vertical="center"/>
    </xf>
    <xf numFmtId="43" fontId="0" fillId="0" borderId="0" xfId="1" applyFont="1" applyFill="1"/>
    <xf numFmtId="1" fontId="3" fillId="0" borderId="0" xfId="1" applyNumberFormat="1" applyFont="1" applyFill="1" applyAlignment="1">
      <alignment horizontal="center" vertical="center"/>
    </xf>
    <xf numFmtId="167" fontId="0" fillId="0" borderId="0" xfId="0" applyNumberFormat="1"/>
    <xf numFmtId="167" fontId="0" fillId="2" borderId="0" xfId="0" applyNumberFormat="1" applyFill="1"/>
    <xf numFmtId="164" fontId="0" fillId="6" borderId="0" xfId="1" applyNumberFormat="1" applyFont="1" applyFill="1"/>
    <xf numFmtId="164" fontId="0" fillId="3" borderId="0" xfId="1" applyNumberFormat="1" applyFont="1" applyFill="1" applyBorder="1" applyAlignment="1">
      <alignment vertical="top"/>
    </xf>
    <xf numFmtId="1" fontId="0" fillId="2" borderId="0" xfId="0" applyNumberFormat="1" applyFont="1" applyFill="1"/>
    <xf numFmtId="164" fontId="0" fillId="0" borderId="0" xfId="1" applyNumberFormat="1" applyFont="1" applyFill="1" applyBorder="1" applyAlignment="1">
      <alignment horizontal="center" vertical="center" wrapText="1"/>
    </xf>
    <xf numFmtId="164" fontId="1" fillId="0" borderId="0" xfId="1" applyNumberFormat="1" applyFont="1" applyFill="1" applyBorder="1" applyAlignment="1">
      <alignment horizontal="center" vertical="center" wrapText="1"/>
    </xf>
    <xf numFmtId="164" fontId="0" fillId="0" borderId="0" xfId="1" applyNumberFormat="1" applyFont="1" applyAlignment="1">
      <alignment horizontal="center"/>
    </xf>
    <xf numFmtId="1" fontId="0" fillId="0" borderId="0" xfId="0" applyNumberFormat="1" applyFont="1" applyFill="1"/>
    <xf numFmtId="164" fontId="0" fillId="0" borderId="0" xfId="1" applyNumberFormat="1" applyFont="1" applyFill="1" applyBorder="1" applyAlignment="1">
      <alignment vertical="center" wrapText="1"/>
    </xf>
    <xf numFmtId="164" fontId="1" fillId="0" borderId="0" xfId="1" applyNumberFormat="1" applyFont="1" applyFill="1" applyBorder="1" applyAlignment="1">
      <alignment vertical="center" wrapText="1"/>
    </xf>
    <xf numFmtId="164" fontId="0" fillId="0" borderId="0" xfId="1" applyNumberFormat="1" applyFont="1" applyAlignment="1"/>
    <xf numFmtId="164" fontId="0" fillId="0" borderId="0" xfId="1" applyNumberFormat="1" applyFont="1" applyFill="1" applyAlignment="1">
      <alignment vertical="center"/>
    </xf>
    <xf numFmtId="164" fontId="3" fillId="0" borderId="0" xfId="1" applyNumberFormat="1" applyFont="1" applyAlignment="1">
      <alignment vertical="center"/>
    </xf>
    <xf numFmtId="164" fontId="0" fillId="0" borderId="0" xfId="1" applyNumberFormat="1" applyFont="1" applyFill="1" applyAlignment="1">
      <alignment horizontal="center" vertical="center"/>
    </xf>
    <xf numFmtId="43" fontId="0" fillId="2" borderId="0" xfId="1" applyNumberFormat="1" applyFont="1" applyFill="1" applyAlignment="1">
      <alignment horizontal="right" vertical="center"/>
    </xf>
    <xf numFmtId="164" fontId="0" fillId="0" borderId="0" xfId="1" applyNumberFormat="1" applyFont="1" applyFill="1" applyAlignment="1">
      <alignment horizontal="center" vertical="center" wrapText="1"/>
    </xf>
    <xf numFmtId="164" fontId="0" fillId="0" borderId="0" xfId="1" applyNumberFormat="1" applyFont="1" applyFill="1" applyBorder="1" applyAlignment="1">
      <alignment horizontal="left" vertical="center" wrapText="1"/>
    </xf>
    <xf numFmtId="164" fontId="0" fillId="0" borderId="0" xfId="1" applyNumberFormat="1" applyFont="1" applyAlignment="1">
      <alignment horizontal="left"/>
    </xf>
    <xf numFmtId="164" fontId="0" fillId="8" borderId="0" xfId="0" applyNumberFormat="1" applyFont="1" applyFill="1"/>
    <xf numFmtId="164" fontId="0" fillId="8" borderId="0" xfId="1" applyNumberFormat="1" applyFont="1" applyFill="1"/>
    <xf numFmtId="164" fontId="0" fillId="8" borderId="0" xfId="0" applyNumberFormat="1" applyFill="1"/>
    <xf numFmtId="0" fontId="0" fillId="8" borderId="0" xfId="0" applyFill="1"/>
    <xf numFmtId="167" fontId="0" fillId="0" borderId="0" xfId="1" applyNumberFormat="1" applyFont="1" applyAlignment="1">
      <alignment horizontal="right" vertical="center"/>
    </xf>
    <xf numFmtId="167" fontId="0" fillId="0" borderId="0" xfId="1" applyNumberFormat="1" applyFont="1" applyFill="1" applyAlignment="1">
      <alignment horizontal="right" vertical="center"/>
    </xf>
    <xf numFmtId="164" fontId="0" fillId="8" borderId="0" xfId="1" applyNumberFormat="1" applyFont="1" applyFill="1" applyAlignment="1">
      <alignment horizontal="right" vertical="center"/>
    </xf>
    <xf numFmtId="164" fontId="3" fillId="8" borderId="0" xfId="1" applyNumberFormat="1" applyFont="1" applyFill="1" applyAlignment="1">
      <alignment horizontal="right" vertical="center"/>
    </xf>
    <xf numFmtId="164" fontId="0" fillId="7" borderId="0" xfId="1" applyNumberFormat="1" applyFont="1" applyFill="1"/>
    <xf numFmtId="164" fontId="0" fillId="2" borderId="0" xfId="1" applyNumberFormat="1" applyFont="1" applyFill="1" applyAlignment="1">
      <alignment horizontal="center" vertical="center"/>
    </xf>
    <xf numFmtId="164" fontId="3" fillId="2" borderId="0" xfId="1" applyNumberFormat="1" applyFont="1" applyFill="1" applyAlignment="1">
      <alignment horizontal="center" vertical="center"/>
    </xf>
    <xf numFmtId="164" fontId="0" fillId="2" borderId="0" xfId="1" applyNumberFormat="1" applyFont="1" applyFill="1" applyAlignment="1">
      <alignment horizontal="right"/>
    </xf>
    <xf numFmtId="164" fontId="0" fillId="7" borderId="0" xfId="1" applyNumberFormat="1" applyFont="1" applyFill="1" applyAlignment="1">
      <alignment horizontal="center" vertical="center"/>
    </xf>
    <xf numFmtId="164" fontId="0" fillId="7" borderId="0" xfId="1" applyNumberFormat="1" applyFont="1" applyFill="1" applyAlignment="1">
      <alignment horizontal="right" vertical="center"/>
    </xf>
    <xf numFmtId="164" fontId="0" fillId="7" borderId="0" xfId="1" applyNumberFormat="1" applyFont="1" applyFill="1" applyAlignment="1">
      <alignment horizontal="right"/>
    </xf>
    <xf numFmtId="164" fontId="0" fillId="7" borderId="0" xfId="1" applyNumberFormat="1" applyFont="1" applyFill="1" applyAlignment="1"/>
    <xf numFmtId="164" fontId="0" fillId="8" borderId="0" xfId="1" applyNumberFormat="1" applyFont="1" applyFill="1" applyAlignment="1"/>
    <xf numFmtId="164" fontId="3" fillId="8" borderId="0" xfId="1" applyNumberFormat="1" applyFont="1" applyFill="1" applyAlignment="1">
      <alignment vertical="center"/>
    </xf>
    <xf numFmtId="164" fontId="3" fillId="8" borderId="0" xfId="1" applyNumberFormat="1" applyFont="1" applyFill="1" applyAlignment="1">
      <alignment horizontal="center" vertical="center"/>
    </xf>
    <xf numFmtId="164" fontId="0" fillId="8" borderId="0" xfId="1" applyNumberFormat="1" applyFont="1" applyFill="1" applyAlignment="1">
      <alignment horizontal="center" vertical="center"/>
    </xf>
    <xf numFmtId="0" fontId="0" fillId="5" borderId="0" xfId="0" applyFill="1" applyAlignment="1">
      <alignment horizontal="left" wrapText="1"/>
    </xf>
    <xf numFmtId="0" fontId="0" fillId="0" borderId="0" xfId="0" applyFont="1" applyAlignment="1">
      <alignment horizontal="center" vertical="center" wrapText="1"/>
    </xf>
    <xf numFmtId="0" fontId="2" fillId="0" borderId="0" xfId="0" applyFont="1" applyAlignment="1">
      <alignment horizontal="center" vertical="center" wrapText="1"/>
    </xf>
    <xf numFmtId="0" fontId="0" fillId="2" borderId="0" xfId="0" applyFill="1" applyAlignment="1">
      <alignment horizontal="left"/>
    </xf>
    <xf numFmtId="0" fontId="0" fillId="0" borderId="0" xfId="0" applyFont="1" applyAlignment="1">
      <alignment horizontal="center"/>
    </xf>
    <xf numFmtId="0" fontId="2" fillId="0" borderId="0" xfId="0" applyFont="1" applyAlignment="1">
      <alignment horizontal="center"/>
    </xf>
    <xf numFmtId="0" fontId="0" fillId="2" borderId="0" xfId="0" applyFont="1" applyFill="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2.5120953630796149E-2"/>
                  <c:y val="-0.387403397491980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Paser!$H$45:$H$66</c:f>
              <c:numCache>
                <c:formatCode>_-* #,##0_-;\-* #,##0_-;_-* "-"??_-;_-@_-</c:formatCode>
                <c:ptCount val="22"/>
                <c:pt idx="0">
                  <c:v>21953.23076923077</c:v>
                </c:pt>
                <c:pt idx="1">
                  <c:v>19040.923076923078</c:v>
                </c:pt>
                <c:pt idx="2">
                  <c:v>18252.307692307691</c:v>
                </c:pt>
                <c:pt idx="3">
                  <c:v>9348.2307692307695</c:v>
                </c:pt>
                <c:pt idx="4">
                  <c:v>10200.307692307691</c:v>
                </c:pt>
                <c:pt idx="5">
                  <c:v>10312.615384615385</c:v>
                </c:pt>
                <c:pt idx="6">
                  <c:v>10650</c:v>
                </c:pt>
                <c:pt idx="7">
                  <c:v>14356.23076923077</c:v>
                </c:pt>
                <c:pt idx="8">
                  <c:v>14726.846153846152</c:v>
                </c:pt>
                <c:pt idx="9">
                  <c:v>11344.76923076923</c:v>
                </c:pt>
                <c:pt idx="10">
                  <c:v>10038.846153846152</c:v>
                </c:pt>
                <c:pt idx="11">
                  <c:v>8010.2307692307695</c:v>
                </c:pt>
                <c:pt idx="12">
                  <c:v>8640.538461538461</c:v>
                </c:pt>
                <c:pt idx="13">
                  <c:v>8633.2307692307695</c:v>
                </c:pt>
                <c:pt idx="14">
                  <c:v>7539.6153846153848</c:v>
                </c:pt>
                <c:pt idx="15">
                  <c:v>7967.6153846153848</c:v>
                </c:pt>
                <c:pt idx="16">
                  <c:v>9373</c:v>
                </c:pt>
                <c:pt idx="17">
                  <c:v>9600</c:v>
                </c:pt>
                <c:pt idx="18">
                  <c:v>9800</c:v>
                </c:pt>
                <c:pt idx="19">
                  <c:v>10000</c:v>
                </c:pt>
                <c:pt idx="20">
                  <c:v>10200</c:v>
                </c:pt>
                <c:pt idx="21">
                  <c:v>10400</c:v>
                </c:pt>
              </c:numCache>
            </c:numRef>
          </c:val>
          <c:smooth val="0"/>
        </c:ser>
        <c:dLbls>
          <c:showLegendKey val="0"/>
          <c:showVal val="0"/>
          <c:showCatName val="0"/>
          <c:showSerName val="0"/>
          <c:showPercent val="0"/>
          <c:showBubbleSize val="0"/>
        </c:dLbls>
        <c:marker val="1"/>
        <c:smooth val="0"/>
        <c:axId val="504471536"/>
        <c:axId val="494349664"/>
      </c:lineChart>
      <c:catAx>
        <c:axId val="504471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9664"/>
        <c:crosses val="autoZero"/>
        <c:auto val="1"/>
        <c:lblAlgn val="ctr"/>
        <c:lblOffset val="100"/>
        <c:noMultiLvlLbl val="0"/>
      </c:catAx>
      <c:valAx>
        <c:axId val="4943496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0.16162350332584458"/>
                  <c:y val="-0.126835447652376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Berau!$AD$14:$AD$20</c:f>
              <c:numCache>
                <c:formatCode>_-* #,##0_-;\-* #,##0_-;_-* "-"??_-;_-@_-</c:formatCode>
                <c:ptCount val="7"/>
                <c:pt idx="0">
                  <c:v>449</c:v>
                </c:pt>
                <c:pt idx="1">
                  <c:v>472</c:v>
                </c:pt>
                <c:pt idx="2">
                  <c:v>384</c:v>
                </c:pt>
                <c:pt idx="3">
                  <c:v>278</c:v>
                </c:pt>
                <c:pt idx="4">
                  <c:v>376</c:v>
                </c:pt>
                <c:pt idx="5">
                  <c:v>401</c:v>
                </c:pt>
                <c:pt idx="6">
                  <c:v>574</c:v>
                </c:pt>
              </c:numCache>
            </c:numRef>
          </c:val>
          <c:smooth val="0"/>
        </c:ser>
        <c:dLbls>
          <c:showLegendKey val="0"/>
          <c:showVal val="0"/>
          <c:showCatName val="0"/>
          <c:showSerName val="0"/>
          <c:showPercent val="0"/>
          <c:showBubbleSize val="0"/>
        </c:dLbls>
        <c:marker val="1"/>
        <c:smooth val="0"/>
        <c:axId val="494360248"/>
        <c:axId val="494360640"/>
      </c:lineChart>
      <c:catAx>
        <c:axId val="494360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60640"/>
        <c:crosses val="autoZero"/>
        <c:auto val="1"/>
        <c:lblAlgn val="ctr"/>
        <c:lblOffset val="100"/>
        <c:noMultiLvlLbl val="0"/>
      </c:catAx>
      <c:valAx>
        <c:axId val="4943606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60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1.4194663167104112E-2"/>
                  <c:y val="-0.140462233887430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Balikpapan!$U$5:$U$20</c:f>
              <c:numCache>
                <c:formatCode>_-* #,##0_-;\-* #,##0_-;_-* "-"??_-;_-@_-</c:formatCode>
                <c:ptCount val="16"/>
                <c:pt idx="0">
                  <c:v>5100</c:v>
                </c:pt>
                <c:pt idx="1">
                  <c:v>115000</c:v>
                </c:pt>
                <c:pt idx="2">
                  <c:v>144100</c:v>
                </c:pt>
                <c:pt idx="3">
                  <c:v>223000</c:v>
                </c:pt>
                <c:pt idx="4">
                  <c:v>114100</c:v>
                </c:pt>
                <c:pt idx="5">
                  <c:v>73500</c:v>
                </c:pt>
                <c:pt idx="6">
                  <c:v>73500</c:v>
                </c:pt>
                <c:pt idx="7">
                  <c:v>104900</c:v>
                </c:pt>
                <c:pt idx="8">
                  <c:v>49949</c:v>
                </c:pt>
                <c:pt idx="9">
                  <c:v>40115</c:v>
                </c:pt>
                <c:pt idx="10">
                  <c:v>34216</c:v>
                </c:pt>
                <c:pt idx="11">
                  <c:v>32684</c:v>
                </c:pt>
                <c:pt idx="12">
                  <c:v>47678</c:v>
                </c:pt>
                <c:pt idx="13">
                  <c:v>48320</c:v>
                </c:pt>
                <c:pt idx="14">
                  <c:v>70769</c:v>
                </c:pt>
                <c:pt idx="15">
                  <c:v>74312</c:v>
                </c:pt>
              </c:numCache>
            </c:numRef>
          </c:val>
          <c:smooth val="0"/>
        </c:ser>
        <c:dLbls>
          <c:showLegendKey val="0"/>
          <c:showVal val="0"/>
          <c:showCatName val="0"/>
          <c:showSerName val="0"/>
          <c:showPercent val="0"/>
          <c:showBubbleSize val="0"/>
        </c:dLbls>
        <c:marker val="1"/>
        <c:smooth val="0"/>
        <c:axId val="494361424"/>
        <c:axId val="494361816"/>
      </c:lineChart>
      <c:catAx>
        <c:axId val="494361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61816"/>
        <c:crosses val="autoZero"/>
        <c:auto val="1"/>
        <c:lblAlgn val="ctr"/>
        <c:lblOffset val="100"/>
        <c:noMultiLvlLbl val="0"/>
      </c:catAx>
      <c:valAx>
        <c:axId val="4943618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6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7465266841644792"/>
                  <c:y val="1.29884806065908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Bontang!$W$5:$W$20</c:f>
              <c:numCache>
                <c:formatCode>_-* #,##0_-;\-* #,##0_-;_-* "-"??_-;_-@_-</c:formatCode>
                <c:ptCount val="16"/>
                <c:pt idx="0">
                  <c:v>1000</c:v>
                </c:pt>
                <c:pt idx="1">
                  <c:v>500</c:v>
                </c:pt>
                <c:pt idx="2">
                  <c:v>600</c:v>
                </c:pt>
                <c:pt idx="3">
                  <c:v>500</c:v>
                </c:pt>
                <c:pt idx="4">
                  <c:v>300</c:v>
                </c:pt>
                <c:pt idx="5">
                  <c:v>0</c:v>
                </c:pt>
                <c:pt idx="6">
                  <c:v>300</c:v>
                </c:pt>
                <c:pt idx="7">
                  <c:v>2100</c:v>
                </c:pt>
                <c:pt idx="8">
                  <c:v>666</c:v>
                </c:pt>
                <c:pt idx="9">
                  <c:v>666</c:v>
                </c:pt>
                <c:pt idx="10">
                  <c:v>679</c:v>
                </c:pt>
                <c:pt idx="11">
                  <c:v>679</c:v>
                </c:pt>
                <c:pt idx="12">
                  <c:v>679</c:v>
                </c:pt>
                <c:pt idx="13">
                  <c:v>2663</c:v>
                </c:pt>
                <c:pt idx="14">
                  <c:v>6323</c:v>
                </c:pt>
                <c:pt idx="15">
                  <c:v>8766</c:v>
                </c:pt>
              </c:numCache>
            </c:numRef>
          </c:val>
          <c:smooth val="0"/>
        </c:ser>
        <c:dLbls>
          <c:showLegendKey val="0"/>
          <c:showVal val="0"/>
          <c:showCatName val="0"/>
          <c:showSerName val="0"/>
          <c:showPercent val="0"/>
          <c:showBubbleSize val="0"/>
        </c:dLbls>
        <c:marker val="1"/>
        <c:smooth val="0"/>
        <c:axId val="494362600"/>
        <c:axId val="494362992"/>
      </c:lineChart>
      <c:catAx>
        <c:axId val="494362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62992"/>
        <c:crosses val="autoZero"/>
        <c:auto val="1"/>
        <c:lblAlgn val="ctr"/>
        <c:lblOffset val="100"/>
        <c:noMultiLvlLbl val="0"/>
      </c:catAx>
      <c:valAx>
        <c:axId val="4943629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62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4.0991996696679321E-2"/>
                  <c:y val="0.133005978419364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Paser!$G$5:$G$26</c:f>
              <c:numCache>
                <c:formatCode>_-* #,##0_-;\-* #,##0_-;_-* "-"??_-;_-@_-</c:formatCode>
                <c:ptCount val="22"/>
                <c:pt idx="0">
                  <c:v>7444</c:v>
                </c:pt>
                <c:pt idx="1">
                  <c:v>8814</c:v>
                </c:pt>
                <c:pt idx="2">
                  <c:v>8350</c:v>
                </c:pt>
                <c:pt idx="3">
                  <c:v>6139</c:v>
                </c:pt>
                <c:pt idx="4">
                  <c:v>5798</c:v>
                </c:pt>
                <c:pt idx="5">
                  <c:v>6128</c:v>
                </c:pt>
                <c:pt idx="6">
                  <c:v>5900</c:v>
                </c:pt>
                <c:pt idx="7">
                  <c:v>7977</c:v>
                </c:pt>
                <c:pt idx="8">
                  <c:v>7833</c:v>
                </c:pt>
                <c:pt idx="9">
                  <c:v>5744</c:v>
                </c:pt>
                <c:pt idx="10">
                  <c:v>4745</c:v>
                </c:pt>
                <c:pt idx="11">
                  <c:v>2961</c:v>
                </c:pt>
                <c:pt idx="12">
                  <c:v>3399</c:v>
                </c:pt>
                <c:pt idx="13">
                  <c:v>3064</c:v>
                </c:pt>
                <c:pt idx="14">
                  <c:v>2595</c:v>
                </c:pt>
                <c:pt idx="15">
                  <c:v>3283</c:v>
                </c:pt>
                <c:pt idx="16">
                  <c:v>3491</c:v>
                </c:pt>
                <c:pt idx="17">
                  <c:v>3300</c:v>
                </c:pt>
                <c:pt idx="18">
                  <c:v>3500</c:v>
                </c:pt>
                <c:pt idx="19">
                  <c:v>3700</c:v>
                </c:pt>
                <c:pt idx="20">
                  <c:v>4000</c:v>
                </c:pt>
                <c:pt idx="21">
                  <c:v>4050</c:v>
                </c:pt>
              </c:numCache>
            </c:numRef>
          </c:val>
          <c:smooth val="0"/>
        </c:ser>
        <c:dLbls>
          <c:showLegendKey val="0"/>
          <c:showVal val="0"/>
          <c:showCatName val="0"/>
          <c:showSerName val="0"/>
          <c:showPercent val="0"/>
          <c:showBubbleSize val="0"/>
        </c:dLbls>
        <c:marker val="1"/>
        <c:smooth val="0"/>
        <c:axId val="494350448"/>
        <c:axId val="494350840"/>
      </c:lineChart>
      <c:catAx>
        <c:axId val="494350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0840"/>
        <c:crosses val="autoZero"/>
        <c:auto val="1"/>
        <c:lblAlgn val="ctr"/>
        <c:lblOffset val="100"/>
        <c:noMultiLvlLbl val="0"/>
      </c:catAx>
      <c:valAx>
        <c:axId val="4943508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6.7062554680664913E-3"/>
                  <c:y val="-0.30316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Paser!$Z$14:$Z$26</c:f>
              <c:numCache>
                <c:formatCode>_-* #,##0_-;\-* #,##0_-;_-* "-"??_-;_-@_-</c:formatCode>
                <c:ptCount val="13"/>
                <c:pt idx="0">
                  <c:v>188</c:v>
                </c:pt>
                <c:pt idx="1">
                  <c:v>121</c:v>
                </c:pt>
                <c:pt idx="2">
                  <c:v>193</c:v>
                </c:pt>
                <c:pt idx="3">
                  <c:v>136</c:v>
                </c:pt>
                <c:pt idx="4">
                  <c:v>109</c:v>
                </c:pt>
                <c:pt idx="5">
                  <c:v>97</c:v>
                </c:pt>
                <c:pt idx="6">
                  <c:v>104</c:v>
                </c:pt>
                <c:pt idx="7">
                  <c:v>55</c:v>
                </c:pt>
                <c:pt idx="8">
                  <c:v>100</c:v>
                </c:pt>
                <c:pt idx="9">
                  <c:v>120</c:v>
                </c:pt>
                <c:pt idx="10">
                  <c:v>140</c:v>
                </c:pt>
                <c:pt idx="11">
                  <c:v>160</c:v>
                </c:pt>
                <c:pt idx="12">
                  <c:v>162</c:v>
                </c:pt>
              </c:numCache>
            </c:numRef>
          </c:val>
          <c:smooth val="0"/>
        </c:ser>
        <c:dLbls>
          <c:showLegendKey val="0"/>
          <c:showVal val="0"/>
          <c:showCatName val="0"/>
          <c:showSerName val="0"/>
          <c:showPercent val="0"/>
          <c:showBubbleSize val="0"/>
        </c:dLbls>
        <c:marker val="1"/>
        <c:smooth val="0"/>
        <c:axId val="494351624"/>
        <c:axId val="494352016"/>
      </c:lineChart>
      <c:catAx>
        <c:axId val="494351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2016"/>
        <c:crosses val="autoZero"/>
        <c:auto val="1"/>
        <c:lblAlgn val="ctr"/>
        <c:lblOffset val="100"/>
        <c:noMultiLvlLbl val="0"/>
      </c:catAx>
      <c:valAx>
        <c:axId val="494352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1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273497375328084"/>
                  <c:y val="6.74635462233887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'Kutai Barat'!$H$42:$H$55</c:f>
              <c:numCache>
                <c:formatCode>_-* #,##0_-;\-* #,##0_-;_-* "-"??_-;_-@_-</c:formatCode>
                <c:ptCount val="14"/>
                <c:pt idx="0">
                  <c:v>11503</c:v>
                </c:pt>
                <c:pt idx="1">
                  <c:v>15501.538461538461</c:v>
                </c:pt>
                <c:pt idx="2">
                  <c:v>14587.307692307691</c:v>
                </c:pt>
                <c:pt idx="3">
                  <c:v>12501.615384615385</c:v>
                </c:pt>
                <c:pt idx="4">
                  <c:v>15698</c:v>
                </c:pt>
                <c:pt idx="5">
                  <c:v>15503.692307692309</c:v>
                </c:pt>
                <c:pt idx="6">
                  <c:v>15195.076923076924</c:v>
                </c:pt>
                <c:pt idx="7">
                  <c:v>12151.923076923076</c:v>
                </c:pt>
                <c:pt idx="8">
                  <c:v>11027.384615384615</c:v>
                </c:pt>
                <c:pt idx="9">
                  <c:v>10219.307692307691</c:v>
                </c:pt>
                <c:pt idx="10">
                  <c:v>10106.538461538461</c:v>
                </c:pt>
                <c:pt idx="11">
                  <c:v>10663.538461538461</c:v>
                </c:pt>
                <c:pt idx="12">
                  <c:v>6936.7692307692305</c:v>
                </c:pt>
                <c:pt idx="13">
                  <c:v>3852.3846153846152</c:v>
                </c:pt>
              </c:numCache>
            </c:numRef>
          </c:val>
          <c:smooth val="0"/>
        </c:ser>
        <c:dLbls>
          <c:showLegendKey val="0"/>
          <c:showVal val="0"/>
          <c:showCatName val="0"/>
          <c:showSerName val="0"/>
          <c:showPercent val="0"/>
          <c:showBubbleSize val="0"/>
        </c:dLbls>
        <c:marker val="1"/>
        <c:smooth val="0"/>
        <c:axId val="494352800"/>
        <c:axId val="494353192"/>
      </c:lineChart>
      <c:catAx>
        <c:axId val="494352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3192"/>
        <c:crosses val="autoZero"/>
        <c:auto val="1"/>
        <c:lblAlgn val="ctr"/>
        <c:lblOffset val="100"/>
        <c:noMultiLvlLbl val="0"/>
      </c:catAx>
      <c:valAx>
        <c:axId val="4943531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'Kutai Barat'!$G$42:$G$55</c:f>
              <c:numCache>
                <c:formatCode>_-* #,##0_-;\-* #,##0_-;_-* "-"??_-;_-@_-</c:formatCode>
                <c:ptCount val="14"/>
                <c:pt idx="0">
                  <c:v>11503</c:v>
                </c:pt>
                <c:pt idx="1">
                  <c:v>14090</c:v>
                </c:pt>
                <c:pt idx="2">
                  <c:v>12435</c:v>
                </c:pt>
                <c:pt idx="3">
                  <c:v>10977</c:v>
                </c:pt>
                <c:pt idx="4">
                  <c:v>14508</c:v>
                </c:pt>
                <c:pt idx="5">
                  <c:v>13506</c:v>
                </c:pt>
                <c:pt idx="6">
                  <c:v>13972</c:v>
                </c:pt>
                <c:pt idx="7">
                  <c:v>11135</c:v>
                </c:pt>
                <c:pt idx="8">
                  <c:v>10152</c:v>
                </c:pt>
                <c:pt idx="9">
                  <c:v>9437</c:v>
                </c:pt>
                <c:pt idx="10">
                  <c:v>9205</c:v>
                </c:pt>
                <c:pt idx="11">
                  <c:v>9612</c:v>
                </c:pt>
                <c:pt idx="12">
                  <c:v>6366</c:v>
                </c:pt>
                <c:pt idx="13">
                  <c:v>2817</c:v>
                </c:pt>
              </c:numCache>
            </c:numRef>
          </c:val>
          <c:smooth val="0"/>
        </c:ser>
        <c:dLbls>
          <c:showLegendKey val="0"/>
          <c:showVal val="0"/>
          <c:showCatName val="0"/>
          <c:showSerName val="0"/>
          <c:showPercent val="0"/>
          <c:showBubbleSize val="0"/>
        </c:dLbls>
        <c:marker val="1"/>
        <c:smooth val="0"/>
        <c:axId val="494353976"/>
        <c:axId val="494354368"/>
      </c:lineChart>
      <c:catAx>
        <c:axId val="494353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4368"/>
        <c:crosses val="autoZero"/>
        <c:auto val="1"/>
        <c:lblAlgn val="ctr"/>
        <c:lblOffset val="100"/>
        <c:noMultiLvlLbl val="0"/>
      </c:catAx>
      <c:valAx>
        <c:axId val="49435436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3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9.7583552055993006E-2"/>
                  <c:y val="-0.372756270049577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'Kutai Barat'!$AD$14:$AD$20</c:f>
              <c:numCache>
                <c:formatCode>_-* #,##0_-;\-* #,##0_-;_-* "-"??_-;_-@_-</c:formatCode>
                <c:ptCount val="7"/>
                <c:pt idx="0">
                  <c:v>74</c:v>
                </c:pt>
                <c:pt idx="1">
                  <c:v>23</c:v>
                </c:pt>
                <c:pt idx="2" formatCode="General">
                  <c:v>52</c:v>
                </c:pt>
                <c:pt idx="3" formatCode="General">
                  <c:v>59</c:v>
                </c:pt>
                <c:pt idx="4" formatCode="General">
                  <c:v>24</c:v>
                </c:pt>
                <c:pt idx="5">
                  <c:v>22</c:v>
                </c:pt>
                <c:pt idx="6" formatCode="General">
                  <c:v>2</c:v>
                </c:pt>
              </c:numCache>
            </c:numRef>
          </c:val>
          <c:smooth val="0"/>
        </c:ser>
        <c:dLbls>
          <c:showLegendKey val="0"/>
          <c:showVal val="0"/>
          <c:showCatName val="0"/>
          <c:showSerName val="0"/>
          <c:showPercent val="0"/>
          <c:showBubbleSize val="0"/>
        </c:dLbls>
        <c:marker val="1"/>
        <c:smooth val="0"/>
        <c:axId val="494355544"/>
        <c:axId val="494355936"/>
      </c:lineChart>
      <c:catAx>
        <c:axId val="494355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5936"/>
        <c:crosses val="autoZero"/>
        <c:auto val="1"/>
        <c:lblAlgn val="ctr"/>
        <c:lblOffset val="100"/>
        <c:noMultiLvlLbl val="0"/>
      </c:catAx>
      <c:valAx>
        <c:axId val="4943559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5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3.6816710411198598E-2"/>
                  <c:y val="-0.33115740740740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'Kutai Kertanegara'!$AE$14:$AE$20</c:f>
              <c:numCache>
                <c:formatCode>_-* #,##0_-;\-* #,##0_-;_-* "-"??_-;_-@_-</c:formatCode>
                <c:ptCount val="7"/>
                <c:pt idx="0">
                  <c:v>353</c:v>
                </c:pt>
                <c:pt idx="1">
                  <c:v>317</c:v>
                </c:pt>
                <c:pt idx="2">
                  <c:v>285</c:v>
                </c:pt>
                <c:pt idx="3">
                  <c:v>209</c:v>
                </c:pt>
                <c:pt idx="4">
                  <c:v>192</c:v>
                </c:pt>
                <c:pt idx="5">
                  <c:v>167</c:v>
                </c:pt>
                <c:pt idx="6">
                  <c:v>59</c:v>
                </c:pt>
              </c:numCache>
            </c:numRef>
          </c:val>
          <c:smooth val="0"/>
        </c:ser>
        <c:dLbls>
          <c:showLegendKey val="0"/>
          <c:showVal val="0"/>
          <c:showCatName val="0"/>
          <c:showSerName val="0"/>
          <c:showPercent val="0"/>
          <c:showBubbleSize val="0"/>
        </c:dLbls>
        <c:marker val="1"/>
        <c:smooth val="0"/>
        <c:axId val="494356720"/>
        <c:axId val="494357112"/>
      </c:lineChart>
      <c:catAx>
        <c:axId val="494356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7112"/>
        <c:crosses val="autoZero"/>
        <c:auto val="1"/>
        <c:lblAlgn val="ctr"/>
        <c:lblOffset val="100"/>
        <c:noMultiLvlLbl val="0"/>
      </c:catAx>
      <c:valAx>
        <c:axId val="4943571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6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2021216097987751E-2"/>
                  <c:y val="-0.262338145231846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'Kutai Kertanegara'!$W$5:$W$20</c:f>
              <c:numCache>
                <c:formatCode>_-* #,##0_-;\-* #,##0_-;_-* "-"??_-;_-@_-</c:formatCode>
                <c:ptCount val="16"/>
                <c:pt idx="0">
                  <c:v>87300</c:v>
                </c:pt>
                <c:pt idx="1">
                  <c:v>83300</c:v>
                </c:pt>
                <c:pt idx="2">
                  <c:v>88800</c:v>
                </c:pt>
                <c:pt idx="3">
                  <c:v>86800</c:v>
                </c:pt>
                <c:pt idx="4">
                  <c:v>57800</c:v>
                </c:pt>
                <c:pt idx="5">
                  <c:v>113200</c:v>
                </c:pt>
                <c:pt idx="6">
                  <c:v>90600</c:v>
                </c:pt>
                <c:pt idx="7">
                  <c:v>196900</c:v>
                </c:pt>
                <c:pt idx="8">
                  <c:v>338370</c:v>
                </c:pt>
                <c:pt idx="9">
                  <c:v>662742</c:v>
                </c:pt>
                <c:pt idx="10">
                  <c:v>801321</c:v>
                </c:pt>
                <c:pt idx="11">
                  <c:v>968878</c:v>
                </c:pt>
                <c:pt idx="12">
                  <c:v>1171469</c:v>
                </c:pt>
                <c:pt idx="13">
                  <c:v>750000</c:v>
                </c:pt>
                <c:pt idx="14">
                  <c:v>232000</c:v>
                </c:pt>
                <c:pt idx="15">
                  <c:v>310432</c:v>
                </c:pt>
              </c:numCache>
            </c:numRef>
          </c:val>
          <c:smooth val="0"/>
        </c:ser>
        <c:dLbls>
          <c:showLegendKey val="0"/>
          <c:showVal val="0"/>
          <c:showCatName val="0"/>
          <c:showSerName val="0"/>
          <c:showPercent val="0"/>
          <c:showBubbleSize val="0"/>
        </c:dLbls>
        <c:marker val="1"/>
        <c:smooth val="0"/>
        <c:axId val="494355152"/>
        <c:axId val="494358288"/>
      </c:lineChart>
      <c:catAx>
        <c:axId val="494355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8288"/>
        <c:crosses val="autoZero"/>
        <c:auto val="1"/>
        <c:lblAlgn val="ctr"/>
        <c:lblOffset val="100"/>
        <c:noMultiLvlLbl val="0"/>
      </c:catAx>
      <c:valAx>
        <c:axId val="4943582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forward val="15"/>
            <c:dispRSqr val="0"/>
            <c:dispEq val="1"/>
            <c:trendlineLbl>
              <c:layout>
                <c:manualLayout>
                  <c:x val="-0.64037871336167196"/>
                  <c:y val="-0.743369058034412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'Kutai Timur'!$Z$14:$Z$20</c:f>
              <c:numCache>
                <c:formatCode>_-* #,##0_-;\-* #,##0_-;_-* "-"??_-;_-@_-</c:formatCode>
                <c:ptCount val="7"/>
                <c:pt idx="0">
                  <c:v>590</c:v>
                </c:pt>
                <c:pt idx="1">
                  <c:v>768</c:v>
                </c:pt>
                <c:pt idx="2">
                  <c:v>538</c:v>
                </c:pt>
                <c:pt idx="3">
                  <c:v>275</c:v>
                </c:pt>
                <c:pt idx="4">
                  <c:v>299</c:v>
                </c:pt>
                <c:pt idx="5">
                  <c:v>452</c:v>
                </c:pt>
                <c:pt idx="6">
                  <c:v>160</c:v>
                </c:pt>
              </c:numCache>
            </c:numRef>
          </c:val>
          <c:smooth val="0"/>
        </c:ser>
        <c:dLbls>
          <c:showLegendKey val="0"/>
          <c:showVal val="0"/>
          <c:showCatName val="0"/>
          <c:showSerName val="0"/>
          <c:showPercent val="0"/>
          <c:showBubbleSize val="0"/>
        </c:dLbls>
        <c:marker val="1"/>
        <c:smooth val="0"/>
        <c:axId val="494359072"/>
        <c:axId val="494359464"/>
      </c:lineChart>
      <c:catAx>
        <c:axId val="49435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9464"/>
        <c:crosses val="autoZero"/>
        <c:auto val="1"/>
        <c:lblAlgn val="ctr"/>
        <c:lblOffset val="100"/>
        <c:noMultiLvlLbl val="0"/>
      </c:catAx>
      <c:valAx>
        <c:axId val="4943594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5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13</xdr:col>
      <xdr:colOff>252133</xdr:colOff>
      <xdr:row>50</xdr:row>
      <xdr:rowOff>12326</xdr:rowOff>
    </xdr:from>
    <xdr:to>
      <xdr:col>20</xdr:col>
      <xdr:colOff>554692</xdr:colOff>
      <xdr:row>64</xdr:row>
      <xdr:rowOff>88526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212911</xdr:colOff>
      <xdr:row>35</xdr:row>
      <xdr:rowOff>169208</xdr:rowOff>
    </xdr:from>
    <xdr:to>
      <xdr:col>20</xdr:col>
      <xdr:colOff>504265</xdr:colOff>
      <xdr:row>48</xdr:row>
      <xdr:rowOff>189379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621925</xdr:colOff>
      <xdr:row>35</xdr:row>
      <xdr:rowOff>180414</xdr:rowOff>
    </xdr:from>
    <xdr:to>
      <xdr:col>27</xdr:col>
      <xdr:colOff>683558</xdr:colOff>
      <xdr:row>49</xdr:row>
      <xdr:rowOff>10085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319367</xdr:colOff>
      <xdr:row>40</xdr:row>
      <xdr:rowOff>23531</xdr:rowOff>
    </xdr:from>
    <xdr:to>
      <xdr:col>16</xdr:col>
      <xdr:colOff>498662</xdr:colOff>
      <xdr:row>54</xdr:row>
      <xdr:rowOff>99731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308161</xdr:colOff>
      <xdr:row>55</xdr:row>
      <xdr:rowOff>23532</xdr:rowOff>
    </xdr:from>
    <xdr:to>
      <xdr:col>16</xdr:col>
      <xdr:colOff>487456</xdr:colOff>
      <xdr:row>69</xdr:row>
      <xdr:rowOff>99732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285749</xdr:colOff>
      <xdr:row>35</xdr:row>
      <xdr:rowOff>158002</xdr:rowOff>
    </xdr:from>
    <xdr:to>
      <xdr:col>30</xdr:col>
      <xdr:colOff>11206</xdr:colOff>
      <xdr:row>50</xdr:row>
      <xdr:rowOff>43702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31</xdr:col>
      <xdr:colOff>403411</xdr:colOff>
      <xdr:row>12</xdr:row>
      <xdr:rowOff>12606</xdr:rowOff>
    </xdr:from>
    <xdr:to>
      <xdr:col>39</xdr:col>
      <xdr:colOff>98611</xdr:colOff>
      <xdr:row>26</xdr:row>
      <xdr:rowOff>88806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95247</xdr:colOff>
      <xdr:row>36</xdr:row>
      <xdr:rowOff>57147</xdr:rowOff>
    </xdr:from>
    <xdr:to>
      <xdr:col>22</xdr:col>
      <xdr:colOff>1053352</xdr:colOff>
      <xdr:row>50</xdr:row>
      <xdr:rowOff>133347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140073</xdr:colOff>
      <xdr:row>15</xdr:row>
      <xdr:rowOff>169209</xdr:rowOff>
    </xdr:from>
    <xdr:to>
      <xdr:col>39</xdr:col>
      <xdr:colOff>476249</xdr:colOff>
      <xdr:row>30</xdr:row>
      <xdr:rowOff>54909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286871</xdr:colOff>
      <xdr:row>16</xdr:row>
      <xdr:rowOff>63594</xdr:rowOff>
    </xdr:from>
    <xdr:to>
      <xdr:col>38</xdr:col>
      <xdr:colOff>587189</xdr:colOff>
      <xdr:row>30</xdr:row>
      <xdr:rowOff>139794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26</xdr:col>
      <xdr:colOff>96462</xdr:colOff>
      <xdr:row>26</xdr:row>
      <xdr:rowOff>63464</xdr:rowOff>
    </xdr:from>
    <xdr:ext cx="2485296" cy="280205"/>
    <xdr:sp macro="" textlink="">
      <xdr:nvSpPr>
        <xdr:cNvPr id="4" name="Rectangle 3"/>
        <xdr:cNvSpPr/>
      </xdr:nvSpPr>
      <xdr:spPr>
        <a:xfrm>
          <a:off x="19830021" y="5016464"/>
          <a:ext cx="2485296" cy="280205"/>
        </a:xfrm>
        <a:prstGeom prst="rect">
          <a:avLst/>
        </a:prstGeom>
        <a:noFill/>
      </xdr:spPr>
      <xdr:txBody>
        <a:bodyPr wrap="none" lIns="91440" tIns="45720" rIns="91440" bIns="45720">
          <a:spAutoFit/>
        </a:bodyPr>
        <a:lstStyle/>
        <a:p>
          <a:pPr algn="ctr"/>
          <a:r>
            <a:rPr lang="id-ID" sz="1200" b="0" cap="none" spc="0">
              <a:ln w="0"/>
              <a:solidFill>
                <a:schemeClr val="tx1"/>
              </a:solidFill>
              <a:effectLst>
                <a:outerShdw blurRad="38100" dist="19050" dir="2700000" algn="tl" rotWithShape="0">
                  <a:schemeClr val="dk1">
                    <a:alpha val="40000"/>
                  </a:schemeClr>
                </a:outerShdw>
              </a:effectLst>
            </a:rPr>
            <a:t>tidak dilakukan proyeksi utk</a:t>
          </a:r>
          <a:r>
            <a:rPr lang="id-ID" sz="1200" b="0" cap="none" spc="0" baseline="0">
              <a:ln w="0"/>
              <a:solidFill>
                <a:schemeClr val="tx1"/>
              </a:solidFill>
              <a:effectLst>
                <a:outerShdw blurRad="38100" dist="19050" dir="2700000" algn="tl" rotWithShape="0">
                  <a:schemeClr val="dk1">
                    <a:alpha val="40000"/>
                  </a:schemeClr>
                </a:outerShdw>
              </a:effectLst>
            </a:rPr>
            <a:t> palawija</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14</xdr:col>
      <xdr:colOff>498660</xdr:colOff>
      <xdr:row>37</xdr:row>
      <xdr:rowOff>167172</xdr:rowOff>
    </xdr:from>
    <xdr:to>
      <xdr:col>21</xdr:col>
      <xdr:colOff>188971</xdr:colOff>
      <xdr:row>52</xdr:row>
      <xdr:rowOff>52872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26</xdr:col>
      <xdr:colOff>168089</xdr:colOff>
      <xdr:row>25</xdr:row>
      <xdr:rowOff>134470</xdr:rowOff>
    </xdr:from>
    <xdr:ext cx="2485296" cy="280205"/>
    <xdr:sp macro="" textlink="">
      <xdr:nvSpPr>
        <xdr:cNvPr id="3" name="Rectangle 2"/>
        <xdr:cNvSpPr/>
      </xdr:nvSpPr>
      <xdr:spPr>
        <a:xfrm>
          <a:off x="19946471" y="4896970"/>
          <a:ext cx="2485296" cy="280205"/>
        </a:xfrm>
        <a:prstGeom prst="rect">
          <a:avLst/>
        </a:prstGeom>
        <a:noFill/>
      </xdr:spPr>
      <xdr:txBody>
        <a:bodyPr wrap="none" lIns="91440" tIns="45720" rIns="91440" bIns="45720">
          <a:spAutoFit/>
        </a:bodyPr>
        <a:lstStyle/>
        <a:p>
          <a:pPr algn="ctr"/>
          <a:r>
            <a:rPr lang="id-ID" sz="1200" b="0" cap="none" spc="0">
              <a:ln w="0"/>
              <a:solidFill>
                <a:schemeClr val="tx1"/>
              </a:solidFill>
              <a:effectLst>
                <a:outerShdw blurRad="38100" dist="19050" dir="2700000" algn="tl" rotWithShape="0">
                  <a:schemeClr val="dk1">
                    <a:alpha val="40000"/>
                  </a:schemeClr>
                </a:outerShdw>
              </a:effectLst>
            </a:rPr>
            <a:t>tidak dilakukan proyeksi utk</a:t>
          </a:r>
          <a:r>
            <a:rPr lang="id-ID" sz="1200" b="0" cap="none" spc="0" baseline="0">
              <a:ln w="0"/>
              <a:solidFill>
                <a:schemeClr val="tx1"/>
              </a:solidFill>
              <a:effectLst>
                <a:outerShdw blurRad="38100" dist="19050" dir="2700000" algn="tl" rotWithShape="0">
                  <a:schemeClr val="dk1">
                    <a:alpha val="40000"/>
                  </a:schemeClr>
                </a:outerShdw>
              </a:effectLst>
            </a:rPr>
            <a:t> palawija</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8</xdr:col>
      <xdr:colOff>476249</xdr:colOff>
      <xdr:row>11</xdr:row>
      <xdr:rowOff>113178</xdr:rowOff>
    </xdr:from>
    <xdr:to>
      <xdr:col>16</xdr:col>
      <xdr:colOff>487455</xdr:colOff>
      <xdr:row>25</xdr:row>
      <xdr:rowOff>189378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Data%20Kab-Kota/Paser/FORM%20ISIAN%20DATA%20REVISI%20RAD%20GRK_tani_ternak%20AKHI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Data%20Kab-Kota/Kubar/FORM%20ISIAN%20DATA%20REVISI%20RAD%20GRK_tani_ternak%20KUBA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Data%20Kab-Kota/Kutim/FORM%20ISIAN%20DATA%20REVISI%20RAD%20GRK_tani_ternak_KUTI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Data%20Kab-Kota/PPU/FORM%20ISIAN%20DATA%20REVISI%20RAD%20GRK_tani_terna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TANIAN"/>
      <sheetName val="PETERNAKAN"/>
    </sheetNames>
    <sheetDataSet>
      <sheetData sheetId="0">
        <row r="11">
          <cell r="T11">
            <v>6785</v>
          </cell>
          <cell r="U11">
            <v>8500</v>
          </cell>
          <cell r="V11">
            <v>9000</v>
          </cell>
          <cell r="W11">
            <v>9500</v>
          </cell>
          <cell r="X11">
            <v>10000</v>
          </cell>
          <cell r="Y11">
            <v>10350</v>
          </cell>
        </row>
        <row r="12">
          <cell r="T12">
            <v>3491</v>
          </cell>
          <cell r="U12">
            <v>3300</v>
          </cell>
          <cell r="V12">
            <v>3500</v>
          </cell>
          <cell r="W12">
            <v>3700</v>
          </cell>
          <cell r="X12">
            <v>4000</v>
          </cell>
          <cell r="Y12">
            <v>4050</v>
          </cell>
        </row>
        <row r="16">
          <cell r="T16">
            <v>352</v>
          </cell>
          <cell r="U16">
            <v>344</v>
          </cell>
          <cell r="V16">
            <v>354</v>
          </cell>
          <cell r="W16">
            <v>265</v>
          </cell>
          <cell r="X16">
            <v>376</v>
          </cell>
          <cell r="Y16">
            <v>378</v>
          </cell>
        </row>
        <row r="17">
          <cell r="T17">
            <v>171</v>
          </cell>
          <cell r="U17">
            <v>140</v>
          </cell>
          <cell r="V17">
            <v>176</v>
          </cell>
          <cell r="W17">
            <v>178</v>
          </cell>
          <cell r="X17">
            <v>180</v>
          </cell>
          <cell r="Y17">
            <v>180</v>
          </cell>
        </row>
        <row r="18">
          <cell r="T18">
            <v>55</v>
          </cell>
          <cell r="U18">
            <v>50</v>
          </cell>
          <cell r="V18">
            <v>55</v>
          </cell>
          <cell r="W18">
            <v>60</v>
          </cell>
          <cell r="X18">
            <v>65</v>
          </cell>
          <cell r="Y18">
            <v>67</v>
          </cell>
        </row>
        <row r="19">
          <cell r="T19">
            <v>55</v>
          </cell>
          <cell r="U19">
            <v>100</v>
          </cell>
          <cell r="V19">
            <v>120</v>
          </cell>
          <cell r="W19">
            <v>140</v>
          </cell>
          <cell r="X19">
            <v>160</v>
          </cell>
          <cell r="Y19">
            <v>162</v>
          </cell>
        </row>
        <row r="20">
          <cell r="T20">
            <v>22</v>
          </cell>
          <cell r="U20">
            <v>120</v>
          </cell>
          <cell r="V20">
            <v>130</v>
          </cell>
          <cell r="W20">
            <v>140</v>
          </cell>
          <cell r="X20">
            <v>150</v>
          </cell>
          <cell r="Y20">
            <v>153</v>
          </cell>
        </row>
        <row r="21">
          <cell r="T21">
            <v>16</v>
          </cell>
          <cell r="U21">
            <v>25</v>
          </cell>
          <cell r="V21">
            <v>30</v>
          </cell>
          <cell r="W21">
            <v>35</v>
          </cell>
          <cell r="X21">
            <v>40</v>
          </cell>
          <cell r="Y21">
            <v>40</v>
          </cell>
        </row>
      </sheetData>
      <sheetData sheetId="1">
        <row r="14">
          <cell r="T14">
            <v>756</v>
          </cell>
          <cell r="U14">
            <v>717</v>
          </cell>
          <cell r="V14">
            <v>752</v>
          </cell>
          <cell r="W14">
            <v>789</v>
          </cell>
          <cell r="X14">
            <v>828</v>
          </cell>
          <cell r="Y14">
            <v>869</v>
          </cell>
          <cell r="Z14">
            <v>912.45</v>
          </cell>
          <cell r="AA14">
            <v>958.07249999999999</v>
          </cell>
          <cell r="AB14">
            <v>1005.976125</v>
          </cell>
          <cell r="AC14">
            <v>1056.27493125</v>
          </cell>
          <cell r="AD14">
            <v>1109.0886778125</v>
          </cell>
          <cell r="AE14">
            <v>1164.5431117031251</v>
          </cell>
          <cell r="AF14">
            <v>1222.7702672882813</v>
          </cell>
          <cell r="AG14">
            <v>1283.9087806526954</v>
          </cell>
          <cell r="AH14">
            <v>1348.1042196853302</v>
          </cell>
        </row>
        <row r="15">
          <cell r="T15">
            <v>7724</v>
          </cell>
          <cell r="U15">
            <v>7558</v>
          </cell>
          <cell r="V15">
            <v>7935</v>
          </cell>
          <cell r="W15">
            <v>8331</v>
          </cell>
          <cell r="X15">
            <v>8747</v>
          </cell>
          <cell r="Y15">
            <v>9184</v>
          </cell>
          <cell r="Z15">
            <v>9643.2000000000007</v>
          </cell>
          <cell r="AA15">
            <v>10125.36</v>
          </cell>
          <cell r="AB15">
            <v>10631.628000000001</v>
          </cell>
          <cell r="AC15">
            <v>11163.2094</v>
          </cell>
          <cell r="AD15">
            <v>11721.36987</v>
          </cell>
          <cell r="AE15">
            <v>12307.438363500001</v>
          </cell>
          <cell r="AF15">
            <v>12922.810281675002</v>
          </cell>
          <cell r="AG15">
            <v>13568.950795758752</v>
          </cell>
          <cell r="AH15">
            <v>14247.39833554669</v>
          </cell>
        </row>
        <row r="16">
          <cell r="S16">
            <v>48</v>
          </cell>
          <cell r="T16">
            <v>74</v>
          </cell>
          <cell r="U16">
            <v>57</v>
          </cell>
          <cell r="V16">
            <v>68</v>
          </cell>
          <cell r="W16">
            <v>81</v>
          </cell>
          <cell r="X16">
            <v>97</v>
          </cell>
          <cell r="Y16">
            <v>116</v>
          </cell>
          <cell r="Z16">
            <v>139.19999999999999</v>
          </cell>
          <cell r="AA16">
            <v>167.04</v>
          </cell>
          <cell r="AB16">
            <v>200.44799999999998</v>
          </cell>
          <cell r="AC16">
            <v>240.53759999999997</v>
          </cell>
          <cell r="AD16">
            <v>288.64511999999996</v>
          </cell>
          <cell r="AE16">
            <v>346.37414399999994</v>
          </cell>
          <cell r="AF16">
            <v>415.64897279999991</v>
          </cell>
          <cell r="AG16">
            <v>498.7787673599999</v>
          </cell>
          <cell r="AH16">
            <v>598.53452083199988</v>
          </cell>
        </row>
        <row r="18">
          <cell r="T18">
            <v>3218</v>
          </cell>
          <cell r="U18">
            <v>2821</v>
          </cell>
          <cell r="V18">
            <v>2877</v>
          </cell>
          <cell r="W18">
            <v>2934</v>
          </cell>
          <cell r="X18">
            <v>2994</v>
          </cell>
          <cell r="Y18">
            <v>3051</v>
          </cell>
          <cell r="Z18">
            <v>3112.02</v>
          </cell>
          <cell r="AA18">
            <v>3174.2604000000001</v>
          </cell>
          <cell r="AB18">
            <v>3237.7456080000002</v>
          </cell>
          <cell r="AC18">
            <v>3302.5005201600002</v>
          </cell>
          <cell r="AD18">
            <v>3368.5505305632</v>
          </cell>
          <cell r="AE18">
            <v>3435.921541174464</v>
          </cell>
          <cell r="AF18">
            <v>3504.6399719979531</v>
          </cell>
          <cell r="AG18">
            <v>3574.7327714379121</v>
          </cell>
          <cell r="AH18">
            <v>3646.2274268666702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TANIAN"/>
      <sheetName val="PETERNAKAN"/>
    </sheetNames>
    <sheetDataSet>
      <sheetData sheetId="0">
        <row r="11">
          <cell r="T11">
            <v>1287</v>
          </cell>
          <cell r="U11">
            <v>1287</v>
          </cell>
          <cell r="V11">
            <v>1387</v>
          </cell>
          <cell r="W11">
            <v>1487</v>
          </cell>
          <cell r="X11">
            <v>1587</v>
          </cell>
          <cell r="Y11">
            <v>1687</v>
          </cell>
          <cell r="Z11">
            <v>1737</v>
          </cell>
          <cell r="AA11">
            <v>1787</v>
          </cell>
          <cell r="AB11">
            <v>1837</v>
          </cell>
          <cell r="AC11">
            <v>1887</v>
          </cell>
          <cell r="AD11">
            <v>1937</v>
          </cell>
          <cell r="AE11">
            <v>1987</v>
          </cell>
          <cell r="AF11">
            <v>2037</v>
          </cell>
          <cell r="AG11">
            <v>2037</v>
          </cell>
          <cell r="AH11">
            <v>2037</v>
          </cell>
        </row>
        <row r="12">
          <cell r="T12">
            <v>1995</v>
          </cell>
          <cell r="U12">
            <v>1995</v>
          </cell>
          <cell r="V12">
            <v>1995</v>
          </cell>
          <cell r="W12">
            <v>1995</v>
          </cell>
          <cell r="X12">
            <v>1995</v>
          </cell>
          <cell r="Y12">
            <v>1995</v>
          </cell>
          <cell r="Z12">
            <v>1995</v>
          </cell>
          <cell r="AA12">
            <v>1995</v>
          </cell>
          <cell r="AB12">
            <v>1995</v>
          </cell>
          <cell r="AC12">
            <v>1995</v>
          </cell>
          <cell r="AD12">
            <v>1995</v>
          </cell>
          <cell r="AE12">
            <v>1995</v>
          </cell>
          <cell r="AF12">
            <v>1995</v>
          </cell>
          <cell r="AG12">
            <v>1995</v>
          </cell>
          <cell r="AH12">
            <v>1995</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tanian"/>
      <sheetName val="Peternakan"/>
    </sheetNames>
    <sheetDataSet>
      <sheetData sheetId="0">
        <row r="11">
          <cell r="T11">
            <v>3011</v>
          </cell>
          <cell r="U11">
            <v>6339</v>
          </cell>
          <cell r="V11">
            <v>6576</v>
          </cell>
          <cell r="W11">
            <v>7253</v>
          </cell>
          <cell r="X11">
            <v>7620</v>
          </cell>
          <cell r="Y11">
            <v>8000</v>
          </cell>
          <cell r="Z11">
            <v>8160</v>
          </cell>
          <cell r="AA11">
            <v>8323</v>
          </cell>
          <cell r="AB11">
            <v>8490</v>
          </cell>
          <cell r="AC11">
            <v>8659</v>
          </cell>
          <cell r="AD11">
            <v>8833</v>
          </cell>
          <cell r="AE11">
            <v>9009</v>
          </cell>
          <cell r="AF11">
            <v>9189</v>
          </cell>
          <cell r="AG11">
            <v>9373</v>
          </cell>
          <cell r="AH11">
            <v>9561</v>
          </cell>
        </row>
        <row r="12">
          <cell r="T12">
            <v>5027</v>
          </cell>
          <cell r="U12">
            <v>6667</v>
          </cell>
          <cell r="V12">
            <v>6660</v>
          </cell>
          <cell r="W12">
            <v>6653</v>
          </cell>
          <cell r="X12">
            <v>6800</v>
          </cell>
          <cell r="Y12">
            <v>6772</v>
          </cell>
          <cell r="Z12">
            <v>6907</v>
          </cell>
          <cell r="AA12">
            <v>7046</v>
          </cell>
          <cell r="AB12">
            <v>7187</v>
          </cell>
          <cell r="AC12">
            <v>7330</v>
          </cell>
          <cell r="AD12">
            <v>7477</v>
          </cell>
          <cell r="AE12">
            <v>7626</v>
          </cell>
          <cell r="AF12">
            <v>7779</v>
          </cell>
          <cell r="AG12">
            <v>7934</v>
          </cell>
          <cell r="AH12">
            <v>8093</v>
          </cell>
        </row>
        <row r="14">
          <cell r="T14">
            <v>628</v>
          </cell>
          <cell r="U14">
            <v>200</v>
          </cell>
          <cell r="V14">
            <v>200</v>
          </cell>
          <cell r="W14">
            <v>200</v>
          </cell>
          <cell r="X14">
            <v>200</v>
          </cell>
          <cell r="Y14">
            <v>200</v>
          </cell>
          <cell r="Z14">
            <v>204</v>
          </cell>
          <cell r="AA14">
            <v>208</v>
          </cell>
          <cell r="AB14">
            <v>212</v>
          </cell>
          <cell r="AC14">
            <v>216</v>
          </cell>
          <cell r="AD14">
            <v>221</v>
          </cell>
          <cell r="AE14">
            <v>225</v>
          </cell>
          <cell r="AF14">
            <v>230</v>
          </cell>
          <cell r="AG14">
            <v>234</v>
          </cell>
          <cell r="AH14">
            <v>239</v>
          </cell>
        </row>
        <row r="15">
          <cell r="T15">
            <v>55</v>
          </cell>
          <cell r="U15">
            <v>50</v>
          </cell>
          <cell r="V15">
            <v>50</v>
          </cell>
          <cell r="W15">
            <v>50</v>
          </cell>
          <cell r="X15">
            <v>50</v>
          </cell>
          <cell r="Y15">
            <v>50</v>
          </cell>
          <cell r="Z15">
            <v>51</v>
          </cell>
          <cell r="AA15">
            <v>52</v>
          </cell>
          <cell r="AB15">
            <v>53</v>
          </cell>
          <cell r="AC15">
            <v>54</v>
          </cell>
          <cell r="AD15">
            <v>55</v>
          </cell>
          <cell r="AE15">
            <v>56</v>
          </cell>
          <cell r="AF15">
            <v>57</v>
          </cell>
          <cell r="AG15">
            <v>59</v>
          </cell>
          <cell r="AH15">
            <v>60</v>
          </cell>
        </row>
        <row r="16">
          <cell r="T16">
            <v>82</v>
          </cell>
          <cell r="U16">
            <v>50</v>
          </cell>
          <cell r="V16">
            <v>50</v>
          </cell>
          <cell r="W16">
            <v>50</v>
          </cell>
          <cell r="X16">
            <v>50</v>
          </cell>
          <cell r="Y16">
            <v>50</v>
          </cell>
          <cell r="Z16">
            <v>51</v>
          </cell>
          <cell r="AA16">
            <v>52</v>
          </cell>
          <cell r="AB16">
            <v>53</v>
          </cell>
          <cell r="AC16">
            <v>54</v>
          </cell>
          <cell r="AD16">
            <v>55</v>
          </cell>
          <cell r="AE16">
            <v>56</v>
          </cell>
          <cell r="AF16">
            <v>57</v>
          </cell>
          <cell r="AG16">
            <v>59</v>
          </cell>
          <cell r="AH16">
            <v>60</v>
          </cell>
        </row>
        <row r="17">
          <cell r="T17">
            <v>16</v>
          </cell>
          <cell r="U17">
            <v>125</v>
          </cell>
          <cell r="V17">
            <v>130</v>
          </cell>
          <cell r="W17">
            <v>140</v>
          </cell>
          <cell r="X17">
            <v>150</v>
          </cell>
          <cell r="Y17">
            <v>160</v>
          </cell>
          <cell r="Z17">
            <v>163</v>
          </cell>
          <cell r="AA17">
            <v>166</v>
          </cell>
          <cell r="AB17">
            <v>170</v>
          </cell>
          <cell r="AC17">
            <v>173</v>
          </cell>
          <cell r="AD17">
            <v>177</v>
          </cell>
          <cell r="AE17">
            <v>180</v>
          </cell>
          <cell r="AF17">
            <v>184</v>
          </cell>
          <cell r="AG17">
            <v>187</v>
          </cell>
          <cell r="AH17">
            <v>191</v>
          </cell>
        </row>
        <row r="18">
          <cell r="T18">
            <v>403</v>
          </cell>
          <cell r="U18">
            <v>255</v>
          </cell>
          <cell r="V18">
            <v>260</v>
          </cell>
          <cell r="W18">
            <v>270</v>
          </cell>
          <cell r="X18">
            <v>300</v>
          </cell>
          <cell r="Y18">
            <v>310</v>
          </cell>
          <cell r="Z18">
            <v>316</v>
          </cell>
          <cell r="AA18">
            <v>323</v>
          </cell>
          <cell r="AB18">
            <v>329</v>
          </cell>
          <cell r="AC18">
            <v>336</v>
          </cell>
          <cell r="AD18">
            <v>342</v>
          </cell>
          <cell r="AE18">
            <v>349</v>
          </cell>
          <cell r="AF18">
            <v>356</v>
          </cell>
          <cell r="AG18">
            <v>363</v>
          </cell>
          <cell r="AH18">
            <v>370</v>
          </cell>
        </row>
        <row r="19">
          <cell r="T19">
            <v>59</v>
          </cell>
          <cell r="U19">
            <v>105</v>
          </cell>
          <cell r="V19">
            <v>110</v>
          </cell>
          <cell r="W19">
            <v>115</v>
          </cell>
          <cell r="X19">
            <v>120</v>
          </cell>
          <cell r="Y19">
            <v>125</v>
          </cell>
          <cell r="Z19">
            <v>128</v>
          </cell>
          <cell r="AA19">
            <v>130</v>
          </cell>
          <cell r="AB19">
            <v>133</v>
          </cell>
          <cell r="AC19">
            <v>135</v>
          </cell>
          <cell r="AD19">
            <v>138</v>
          </cell>
          <cell r="AE19">
            <v>141</v>
          </cell>
          <cell r="AF19">
            <v>144</v>
          </cell>
          <cell r="AG19">
            <v>146</v>
          </cell>
          <cell r="AH19">
            <v>149</v>
          </cell>
        </row>
      </sheetData>
      <sheetData sheetId="1">
        <row r="13">
          <cell r="T13">
            <v>62</v>
          </cell>
          <cell r="U13">
            <v>72</v>
          </cell>
          <cell r="V13">
            <v>82</v>
          </cell>
          <cell r="W13">
            <v>92</v>
          </cell>
          <cell r="X13">
            <v>110</v>
          </cell>
          <cell r="Y13">
            <v>125</v>
          </cell>
          <cell r="Z13">
            <v>128</v>
          </cell>
          <cell r="AA13">
            <v>130</v>
          </cell>
          <cell r="AB13">
            <v>133</v>
          </cell>
          <cell r="AC13">
            <v>135</v>
          </cell>
          <cell r="AD13">
            <v>138</v>
          </cell>
          <cell r="AE13">
            <v>141</v>
          </cell>
          <cell r="AF13">
            <v>144</v>
          </cell>
          <cell r="AG13">
            <v>146</v>
          </cell>
          <cell r="AH13">
            <v>149</v>
          </cell>
        </row>
        <row r="14">
          <cell r="T14">
            <v>777</v>
          </cell>
          <cell r="U14">
            <v>870</v>
          </cell>
          <cell r="V14">
            <v>899</v>
          </cell>
          <cell r="W14">
            <v>1016</v>
          </cell>
          <cell r="X14">
            <v>1117</v>
          </cell>
          <cell r="Y14">
            <v>1228</v>
          </cell>
          <cell r="Z14">
            <v>1253</v>
          </cell>
          <cell r="AA14">
            <v>1278</v>
          </cell>
          <cell r="AB14">
            <v>1303</v>
          </cell>
          <cell r="AC14">
            <v>1329</v>
          </cell>
          <cell r="AD14">
            <v>1356</v>
          </cell>
          <cell r="AE14">
            <v>1383</v>
          </cell>
          <cell r="AF14">
            <v>1411</v>
          </cell>
          <cell r="AG14">
            <v>1439</v>
          </cell>
          <cell r="AH14">
            <v>1468</v>
          </cell>
        </row>
        <row r="17">
          <cell r="T17">
            <v>8906</v>
          </cell>
          <cell r="U17">
            <v>9150</v>
          </cell>
          <cell r="V17">
            <v>9636</v>
          </cell>
          <cell r="W17">
            <v>10243</v>
          </cell>
          <cell r="X17">
            <v>10706</v>
          </cell>
          <cell r="Y17">
            <v>10956</v>
          </cell>
          <cell r="Z17">
            <v>11175</v>
          </cell>
          <cell r="AA17">
            <v>11399</v>
          </cell>
          <cell r="AB17">
            <v>11627</v>
          </cell>
          <cell r="AC17">
            <v>11859</v>
          </cell>
          <cell r="AD17">
            <v>12096</v>
          </cell>
          <cell r="AE17">
            <v>12338</v>
          </cell>
          <cell r="AF17">
            <v>12585</v>
          </cell>
          <cell r="AG17">
            <v>12837</v>
          </cell>
          <cell r="AH17">
            <v>13093</v>
          </cell>
        </row>
        <row r="18">
          <cell r="T18">
            <v>11000</v>
          </cell>
          <cell r="U18">
            <v>11639</v>
          </cell>
          <cell r="V18">
            <v>12125</v>
          </cell>
          <cell r="W18">
            <v>12225</v>
          </cell>
          <cell r="X18">
            <v>12424</v>
          </cell>
          <cell r="Y18">
            <v>12705</v>
          </cell>
          <cell r="Z18">
            <v>12959</v>
          </cell>
          <cell r="AA18">
            <v>13218</v>
          </cell>
          <cell r="AB18">
            <v>13483</v>
          </cell>
          <cell r="AC18">
            <v>13752</v>
          </cell>
          <cell r="AD18">
            <v>14027</v>
          </cell>
          <cell r="AE18">
            <v>14308</v>
          </cell>
          <cell r="AF18">
            <v>14594</v>
          </cell>
          <cell r="AG18">
            <v>14886</v>
          </cell>
          <cell r="AH18">
            <v>15184</v>
          </cell>
        </row>
        <row r="21">
          <cell r="T21">
            <v>1648162</v>
          </cell>
          <cell r="U21">
            <v>1748805</v>
          </cell>
          <cell r="V21">
            <v>1859196</v>
          </cell>
          <cell r="W21">
            <v>1938835</v>
          </cell>
          <cell r="X21">
            <v>2013722</v>
          </cell>
          <cell r="Y21">
            <v>2073606</v>
          </cell>
          <cell r="Z21">
            <v>2115078</v>
          </cell>
          <cell r="AA21">
            <v>2157380</v>
          </cell>
          <cell r="AB21">
            <v>2200527</v>
          </cell>
          <cell r="AC21">
            <v>2244538</v>
          </cell>
          <cell r="AD21">
            <v>2289429</v>
          </cell>
          <cell r="AE21">
            <v>2335217</v>
          </cell>
          <cell r="AF21">
            <v>2381921</v>
          </cell>
          <cell r="AG21">
            <v>2429560</v>
          </cell>
          <cell r="AH21">
            <v>2478151</v>
          </cell>
        </row>
        <row r="22">
          <cell r="T22">
            <v>470495</v>
          </cell>
          <cell r="U22">
            <v>470745</v>
          </cell>
          <cell r="V22">
            <v>471245</v>
          </cell>
          <cell r="W22">
            <v>471495</v>
          </cell>
          <cell r="X22">
            <v>472495</v>
          </cell>
          <cell r="Y22">
            <v>473495</v>
          </cell>
          <cell r="Z22">
            <v>482965</v>
          </cell>
          <cell r="AA22">
            <v>492624</v>
          </cell>
          <cell r="AB22">
            <v>502477</v>
          </cell>
          <cell r="AC22">
            <v>512526</v>
          </cell>
          <cell r="AD22">
            <v>522777</v>
          </cell>
          <cell r="AE22">
            <v>533232</v>
          </cell>
          <cell r="AF22">
            <v>543897</v>
          </cell>
          <cell r="AG22">
            <v>554775</v>
          </cell>
          <cell r="AH22">
            <v>565870</v>
          </cell>
        </row>
        <row r="23">
          <cell r="T23">
            <v>5343</v>
          </cell>
          <cell r="U23">
            <v>5450</v>
          </cell>
          <cell r="V23">
            <v>5559</v>
          </cell>
          <cell r="W23">
            <v>5670</v>
          </cell>
          <cell r="X23">
            <v>5783</v>
          </cell>
          <cell r="Y23">
            <v>5899</v>
          </cell>
          <cell r="Z23">
            <v>6017</v>
          </cell>
          <cell r="AA23">
            <v>6137</v>
          </cell>
          <cell r="AB23">
            <v>6260</v>
          </cell>
          <cell r="AC23">
            <v>6385</v>
          </cell>
          <cell r="AD23">
            <v>6513</v>
          </cell>
          <cell r="AE23">
            <v>6643</v>
          </cell>
          <cell r="AF23">
            <v>6776</v>
          </cell>
          <cell r="AG23">
            <v>6912</v>
          </cell>
          <cell r="AH23">
            <v>7050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tanian"/>
      <sheetName val="Perternakan"/>
      <sheetName val="Sheet3"/>
    </sheetNames>
    <sheetDataSet>
      <sheetData sheetId="0">
        <row r="11">
          <cell r="T11">
            <v>9783.7000000000007</v>
          </cell>
          <cell r="U11">
            <v>11905.01</v>
          </cell>
          <cell r="V11">
            <v>11686.47</v>
          </cell>
          <cell r="W11">
            <v>11467.93</v>
          </cell>
          <cell r="X11">
            <v>11249.39</v>
          </cell>
          <cell r="Y11">
            <v>11030.84</v>
          </cell>
          <cell r="Z11">
            <v>10812.3</v>
          </cell>
          <cell r="AA11">
            <v>10593.76</v>
          </cell>
          <cell r="AB11">
            <v>10375.219999999999</v>
          </cell>
          <cell r="AC11">
            <v>10156.68</v>
          </cell>
          <cell r="AD11">
            <v>9938.14</v>
          </cell>
          <cell r="AE11">
            <v>9719.6</v>
          </cell>
          <cell r="AF11">
            <v>9501.06</v>
          </cell>
          <cell r="AG11">
            <v>9282.52</v>
          </cell>
          <cell r="AH11">
            <v>9063.98</v>
          </cell>
        </row>
        <row r="12">
          <cell r="T12">
            <v>1024</v>
          </cell>
          <cell r="U12">
            <v>1243.18</v>
          </cell>
          <cell r="V12">
            <v>1245.73</v>
          </cell>
          <cell r="W12">
            <v>1248.28</v>
          </cell>
          <cell r="X12">
            <v>1250.83</v>
          </cell>
          <cell r="Y12">
            <v>1253.3800000000001</v>
          </cell>
          <cell r="Z12">
            <v>1255.93</v>
          </cell>
          <cell r="AA12">
            <v>1258.48</v>
          </cell>
          <cell r="AB12">
            <v>1261.03</v>
          </cell>
          <cell r="AC12">
            <v>1263.58</v>
          </cell>
          <cell r="AD12">
            <v>1266.1300000000001</v>
          </cell>
          <cell r="AE12">
            <v>1268.68</v>
          </cell>
          <cell r="AF12">
            <v>1271.23</v>
          </cell>
          <cell r="AG12">
            <v>1273.78</v>
          </cell>
          <cell r="AH12">
            <v>1276.33</v>
          </cell>
        </row>
      </sheetData>
      <sheetData sheetId="1">
        <row r="41">
          <cell r="D41">
            <v>17</v>
          </cell>
          <cell r="E41">
            <v>18</v>
          </cell>
          <cell r="F41">
            <v>19</v>
          </cell>
          <cell r="G41">
            <v>20</v>
          </cell>
          <cell r="H41">
            <v>21</v>
          </cell>
          <cell r="I41">
            <v>22</v>
          </cell>
          <cell r="J41">
            <v>24</v>
          </cell>
          <cell r="K41">
            <v>25</v>
          </cell>
          <cell r="L41">
            <v>26</v>
          </cell>
          <cell r="M41">
            <v>28</v>
          </cell>
        </row>
        <row r="42">
          <cell r="D42">
            <v>601</v>
          </cell>
          <cell r="E42">
            <v>605</v>
          </cell>
          <cell r="F42">
            <v>611</v>
          </cell>
          <cell r="G42">
            <v>616</v>
          </cell>
          <cell r="H42">
            <v>620</v>
          </cell>
          <cell r="I42">
            <v>625</v>
          </cell>
          <cell r="J42">
            <v>630</v>
          </cell>
          <cell r="K42">
            <v>634</v>
          </cell>
          <cell r="L42">
            <v>639</v>
          </cell>
          <cell r="M42">
            <v>644</v>
          </cell>
        </row>
        <row r="43">
          <cell r="D43">
            <v>4858</v>
          </cell>
          <cell r="E43">
            <v>4835</v>
          </cell>
          <cell r="F43">
            <v>4811</v>
          </cell>
          <cell r="G43">
            <v>4787</v>
          </cell>
          <cell r="H43">
            <v>4762</v>
          </cell>
          <cell r="I43">
            <v>4737</v>
          </cell>
          <cell r="J43">
            <v>4711</v>
          </cell>
          <cell r="K43">
            <v>4685</v>
          </cell>
          <cell r="L43">
            <v>4658</v>
          </cell>
          <cell r="M43">
            <v>4631</v>
          </cell>
        </row>
        <row r="46">
          <cell r="D46">
            <v>1120</v>
          </cell>
          <cell r="E46">
            <v>1286</v>
          </cell>
          <cell r="F46">
            <v>1477</v>
          </cell>
          <cell r="G46">
            <v>1695</v>
          </cell>
          <cell r="H46">
            <v>1947</v>
          </cell>
          <cell r="I46">
            <v>2235</v>
          </cell>
          <cell r="J46">
            <v>2566</v>
          </cell>
          <cell r="K46">
            <v>2947</v>
          </cell>
          <cell r="L46">
            <v>3883</v>
          </cell>
          <cell r="M46">
            <v>3885</v>
          </cell>
        </row>
        <row r="47">
          <cell r="D47">
            <v>380479</v>
          </cell>
          <cell r="E47">
            <v>389610</v>
          </cell>
          <cell r="F47">
            <v>398961</v>
          </cell>
          <cell r="G47">
            <v>408536</v>
          </cell>
          <cell r="H47">
            <v>418341</v>
          </cell>
          <cell r="I47">
            <v>428381</v>
          </cell>
          <cell r="J47">
            <v>438662</v>
          </cell>
          <cell r="K47">
            <v>449190</v>
          </cell>
          <cell r="L47">
            <v>459971</v>
          </cell>
          <cell r="M47">
            <v>471010</v>
          </cell>
        </row>
        <row r="48">
          <cell r="D48">
            <v>1507776</v>
          </cell>
          <cell r="E48">
            <v>1445053</v>
          </cell>
          <cell r="F48">
            <v>1673949</v>
          </cell>
          <cell r="G48">
            <v>1604313</v>
          </cell>
          <cell r="H48">
            <v>1714048</v>
          </cell>
          <cell r="I48">
            <v>1659884</v>
          </cell>
          <cell r="J48">
            <v>1607431</v>
          </cell>
          <cell r="K48">
            <v>1556636</v>
          </cell>
          <cell r="L48">
            <v>1507447</v>
          </cell>
          <cell r="M48">
            <v>1444737</v>
          </cell>
        </row>
        <row r="49">
          <cell r="D49">
            <v>94424</v>
          </cell>
          <cell r="E49">
            <v>88145</v>
          </cell>
          <cell r="F49">
            <v>97638</v>
          </cell>
          <cell r="G49">
            <v>88362</v>
          </cell>
          <cell r="H49">
            <v>97714</v>
          </cell>
          <cell r="I49">
            <v>100894</v>
          </cell>
          <cell r="J49">
            <v>101975</v>
          </cell>
          <cell r="K49">
            <v>102342</v>
          </cell>
          <cell r="L49">
            <v>102467</v>
          </cell>
          <cell r="M49">
            <v>102510</v>
          </cell>
        </row>
        <row r="50">
          <cell r="D50">
            <v>22468</v>
          </cell>
          <cell r="E50">
            <v>19436</v>
          </cell>
          <cell r="F50">
            <v>19989</v>
          </cell>
          <cell r="G50">
            <v>20559</v>
          </cell>
          <cell r="H50">
            <v>21145</v>
          </cell>
          <cell r="I50">
            <v>21748</v>
          </cell>
          <cell r="J50">
            <v>22367</v>
          </cell>
          <cell r="K50">
            <v>23005</v>
          </cell>
          <cell r="L50">
            <v>23661</v>
          </cell>
          <cell r="M50">
            <v>22679</v>
          </cell>
        </row>
        <row r="55">
          <cell r="D55">
            <v>29</v>
          </cell>
          <cell r="E55">
            <v>31</v>
          </cell>
          <cell r="F55">
            <v>33</v>
          </cell>
          <cell r="G55">
            <v>35</v>
          </cell>
          <cell r="H55">
            <v>36</v>
          </cell>
        </row>
        <row r="56">
          <cell r="D56">
            <v>650</v>
          </cell>
          <cell r="E56">
            <v>655</v>
          </cell>
          <cell r="F56">
            <v>659</v>
          </cell>
          <cell r="G56">
            <v>664</v>
          </cell>
          <cell r="H56">
            <v>669</v>
          </cell>
        </row>
        <row r="57">
          <cell r="D57">
            <v>4602</v>
          </cell>
          <cell r="E57">
            <v>4574</v>
          </cell>
          <cell r="F57">
            <v>4544</v>
          </cell>
          <cell r="G57">
            <v>4514</v>
          </cell>
          <cell r="H57">
            <v>4484</v>
          </cell>
        </row>
        <row r="60">
          <cell r="D60">
            <v>4461</v>
          </cell>
          <cell r="E60">
            <v>5122</v>
          </cell>
          <cell r="F60">
            <v>5881</v>
          </cell>
          <cell r="G60">
            <v>6752</v>
          </cell>
          <cell r="H60">
            <v>7753</v>
          </cell>
        </row>
        <row r="61">
          <cell r="D61">
            <v>482314</v>
          </cell>
          <cell r="E61">
            <v>493890</v>
          </cell>
          <cell r="F61">
            <v>505743</v>
          </cell>
          <cell r="G61">
            <v>517881</v>
          </cell>
          <cell r="H61">
            <v>530310</v>
          </cell>
        </row>
        <row r="62">
          <cell r="D62">
            <v>1673583</v>
          </cell>
          <cell r="E62">
            <v>1603962</v>
          </cell>
          <cell r="F62">
            <v>1713673</v>
          </cell>
          <cell r="G62">
            <v>1659521</v>
          </cell>
          <cell r="H62">
            <v>1607080</v>
          </cell>
        </row>
        <row r="63">
          <cell r="D63">
            <v>102524</v>
          </cell>
          <cell r="E63">
            <v>102529</v>
          </cell>
          <cell r="F63">
            <v>102531</v>
          </cell>
          <cell r="G63">
            <v>102532</v>
          </cell>
          <cell r="H63">
            <v>102532</v>
          </cell>
        </row>
        <row r="64">
          <cell r="D64">
            <v>23325</v>
          </cell>
          <cell r="E64">
            <v>23990</v>
          </cell>
          <cell r="F64">
            <v>24674</v>
          </cell>
          <cell r="G64">
            <v>25377</v>
          </cell>
          <cell r="H64">
            <v>26100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I14" sqref="I14"/>
    </sheetView>
  </sheetViews>
  <sheetFormatPr defaultRowHeight="15" x14ac:dyDescent="0.25"/>
  <cols>
    <col min="1" max="1" width="9.140625" style="56"/>
    <col min="2" max="2" width="11" style="56" customWidth="1"/>
    <col min="3" max="3" width="17.42578125" style="56" bestFit="1" customWidth="1"/>
    <col min="4" max="4" width="19.7109375" style="56" bestFit="1" customWidth="1"/>
    <col min="5" max="16384" width="9.140625" style="56"/>
  </cols>
  <sheetData>
    <row r="1" spans="1:5" x14ac:dyDescent="0.25">
      <c r="A1" s="56" t="s">
        <v>41</v>
      </c>
    </row>
    <row r="2" spans="1:5" x14ac:dyDescent="0.25">
      <c r="A2" s="56" t="s">
        <v>42</v>
      </c>
    </row>
    <row r="5" spans="1:5" x14ac:dyDescent="0.25">
      <c r="B5" s="55" t="s">
        <v>43</v>
      </c>
      <c r="C5" s="55" t="s">
        <v>56</v>
      </c>
      <c r="D5" s="55" t="s">
        <v>54</v>
      </c>
      <c r="E5" s="55" t="s">
        <v>55</v>
      </c>
    </row>
    <row r="6" spans="1:5" x14ac:dyDescent="0.25">
      <c r="B6" s="56" t="s">
        <v>44</v>
      </c>
      <c r="C6" s="57">
        <v>13363</v>
      </c>
      <c r="D6" s="57">
        <v>15979</v>
      </c>
      <c r="E6" s="58">
        <f t="shared" ref="E6:E16" si="0">D6-C6</f>
        <v>2616</v>
      </c>
    </row>
    <row r="7" spans="1:5" x14ac:dyDescent="0.25">
      <c r="B7" s="56" t="s">
        <v>45</v>
      </c>
      <c r="C7" s="57">
        <v>56608</v>
      </c>
      <c r="D7" s="57">
        <v>173204</v>
      </c>
      <c r="E7" s="58">
        <f t="shared" si="0"/>
        <v>116596</v>
      </c>
    </row>
    <row r="8" spans="1:5" x14ac:dyDescent="0.25">
      <c r="B8" s="56" t="s">
        <v>46</v>
      </c>
      <c r="C8" s="57">
        <v>61315</v>
      </c>
      <c r="D8" s="57">
        <v>118927</v>
      </c>
      <c r="E8" s="58">
        <f t="shared" si="0"/>
        <v>57612</v>
      </c>
    </row>
    <row r="9" spans="1:5" x14ac:dyDescent="0.25">
      <c r="B9" s="56" t="s">
        <v>47</v>
      </c>
      <c r="C9" s="57">
        <v>1827</v>
      </c>
      <c r="D9" s="57">
        <v>2705</v>
      </c>
      <c r="E9" s="58">
        <f t="shared" si="0"/>
        <v>878</v>
      </c>
    </row>
    <row r="10" spans="1:5" x14ac:dyDescent="0.25">
      <c r="B10" s="56" t="s">
        <v>48</v>
      </c>
      <c r="C10" s="57">
        <v>20958</v>
      </c>
      <c r="D10" s="57">
        <v>65556</v>
      </c>
      <c r="E10" s="58">
        <f t="shared" si="0"/>
        <v>44598</v>
      </c>
    </row>
    <row r="11" spans="1:5" x14ac:dyDescent="0.25">
      <c r="B11" s="56" t="s">
        <v>49</v>
      </c>
      <c r="C11" s="57">
        <v>22875</v>
      </c>
      <c r="D11" s="57">
        <v>23488</v>
      </c>
      <c r="E11" s="58">
        <f t="shared" si="0"/>
        <v>613</v>
      </c>
    </row>
    <row r="12" spans="1:5" x14ac:dyDescent="0.25">
      <c r="B12" s="56" t="s">
        <v>50</v>
      </c>
      <c r="C12" s="57"/>
      <c r="D12" s="57">
        <v>7090</v>
      </c>
      <c r="E12" s="58">
        <f t="shared" si="0"/>
        <v>7090</v>
      </c>
    </row>
    <row r="13" spans="1:5" x14ac:dyDescent="0.25">
      <c r="B13" s="56" t="s">
        <v>51</v>
      </c>
      <c r="C13" s="57"/>
      <c r="D13" s="57">
        <v>244</v>
      </c>
      <c r="E13" s="58">
        <f t="shared" si="0"/>
        <v>244</v>
      </c>
    </row>
    <row r="14" spans="1:5" x14ac:dyDescent="0.25">
      <c r="B14" s="56" t="s">
        <v>52</v>
      </c>
      <c r="C14" s="57"/>
      <c r="D14" s="57">
        <v>5</v>
      </c>
      <c r="E14" s="58">
        <f t="shared" si="0"/>
        <v>5</v>
      </c>
    </row>
    <row r="15" spans="1:5" x14ac:dyDescent="0.25">
      <c r="B15" s="56" t="s">
        <v>53</v>
      </c>
      <c r="C15" s="57">
        <v>4887</v>
      </c>
      <c r="D15" s="57">
        <v>4900</v>
      </c>
      <c r="E15" s="58">
        <f t="shared" si="0"/>
        <v>13</v>
      </c>
    </row>
    <row r="16" spans="1:5" x14ac:dyDescent="0.25">
      <c r="C16" s="58">
        <f>SUM(C6:C15)</f>
        <v>181833</v>
      </c>
      <c r="D16" s="58">
        <f>SUM(D6:D15)</f>
        <v>412098</v>
      </c>
      <c r="E16" s="58">
        <f t="shared" si="0"/>
        <v>230265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7"/>
  <sheetViews>
    <sheetView zoomScale="85" zoomScaleNormal="85" workbookViewId="0">
      <pane xSplit="1" ySplit="4" topLeftCell="O20" activePane="bottomRight" state="frozen"/>
      <selection pane="topRight" activeCell="B1" sqref="B1"/>
      <selection pane="bottomLeft" activeCell="A5" sqref="A5"/>
      <selection pane="bottomRight" activeCell="V21" sqref="V21"/>
    </sheetView>
  </sheetViews>
  <sheetFormatPr defaultRowHeight="15" x14ac:dyDescent="0.25"/>
  <cols>
    <col min="2" max="2" width="15" bestFit="1" customWidth="1"/>
    <col min="3" max="3" width="16.140625" bestFit="1" customWidth="1"/>
    <col min="4" max="4" width="14" bestFit="1" customWidth="1"/>
    <col min="5" max="5" width="3.5703125" customWidth="1"/>
    <col min="7" max="7" width="15" bestFit="1" customWidth="1"/>
    <col min="8" max="8" width="16.140625" bestFit="1" customWidth="1"/>
    <col min="9" max="9" width="14" bestFit="1" customWidth="1"/>
    <col min="10" max="10" width="19.7109375" customWidth="1"/>
    <col min="13" max="13" width="4.5703125" customWidth="1"/>
    <col min="14" max="14" width="10.5703125" bestFit="1" customWidth="1"/>
    <col min="15" max="15" width="10.42578125" bestFit="1" customWidth="1"/>
    <col min="16" max="16" width="9.28515625" bestFit="1" customWidth="1"/>
    <col min="17" max="17" width="10.5703125" bestFit="1" customWidth="1"/>
    <col min="18" max="18" width="9.28515625" bestFit="1" customWidth="1"/>
    <col min="19" max="19" width="9.5703125" bestFit="1" customWidth="1"/>
    <col min="20" max="20" width="9.28515625" bestFit="1" customWidth="1"/>
    <col min="21" max="21" width="14.85546875" bestFit="1" customWidth="1"/>
    <col min="22" max="22" width="18.28515625" bestFit="1" customWidth="1"/>
    <col min="23" max="23" width="16.5703125" bestFit="1" customWidth="1"/>
    <col min="24" max="24" width="10.28515625" bestFit="1" customWidth="1"/>
    <col min="25" max="25" width="4.5703125" bestFit="1" customWidth="1"/>
    <col min="29" max="29" width="12.85546875" bestFit="1" customWidth="1"/>
    <col min="31" max="31" width="12.140625" bestFit="1" customWidth="1"/>
  </cols>
  <sheetData>
    <row r="1" spans="1:31" x14ac:dyDescent="0.25">
      <c r="A1" s="6" t="s">
        <v>12</v>
      </c>
      <c r="B1" s="6"/>
      <c r="C1" s="6"/>
      <c r="D1" s="6"/>
      <c r="E1" s="6"/>
      <c r="F1" s="6"/>
      <c r="G1" s="6"/>
      <c r="H1" s="6"/>
      <c r="I1" s="6"/>
      <c r="J1" s="6"/>
    </row>
    <row r="2" spans="1:31" x14ac:dyDescent="0.25">
      <c r="A2" s="6"/>
      <c r="B2" s="6"/>
      <c r="C2" s="6"/>
      <c r="D2" s="6"/>
      <c r="E2" s="6"/>
      <c r="F2" s="6"/>
      <c r="G2" s="6"/>
      <c r="H2" s="6"/>
      <c r="I2" s="6"/>
      <c r="J2" s="6"/>
    </row>
    <row r="3" spans="1:31" x14ac:dyDescent="0.25">
      <c r="A3" s="119" t="s">
        <v>2</v>
      </c>
      <c r="B3" s="119"/>
      <c r="C3" s="119"/>
      <c r="D3" s="119"/>
      <c r="E3" s="6"/>
      <c r="F3" s="119" t="s">
        <v>5</v>
      </c>
      <c r="G3" s="119"/>
      <c r="H3" s="119"/>
      <c r="I3" s="119"/>
      <c r="J3" s="39" t="s">
        <v>33</v>
      </c>
      <c r="N3" s="120" t="s">
        <v>26</v>
      </c>
      <c r="O3" s="120"/>
      <c r="P3" s="120"/>
      <c r="Q3" s="120"/>
      <c r="R3" s="120"/>
      <c r="S3" s="120"/>
      <c r="T3" s="120"/>
      <c r="U3" s="120"/>
      <c r="V3" s="120"/>
      <c r="W3" s="120"/>
      <c r="X3" s="120"/>
      <c r="Z3" s="120" t="s">
        <v>34</v>
      </c>
      <c r="AA3" s="120"/>
      <c r="AB3" s="120"/>
      <c r="AC3" s="120"/>
      <c r="AD3" s="120"/>
      <c r="AE3" s="120"/>
    </row>
    <row r="4" spans="1:31" x14ac:dyDescent="0.25">
      <c r="A4" s="6"/>
      <c r="B4" s="4" t="s">
        <v>4</v>
      </c>
      <c r="C4" s="1" t="s">
        <v>0</v>
      </c>
      <c r="D4" s="1" t="s">
        <v>1</v>
      </c>
      <c r="E4" s="6"/>
      <c r="F4" s="6"/>
      <c r="G4" s="4" t="s">
        <v>4</v>
      </c>
      <c r="H4" s="1" t="s">
        <v>0</v>
      </c>
      <c r="I4" s="1" t="s">
        <v>1</v>
      </c>
      <c r="J4" s="40"/>
      <c r="N4" s="4" t="s">
        <v>15</v>
      </c>
      <c r="O4" s="4" t="s">
        <v>16</v>
      </c>
      <c r="P4" s="4" t="s">
        <v>17</v>
      </c>
      <c r="Q4" s="4" t="s">
        <v>18</v>
      </c>
      <c r="R4" s="4" t="s">
        <v>19</v>
      </c>
      <c r="S4" s="4" t="s">
        <v>20</v>
      </c>
      <c r="T4" s="4" t="s">
        <v>21</v>
      </c>
      <c r="U4" s="4" t="s">
        <v>22</v>
      </c>
      <c r="V4" s="4" t="s">
        <v>23</v>
      </c>
      <c r="W4" s="4" t="s">
        <v>24</v>
      </c>
      <c r="X4" s="4" t="s">
        <v>25</v>
      </c>
      <c r="Z4" s="4" t="s">
        <v>35</v>
      </c>
      <c r="AA4" s="4" t="s">
        <v>36</v>
      </c>
      <c r="AB4" s="4" t="s">
        <v>37</v>
      </c>
      <c r="AC4" s="4" t="s">
        <v>38</v>
      </c>
      <c r="AD4" s="4" t="s">
        <v>39</v>
      </c>
      <c r="AE4" s="4" t="s">
        <v>40</v>
      </c>
    </row>
    <row r="5" spans="1:31" x14ac:dyDescent="0.25">
      <c r="A5" s="7">
        <v>2000</v>
      </c>
      <c r="B5" s="2">
        <v>19</v>
      </c>
      <c r="C5" s="15">
        <f>(D5*10)/B5</f>
        <v>33.157894736842103</v>
      </c>
      <c r="D5" s="2">
        <v>63</v>
      </c>
      <c r="E5">
        <v>1</v>
      </c>
      <c r="F5" s="7">
        <v>2000</v>
      </c>
      <c r="G5" s="2">
        <v>70</v>
      </c>
      <c r="H5" s="15">
        <f>(I5*10)/G5</f>
        <v>19.285714285714285</v>
      </c>
      <c r="I5" s="2">
        <v>135</v>
      </c>
      <c r="J5" s="2">
        <f>B5+G5</f>
        <v>89</v>
      </c>
      <c r="K5" s="17">
        <f>G5/J5</f>
        <v>0.7865168539325843</v>
      </c>
      <c r="L5" s="7">
        <v>2000</v>
      </c>
      <c r="M5" s="7">
        <v>1</v>
      </c>
      <c r="N5" s="81">
        <v>870</v>
      </c>
      <c r="O5" s="81"/>
      <c r="P5" s="81">
        <v>45</v>
      </c>
      <c r="Q5" s="81">
        <v>2005</v>
      </c>
      <c r="R5" s="81">
        <v>50</v>
      </c>
      <c r="S5" s="81">
        <v>1650</v>
      </c>
      <c r="T5" s="81">
        <v>12</v>
      </c>
      <c r="U5" s="81">
        <v>5100</v>
      </c>
      <c r="V5" s="81">
        <v>5217000</v>
      </c>
      <c r="W5" s="81">
        <v>22800</v>
      </c>
      <c r="X5" s="81">
        <v>4100</v>
      </c>
    </row>
    <row r="6" spans="1:31" x14ac:dyDescent="0.25">
      <c r="A6" s="7">
        <v>2001</v>
      </c>
      <c r="B6" s="2">
        <v>1</v>
      </c>
      <c r="C6" s="15">
        <f t="shared" ref="C6:C20" si="0">(D6*10)/B6</f>
        <v>30</v>
      </c>
      <c r="D6" s="2">
        <v>3</v>
      </c>
      <c r="E6">
        <v>2</v>
      </c>
      <c r="F6" s="7">
        <v>2001</v>
      </c>
      <c r="G6" s="2">
        <v>29</v>
      </c>
      <c r="H6" s="15">
        <f t="shared" ref="H6:H20" si="1">(I6*10)/G6</f>
        <v>20.689655172413794</v>
      </c>
      <c r="I6" s="2">
        <v>60</v>
      </c>
      <c r="J6" s="2">
        <f t="shared" ref="J6:J18" si="2">B6+G6</f>
        <v>30</v>
      </c>
      <c r="K6" s="17">
        <f t="shared" ref="K6:K20" si="3">G6/J6</f>
        <v>0.96666666666666667</v>
      </c>
      <c r="L6" s="7">
        <v>2001</v>
      </c>
      <c r="M6" s="7">
        <v>2</v>
      </c>
      <c r="N6" s="81">
        <v>1347</v>
      </c>
      <c r="O6" s="2">
        <v>0</v>
      </c>
      <c r="P6" s="81">
        <v>53</v>
      </c>
      <c r="Q6" s="81">
        <v>2363</v>
      </c>
      <c r="R6" s="81">
        <v>31</v>
      </c>
      <c r="S6" s="81">
        <v>1535</v>
      </c>
      <c r="T6" s="81">
        <v>10</v>
      </c>
      <c r="U6" s="81">
        <v>115000</v>
      </c>
      <c r="V6" s="81">
        <v>7477000</v>
      </c>
      <c r="W6" s="81">
        <v>3100</v>
      </c>
      <c r="X6" s="81">
        <v>4100</v>
      </c>
    </row>
    <row r="7" spans="1:31" x14ac:dyDescent="0.25">
      <c r="A7" s="7">
        <v>2002</v>
      </c>
      <c r="B7" s="2">
        <v>5</v>
      </c>
      <c r="C7" s="15">
        <f t="shared" si="0"/>
        <v>34</v>
      </c>
      <c r="D7" s="2">
        <v>17</v>
      </c>
      <c r="E7">
        <v>3</v>
      </c>
      <c r="F7" s="7">
        <v>2002</v>
      </c>
      <c r="G7" s="2">
        <v>46</v>
      </c>
      <c r="H7" s="15">
        <f t="shared" si="1"/>
        <v>20.652173913043477</v>
      </c>
      <c r="I7" s="2">
        <v>95</v>
      </c>
      <c r="J7" s="2">
        <f t="shared" si="2"/>
        <v>51</v>
      </c>
      <c r="K7" s="17">
        <f t="shared" si="3"/>
        <v>0.90196078431372551</v>
      </c>
      <c r="L7" s="7">
        <v>2002</v>
      </c>
      <c r="M7" s="7">
        <v>3</v>
      </c>
      <c r="N7" s="81">
        <v>1009</v>
      </c>
      <c r="O7" s="2">
        <v>0</v>
      </c>
      <c r="P7" s="81">
        <v>10</v>
      </c>
      <c r="Q7" s="81">
        <v>1015</v>
      </c>
      <c r="R7" s="81">
        <v>31</v>
      </c>
      <c r="S7" s="2">
        <v>0</v>
      </c>
      <c r="T7" s="81">
        <v>4</v>
      </c>
      <c r="U7" s="81">
        <v>144100</v>
      </c>
      <c r="V7" s="81">
        <v>8090000</v>
      </c>
      <c r="W7" s="81">
        <v>431000</v>
      </c>
      <c r="X7" s="81">
        <v>1100</v>
      </c>
    </row>
    <row r="8" spans="1:31" x14ac:dyDescent="0.25">
      <c r="A8" s="7">
        <v>2003</v>
      </c>
      <c r="B8" s="2">
        <v>28</v>
      </c>
      <c r="C8" s="15">
        <f t="shared" si="0"/>
        <v>39.285714285714285</v>
      </c>
      <c r="D8" s="2">
        <v>110</v>
      </c>
      <c r="E8">
        <v>4</v>
      </c>
      <c r="F8" s="7">
        <v>2003</v>
      </c>
      <c r="G8" s="2">
        <v>30</v>
      </c>
      <c r="H8" s="15">
        <f t="shared" si="1"/>
        <v>20.666666666666668</v>
      </c>
      <c r="I8" s="2">
        <v>62</v>
      </c>
      <c r="J8" s="2">
        <f t="shared" si="2"/>
        <v>58</v>
      </c>
      <c r="K8" s="17">
        <f t="shared" si="3"/>
        <v>0.51724137931034486</v>
      </c>
      <c r="L8" s="7">
        <v>2003</v>
      </c>
      <c r="M8" s="7">
        <v>4</v>
      </c>
      <c r="N8" s="81">
        <v>657</v>
      </c>
      <c r="O8" s="2">
        <v>0</v>
      </c>
      <c r="P8" s="81">
        <v>6</v>
      </c>
      <c r="Q8" s="81">
        <v>1310</v>
      </c>
      <c r="R8" s="2">
        <v>0</v>
      </c>
      <c r="S8" s="2">
        <v>0</v>
      </c>
      <c r="T8" s="81">
        <v>4</v>
      </c>
      <c r="U8" s="81">
        <v>223000</v>
      </c>
      <c r="V8" s="81">
        <v>8534700</v>
      </c>
      <c r="W8" s="81">
        <v>100000</v>
      </c>
      <c r="X8" s="81">
        <v>1800</v>
      </c>
    </row>
    <row r="9" spans="1:31" x14ac:dyDescent="0.25">
      <c r="A9" s="7">
        <v>2004</v>
      </c>
      <c r="B9" s="2">
        <v>35</v>
      </c>
      <c r="C9" s="15">
        <f t="shared" si="0"/>
        <v>34.571428571428569</v>
      </c>
      <c r="D9" s="2">
        <v>121</v>
      </c>
      <c r="E9">
        <v>5</v>
      </c>
      <c r="F9" s="7">
        <v>2004</v>
      </c>
      <c r="G9" s="2">
        <v>15</v>
      </c>
      <c r="H9" s="15">
        <f t="shared" si="1"/>
        <v>20</v>
      </c>
      <c r="I9" s="2">
        <v>30</v>
      </c>
      <c r="J9" s="2">
        <f t="shared" si="2"/>
        <v>50</v>
      </c>
      <c r="K9" s="17">
        <f t="shared" si="3"/>
        <v>0.3</v>
      </c>
      <c r="L9" s="7">
        <v>2004</v>
      </c>
      <c r="M9" s="7">
        <v>5</v>
      </c>
      <c r="N9" s="81">
        <v>715</v>
      </c>
      <c r="O9" s="2">
        <v>0</v>
      </c>
      <c r="P9" s="81">
        <v>6</v>
      </c>
      <c r="Q9" s="81">
        <v>2500</v>
      </c>
      <c r="R9" s="2">
        <v>0</v>
      </c>
      <c r="S9" s="2">
        <v>0</v>
      </c>
      <c r="T9" s="81">
        <v>4</v>
      </c>
      <c r="U9" s="82">
        <v>114100</v>
      </c>
      <c r="V9" s="82">
        <v>9000000</v>
      </c>
      <c r="W9" s="82">
        <v>100000</v>
      </c>
      <c r="X9" s="82">
        <v>2500</v>
      </c>
    </row>
    <row r="10" spans="1:31" x14ac:dyDescent="0.25">
      <c r="A10" s="7">
        <v>2005</v>
      </c>
      <c r="B10" s="2">
        <v>12</v>
      </c>
      <c r="C10" s="15">
        <f t="shared" si="0"/>
        <v>33.409999999999997</v>
      </c>
      <c r="D10" s="2">
        <v>40.091999999999999</v>
      </c>
      <c r="E10">
        <v>6</v>
      </c>
      <c r="F10" s="7">
        <v>2005</v>
      </c>
      <c r="G10" s="2">
        <v>3</v>
      </c>
      <c r="H10" s="15">
        <f t="shared" si="1"/>
        <v>20</v>
      </c>
      <c r="I10" s="2">
        <v>6</v>
      </c>
      <c r="J10" s="2">
        <f t="shared" si="2"/>
        <v>15</v>
      </c>
      <c r="K10" s="17">
        <f t="shared" si="3"/>
        <v>0.2</v>
      </c>
      <c r="L10" s="7">
        <v>2005</v>
      </c>
      <c r="M10" s="7">
        <v>6</v>
      </c>
      <c r="N10" s="83">
        <v>1080</v>
      </c>
      <c r="O10" s="2">
        <v>0</v>
      </c>
      <c r="P10" s="83">
        <v>6</v>
      </c>
      <c r="Q10" s="83">
        <v>2800</v>
      </c>
      <c r="R10" s="2">
        <v>0</v>
      </c>
      <c r="S10" s="2">
        <v>0</v>
      </c>
      <c r="T10" s="83">
        <v>6</v>
      </c>
      <c r="U10" s="83">
        <v>73500</v>
      </c>
      <c r="V10" s="83">
        <v>8740300</v>
      </c>
      <c r="W10" s="83">
        <v>100500</v>
      </c>
      <c r="X10" s="83">
        <v>2100</v>
      </c>
    </row>
    <row r="11" spans="1:31" x14ac:dyDescent="0.25">
      <c r="A11" s="7">
        <v>2006</v>
      </c>
      <c r="B11" s="2">
        <v>62</v>
      </c>
      <c r="C11" s="15">
        <f t="shared" si="0"/>
        <v>40.483870967741936</v>
      </c>
      <c r="D11" s="2">
        <v>251</v>
      </c>
      <c r="E11">
        <v>7</v>
      </c>
      <c r="F11" s="7">
        <v>2006</v>
      </c>
      <c r="G11" s="2">
        <v>25</v>
      </c>
      <c r="H11" s="15">
        <f t="shared" si="1"/>
        <v>20</v>
      </c>
      <c r="I11" s="2">
        <v>50</v>
      </c>
      <c r="J11" s="2">
        <f t="shared" si="2"/>
        <v>87</v>
      </c>
      <c r="K11" s="17">
        <f t="shared" si="3"/>
        <v>0.28735632183908044</v>
      </c>
      <c r="L11" s="7">
        <v>2006</v>
      </c>
      <c r="M11" s="7">
        <v>7</v>
      </c>
      <c r="N11" s="83">
        <v>1135</v>
      </c>
      <c r="O11" s="2">
        <v>0</v>
      </c>
      <c r="P11" s="83">
        <v>0</v>
      </c>
      <c r="Q11" s="83">
        <v>2875</v>
      </c>
      <c r="R11" s="2">
        <v>0</v>
      </c>
      <c r="S11" s="2">
        <v>0</v>
      </c>
      <c r="T11" s="83">
        <v>6</v>
      </c>
      <c r="U11" s="83">
        <v>73500</v>
      </c>
      <c r="V11" s="83">
        <v>8900000</v>
      </c>
      <c r="W11" s="83">
        <v>103000</v>
      </c>
      <c r="X11" s="83">
        <v>700</v>
      </c>
    </row>
    <row r="12" spans="1:31" x14ac:dyDescent="0.25">
      <c r="A12" s="7">
        <v>2007</v>
      </c>
      <c r="B12" s="2">
        <v>144</v>
      </c>
      <c r="C12" s="15">
        <f t="shared" si="0"/>
        <v>35.902777777777779</v>
      </c>
      <c r="D12" s="2">
        <v>517</v>
      </c>
      <c r="E12">
        <v>8</v>
      </c>
      <c r="F12" s="7">
        <v>2007</v>
      </c>
      <c r="G12" s="2">
        <v>47</v>
      </c>
      <c r="H12" s="15">
        <f t="shared" si="1"/>
        <v>20</v>
      </c>
      <c r="I12" s="2">
        <v>94</v>
      </c>
      <c r="J12" s="2">
        <f t="shared" si="2"/>
        <v>191</v>
      </c>
      <c r="K12" s="17">
        <f t="shared" si="3"/>
        <v>0.24607329842931938</v>
      </c>
      <c r="L12" s="7">
        <v>2007</v>
      </c>
      <c r="M12" s="7">
        <v>8</v>
      </c>
      <c r="N12" s="83">
        <v>1161</v>
      </c>
      <c r="O12" s="2">
        <v>0</v>
      </c>
      <c r="P12" s="83">
        <v>7</v>
      </c>
      <c r="Q12" s="83">
        <v>3020</v>
      </c>
      <c r="R12" s="83">
        <v>12</v>
      </c>
      <c r="S12" s="2">
        <v>0</v>
      </c>
      <c r="T12" s="2">
        <v>0</v>
      </c>
      <c r="U12" s="83">
        <v>104900</v>
      </c>
      <c r="V12" s="83">
        <v>7560000</v>
      </c>
      <c r="W12" s="83">
        <v>187200</v>
      </c>
      <c r="X12" s="83">
        <v>1700</v>
      </c>
    </row>
    <row r="13" spans="1:31" x14ac:dyDescent="0.25">
      <c r="A13" s="7">
        <v>2008</v>
      </c>
      <c r="B13" s="2">
        <v>270</v>
      </c>
      <c r="C13" s="15">
        <f t="shared" si="0"/>
        <v>43.61</v>
      </c>
      <c r="D13" s="2">
        <v>1177.47</v>
      </c>
      <c r="E13">
        <v>9</v>
      </c>
      <c r="F13" s="7">
        <v>2008</v>
      </c>
      <c r="G13" s="2">
        <v>156</v>
      </c>
      <c r="H13" s="15">
        <f t="shared" si="1"/>
        <v>20</v>
      </c>
      <c r="I13" s="2">
        <v>312</v>
      </c>
      <c r="J13" s="2">
        <f t="shared" si="2"/>
        <v>426</v>
      </c>
      <c r="K13" s="17">
        <f t="shared" si="3"/>
        <v>0.36619718309859156</v>
      </c>
      <c r="L13" s="7">
        <v>2008</v>
      </c>
      <c r="M13" s="7">
        <v>9</v>
      </c>
      <c r="N13" s="83">
        <v>1117</v>
      </c>
      <c r="O13" s="2">
        <v>0</v>
      </c>
      <c r="P13" s="83">
        <v>0</v>
      </c>
      <c r="Q13" s="83">
        <v>590</v>
      </c>
      <c r="R13" s="2">
        <v>0</v>
      </c>
      <c r="S13" s="2">
        <v>0</v>
      </c>
      <c r="T13" s="83">
        <v>15</v>
      </c>
      <c r="U13" s="83">
        <v>49949</v>
      </c>
      <c r="V13" s="83">
        <v>7660000</v>
      </c>
      <c r="W13" s="83">
        <v>41800</v>
      </c>
      <c r="X13" s="83">
        <v>682</v>
      </c>
    </row>
    <row r="14" spans="1:31" x14ac:dyDescent="0.25">
      <c r="A14" s="7">
        <v>2009</v>
      </c>
      <c r="B14" s="2">
        <v>130</v>
      </c>
      <c r="C14" s="15">
        <f t="shared" si="0"/>
        <v>47.769230769230766</v>
      </c>
      <c r="D14" s="2">
        <v>621</v>
      </c>
      <c r="E14">
        <v>10</v>
      </c>
      <c r="F14" s="7">
        <v>2009</v>
      </c>
      <c r="G14" s="2">
        <v>133</v>
      </c>
      <c r="H14" s="15">
        <f t="shared" si="1"/>
        <v>20</v>
      </c>
      <c r="I14" s="2">
        <v>266</v>
      </c>
      <c r="J14" s="2">
        <f t="shared" si="2"/>
        <v>263</v>
      </c>
      <c r="K14" s="17">
        <f t="shared" si="3"/>
        <v>0.50570342205323193</v>
      </c>
      <c r="L14" s="7">
        <v>2009</v>
      </c>
      <c r="M14" s="7">
        <v>10</v>
      </c>
      <c r="N14" s="83">
        <v>1157</v>
      </c>
      <c r="O14" s="2">
        <v>0</v>
      </c>
      <c r="P14" s="83">
        <v>25</v>
      </c>
      <c r="Q14" s="83">
        <v>2006</v>
      </c>
      <c r="R14" s="83">
        <v>4</v>
      </c>
      <c r="S14" s="2">
        <v>0</v>
      </c>
      <c r="T14" s="83">
        <v>25</v>
      </c>
      <c r="U14" s="83">
        <v>40115</v>
      </c>
      <c r="V14" s="83">
        <v>12080000</v>
      </c>
      <c r="W14" s="83">
        <v>62000</v>
      </c>
      <c r="X14" s="83">
        <v>1066</v>
      </c>
      <c r="Y14" s="2">
        <v>1</v>
      </c>
      <c r="Z14" s="2">
        <v>94</v>
      </c>
      <c r="AA14" s="2">
        <v>559</v>
      </c>
      <c r="AB14" s="2">
        <v>19</v>
      </c>
      <c r="AC14" s="2">
        <v>5</v>
      </c>
      <c r="AD14" s="2">
        <v>0</v>
      </c>
      <c r="AE14" s="2">
        <v>0</v>
      </c>
    </row>
    <row r="15" spans="1:31" x14ac:dyDescent="0.25">
      <c r="A15" s="7">
        <v>2010</v>
      </c>
      <c r="B15" s="2">
        <v>191</v>
      </c>
      <c r="C15" s="15">
        <f t="shared" si="0"/>
        <v>45.549738219895289</v>
      </c>
      <c r="D15" s="2">
        <v>870</v>
      </c>
      <c r="E15">
        <v>11</v>
      </c>
      <c r="F15" s="7">
        <v>2010</v>
      </c>
      <c r="G15" s="2">
        <v>126</v>
      </c>
      <c r="H15" s="15">
        <f t="shared" si="1"/>
        <v>20</v>
      </c>
      <c r="I15" s="2">
        <v>252</v>
      </c>
      <c r="J15" s="2">
        <f t="shared" si="2"/>
        <v>317</v>
      </c>
      <c r="K15" s="17">
        <f t="shared" si="3"/>
        <v>0.39747634069400634</v>
      </c>
      <c r="L15" s="7">
        <v>2010</v>
      </c>
      <c r="M15" s="7">
        <v>11</v>
      </c>
      <c r="N15" s="90">
        <v>1418</v>
      </c>
      <c r="O15" s="2">
        <v>0</v>
      </c>
      <c r="P15" s="90">
        <v>25</v>
      </c>
      <c r="Q15" s="90">
        <v>2050</v>
      </c>
      <c r="R15" s="90">
        <v>4</v>
      </c>
      <c r="S15" s="2">
        <v>0</v>
      </c>
      <c r="T15" s="90">
        <v>26</v>
      </c>
      <c r="U15" s="47">
        <v>34216</v>
      </c>
      <c r="V15" s="47">
        <v>8761831</v>
      </c>
      <c r="W15" s="47">
        <v>61996</v>
      </c>
      <c r="X15" s="47">
        <v>776</v>
      </c>
      <c r="Y15" s="10">
        <v>2</v>
      </c>
      <c r="Z15" s="10">
        <v>589</v>
      </c>
      <c r="AA15" s="10">
        <v>566</v>
      </c>
      <c r="AB15" s="10">
        <v>19</v>
      </c>
      <c r="AC15" s="10">
        <v>4</v>
      </c>
      <c r="AD15" s="10">
        <v>0</v>
      </c>
      <c r="AE15" s="10">
        <v>0</v>
      </c>
    </row>
    <row r="16" spans="1:31" x14ac:dyDescent="0.25">
      <c r="A16" s="7">
        <v>2011</v>
      </c>
      <c r="B16" s="2">
        <v>223</v>
      </c>
      <c r="C16" s="15">
        <f t="shared" si="0"/>
        <v>44.708520179372201</v>
      </c>
      <c r="D16" s="2">
        <v>997</v>
      </c>
      <c r="E16">
        <v>12</v>
      </c>
      <c r="F16" s="7">
        <v>2011</v>
      </c>
      <c r="G16" s="2">
        <v>76</v>
      </c>
      <c r="H16" s="15">
        <f t="shared" si="1"/>
        <v>25.131578947368421</v>
      </c>
      <c r="I16" s="2">
        <v>191</v>
      </c>
      <c r="J16" s="2">
        <f t="shared" si="2"/>
        <v>299</v>
      </c>
      <c r="K16" s="17">
        <f t="shared" si="3"/>
        <v>0.25418060200668896</v>
      </c>
      <c r="L16" s="7">
        <v>2011</v>
      </c>
      <c r="M16" s="7">
        <v>12</v>
      </c>
      <c r="N16" s="90">
        <v>1652</v>
      </c>
      <c r="O16" s="2">
        <v>0</v>
      </c>
      <c r="P16" s="90">
        <v>48</v>
      </c>
      <c r="Q16" s="90">
        <v>2087</v>
      </c>
      <c r="R16" s="90">
        <v>4</v>
      </c>
      <c r="S16" s="90">
        <v>828</v>
      </c>
      <c r="T16" s="90">
        <v>26</v>
      </c>
      <c r="U16" s="47">
        <v>32684</v>
      </c>
      <c r="V16" s="47">
        <v>9519240</v>
      </c>
      <c r="W16" s="47">
        <v>70000</v>
      </c>
      <c r="X16" s="47">
        <v>1199</v>
      </c>
      <c r="Y16" s="10">
        <v>3</v>
      </c>
      <c r="Z16" s="10">
        <v>216</v>
      </c>
      <c r="AA16" s="10">
        <v>571</v>
      </c>
      <c r="AB16" s="10">
        <v>11</v>
      </c>
      <c r="AC16">
        <v>3</v>
      </c>
      <c r="AD16">
        <v>0</v>
      </c>
      <c r="AE16">
        <v>0</v>
      </c>
    </row>
    <row r="17" spans="1:31" x14ac:dyDescent="0.25">
      <c r="A17" s="7">
        <v>2012</v>
      </c>
      <c r="B17" s="2">
        <v>146</v>
      </c>
      <c r="C17" s="15">
        <f t="shared" si="0"/>
        <v>44.726027397260275</v>
      </c>
      <c r="D17" s="2">
        <v>653</v>
      </c>
      <c r="E17">
        <v>13</v>
      </c>
      <c r="F17" s="7">
        <v>2012</v>
      </c>
      <c r="G17" s="2">
        <v>130</v>
      </c>
      <c r="H17" s="15">
        <f t="shared" si="1"/>
        <v>25.076923076923077</v>
      </c>
      <c r="I17" s="2">
        <v>326</v>
      </c>
      <c r="J17" s="2">
        <f t="shared" si="2"/>
        <v>276</v>
      </c>
      <c r="K17" s="17">
        <f t="shared" si="3"/>
        <v>0.47101449275362317</v>
      </c>
      <c r="L17" s="7">
        <v>2012</v>
      </c>
      <c r="M17" s="7">
        <v>13</v>
      </c>
      <c r="N17" s="90">
        <v>2944</v>
      </c>
      <c r="O17" s="2">
        <v>0</v>
      </c>
      <c r="P17" s="90">
        <v>102</v>
      </c>
      <c r="Q17" s="90">
        <v>2595</v>
      </c>
      <c r="R17" s="2">
        <v>0</v>
      </c>
      <c r="S17" s="90">
        <v>938</v>
      </c>
      <c r="T17" s="90">
        <v>26</v>
      </c>
      <c r="U17" s="47">
        <v>47678</v>
      </c>
      <c r="V17" s="47">
        <v>9388800</v>
      </c>
      <c r="W17" s="47">
        <v>34000</v>
      </c>
      <c r="X17" s="47">
        <v>2249</v>
      </c>
      <c r="Y17" s="10">
        <v>4</v>
      </c>
      <c r="Z17" s="10">
        <v>183</v>
      </c>
      <c r="AA17" s="10">
        <v>418</v>
      </c>
      <c r="AB17" s="10">
        <v>22</v>
      </c>
      <c r="AC17">
        <v>19</v>
      </c>
      <c r="AD17">
        <v>0</v>
      </c>
      <c r="AE17">
        <v>0</v>
      </c>
    </row>
    <row r="18" spans="1:31" x14ac:dyDescent="0.25">
      <c r="A18" s="7">
        <v>2013</v>
      </c>
      <c r="B18" s="2">
        <v>45</v>
      </c>
      <c r="C18" s="15">
        <f t="shared" si="0"/>
        <v>44.666666666666664</v>
      </c>
      <c r="D18" s="2">
        <v>201</v>
      </c>
      <c r="E18">
        <v>14</v>
      </c>
      <c r="F18" s="7">
        <v>2013</v>
      </c>
      <c r="G18" s="2">
        <v>196</v>
      </c>
      <c r="H18" s="15">
        <f t="shared" si="1"/>
        <v>25.102040816326532</v>
      </c>
      <c r="I18" s="2">
        <v>492</v>
      </c>
      <c r="J18" s="2">
        <f t="shared" si="2"/>
        <v>241</v>
      </c>
      <c r="K18" s="17">
        <f t="shared" si="3"/>
        <v>0.81327800829875518</v>
      </c>
      <c r="L18" s="7">
        <v>2013</v>
      </c>
      <c r="M18" s="7">
        <v>14</v>
      </c>
      <c r="N18" s="90">
        <v>2962</v>
      </c>
      <c r="O18" s="2">
        <v>0</v>
      </c>
      <c r="P18" s="90">
        <v>96</v>
      </c>
      <c r="Q18" s="90">
        <v>2927</v>
      </c>
      <c r="R18" s="90">
        <v>5</v>
      </c>
      <c r="S18" s="90">
        <v>920</v>
      </c>
      <c r="T18" s="90">
        <v>16</v>
      </c>
      <c r="U18" s="47">
        <v>48320</v>
      </c>
      <c r="V18" s="47">
        <v>15806425</v>
      </c>
      <c r="W18" s="47">
        <v>72000</v>
      </c>
      <c r="X18" s="47">
        <v>1380</v>
      </c>
      <c r="Y18" s="10">
        <v>5</v>
      </c>
      <c r="Z18" s="10">
        <v>165</v>
      </c>
      <c r="AA18" s="10">
        <v>322</v>
      </c>
      <c r="AB18" s="10">
        <v>23</v>
      </c>
      <c r="AC18">
        <v>25</v>
      </c>
      <c r="AD18">
        <v>0</v>
      </c>
      <c r="AE18">
        <v>0</v>
      </c>
    </row>
    <row r="19" spans="1:31" x14ac:dyDescent="0.25">
      <c r="A19" s="7">
        <v>2014</v>
      </c>
      <c r="B19" s="2">
        <v>24</v>
      </c>
      <c r="C19" s="15">
        <f t="shared" si="0"/>
        <v>44.583333333333336</v>
      </c>
      <c r="D19" s="2">
        <v>107</v>
      </c>
      <c r="E19">
        <v>15</v>
      </c>
      <c r="F19" s="7">
        <v>2014</v>
      </c>
      <c r="G19" s="2">
        <v>280</v>
      </c>
      <c r="H19" s="15">
        <f t="shared" si="1"/>
        <v>25.071428571428573</v>
      </c>
      <c r="I19" s="2">
        <v>702</v>
      </c>
      <c r="J19" s="2">
        <f>B19+G19</f>
        <v>304</v>
      </c>
      <c r="K19" s="17">
        <f t="shared" si="3"/>
        <v>0.92105263157894735</v>
      </c>
      <c r="L19" s="7">
        <v>2014</v>
      </c>
      <c r="M19" s="7">
        <v>15</v>
      </c>
      <c r="N19" s="90">
        <v>3398</v>
      </c>
      <c r="O19" s="2">
        <v>0</v>
      </c>
      <c r="P19" s="90">
        <v>97</v>
      </c>
      <c r="Q19" s="90">
        <v>2603</v>
      </c>
      <c r="R19" s="90">
        <v>11</v>
      </c>
      <c r="S19" s="90">
        <v>769</v>
      </c>
      <c r="T19" s="90">
        <v>22</v>
      </c>
      <c r="U19" s="47">
        <v>70769</v>
      </c>
      <c r="V19" s="47">
        <v>14410552</v>
      </c>
      <c r="W19" s="47">
        <v>76325</v>
      </c>
      <c r="X19" s="47">
        <v>4961</v>
      </c>
      <c r="Y19" s="10">
        <v>6</v>
      </c>
      <c r="Z19" s="10">
        <v>191</v>
      </c>
      <c r="AA19" s="10">
        <v>406</v>
      </c>
      <c r="AB19" s="10">
        <v>33</v>
      </c>
      <c r="AC19" s="10">
        <v>24</v>
      </c>
      <c r="AD19" s="10">
        <v>0</v>
      </c>
      <c r="AE19" s="10">
        <v>0</v>
      </c>
    </row>
    <row r="20" spans="1:31" x14ac:dyDescent="0.25">
      <c r="A20" s="7">
        <v>2015</v>
      </c>
      <c r="B20" s="2">
        <v>61</v>
      </c>
      <c r="C20" s="15">
        <f t="shared" si="0"/>
        <v>39.180327868852459</v>
      </c>
      <c r="D20" s="2">
        <v>239</v>
      </c>
      <c r="E20">
        <v>16</v>
      </c>
      <c r="F20" s="7">
        <v>2015</v>
      </c>
      <c r="G20" s="2">
        <v>143</v>
      </c>
      <c r="H20" s="15">
        <f t="shared" si="1"/>
        <v>19.93006993006993</v>
      </c>
      <c r="I20" s="2">
        <v>285</v>
      </c>
      <c r="J20" s="2">
        <f>B20+G20</f>
        <v>204</v>
      </c>
      <c r="K20" s="17">
        <f t="shared" si="3"/>
        <v>0.7009803921568627</v>
      </c>
      <c r="L20" s="7">
        <v>2015</v>
      </c>
      <c r="M20" s="7">
        <v>16</v>
      </c>
      <c r="N20" s="90">
        <v>2996</v>
      </c>
      <c r="O20" s="2">
        <v>0</v>
      </c>
      <c r="P20" s="90">
        <v>133</v>
      </c>
      <c r="Q20" s="90">
        <v>2404</v>
      </c>
      <c r="R20" s="2">
        <v>0</v>
      </c>
      <c r="S20" s="90">
        <v>769</v>
      </c>
      <c r="T20" s="90">
        <v>19</v>
      </c>
      <c r="U20" s="47">
        <v>74312</v>
      </c>
      <c r="V20" s="47">
        <v>15166154</v>
      </c>
      <c r="W20" s="47">
        <v>80981</v>
      </c>
      <c r="X20" s="47">
        <v>5578</v>
      </c>
      <c r="Y20" s="10">
        <v>7</v>
      </c>
      <c r="Z20" s="10">
        <v>145</v>
      </c>
      <c r="AA20" s="10">
        <v>229</v>
      </c>
      <c r="AB20" s="10">
        <v>25</v>
      </c>
      <c r="AC20" s="10">
        <v>26</v>
      </c>
      <c r="AD20" s="10">
        <v>0</v>
      </c>
      <c r="AE20" s="10">
        <v>0</v>
      </c>
    </row>
    <row r="21" spans="1:31" x14ac:dyDescent="0.25">
      <c r="A21" s="7">
        <v>2016</v>
      </c>
      <c r="B21" s="96">
        <f>J21-G21</f>
        <v>95.021583839860284</v>
      </c>
      <c r="E21">
        <v>17</v>
      </c>
      <c r="F21" s="7">
        <v>2016</v>
      </c>
      <c r="G21" s="96">
        <f>J21*$K$36</f>
        <v>111.42641616013972</v>
      </c>
      <c r="J21" s="2">
        <f>J20*1.012</f>
        <v>206.44800000000001</v>
      </c>
      <c r="L21" s="7">
        <v>2016</v>
      </c>
      <c r="M21" s="7">
        <v>17</v>
      </c>
      <c r="N21" s="90">
        <v>2767</v>
      </c>
      <c r="O21" s="90"/>
      <c r="P21" s="90"/>
      <c r="Q21" s="114">
        <f>44.153*M21+1821.6</f>
        <v>2572.201</v>
      </c>
      <c r="R21" s="90"/>
      <c r="S21" s="90"/>
      <c r="T21" s="90"/>
      <c r="U21" s="47"/>
      <c r="V21" s="113">
        <f>507829*M21+5000000</f>
        <v>13633093</v>
      </c>
      <c r="W21" s="47"/>
      <c r="X21" s="113">
        <f>36.525*M21+1939</f>
        <v>2559.9250000000002</v>
      </c>
      <c r="Y21" s="10">
        <v>8</v>
      </c>
      <c r="Z21" s="96"/>
      <c r="AA21" s="96"/>
      <c r="AB21" s="96"/>
      <c r="AC21" s="96"/>
      <c r="AD21" s="98"/>
      <c r="AE21" s="98"/>
    </row>
    <row r="22" spans="1:31" x14ac:dyDescent="0.25">
      <c r="A22" s="7">
        <v>2017</v>
      </c>
      <c r="B22" s="96">
        <f t="shared" ref="B22:B35" si="4">J22-G22</f>
        <v>96.161842845938608</v>
      </c>
      <c r="E22">
        <v>18</v>
      </c>
      <c r="F22" s="7">
        <v>2017</v>
      </c>
      <c r="G22" s="96">
        <f t="shared" ref="G22:G35" si="5">J22*$K$36</f>
        <v>112.76353315406139</v>
      </c>
      <c r="J22" s="2">
        <f t="shared" ref="J22:J34" si="6">J21*1.012</f>
        <v>208.925376</v>
      </c>
      <c r="L22" s="7">
        <v>2017</v>
      </c>
      <c r="M22" s="7">
        <v>18</v>
      </c>
      <c r="N22" s="2">
        <v>4034.6669616617764</v>
      </c>
      <c r="O22" s="2"/>
      <c r="P22" s="2"/>
      <c r="Q22" s="114">
        <f t="shared" ref="Q22:Q32" si="7">44.153*M22+1821.6</f>
        <v>2616.3539999999998</v>
      </c>
      <c r="R22" s="2"/>
      <c r="S22" s="2"/>
      <c r="T22" s="2"/>
      <c r="U22" s="2"/>
      <c r="V22" s="113">
        <f t="shared" ref="V22:V35" si="8">507829*M22+5000000</f>
        <v>14140922</v>
      </c>
      <c r="W22" s="2"/>
      <c r="X22" s="113">
        <f t="shared" ref="X22:X35" si="9">36.525*M22+1939</f>
        <v>2596.4499999999998</v>
      </c>
      <c r="Y22" s="2">
        <v>9</v>
      </c>
      <c r="Z22" s="96"/>
      <c r="AA22" s="96"/>
      <c r="AB22" s="96"/>
      <c r="AC22" s="96"/>
      <c r="AD22" s="98"/>
      <c r="AE22" s="98"/>
    </row>
    <row r="23" spans="1:31" x14ac:dyDescent="0.25">
      <c r="A23" s="7">
        <v>2018</v>
      </c>
      <c r="B23" s="96">
        <f t="shared" si="4"/>
        <v>97.315784960089871</v>
      </c>
      <c r="E23">
        <v>19</v>
      </c>
      <c r="F23" s="7">
        <v>2018</v>
      </c>
      <c r="G23" s="96">
        <f t="shared" si="5"/>
        <v>114.11669555191014</v>
      </c>
      <c r="J23" s="2">
        <f t="shared" si="6"/>
        <v>211.43248051200001</v>
      </c>
      <c r="L23" s="7">
        <v>2018</v>
      </c>
      <c r="M23" s="7">
        <v>19</v>
      </c>
      <c r="N23" s="2">
        <v>4682.0994444108865</v>
      </c>
      <c r="O23" s="2"/>
      <c r="P23" s="2"/>
      <c r="Q23" s="114">
        <f t="shared" si="7"/>
        <v>2660.5069999999996</v>
      </c>
      <c r="R23" s="2"/>
      <c r="S23" s="2"/>
      <c r="T23" s="2"/>
      <c r="U23" s="2"/>
      <c r="V23" s="113">
        <f t="shared" si="8"/>
        <v>14648751</v>
      </c>
      <c r="W23" s="2"/>
      <c r="X23" s="113">
        <f t="shared" si="9"/>
        <v>2632.9749999999999</v>
      </c>
      <c r="Y23" s="10">
        <v>10</v>
      </c>
      <c r="Z23" s="96"/>
      <c r="AA23" s="96"/>
      <c r="AB23" s="96"/>
      <c r="AC23" s="96"/>
      <c r="AD23" s="98"/>
      <c r="AE23" s="98"/>
    </row>
    <row r="24" spans="1:31" x14ac:dyDescent="0.25">
      <c r="A24" s="7">
        <v>2019</v>
      </c>
      <c r="B24" s="96">
        <f t="shared" si="4"/>
        <v>98.483574379610943</v>
      </c>
      <c r="E24">
        <v>20</v>
      </c>
      <c r="F24" s="7">
        <v>2019</v>
      </c>
      <c r="G24" s="96">
        <f t="shared" si="5"/>
        <v>115.48609589853307</v>
      </c>
      <c r="J24" s="2">
        <f t="shared" si="6"/>
        <v>213.96967027814401</v>
      </c>
      <c r="L24" s="7">
        <v>2019</v>
      </c>
      <c r="M24" s="7">
        <v>20</v>
      </c>
      <c r="N24" s="2">
        <v>5433.4237288134418</v>
      </c>
      <c r="O24" s="2"/>
      <c r="P24" s="2"/>
      <c r="Q24" s="114">
        <f t="shared" si="7"/>
        <v>2704.66</v>
      </c>
      <c r="R24" s="2"/>
      <c r="S24" s="2"/>
      <c r="T24" s="2"/>
      <c r="U24" s="2"/>
      <c r="V24" s="113">
        <f t="shared" si="8"/>
        <v>15156580</v>
      </c>
      <c r="W24" s="2"/>
      <c r="X24" s="113">
        <f t="shared" si="9"/>
        <v>2669.5</v>
      </c>
      <c r="Y24" s="10">
        <v>11</v>
      </c>
      <c r="Z24" s="96"/>
      <c r="AA24" s="96"/>
      <c r="AB24" s="96"/>
      <c r="AC24" s="96"/>
      <c r="AD24" s="98"/>
      <c r="AE24" s="98"/>
    </row>
    <row r="25" spans="1:31" x14ac:dyDescent="0.25">
      <c r="A25" s="7">
        <v>2020</v>
      </c>
      <c r="B25" s="96">
        <f t="shared" si="4"/>
        <v>99.665377272166282</v>
      </c>
      <c r="E25">
        <v>21</v>
      </c>
      <c r="F25" s="7">
        <v>2020</v>
      </c>
      <c r="G25" s="96">
        <f t="shared" si="5"/>
        <v>116.87192904931545</v>
      </c>
      <c r="J25" s="2">
        <f t="shared" si="6"/>
        <v>216.53730632148174</v>
      </c>
      <c r="L25" s="7">
        <v>2020</v>
      </c>
      <c r="M25" s="7">
        <v>21</v>
      </c>
      <c r="N25" s="2">
        <v>6184.7480132159999</v>
      </c>
      <c r="O25" s="2"/>
      <c r="P25" s="2"/>
      <c r="Q25" s="114">
        <f t="shared" si="7"/>
        <v>2748.8130000000001</v>
      </c>
      <c r="R25" s="2"/>
      <c r="S25" s="2"/>
      <c r="T25" s="2"/>
      <c r="U25" s="2"/>
      <c r="V25" s="113">
        <f t="shared" si="8"/>
        <v>15664409</v>
      </c>
      <c r="W25" s="2"/>
      <c r="X25" s="113">
        <f t="shared" si="9"/>
        <v>2706.0250000000001</v>
      </c>
      <c r="Y25" s="10">
        <v>12</v>
      </c>
      <c r="Z25" s="96"/>
      <c r="AA25" s="96"/>
      <c r="AB25" s="96"/>
      <c r="AC25" s="96"/>
      <c r="AD25" s="98"/>
      <c r="AE25" s="98"/>
    </row>
    <row r="26" spans="1:31" x14ac:dyDescent="0.25">
      <c r="A26" s="7">
        <v>2021</v>
      </c>
      <c r="B26" s="96">
        <f t="shared" si="4"/>
        <v>100.86136179943227</v>
      </c>
      <c r="E26">
        <v>22</v>
      </c>
      <c r="F26" s="7">
        <v>2021</v>
      </c>
      <c r="G26" s="96">
        <f t="shared" si="5"/>
        <v>118.27439219790725</v>
      </c>
      <c r="J26" s="2">
        <f t="shared" si="6"/>
        <v>219.13575399733952</v>
      </c>
      <c r="L26" s="7">
        <v>2021</v>
      </c>
      <c r="M26" s="7">
        <v>22</v>
      </c>
      <c r="N26" s="2">
        <v>6936.0722976185598</v>
      </c>
      <c r="O26" s="2"/>
      <c r="P26" s="2"/>
      <c r="Q26" s="114">
        <f t="shared" si="7"/>
        <v>2792.9659999999999</v>
      </c>
      <c r="R26" s="2"/>
      <c r="S26" s="2"/>
      <c r="T26" s="2"/>
      <c r="U26" s="2"/>
      <c r="V26" s="113">
        <f t="shared" si="8"/>
        <v>16172238</v>
      </c>
      <c r="W26" s="2"/>
      <c r="X26" s="113">
        <f t="shared" si="9"/>
        <v>2742.55</v>
      </c>
      <c r="Y26" s="10">
        <v>13</v>
      </c>
      <c r="Z26" s="96"/>
      <c r="AA26" s="96"/>
      <c r="AB26" s="96"/>
      <c r="AC26" s="96"/>
      <c r="AD26" s="98"/>
      <c r="AE26" s="98"/>
    </row>
    <row r="27" spans="1:31" x14ac:dyDescent="0.25">
      <c r="A27" s="7">
        <v>2022</v>
      </c>
      <c r="B27" s="96">
        <f t="shared" si="4"/>
        <v>102.07169814102546</v>
      </c>
      <c r="E27">
        <v>23</v>
      </c>
      <c r="F27" s="7">
        <v>2022</v>
      </c>
      <c r="G27" s="96">
        <f t="shared" si="5"/>
        <v>119.69368490428214</v>
      </c>
      <c r="J27" s="2">
        <f t="shared" si="6"/>
        <v>221.7653830453076</v>
      </c>
      <c r="L27" s="7">
        <v>2022</v>
      </c>
      <c r="M27" s="7">
        <v>23</v>
      </c>
      <c r="N27" s="2">
        <v>7687.3965820211097</v>
      </c>
      <c r="O27" s="2"/>
      <c r="P27" s="2"/>
      <c r="Q27" s="114">
        <f t="shared" si="7"/>
        <v>2837.1189999999997</v>
      </c>
      <c r="R27" s="2"/>
      <c r="S27" s="2"/>
      <c r="T27" s="2"/>
      <c r="U27" s="2"/>
      <c r="V27" s="113">
        <f t="shared" si="8"/>
        <v>16680067</v>
      </c>
      <c r="W27" s="2"/>
      <c r="X27" s="113">
        <f t="shared" si="9"/>
        <v>2779.0749999999998</v>
      </c>
      <c r="Y27" s="10">
        <v>14</v>
      </c>
      <c r="Z27" s="96"/>
      <c r="AA27" s="96"/>
      <c r="AB27" s="96"/>
      <c r="AC27" s="96"/>
      <c r="AD27" s="98"/>
      <c r="AE27" s="98"/>
    </row>
    <row r="28" spans="1:31" x14ac:dyDescent="0.25">
      <c r="A28" s="7">
        <v>2023</v>
      </c>
      <c r="B28" s="96">
        <f t="shared" si="4"/>
        <v>103.29655851871777</v>
      </c>
      <c r="E28">
        <v>24</v>
      </c>
      <c r="F28" s="7">
        <v>2023</v>
      </c>
      <c r="G28" s="96">
        <f t="shared" si="5"/>
        <v>121.13000912313353</v>
      </c>
      <c r="J28" s="2">
        <f t="shared" si="6"/>
        <v>224.42656764185131</v>
      </c>
      <c r="L28" s="7">
        <v>2023</v>
      </c>
      <c r="M28" s="7">
        <v>24</v>
      </c>
      <c r="N28" s="2">
        <v>8438.7208664236696</v>
      </c>
      <c r="O28" s="2"/>
      <c r="P28" s="2"/>
      <c r="Q28" s="114">
        <f t="shared" si="7"/>
        <v>2881.2719999999999</v>
      </c>
      <c r="R28" s="2"/>
      <c r="S28" s="2"/>
      <c r="T28" s="2"/>
      <c r="U28" s="2"/>
      <c r="V28" s="113">
        <f t="shared" si="8"/>
        <v>17187896</v>
      </c>
      <c r="W28" s="2"/>
      <c r="X28" s="113">
        <f t="shared" si="9"/>
        <v>2815.6</v>
      </c>
      <c r="Y28" s="10">
        <v>15</v>
      </c>
      <c r="Z28" s="96"/>
      <c r="AA28" s="96"/>
      <c r="AB28" s="96"/>
      <c r="AC28" s="96"/>
      <c r="AD28" s="98"/>
      <c r="AE28" s="98"/>
    </row>
    <row r="29" spans="1:31" x14ac:dyDescent="0.25">
      <c r="A29" s="7">
        <v>2024</v>
      </c>
      <c r="B29" s="96">
        <f t="shared" si="4"/>
        <v>104.5361172209424</v>
      </c>
      <c r="E29">
        <v>25</v>
      </c>
      <c r="F29" s="7">
        <v>2024</v>
      </c>
      <c r="G29" s="96">
        <f t="shared" si="5"/>
        <v>122.58356923261113</v>
      </c>
      <c r="J29" s="2">
        <f t="shared" si="6"/>
        <v>227.11968645355353</v>
      </c>
      <c r="L29" s="7">
        <v>2024</v>
      </c>
      <c r="M29" s="7">
        <v>25</v>
      </c>
      <c r="N29" s="2">
        <v>9190.0451508262195</v>
      </c>
      <c r="O29" s="2"/>
      <c r="P29" s="2"/>
      <c r="Q29" s="114">
        <f t="shared" si="7"/>
        <v>2925.4250000000002</v>
      </c>
      <c r="R29" s="2"/>
      <c r="S29" s="2"/>
      <c r="T29" s="2"/>
      <c r="U29" s="2"/>
      <c r="V29" s="113">
        <f t="shared" si="8"/>
        <v>17695725</v>
      </c>
      <c r="W29" s="2"/>
      <c r="X29" s="113">
        <f t="shared" si="9"/>
        <v>2852.125</v>
      </c>
      <c r="Y29" s="10">
        <v>16</v>
      </c>
      <c r="Z29" s="96"/>
      <c r="AA29" s="96"/>
      <c r="AB29" s="96"/>
      <c r="AC29" s="96"/>
      <c r="AD29" s="98"/>
      <c r="AE29" s="98"/>
    </row>
    <row r="30" spans="1:31" x14ac:dyDescent="0.25">
      <c r="A30" s="7">
        <v>2025</v>
      </c>
      <c r="B30" s="96">
        <f t="shared" si="4"/>
        <v>105.7905506275937</v>
      </c>
      <c r="E30">
        <v>26</v>
      </c>
      <c r="F30" s="7">
        <v>2025</v>
      </c>
      <c r="G30" s="96">
        <f t="shared" si="5"/>
        <v>124.05457206340246</v>
      </c>
      <c r="J30" s="2">
        <f t="shared" si="6"/>
        <v>229.84512269099616</v>
      </c>
      <c r="L30" s="7">
        <v>2025</v>
      </c>
      <c r="M30" s="7">
        <v>26</v>
      </c>
      <c r="N30" s="2">
        <v>9941.3694352287803</v>
      </c>
      <c r="O30" s="2"/>
      <c r="P30" s="2"/>
      <c r="Q30" s="114">
        <f t="shared" si="7"/>
        <v>2969.578</v>
      </c>
      <c r="R30" s="2"/>
      <c r="S30" s="2"/>
      <c r="T30" s="2"/>
      <c r="U30" s="2"/>
      <c r="V30" s="113">
        <f t="shared" si="8"/>
        <v>18203554</v>
      </c>
      <c r="W30" s="2"/>
      <c r="X30" s="113">
        <f t="shared" si="9"/>
        <v>2888.65</v>
      </c>
      <c r="Y30" s="2">
        <v>17</v>
      </c>
      <c r="Z30" s="96"/>
      <c r="AA30" s="96"/>
      <c r="AB30" s="96"/>
      <c r="AC30" s="96"/>
      <c r="AD30" s="98"/>
      <c r="AE30" s="98"/>
    </row>
    <row r="31" spans="1:31" x14ac:dyDescent="0.25">
      <c r="A31" s="7">
        <v>2026</v>
      </c>
      <c r="B31" s="96">
        <f t="shared" si="4"/>
        <v>107.06003723512482</v>
      </c>
      <c r="E31">
        <v>27</v>
      </c>
      <c r="F31" s="7">
        <v>2026</v>
      </c>
      <c r="G31" s="96">
        <f t="shared" si="5"/>
        <v>125.54322692816329</v>
      </c>
      <c r="J31" s="2">
        <f t="shared" si="6"/>
        <v>232.60326416328812</v>
      </c>
      <c r="L31" s="7">
        <v>2026</v>
      </c>
      <c r="M31" s="7">
        <v>27</v>
      </c>
      <c r="N31" s="2">
        <v>10692.693719631299</v>
      </c>
      <c r="O31" s="2"/>
      <c r="P31" s="2"/>
      <c r="Q31" s="114">
        <f t="shared" si="7"/>
        <v>3013.7309999999998</v>
      </c>
      <c r="R31" s="2"/>
      <c r="S31" s="2"/>
      <c r="T31" s="2"/>
      <c r="U31" s="2"/>
      <c r="V31" s="113">
        <f t="shared" si="8"/>
        <v>18711383</v>
      </c>
      <c r="W31" s="2"/>
      <c r="X31" s="113">
        <f t="shared" si="9"/>
        <v>2925.1750000000002</v>
      </c>
      <c r="Y31" s="10">
        <v>18</v>
      </c>
      <c r="Z31" s="96"/>
      <c r="AA31" s="96"/>
      <c r="AB31" s="96"/>
      <c r="AC31" s="96"/>
      <c r="AD31" s="98"/>
      <c r="AE31" s="98"/>
    </row>
    <row r="32" spans="1:31" x14ac:dyDescent="0.25">
      <c r="A32" s="7">
        <v>2027</v>
      </c>
      <c r="B32" s="96">
        <f t="shared" si="4"/>
        <v>108.34475768194632</v>
      </c>
      <c r="E32">
        <v>28</v>
      </c>
      <c r="F32" s="7">
        <v>2027</v>
      </c>
      <c r="G32" s="96">
        <f t="shared" si="5"/>
        <v>127.04974565130125</v>
      </c>
      <c r="J32" s="2">
        <f t="shared" si="6"/>
        <v>235.39450333324757</v>
      </c>
      <c r="L32" s="7">
        <v>2027</v>
      </c>
      <c r="M32" s="7">
        <v>28</v>
      </c>
      <c r="N32" s="2">
        <v>11444.0180040339</v>
      </c>
      <c r="O32" s="2"/>
      <c r="P32" s="2"/>
      <c r="Q32" s="114">
        <f t="shared" si="7"/>
        <v>3057.884</v>
      </c>
      <c r="R32" s="2"/>
      <c r="S32" s="2"/>
      <c r="T32" s="2"/>
      <c r="U32" s="2"/>
      <c r="V32" s="113">
        <f t="shared" si="8"/>
        <v>19219212</v>
      </c>
      <c r="W32" s="2"/>
      <c r="X32" s="113">
        <f t="shared" si="9"/>
        <v>2961.7</v>
      </c>
      <c r="Y32" s="10">
        <v>19</v>
      </c>
      <c r="Z32" s="96"/>
      <c r="AA32" s="96"/>
      <c r="AB32" s="96"/>
      <c r="AC32" s="96"/>
      <c r="AD32" s="98"/>
      <c r="AE32" s="98"/>
    </row>
    <row r="33" spans="1:31" x14ac:dyDescent="0.25">
      <c r="A33" s="7">
        <v>2028</v>
      </c>
      <c r="B33" s="96">
        <f t="shared" si="4"/>
        <v>109.64489477412968</v>
      </c>
      <c r="E33">
        <v>29</v>
      </c>
      <c r="F33" s="7">
        <v>2028</v>
      </c>
      <c r="G33" s="96">
        <f t="shared" si="5"/>
        <v>128.57434259911687</v>
      </c>
      <c r="J33" s="2">
        <f t="shared" si="6"/>
        <v>238.21923737324656</v>
      </c>
      <c r="L33" s="7">
        <v>2028</v>
      </c>
      <c r="M33" s="7">
        <v>29</v>
      </c>
      <c r="N33" s="2">
        <v>12195.342288436401</v>
      </c>
      <c r="O33" s="2"/>
      <c r="P33" s="2"/>
      <c r="Q33" s="114">
        <f>44.153*M33+1821.6</f>
        <v>3102.0369999999998</v>
      </c>
      <c r="R33" s="2"/>
      <c r="S33" s="2"/>
      <c r="T33" s="2"/>
      <c r="U33" s="2"/>
      <c r="V33" s="113">
        <f t="shared" si="8"/>
        <v>19727041</v>
      </c>
      <c r="W33" s="2"/>
      <c r="X33" s="113">
        <f t="shared" si="9"/>
        <v>2998.2249999999999</v>
      </c>
      <c r="Y33" s="10">
        <v>20</v>
      </c>
      <c r="Z33" s="96"/>
      <c r="AA33" s="96"/>
      <c r="AB33" s="96"/>
      <c r="AC33" s="96"/>
      <c r="AD33" s="98"/>
      <c r="AE33" s="98"/>
    </row>
    <row r="34" spans="1:31" x14ac:dyDescent="0.25">
      <c r="A34" s="7">
        <v>2029</v>
      </c>
      <c r="B34" s="96">
        <f t="shared" si="4"/>
        <v>110.96063351141925</v>
      </c>
      <c r="E34">
        <v>30</v>
      </c>
      <c r="F34" s="7">
        <v>2029</v>
      </c>
      <c r="G34" s="96">
        <f t="shared" si="5"/>
        <v>130.11723471030626</v>
      </c>
      <c r="J34" s="2">
        <f t="shared" si="6"/>
        <v>241.07786822172551</v>
      </c>
      <c r="L34" s="7">
        <v>2029</v>
      </c>
      <c r="M34" s="7">
        <v>30</v>
      </c>
      <c r="N34" s="2">
        <v>12946.666572839</v>
      </c>
      <c r="O34" s="2"/>
      <c r="P34" s="2"/>
      <c r="Q34" s="114">
        <f>44.153*M34+1821.6</f>
        <v>3146.1899999999996</v>
      </c>
      <c r="R34" s="2"/>
      <c r="S34" s="2"/>
      <c r="T34" s="2"/>
      <c r="U34" s="2"/>
      <c r="V34" s="113">
        <f t="shared" si="8"/>
        <v>20234870</v>
      </c>
      <c r="W34" s="2"/>
      <c r="X34" s="113">
        <f t="shared" si="9"/>
        <v>3034.75</v>
      </c>
      <c r="Y34" s="10">
        <v>21</v>
      </c>
      <c r="Z34" s="96"/>
      <c r="AA34" s="96"/>
      <c r="AB34" s="96"/>
      <c r="AC34" s="96"/>
      <c r="AD34" s="98"/>
      <c r="AE34" s="98"/>
    </row>
    <row r="35" spans="1:31" x14ac:dyDescent="0.25">
      <c r="A35" s="7">
        <v>2030</v>
      </c>
      <c r="B35" s="96">
        <f t="shared" si="4"/>
        <v>112.30559974873046</v>
      </c>
      <c r="E35">
        <v>31</v>
      </c>
      <c r="F35" s="7">
        <v>2030</v>
      </c>
      <c r="G35" s="96">
        <f t="shared" si="5"/>
        <v>131.69440025126954</v>
      </c>
      <c r="J35" s="33">
        <v>244</v>
      </c>
      <c r="L35" s="7">
        <v>2030</v>
      </c>
      <c r="M35" s="7">
        <v>31</v>
      </c>
      <c r="N35" s="2">
        <v>13697.990857241501</v>
      </c>
      <c r="O35" s="2"/>
      <c r="P35" s="2"/>
      <c r="Q35" s="114">
        <f>44.153*M35+1821.6</f>
        <v>3190.3429999999998</v>
      </c>
      <c r="R35" s="2"/>
      <c r="S35" s="2"/>
      <c r="T35" s="2"/>
      <c r="U35" s="2"/>
      <c r="V35" s="113">
        <f t="shared" si="8"/>
        <v>20742699</v>
      </c>
      <c r="W35" s="2"/>
      <c r="X35" s="113">
        <f t="shared" si="9"/>
        <v>3071.2749999999996</v>
      </c>
      <c r="Y35" s="10">
        <v>22</v>
      </c>
      <c r="Z35" s="96"/>
      <c r="AA35" s="96"/>
      <c r="AB35" s="96"/>
      <c r="AC35" s="96"/>
      <c r="AD35" s="98"/>
      <c r="AE35" s="98"/>
    </row>
    <row r="36" spans="1:31" x14ac:dyDescent="0.25">
      <c r="K36" s="17">
        <f>AVERAGE(K5:K20)</f>
        <v>0.53973114857077675</v>
      </c>
      <c r="Q36" s="90"/>
    </row>
    <row r="37" spans="1:31" x14ac:dyDescent="0.25">
      <c r="J37" s="19">
        <f>(J35/J20)^(1/15)-1</f>
        <v>1.2008073664973251E-2</v>
      </c>
      <c r="Q37" s="90"/>
    </row>
  </sheetData>
  <mergeCells count="4">
    <mergeCell ref="A3:D3"/>
    <mergeCell ref="F3:I3"/>
    <mergeCell ref="N3:X3"/>
    <mergeCell ref="Z3:AE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zoomScale="85" zoomScaleNormal="85" workbookViewId="0">
      <pane xSplit="1" ySplit="4" topLeftCell="I5" activePane="bottomRight" state="frozen"/>
      <selection pane="topRight" activeCell="B1" sqref="B1"/>
      <selection pane="bottomLeft" activeCell="A5" sqref="A5"/>
      <selection pane="bottomRight" activeCell="W21" sqref="W21:W35"/>
    </sheetView>
  </sheetViews>
  <sheetFormatPr defaultRowHeight="15" x14ac:dyDescent="0.25"/>
  <cols>
    <col min="2" max="2" width="15" bestFit="1" customWidth="1"/>
    <col min="3" max="3" width="16.140625" bestFit="1" customWidth="1"/>
    <col min="4" max="4" width="14" bestFit="1" customWidth="1"/>
    <col min="5" max="5" width="4.28515625" customWidth="1"/>
    <col min="7" max="7" width="15" bestFit="1" customWidth="1"/>
    <col min="8" max="8" width="16.140625" bestFit="1" customWidth="1"/>
    <col min="9" max="9" width="14" bestFit="1" customWidth="1"/>
    <col min="10" max="10" width="3.42578125" customWidth="1"/>
    <col min="12" max="12" width="3.5703125" customWidth="1"/>
    <col min="13" max="13" width="9.5703125" bestFit="1" customWidth="1"/>
    <col min="14" max="14" width="10.42578125" bestFit="1" customWidth="1"/>
    <col min="15" max="17" width="9.28515625" bestFit="1" customWidth="1"/>
    <col min="18" max="18" width="9.5703125" bestFit="1" customWidth="1"/>
    <col min="19" max="19" width="9.28515625" bestFit="1" customWidth="1"/>
    <col min="20" max="20" width="15" bestFit="1" customWidth="1"/>
    <col min="21" max="21" width="18.42578125" bestFit="1" customWidth="1"/>
    <col min="22" max="22" width="16.7109375" bestFit="1" customWidth="1"/>
    <col min="23" max="23" width="9.7109375" bestFit="1" customWidth="1"/>
    <col min="24" max="24" width="4.42578125" bestFit="1" customWidth="1"/>
    <col min="28" max="28" width="12.85546875" bestFit="1" customWidth="1"/>
    <col min="30" max="30" width="12.140625" bestFit="1" customWidth="1"/>
  </cols>
  <sheetData>
    <row r="1" spans="1:30" x14ac:dyDescent="0.25">
      <c r="A1" s="6" t="s">
        <v>14</v>
      </c>
      <c r="B1" s="6"/>
      <c r="C1" s="6"/>
      <c r="D1" s="6"/>
      <c r="E1" s="6"/>
      <c r="F1" s="6"/>
      <c r="G1" s="6"/>
      <c r="H1" s="6"/>
      <c r="I1" s="6"/>
    </row>
    <row r="2" spans="1:30" x14ac:dyDescent="0.25">
      <c r="A2" s="6"/>
      <c r="B2" s="6"/>
      <c r="C2" s="6"/>
      <c r="D2" s="6"/>
      <c r="E2" s="6"/>
      <c r="F2" s="6"/>
      <c r="G2" s="6"/>
      <c r="H2" s="6"/>
      <c r="I2" s="6"/>
    </row>
    <row r="3" spans="1:30" x14ac:dyDescent="0.25">
      <c r="A3" s="119" t="s">
        <v>2</v>
      </c>
      <c r="B3" s="119"/>
      <c r="C3" s="119"/>
      <c r="D3" s="119"/>
      <c r="E3" s="6"/>
      <c r="F3" s="119" t="s">
        <v>5</v>
      </c>
      <c r="G3" s="119"/>
      <c r="H3" s="119"/>
      <c r="I3" s="119"/>
      <c r="M3" s="120" t="s">
        <v>26</v>
      </c>
      <c r="N3" s="120"/>
      <c r="O3" s="120"/>
      <c r="P3" s="120"/>
      <c r="Q3" s="120"/>
      <c r="R3" s="120"/>
      <c r="S3" s="120"/>
      <c r="T3" s="120"/>
      <c r="U3" s="120"/>
      <c r="V3" s="120"/>
      <c r="W3" s="120"/>
      <c r="Y3" s="120" t="s">
        <v>34</v>
      </c>
      <c r="Z3" s="120"/>
      <c r="AA3" s="120"/>
      <c r="AB3" s="120"/>
      <c r="AC3" s="120"/>
      <c r="AD3" s="120"/>
    </row>
    <row r="4" spans="1:30" x14ac:dyDescent="0.25">
      <c r="A4" s="6"/>
      <c r="B4" s="4" t="s">
        <v>4</v>
      </c>
      <c r="C4" s="1" t="s">
        <v>0</v>
      </c>
      <c r="D4" s="1" t="s">
        <v>1</v>
      </c>
      <c r="E4" s="6"/>
      <c r="F4" s="6"/>
      <c r="G4" s="4" t="s">
        <v>4</v>
      </c>
      <c r="H4" s="1" t="s">
        <v>0</v>
      </c>
      <c r="I4" s="1" t="s">
        <v>1</v>
      </c>
      <c r="M4" s="4" t="s">
        <v>15</v>
      </c>
      <c r="N4" s="4" t="s">
        <v>16</v>
      </c>
      <c r="O4" s="4" t="s">
        <v>17</v>
      </c>
      <c r="P4" s="4" t="s">
        <v>18</v>
      </c>
      <c r="Q4" s="4" t="s">
        <v>19</v>
      </c>
      <c r="R4" s="4" t="s">
        <v>20</v>
      </c>
      <c r="S4" s="4" t="s">
        <v>21</v>
      </c>
      <c r="T4" s="4" t="s">
        <v>22</v>
      </c>
      <c r="U4" s="4" t="s">
        <v>23</v>
      </c>
      <c r="V4" s="4" t="s">
        <v>24</v>
      </c>
      <c r="W4" s="4" t="s">
        <v>25</v>
      </c>
      <c r="Y4" s="4" t="s">
        <v>35</v>
      </c>
      <c r="Z4" s="4" t="s">
        <v>36</v>
      </c>
      <c r="AA4" s="4" t="s">
        <v>37</v>
      </c>
      <c r="AB4" s="4" t="s">
        <v>38</v>
      </c>
      <c r="AC4" s="4" t="s">
        <v>39</v>
      </c>
      <c r="AD4" s="4" t="s">
        <v>40</v>
      </c>
    </row>
    <row r="5" spans="1:30" x14ac:dyDescent="0.25">
      <c r="A5" s="7">
        <v>2000</v>
      </c>
      <c r="B5" s="2">
        <v>0</v>
      </c>
      <c r="C5" s="15" t="e">
        <f>(D5*10)/B5</f>
        <v>#DIV/0!</v>
      </c>
      <c r="D5" s="2">
        <v>0</v>
      </c>
      <c r="F5" s="7">
        <v>2000</v>
      </c>
      <c r="G5" s="2">
        <v>0</v>
      </c>
      <c r="H5" s="15" t="e">
        <f>(I5*10)/G5</f>
        <v>#DIV/0!</v>
      </c>
      <c r="I5" s="2">
        <v>0</v>
      </c>
      <c r="K5" s="7">
        <v>2000</v>
      </c>
      <c r="L5" s="7">
        <v>1</v>
      </c>
      <c r="M5" s="81">
        <v>175</v>
      </c>
      <c r="N5" s="83">
        <v>0</v>
      </c>
      <c r="O5" s="81">
        <v>6</v>
      </c>
      <c r="P5" s="81">
        <v>229</v>
      </c>
      <c r="Q5" s="81">
        <v>31</v>
      </c>
      <c r="R5" s="81">
        <v>778</v>
      </c>
      <c r="S5" s="81">
        <v>1</v>
      </c>
      <c r="T5" s="81">
        <v>64800</v>
      </c>
      <c r="U5" s="81">
        <v>230400</v>
      </c>
      <c r="V5" s="81">
        <v>3500</v>
      </c>
      <c r="W5" s="81">
        <v>1000</v>
      </c>
    </row>
    <row r="6" spans="1:30" x14ac:dyDescent="0.25">
      <c r="A6" s="7">
        <v>2001</v>
      </c>
      <c r="B6" s="2">
        <v>128</v>
      </c>
      <c r="C6" s="15">
        <f t="shared" ref="C6:C20" si="0">(D6*10)/B6</f>
        <v>31.5625</v>
      </c>
      <c r="D6" s="2">
        <v>404</v>
      </c>
      <c r="E6">
        <v>1</v>
      </c>
      <c r="F6" s="7">
        <v>2001</v>
      </c>
      <c r="G6" s="2">
        <v>0</v>
      </c>
      <c r="H6" s="15" t="e">
        <f t="shared" ref="H6:H20" si="1">(I6*10)/G6</f>
        <v>#DIV/0!</v>
      </c>
      <c r="I6" s="2">
        <v>0</v>
      </c>
      <c r="K6" s="7">
        <v>2001</v>
      </c>
      <c r="L6" s="7">
        <v>2</v>
      </c>
      <c r="M6" s="81">
        <v>166</v>
      </c>
      <c r="N6" s="83">
        <v>0</v>
      </c>
      <c r="O6" s="81">
        <v>4</v>
      </c>
      <c r="P6" s="81">
        <v>357</v>
      </c>
      <c r="Q6" s="81">
        <v>24</v>
      </c>
      <c r="R6" s="81">
        <v>610</v>
      </c>
      <c r="S6" s="83">
        <v>0</v>
      </c>
      <c r="T6" s="81">
        <v>72600</v>
      </c>
      <c r="U6" s="81">
        <v>228300</v>
      </c>
      <c r="V6" s="81">
        <v>1500</v>
      </c>
      <c r="W6" s="81">
        <v>500</v>
      </c>
    </row>
    <row r="7" spans="1:30" x14ac:dyDescent="0.25">
      <c r="A7" s="7">
        <v>2002</v>
      </c>
      <c r="B7" s="2">
        <v>85</v>
      </c>
      <c r="C7" s="15">
        <f t="shared" si="0"/>
        <v>31.882352941176471</v>
      </c>
      <c r="D7" s="2">
        <v>271</v>
      </c>
      <c r="E7">
        <v>2</v>
      </c>
      <c r="F7" s="7">
        <v>2002</v>
      </c>
      <c r="G7" s="2">
        <v>0</v>
      </c>
      <c r="H7" s="15" t="e">
        <f t="shared" si="1"/>
        <v>#DIV/0!</v>
      </c>
      <c r="I7" s="2">
        <v>0</v>
      </c>
      <c r="K7" s="7">
        <v>2002</v>
      </c>
      <c r="L7" s="7">
        <v>3</v>
      </c>
      <c r="M7" s="81">
        <v>331</v>
      </c>
      <c r="N7" s="83">
        <v>0</v>
      </c>
      <c r="O7" s="81">
        <v>10</v>
      </c>
      <c r="P7" s="81">
        <v>243</v>
      </c>
      <c r="Q7" s="81">
        <v>19</v>
      </c>
      <c r="R7" s="81">
        <v>1455</v>
      </c>
      <c r="S7" s="83">
        <v>0</v>
      </c>
      <c r="T7" s="81">
        <v>123400</v>
      </c>
      <c r="U7" s="81">
        <v>673900</v>
      </c>
      <c r="V7" s="83">
        <v>0</v>
      </c>
      <c r="W7" s="81">
        <v>600</v>
      </c>
    </row>
    <row r="8" spans="1:30" x14ac:dyDescent="0.25">
      <c r="A8" s="7">
        <v>2003</v>
      </c>
      <c r="B8" s="2">
        <v>90</v>
      </c>
      <c r="C8" s="15">
        <f t="shared" si="0"/>
        <v>32.111111111111114</v>
      </c>
      <c r="D8" s="2">
        <v>289</v>
      </c>
      <c r="E8">
        <v>3</v>
      </c>
      <c r="F8" s="7">
        <v>2003</v>
      </c>
      <c r="G8" s="2">
        <v>0</v>
      </c>
      <c r="H8" s="15" t="e">
        <f t="shared" si="1"/>
        <v>#DIV/0!</v>
      </c>
      <c r="I8" s="2">
        <v>0</v>
      </c>
      <c r="K8" s="7">
        <v>2003</v>
      </c>
      <c r="L8" s="7">
        <v>4</v>
      </c>
      <c r="M8" s="81">
        <v>392</v>
      </c>
      <c r="N8" s="83">
        <v>0</v>
      </c>
      <c r="O8" s="81">
        <v>10</v>
      </c>
      <c r="P8" s="81">
        <v>288</v>
      </c>
      <c r="Q8" s="81">
        <v>39</v>
      </c>
      <c r="R8" s="81">
        <v>2052</v>
      </c>
      <c r="S8" s="83">
        <v>0</v>
      </c>
      <c r="T8" s="81">
        <v>69600</v>
      </c>
      <c r="U8" s="81">
        <v>758600</v>
      </c>
      <c r="V8" s="81">
        <v>9600</v>
      </c>
      <c r="W8" s="81">
        <v>500</v>
      </c>
    </row>
    <row r="9" spans="1:30" x14ac:dyDescent="0.25">
      <c r="A9" s="7">
        <v>2004</v>
      </c>
      <c r="B9" s="2">
        <v>185</v>
      </c>
      <c r="C9" s="15">
        <f t="shared" si="0"/>
        <v>32.162162162162161</v>
      </c>
      <c r="D9" s="2">
        <v>595</v>
      </c>
      <c r="E9">
        <v>4</v>
      </c>
      <c r="F9" s="7">
        <v>2004</v>
      </c>
      <c r="G9" s="2">
        <v>0</v>
      </c>
      <c r="H9" s="15" t="e">
        <f t="shared" si="1"/>
        <v>#DIV/0!</v>
      </c>
      <c r="I9" s="2">
        <v>0</v>
      </c>
      <c r="K9" s="7">
        <v>2004</v>
      </c>
      <c r="L9" s="7">
        <v>5</v>
      </c>
      <c r="M9" s="81">
        <v>446</v>
      </c>
      <c r="N9" s="83">
        <v>0</v>
      </c>
      <c r="O9" s="81">
        <v>8</v>
      </c>
      <c r="P9" s="81">
        <v>373</v>
      </c>
      <c r="Q9" s="81">
        <v>25</v>
      </c>
      <c r="R9" s="81">
        <v>2040</v>
      </c>
      <c r="S9" s="81">
        <v>2</v>
      </c>
      <c r="T9" s="82">
        <v>83200</v>
      </c>
      <c r="U9" s="83">
        <v>0</v>
      </c>
      <c r="V9" s="82">
        <v>4600</v>
      </c>
      <c r="W9" s="82">
        <v>300</v>
      </c>
    </row>
    <row r="10" spans="1:30" x14ac:dyDescent="0.25">
      <c r="A10" s="7">
        <v>2005</v>
      </c>
      <c r="B10" s="2">
        <v>117</v>
      </c>
      <c r="C10" s="15">
        <f t="shared" si="0"/>
        <v>32</v>
      </c>
      <c r="D10" s="2">
        <v>374.4</v>
      </c>
      <c r="E10">
        <v>5</v>
      </c>
      <c r="F10" s="7">
        <v>2005</v>
      </c>
      <c r="G10" s="2">
        <v>0</v>
      </c>
      <c r="H10" s="15" t="e">
        <f t="shared" si="1"/>
        <v>#DIV/0!</v>
      </c>
      <c r="I10" s="2">
        <v>0</v>
      </c>
      <c r="K10" s="7">
        <v>2005</v>
      </c>
      <c r="L10" s="7">
        <v>6</v>
      </c>
      <c r="M10" s="83">
        <v>456</v>
      </c>
      <c r="N10" s="83">
        <v>0</v>
      </c>
      <c r="O10" s="83">
        <v>13</v>
      </c>
      <c r="P10" s="83">
        <v>450</v>
      </c>
      <c r="Q10" s="83">
        <v>57</v>
      </c>
      <c r="R10" s="83">
        <v>2761</v>
      </c>
      <c r="S10" s="83">
        <v>3</v>
      </c>
      <c r="T10" s="83">
        <v>71900</v>
      </c>
      <c r="U10" s="83">
        <v>1642500</v>
      </c>
      <c r="V10" s="83">
        <v>0</v>
      </c>
      <c r="W10" s="83">
        <v>0</v>
      </c>
    </row>
    <row r="11" spans="1:30" x14ac:dyDescent="0.25">
      <c r="A11" s="7">
        <v>2006</v>
      </c>
      <c r="B11" s="2">
        <v>84</v>
      </c>
      <c r="C11" s="15">
        <f t="shared" si="0"/>
        <v>46.071428571428569</v>
      </c>
      <c r="D11" s="2">
        <v>387</v>
      </c>
      <c r="E11">
        <v>6</v>
      </c>
      <c r="F11" s="7">
        <v>2006</v>
      </c>
      <c r="G11" s="2">
        <v>2</v>
      </c>
      <c r="H11" s="15">
        <f t="shared" si="1"/>
        <v>25</v>
      </c>
      <c r="I11" s="2">
        <v>5</v>
      </c>
      <c r="K11" s="7">
        <v>2006</v>
      </c>
      <c r="L11" s="7">
        <v>7</v>
      </c>
      <c r="M11" s="83">
        <v>346</v>
      </c>
      <c r="N11" s="83">
        <v>0</v>
      </c>
      <c r="O11" s="83">
        <v>0</v>
      </c>
      <c r="P11" s="83">
        <v>354</v>
      </c>
      <c r="Q11" s="83">
        <v>57</v>
      </c>
      <c r="R11" s="83">
        <v>2105</v>
      </c>
      <c r="S11" s="83">
        <v>0</v>
      </c>
      <c r="T11" s="83">
        <v>70800</v>
      </c>
      <c r="U11" s="83">
        <v>1531800</v>
      </c>
      <c r="V11" s="83">
        <v>0</v>
      </c>
      <c r="W11" s="83">
        <v>300</v>
      </c>
    </row>
    <row r="12" spans="1:30" x14ac:dyDescent="0.25">
      <c r="A12" s="7">
        <v>2007</v>
      </c>
      <c r="B12" s="2">
        <v>144</v>
      </c>
      <c r="C12" s="15">
        <f t="shared" si="0"/>
        <v>32.013888888888886</v>
      </c>
      <c r="D12" s="2">
        <v>461</v>
      </c>
      <c r="E12">
        <v>7</v>
      </c>
      <c r="F12" s="7">
        <v>2007</v>
      </c>
      <c r="G12" s="2">
        <v>0</v>
      </c>
      <c r="H12" s="15" t="e">
        <f t="shared" si="1"/>
        <v>#DIV/0!</v>
      </c>
      <c r="I12" s="2">
        <v>0</v>
      </c>
      <c r="K12" s="7">
        <v>2007</v>
      </c>
      <c r="L12" s="7">
        <v>8</v>
      </c>
      <c r="M12" s="83">
        <v>393</v>
      </c>
      <c r="N12" s="83">
        <v>0</v>
      </c>
      <c r="O12" s="83">
        <v>12</v>
      </c>
      <c r="P12" s="83">
        <v>263</v>
      </c>
      <c r="Q12" s="83">
        <v>11</v>
      </c>
      <c r="R12" s="83">
        <v>1275</v>
      </c>
      <c r="S12" s="83">
        <v>0</v>
      </c>
      <c r="T12" s="83">
        <v>77900</v>
      </c>
      <c r="U12" s="83">
        <v>1377300</v>
      </c>
      <c r="V12" s="83">
        <v>0</v>
      </c>
      <c r="W12" s="83">
        <v>2100</v>
      </c>
    </row>
    <row r="13" spans="1:30" x14ac:dyDescent="0.25">
      <c r="A13" s="7">
        <v>2008</v>
      </c>
      <c r="B13" s="2">
        <v>136</v>
      </c>
      <c r="C13" s="15">
        <f t="shared" si="0"/>
        <v>32</v>
      </c>
      <c r="D13" s="2">
        <v>435.2</v>
      </c>
      <c r="E13">
        <v>8</v>
      </c>
      <c r="F13" s="7">
        <v>2008</v>
      </c>
      <c r="G13" s="2">
        <v>0</v>
      </c>
      <c r="H13" s="15" t="e">
        <f t="shared" si="1"/>
        <v>#DIV/0!</v>
      </c>
      <c r="I13" s="2">
        <v>0</v>
      </c>
      <c r="K13" s="7">
        <v>2008</v>
      </c>
      <c r="L13" s="7">
        <v>9</v>
      </c>
      <c r="M13" s="83">
        <v>257</v>
      </c>
      <c r="N13" s="83">
        <v>0</v>
      </c>
      <c r="O13" s="83">
        <v>15</v>
      </c>
      <c r="P13" s="83">
        <v>268</v>
      </c>
      <c r="Q13" s="83">
        <v>19</v>
      </c>
      <c r="R13" s="83">
        <v>2157</v>
      </c>
      <c r="S13" s="83">
        <v>5</v>
      </c>
      <c r="T13" s="83">
        <v>76227</v>
      </c>
      <c r="U13" s="83">
        <v>1155600</v>
      </c>
      <c r="V13" s="83">
        <v>0</v>
      </c>
      <c r="W13" s="83">
        <v>666</v>
      </c>
    </row>
    <row r="14" spans="1:30" x14ac:dyDescent="0.25">
      <c r="A14" s="7">
        <v>2009</v>
      </c>
      <c r="B14" s="2">
        <v>139</v>
      </c>
      <c r="C14" s="15">
        <f t="shared" si="0"/>
        <v>32.014388489208635</v>
      </c>
      <c r="D14" s="2">
        <v>445</v>
      </c>
      <c r="E14">
        <v>9</v>
      </c>
      <c r="F14" s="7">
        <v>2009</v>
      </c>
      <c r="G14" s="2">
        <v>0</v>
      </c>
      <c r="H14" s="15" t="e">
        <f t="shared" si="1"/>
        <v>#DIV/0!</v>
      </c>
      <c r="I14" s="2">
        <v>0</v>
      </c>
      <c r="K14" s="7">
        <v>2009</v>
      </c>
      <c r="L14" s="7">
        <v>10</v>
      </c>
      <c r="M14" s="83">
        <v>309</v>
      </c>
      <c r="N14" s="83">
        <v>0</v>
      </c>
      <c r="O14" s="83">
        <v>14</v>
      </c>
      <c r="P14" s="83">
        <v>268</v>
      </c>
      <c r="Q14" s="83">
        <v>11</v>
      </c>
      <c r="R14" s="83">
        <v>2123</v>
      </c>
      <c r="S14" s="83">
        <v>5</v>
      </c>
      <c r="T14" s="83">
        <v>76227</v>
      </c>
      <c r="U14" s="83">
        <v>1155600</v>
      </c>
      <c r="V14" s="83">
        <v>0</v>
      </c>
      <c r="W14" s="83">
        <v>666</v>
      </c>
      <c r="X14" s="2">
        <v>1</v>
      </c>
      <c r="Y14" s="2">
        <v>0</v>
      </c>
      <c r="Z14" s="2">
        <v>26</v>
      </c>
      <c r="AA14" s="2">
        <v>15</v>
      </c>
      <c r="AB14" s="2">
        <v>0</v>
      </c>
      <c r="AC14" s="2">
        <v>0</v>
      </c>
      <c r="AD14" s="2">
        <v>0</v>
      </c>
    </row>
    <row r="15" spans="1:30" x14ac:dyDescent="0.25">
      <c r="A15" s="7">
        <v>2010</v>
      </c>
      <c r="B15" s="2">
        <v>82</v>
      </c>
      <c r="C15" s="15">
        <f t="shared" si="0"/>
        <v>31.951219512195124</v>
      </c>
      <c r="D15" s="2">
        <v>262</v>
      </c>
      <c r="E15">
        <v>10</v>
      </c>
      <c r="F15" s="7">
        <v>2010</v>
      </c>
      <c r="G15" s="2">
        <v>0</v>
      </c>
      <c r="H15" s="15" t="e">
        <f t="shared" si="1"/>
        <v>#DIV/0!</v>
      </c>
      <c r="I15" s="2">
        <v>0</v>
      </c>
      <c r="K15" s="7">
        <v>2010</v>
      </c>
      <c r="L15" s="7">
        <v>11</v>
      </c>
      <c r="M15" s="90">
        <v>296</v>
      </c>
      <c r="N15" s="90">
        <v>9</v>
      </c>
      <c r="O15" s="90">
        <v>7</v>
      </c>
      <c r="P15" s="90">
        <v>88</v>
      </c>
      <c r="Q15" s="90">
        <v>0</v>
      </c>
      <c r="R15" s="90">
        <v>2441</v>
      </c>
      <c r="S15" s="90">
        <v>6</v>
      </c>
      <c r="T15" s="47">
        <v>77750</v>
      </c>
      <c r="U15" s="47">
        <v>1781200</v>
      </c>
      <c r="V15" s="83">
        <v>0</v>
      </c>
      <c r="W15" s="47">
        <v>679</v>
      </c>
      <c r="X15" s="10">
        <v>2</v>
      </c>
      <c r="Y15" s="10">
        <v>0</v>
      </c>
      <c r="Z15" s="10">
        <v>28</v>
      </c>
      <c r="AA15" s="10">
        <v>16</v>
      </c>
      <c r="AB15" s="10">
        <v>0</v>
      </c>
      <c r="AC15" s="10">
        <v>0</v>
      </c>
      <c r="AD15" s="10">
        <v>0</v>
      </c>
    </row>
    <row r="16" spans="1:30" x14ac:dyDescent="0.25">
      <c r="A16" s="7">
        <v>2011</v>
      </c>
      <c r="B16" s="2">
        <v>75</v>
      </c>
      <c r="C16" s="15">
        <f t="shared" si="0"/>
        <v>32.666666666666664</v>
      </c>
      <c r="D16" s="2">
        <v>245</v>
      </c>
      <c r="E16">
        <v>11</v>
      </c>
      <c r="F16" s="7">
        <v>2011</v>
      </c>
      <c r="G16" s="2">
        <v>0</v>
      </c>
      <c r="H16" s="15" t="e">
        <f t="shared" si="1"/>
        <v>#DIV/0!</v>
      </c>
      <c r="I16" s="2">
        <v>0</v>
      </c>
      <c r="K16" s="7">
        <v>2011</v>
      </c>
      <c r="L16" s="7">
        <v>12</v>
      </c>
      <c r="M16" s="90">
        <v>501</v>
      </c>
      <c r="N16" s="90">
        <v>9</v>
      </c>
      <c r="O16" s="90">
        <v>33</v>
      </c>
      <c r="P16" s="90">
        <v>358</v>
      </c>
      <c r="Q16" s="90">
        <v>36</v>
      </c>
      <c r="R16" s="90">
        <v>1755</v>
      </c>
      <c r="S16" s="83">
        <v>0</v>
      </c>
      <c r="T16" s="47">
        <v>72550</v>
      </c>
      <c r="U16" s="47">
        <v>1781200</v>
      </c>
      <c r="V16" s="83">
        <v>0</v>
      </c>
      <c r="W16" s="47">
        <v>679</v>
      </c>
      <c r="X16" s="10">
        <v>3</v>
      </c>
      <c r="Y16" s="10">
        <v>7</v>
      </c>
      <c r="Z16" s="10">
        <v>13</v>
      </c>
      <c r="AA16" s="10">
        <v>16</v>
      </c>
      <c r="AB16" s="10">
        <v>2</v>
      </c>
      <c r="AC16" s="10">
        <v>0</v>
      </c>
      <c r="AD16" s="10">
        <v>0</v>
      </c>
    </row>
    <row r="17" spans="1:30" x14ac:dyDescent="0.25">
      <c r="A17" s="7">
        <v>2012</v>
      </c>
      <c r="B17" s="2">
        <v>50</v>
      </c>
      <c r="C17" s="15">
        <f t="shared" si="0"/>
        <v>33</v>
      </c>
      <c r="D17" s="2">
        <v>165</v>
      </c>
      <c r="E17">
        <v>12</v>
      </c>
      <c r="F17" s="7">
        <v>2012</v>
      </c>
      <c r="G17" s="2">
        <v>0</v>
      </c>
      <c r="H17" s="15" t="e">
        <f t="shared" si="1"/>
        <v>#DIV/0!</v>
      </c>
      <c r="I17" s="2">
        <v>0</v>
      </c>
      <c r="K17" s="7">
        <v>2012</v>
      </c>
      <c r="L17" s="7">
        <v>13</v>
      </c>
      <c r="M17" s="90">
        <v>624</v>
      </c>
      <c r="N17" s="90">
        <v>8</v>
      </c>
      <c r="O17" s="90">
        <v>33</v>
      </c>
      <c r="P17" s="90">
        <v>401</v>
      </c>
      <c r="Q17" s="90">
        <v>36</v>
      </c>
      <c r="R17" s="90">
        <v>1748</v>
      </c>
      <c r="S17" s="83">
        <v>0</v>
      </c>
      <c r="T17" s="47">
        <v>72550</v>
      </c>
      <c r="U17" s="47">
        <v>0</v>
      </c>
      <c r="V17" s="83">
        <v>0</v>
      </c>
      <c r="W17" s="47">
        <v>679</v>
      </c>
      <c r="X17" s="10">
        <v>4</v>
      </c>
      <c r="Y17" s="10">
        <v>3</v>
      </c>
      <c r="Z17" s="10">
        <v>6</v>
      </c>
      <c r="AA17" s="10">
        <v>7</v>
      </c>
      <c r="AB17" s="10">
        <v>5</v>
      </c>
      <c r="AC17" s="10">
        <v>0</v>
      </c>
      <c r="AD17" s="10">
        <v>0</v>
      </c>
    </row>
    <row r="18" spans="1:30" x14ac:dyDescent="0.25">
      <c r="A18" s="7">
        <v>2013</v>
      </c>
      <c r="B18" s="2">
        <v>24</v>
      </c>
      <c r="C18" s="15">
        <f t="shared" si="0"/>
        <v>30.833333333333332</v>
      </c>
      <c r="D18" s="2">
        <v>74</v>
      </c>
      <c r="E18">
        <v>13</v>
      </c>
      <c r="F18" s="7">
        <v>2013</v>
      </c>
      <c r="G18" s="2">
        <v>0</v>
      </c>
      <c r="H18" s="15" t="e">
        <f t="shared" si="1"/>
        <v>#DIV/0!</v>
      </c>
      <c r="I18" s="2">
        <v>0</v>
      </c>
      <c r="K18" s="7">
        <v>2013</v>
      </c>
      <c r="L18" s="7">
        <v>14</v>
      </c>
      <c r="M18" s="83">
        <v>712</v>
      </c>
      <c r="N18" s="83">
        <v>9</v>
      </c>
      <c r="O18" s="83">
        <v>22</v>
      </c>
      <c r="P18" s="83">
        <v>494</v>
      </c>
      <c r="Q18" s="83">
        <v>11</v>
      </c>
      <c r="R18" s="83">
        <v>3212</v>
      </c>
      <c r="S18" s="83">
        <v>0</v>
      </c>
      <c r="T18" s="83">
        <v>76763</v>
      </c>
      <c r="U18" s="83">
        <v>3041667</v>
      </c>
      <c r="V18" s="83">
        <v>0</v>
      </c>
      <c r="W18" s="83">
        <v>2663</v>
      </c>
      <c r="X18" s="10">
        <v>5</v>
      </c>
      <c r="Y18">
        <v>3</v>
      </c>
      <c r="Z18">
        <v>21</v>
      </c>
      <c r="AA18">
        <v>17</v>
      </c>
      <c r="AB18">
        <v>3</v>
      </c>
      <c r="AC18">
        <v>0</v>
      </c>
      <c r="AD18">
        <v>0</v>
      </c>
    </row>
    <row r="19" spans="1:30" x14ac:dyDescent="0.25">
      <c r="A19" s="7">
        <v>2014</v>
      </c>
      <c r="B19" s="2">
        <v>62</v>
      </c>
      <c r="C19" s="15">
        <f t="shared" si="0"/>
        <v>45</v>
      </c>
      <c r="D19" s="2">
        <v>279</v>
      </c>
      <c r="E19">
        <v>14</v>
      </c>
      <c r="F19" s="7">
        <v>2014</v>
      </c>
      <c r="G19" s="2">
        <v>0</v>
      </c>
      <c r="H19" s="15" t="e">
        <f t="shared" si="1"/>
        <v>#DIV/0!</v>
      </c>
      <c r="I19" s="2">
        <v>0</v>
      </c>
      <c r="K19" s="7">
        <v>2014</v>
      </c>
      <c r="L19" s="7">
        <v>15</v>
      </c>
      <c r="M19" s="83">
        <v>871</v>
      </c>
      <c r="N19" s="83">
        <v>8</v>
      </c>
      <c r="O19" s="83">
        <v>19</v>
      </c>
      <c r="P19" s="83">
        <v>696</v>
      </c>
      <c r="Q19" s="83">
        <v>106</v>
      </c>
      <c r="R19" s="83">
        <v>4231</v>
      </c>
      <c r="S19" s="83">
        <v>0</v>
      </c>
      <c r="T19" s="83">
        <v>118936</v>
      </c>
      <c r="U19" s="83">
        <v>3249864</v>
      </c>
      <c r="V19" s="83">
        <v>3000</v>
      </c>
      <c r="W19" s="83">
        <v>6323</v>
      </c>
      <c r="X19" s="10">
        <v>6</v>
      </c>
      <c r="Y19">
        <v>4</v>
      </c>
      <c r="Z19">
        <v>15</v>
      </c>
      <c r="AA19">
        <v>15</v>
      </c>
      <c r="AB19">
        <v>15</v>
      </c>
      <c r="AC19">
        <v>0</v>
      </c>
      <c r="AD19">
        <v>0</v>
      </c>
    </row>
    <row r="20" spans="1:30" x14ac:dyDescent="0.25">
      <c r="A20" s="7">
        <v>2015</v>
      </c>
      <c r="B20" s="2">
        <v>33</v>
      </c>
      <c r="C20" s="15">
        <f t="shared" si="0"/>
        <v>34.848484848484851</v>
      </c>
      <c r="D20" s="2">
        <v>115</v>
      </c>
      <c r="E20">
        <v>15</v>
      </c>
      <c r="F20" s="7">
        <v>2015</v>
      </c>
      <c r="G20" s="2">
        <v>0</v>
      </c>
      <c r="H20" s="15" t="e">
        <f t="shared" si="1"/>
        <v>#DIV/0!</v>
      </c>
      <c r="I20" s="2">
        <v>0</v>
      </c>
      <c r="K20" s="7">
        <v>2015</v>
      </c>
      <c r="L20" s="7">
        <v>16</v>
      </c>
      <c r="M20" s="83">
        <v>981</v>
      </c>
      <c r="N20" s="83">
        <v>10</v>
      </c>
      <c r="O20" s="83">
        <v>16</v>
      </c>
      <c r="P20" s="83">
        <v>796</v>
      </c>
      <c r="Q20" s="83">
        <v>111</v>
      </c>
      <c r="R20" s="83">
        <v>4412</v>
      </c>
      <c r="S20" s="83">
        <v>2</v>
      </c>
      <c r="T20" s="83">
        <v>128717</v>
      </c>
      <c r="U20" s="83">
        <v>3254838</v>
      </c>
      <c r="V20" s="83">
        <v>322</v>
      </c>
      <c r="W20" s="83">
        <v>8766</v>
      </c>
      <c r="X20" s="10">
        <v>7</v>
      </c>
      <c r="Y20" s="10">
        <v>11</v>
      </c>
      <c r="Z20" s="10">
        <v>19</v>
      </c>
      <c r="AA20" s="10">
        <v>16</v>
      </c>
      <c r="AB20" s="10">
        <v>17</v>
      </c>
      <c r="AC20" s="10">
        <v>0</v>
      </c>
      <c r="AD20" s="10">
        <v>0</v>
      </c>
    </row>
    <row r="21" spans="1:30" x14ac:dyDescent="0.25">
      <c r="A21" s="7">
        <v>2016</v>
      </c>
      <c r="B21" s="2">
        <f>B20*1.0337</f>
        <v>34.112100000000005</v>
      </c>
      <c r="E21">
        <v>16</v>
      </c>
      <c r="F21" s="7">
        <v>2016</v>
      </c>
      <c r="G21" s="2">
        <v>0</v>
      </c>
      <c r="K21" s="7">
        <v>2016</v>
      </c>
      <c r="L21" s="7">
        <v>17</v>
      </c>
      <c r="M21" s="2">
        <v>1059</v>
      </c>
      <c r="N21" s="2"/>
      <c r="O21" s="2">
        <f>1.2853*L21+2.95</f>
        <v>24.8001</v>
      </c>
      <c r="P21" s="2">
        <f>21.356*L21+188.85</f>
        <v>551.90200000000004</v>
      </c>
      <c r="Q21" s="2">
        <f>2.6662*L21+14.4</f>
        <v>59.7254</v>
      </c>
      <c r="R21" s="2">
        <f>169.88*L21+753.25</f>
        <v>3641.21</v>
      </c>
      <c r="S21" s="2"/>
      <c r="T21" s="2">
        <f>1535.3*L21+70320</f>
        <v>96420.1</v>
      </c>
      <c r="U21" s="2">
        <f>170113*L21-79534</f>
        <v>2812387</v>
      </c>
      <c r="V21" s="2"/>
      <c r="W21" s="2">
        <f>326.77*L21-1126.3</f>
        <v>4428.79</v>
      </c>
      <c r="X21" s="10">
        <v>8</v>
      </c>
      <c r="Z21" s="2"/>
      <c r="AA21" s="2"/>
    </row>
    <row r="22" spans="1:30" x14ac:dyDescent="0.25">
      <c r="A22" s="7">
        <v>2017</v>
      </c>
      <c r="B22" s="2">
        <f t="shared" ref="B22:B34" si="2">B21*1.0337</f>
        <v>35.261677770000006</v>
      </c>
      <c r="E22">
        <v>17</v>
      </c>
      <c r="F22" s="7">
        <v>2017</v>
      </c>
      <c r="G22" s="2">
        <v>0</v>
      </c>
      <c r="K22" s="7">
        <v>2017</v>
      </c>
      <c r="L22" s="7">
        <v>18</v>
      </c>
      <c r="M22" s="2">
        <v>1372.7284928083143</v>
      </c>
      <c r="N22" s="2"/>
      <c r="O22" s="2">
        <f t="shared" ref="O22:O35" si="3">1.2853*L22+2.95</f>
        <v>26.0854</v>
      </c>
      <c r="P22" s="2">
        <f t="shared" ref="P22:P35" si="4">21.356*L22+188.85</f>
        <v>573.25800000000004</v>
      </c>
      <c r="Q22" s="2">
        <f t="shared" ref="Q22:Q35" si="5">2.6662*L22+14.4</f>
        <v>62.391599999999997</v>
      </c>
      <c r="R22" s="2">
        <f t="shared" ref="R22:R35" si="6">169.88*L22+753.25</f>
        <v>3811.09</v>
      </c>
      <c r="S22" s="2"/>
      <c r="T22" s="2">
        <f t="shared" ref="T22:T35" si="7">1535.3*L22+70320</f>
        <v>97955.4</v>
      </c>
      <c r="U22" s="2">
        <f t="shared" ref="U22:U35" si="8">170113*L22-79534</f>
        <v>2982500</v>
      </c>
      <c r="V22" s="2"/>
      <c r="W22" s="2">
        <f t="shared" ref="W22:W35" si="9">326.77*L22-1126.3</f>
        <v>4755.5599999999995</v>
      </c>
      <c r="X22" s="2">
        <v>9</v>
      </c>
      <c r="Z22" s="2"/>
      <c r="AA22" s="2"/>
    </row>
    <row r="23" spans="1:30" x14ac:dyDescent="0.25">
      <c r="A23" s="7">
        <v>2018</v>
      </c>
      <c r="B23" s="2">
        <f t="shared" si="2"/>
        <v>36.449996310849009</v>
      </c>
      <c r="E23">
        <v>18</v>
      </c>
      <c r="F23" s="7">
        <v>2018</v>
      </c>
      <c r="G23" s="2">
        <v>0</v>
      </c>
      <c r="K23" s="7">
        <v>2018</v>
      </c>
      <c r="L23" s="7">
        <v>19</v>
      </c>
      <c r="M23" s="2">
        <v>1623.837133477276</v>
      </c>
      <c r="N23" s="2"/>
      <c r="O23" s="2">
        <f t="shared" si="3"/>
        <v>27.370700000000003</v>
      </c>
      <c r="P23" s="2">
        <f t="shared" si="4"/>
        <v>594.61400000000003</v>
      </c>
      <c r="Q23" s="2">
        <f t="shared" si="5"/>
        <v>65.0578</v>
      </c>
      <c r="R23" s="2">
        <f t="shared" si="6"/>
        <v>3980.97</v>
      </c>
      <c r="S23" s="2"/>
      <c r="T23" s="2">
        <f t="shared" si="7"/>
        <v>99490.7</v>
      </c>
      <c r="U23" s="2">
        <f t="shared" si="8"/>
        <v>3152613</v>
      </c>
      <c r="V23" s="2"/>
      <c r="W23" s="2">
        <f t="shared" si="9"/>
        <v>5082.329999999999</v>
      </c>
      <c r="X23" s="10">
        <v>10</v>
      </c>
      <c r="Z23" s="2"/>
      <c r="AA23" s="2"/>
    </row>
    <row r="24" spans="1:30" x14ac:dyDescent="0.25">
      <c r="A24" s="7">
        <v>2019</v>
      </c>
      <c r="B24" s="2">
        <f t="shared" si="2"/>
        <v>37.678361186524626</v>
      </c>
      <c r="E24">
        <v>19</v>
      </c>
      <c r="F24" s="7">
        <v>2019</v>
      </c>
      <c r="G24" s="2">
        <v>0</v>
      </c>
      <c r="K24" s="7">
        <v>2019</v>
      </c>
      <c r="L24" s="7">
        <v>20</v>
      </c>
      <c r="M24" s="2">
        <v>1920.8802395186403</v>
      </c>
      <c r="N24" s="2"/>
      <c r="O24" s="2">
        <f t="shared" si="3"/>
        <v>28.656000000000002</v>
      </c>
      <c r="P24" s="2">
        <f t="shared" si="4"/>
        <v>615.97</v>
      </c>
      <c r="Q24" s="2">
        <f t="shared" si="5"/>
        <v>67.724000000000004</v>
      </c>
      <c r="R24" s="2">
        <f t="shared" si="6"/>
        <v>4150.8500000000004</v>
      </c>
      <c r="S24" s="2"/>
      <c r="T24" s="2">
        <f t="shared" si="7"/>
        <v>101026</v>
      </c>
      <c r="U24" s="2">
        <f t="shared" si="8"/>
        <v>3322726</v>
      </c>
      <c r="V24" s="2"/>
      <c r="W24" s="2">
        <f t="shared" si="9"/>
        <v>5409.0999999999995</v>
      </c>
      <c r="X24" s="10">
        <v>11</v>
      </c>
      <c r="Z24" s="2"/>
      <c r="AA24" s="2"/>
    </row>
    <row r="25" spans="1:30" x14ac:dyDescent="0.25">
      <c r="A25" s="7">
        <v>2020</v>
      </c>
      <c r="B25" s="2">
        <f t="shared" si="2"/>
        <v>38.948121958510505</v>
      </c>
      <c r="E25">
        <v>20</v>
      </c>
      <c r="F25" s="7">
        <v>2020</v>
      </c>
      <c r="G25" s="2">
        <v>0</v>
      </c>
      <c r="K25" s="7">
        <v>2020</v>
      </c>
      <c r="L25" s="7">
        <v>21</v>
      </c>
      <c r="M25" s="2">
        <v>2217.9233455600101</v>
      </c>
      <c r="N25" s="2"/>
      <c r="O25" s="2">
        <f t="shared" si="3"/>
        <v>29.941300000000002</v>
      </c>
      <c r="P25" s="2">
        <f t="shared" si="4"/>
        <v>637.32600000000002</v>
      </c>
      <c r="Q25" s="2">
        <f t="shared" si="5"/>
        <v>70.390200000000007</v>
      </c>
      <c r="R25" s="2">
        <f t="shared" si="6"/>
        <v>4320.7299999999996</v>
      </c>
      <c r="S25" s="2"/>
      <c r="T25" s="2">
        <f t="shared" si="7"/>
        <v>102561.3</v>
      </c>
      <c r="U25" s="2">
        <f t="shared" si="8"/>
        <v>3492839</v>
      </c>
      <c r="V25" s="2"/>
      <c r="W25" s="2">
        <f t="shared" si="9"/>
        <v>5735.87</v>
      </c>
      <c r="X25" s="10">
        <v>12</v>
      </c>
      <c r="Z25" s="2"/>
      <c r="AA25" s="2"/>
    </row>
    <row r="26" spans="1:30" x14ac:dyDescent="0.25">
      <c r="A26" s="7">
        <v>2021</v>
      </c>
      <c r="B26" s="2">
        <f t="shared" si="2"/>
        <v>40.260673668512311</v>
      </c>
      <c r="E26">
        <v>21</v>
      </c>
      <c r="F26" s="7">
        <v>2021</v>
      </c>
      <c r="G26" s="2">
        <v>0</v>
      </c>
      <c r="K26" s="7">
        <v>2021</v>
      </c>
      <c r="L26" s="7">
        <v>22</v>
      </c>
      <c r="M26" s="2">
        <v>2514.96645160137</v>
      </c>
      <c r="N26" s="2"/>
      <c r="O26" s="2">
        <f t="shared" si="3"/>
        <v>31.226600000000001</v>
      </c>
      <c r="P26" s="2">
        <f t="shared" si="4"/>
        <v>658.68200000000002</v>
      </c>
      <c r="Q26" s="2">
        <f t="shared" si="5"/>
        <v>73.056399999999996</v>
      </c>
      <c r="R26" s="2">
        <f t="shared" si="6"/>
        <v>4490.6099999999997</v>
      </c>
      <c r="S26" s="2"/>
      <c r="T26" s="2">
        <f t="shared" si="7"/>
        <v>104096.6</v>
      </c>
      <c r="U26" s="2">
        <f t="shared" si="8"/>
        <v>3662952</v>
      </c>
      <c r="V26" s="2"/>
      <c r="W26" s="2">
        <f t="shared" si="9"/>
        <v>6062.6399999999994</v>
      </c>
      <c r="X26" s="10">
        <v>13</v>
      </c>
      <c r="Z26" s="2"/>
      <c r="AA26" s="2"/>
    </row>
    <row r="27" spans="1:30" x14ac:dyDescent="0.25">
      <c r="A27" s="7">
        <v>2022</v>
      </c>
      <c r="B27" s="2">
        <f t="shared" si="2"/>
        <v>41.617458371141176</v>
      </c>
      <c r="E27">
        <v>22</v>
      </c>
      <c r="F27" s="7">
        <v>2022</v>
      </c>
      <c r="G27" s="2">
        <v>0</v>
      </c>
      <c r="K27" s="7">
        <v>2022</v>
      </c>
      <c r="L27" s="7">
        <v>23</v>
      </c>
      <c r="M27" s="2">
        <v>2812.0095576427402</v>
      </c>
      <c r="N27" s="2"/>
      <c r="O27" s="2">
        <f t="shared" si="3"/>
        <v>32.511900000000004</v>
      </c>
      <c r="P27" s="2">
        <f t="shared" si="4"/>
        <v>680.03800000000001</v>
      </c>
      <c r="Q27" s="2">
        <f t="shared" si="5"/>
        <v>75.7226</v>
      </c>
      <c r="R27" s="2">
        <f t="shared" si="6"/>
        <v>4660.49</v>
      </c>
      <c r="S27" s="2"/>
      <c r="T27" s="2">
        <f t="shared" si="7"/>
        <v>105631.9</v>
      </c>
      <c r="U27" s="2">
        <f t="shared" si="8"/>
        <v>3833065</v>
      </c>
      <c r="V27" s="2"/>
      <c r="W27" s="2">
        <f t="shared" si="9"/>
        <v>6389.4099999999989</v>
      </c>
      <c r="X27" s="10">
        <v>14</v>
      </c>
      <c r="Z27" s="2"/>
      <c r="AA27" s="2"/>
    </row>
    <row r="28" spans="1:30" x14ac:dyDescent="0.25">
      <c r="A28" s="7">
        <v>2023</v>
      </c>
      <c r="B28" s="2">
        <f t="shared" si="2"/>
        <v>43.019966718248639</v>
      </c>
      <c r="E28">
        <v>23</v>
      </c>
      <c r="F28" s="7">
        <v>2023</v>
      </c>
      <c r="G28" s="2">
        <v>0</v>
      </c>
      <c r="K28" s="7">
        <v>2023</v>
      </c>
      <c r="L28" s="7">
        <v>24</v>
      </c>
      <c r="M28" s="2">
        <v>3109.0526636841</v>
      </c>
      <c r="N28" s="2"/>
      <c r="O28" s="2">
        <f t="shared" si="3"/>
        <v>33.797200000000004</v>
      </c>
      <c r="P28" s="2">
        <f t="shared" si="4"/>
        <v>701.39400000000012</v>
      </c>
      <c r="Q28" s="2">
        <f t="shared" si="5"/>
        <v>78.388800000000003</v>
      </c>
      <c r="R28" s="2">
        <f t="shared" si="6"/>
        <v>4830.37</v>
      </c>
      <c r="S28" s="2"/>
      <c r="T28" s="2">
        <f t="shared" si="7"/>
        <v>107167.2</v>
      </c>
      <c r="U28" s="2">
        <f t="shared" si="8"/>
        <v>4003178</v>
      </c>
      <c r="V28" s="2"/>
      <c r="W28" s="2">
        <f t="shared" si="9"/>
        <v>6716.1799999999994</v>
      </c>
      <c r="X28" s="10">
        <v>15</v>
      </c>
      <c r="Z28" s="2"/>
      <c r="AA28" s="2"/>
    </row>
    <row r="29" spans="1:30" x14ac:dyDescent="0.25">
      <c r="A29" s="7">
        <v>2024</v>
      </c>
      <c r="B29" s="2">
        <f t="shared" si="2"/>
        <v>44.469739596653618</v>
      </c>
      <c r="E29">
        <v>24</v>
      </c>
      <c r="F29" s="7">
        <v>2024</v>
      </c>
      <c r="G29" s="2">
        <v>0</v>
      </c>
      <c r="K29" s="7">
        <v>2024</v>
      </c>
      <c r="L29" s="7">
        <v>25</v>
      </c>
      <c r="M29" s="2">
        <v>3406.0957697254698</v>
      </c>
      <c r="N29" s="2"/>
      <c r="O29" s="2">
        <f t="shared" si="3"/>
        <v>35.082500000000003</v>
      </c>
      <c r="P29" s="2">
        <f t="shared" si="4"/>
        <v>722.75000000000011</v>
      </c>
      <c r="Q29" s="2">
        <f t="shared" si="5"/>
        <v>81.055000000000007</v>
      </c>
      <c r="R29" s="2">
        <f t="shared" si="6"/>
        <v>5000.25</v>
      </c>
      <c r="S29" s="2"/>
      <c r="T29" s="2">
        <f t="shared" si="7"/>
        <v>108702.5</v>
      </c>
      <c r="U29" s="2">
        <f t="shared" si="8"/>
        <v>4173291</v>
      </c>
      <c r="V29" s="2"/>
      <c r="W29" s="2">
        <f t="shared" si="9"/>
        <v>7042.95</v>
      </c>
      <c r="X29" s="10">
        <v>16</v>
      </c>
      <c r="Z29" s="2"/>
      <c r="AA29" s="2"/>
    </row>
    <row r="30" spans="1:30" x14ac:dyDescent="0.25">
      <c r="A30" s="7">
        <v>2025</v>
      </c>
      <c r="B30" s="2">
        <f t="shared" si="2"/>
        <v>45.968369821060847</v>
      </c>
      <c r="E30">
        <v>25</v>
      </c>
      <c r="F30" s="7">
        <v>2025</v>
      </c>
      <c r="G30" s="2">
        <v>0</v>
      </c>
      <c r="K30" s="7">
        <v>2025</v>
      </c>
      <c r="L30" s="7">
        <v>26</v>
      </c>
      <c r="M30" s="2">
        <v>3703.1388757668301</v>
      </c>
      <c r="N30" s="2"/>
      <c r="O30" s="2">
        <f t="shared" si="3"/>
        <v>36.367800000000003</v>
      </c>
      <c r="P30" s="2">
        <f t="shared" si="4"/>
        <v>744.10600000000011</v>
      </c>
      <c r="Q30" s="2">
        <f t="shared" si="5"/>
        <v>83.72120000000001</v>
      </c>
      <c r="R30" s="2">
        <f t="shared" si="6"/>
        <v>5170.13</v>
      </c>
      <c r="S30" s="2"/>
      <c r="T30" s="2">
        <f t="shared" si="7"/>
        <v>110237.79999999999</v>
      </c>
      <c r="U30" s="2">
        <f t="shared" si="8"/>
        <v>4343404</v>
      </c>
      <c r="V30" s="2"/>
      <c r="W30" s="2">
        <f t="shared" si="9"/>
        <v>7369.72</v>
      </c>
      <c r="X30" s="2">
        <v>17</v>
      </c>
      <c r="Z30" s="2"/>
      <c r="AA30" s="2"/>
    </row>
    <row r="31" spans="1:30" x14ac:dyDescent="0.25">
      <c r="A31" s="7">
        <v>2026</v>
      </c>
      <c r="B31" s="2">
        <f t="shared" si="2"/>
        <v>47.517503884030603</v>
      </c>
      <c r="E31">
        <v>26</v>
      </c>
      <c r="F31" s="7">
        <v>2026</v>
      </c>
      <c r="G31" s="2">
        <v>0</v>
      </c>
      <c r="K31" s="7">
        <v>2026</v>
      </c>
      <c r="L31" s="7">
        <v>27</v>
      </c>
      <c r="M31" s="2">
        <v>4000.1819818081899</v>
      </c>
      <c r="N31" s="2"/>
      <c r="O31" s="2">
        <f t="shared" si="3"/>
        <v>37.653100000000009</v>
      </c>
      <c r="P31" s="2">
        <f t="shared" si="4"/>
        <v>765.4620000000001</v>
      </c>
      <c r="Q31" s="2">
        <f t="shared" si="5"/>
        <v>86.3874</v>
      </c>
      <c r="R31" s="2">
        <f t="shared" si="6"/>
        <v>5340.01</v>
      </c>
      <c r="S31" s="2"/>
      <c r="T31" s="2">
        <f t="shared" si="7"/>
        <v>111773.1</v>
      </c>
      <c r="U31" s="2">
        <f t="shared" si="8"/>
        <v>4513517</v>
      </c>
      <c r="V31" s="2"/>
      <c r="W31" s="2">
        <f t="shared" si="9"/>
        <v>7696.4899999999989</v>
      </c>
      <c r="X31" s="10">
        <v>18</v>
      </c>
      <c r="Z31" s="2"/>
      <c r="AA31" s="2"/>
    </row>
    <row r="32" spans="1:30" x14ac:dyDescent="0.25">
      <c r="A32" s="7">
        <v>2027</v>
      </c>
      <c r="B32" s="2">
        <f t="shared" si="2"/>
        <v>49.118843764922438</v>
      </c>
      <c r="E32">
        <v>27</v>
      </c>
      <c r="F32" s="7">
        <v>2027</v>
      </c>
      <c r="G32" s="2">
        <v>0</v>
      </c>
      <c r="K32" s="7">
        <v>2027</v>
      </c>
      <c r="L32" s="7">
        <v>28</v>
      </c>
      <c r="M32" s="2">
        <v>4297.2250878495597</v>
      </c>
      <c r="N32" s="2"/>
      <c r="O32" s="2">
        <f t="shared" si="3"/>
        <v>38.938400000000009</v>
      </c>
      <c r="P32" s="2">
        <f t="shared" si="4"/>
        <v>786.8180000000001</v>
      </c>
      <c r="Q32" s="2">
        <f t="shared" si="5"/>
        <v>89.053600000000003</v>
      </c>
      <c r="R32" s="2">
        <f t="shared" si="6"/>
        <v>5509.8899999999994</v>
      </c>
      <c r="S32" s="2"/>
      <c r="T32" s="2">
        <f t="shared" si="7"/>
        <v>113308.4</v>
      </c>
      <c r="U32" s="2">
        <f t="shared" si="8"/>
        <v>4683630</v>
      </c>
      <c r="V32" s="2"/>
      <c r="W32" s="2">
        <f t="shared" si="9"/>
        <v>8023.2599999999993</v>
      </c>
      <c r="X32" s="10">
        <v>19</v>
      </c>
      <c r="Z32" s="2"/>
      <c r="AA32" s="2"/>
    </row>
    <row r="33" spans="1:27" x14ac:dyDescent="0.25">
      <c r="A33" s="7">
        <v>2028</v>
      </c>
      <c r="B33" s="2">
        <f t="shared" si="2"/>
        <v>50.774148799800329</v>
      </c>
      <c r="E33">
        <v>28</v>
      </c>
      <c r="F33" s="7">
        <v>2028</v>
      </c>
      <c r="G33" s="2">
        <v>0</v>
      </c>
      <c r="K33" s="7">
        <v>2028</v>
      </c>
      <c r="L33" s="7">
        <v>29</v>
      </c>
      <c r="M33" s="2">
        <v>4594.26819389092</v>
      </c>
      <c r="N33" s="2"/>
      <c r="O33" s="2">
        <f t="shared" si="3"/>
        <v>40.223700000000008</v>
      </c>
      <c r="P33" s="2">
        <f t="shared" si="4"/>
        <v>808.17400000000009</v>
      </c>
      <c r="Q33" s="2">
        <f t="shared" si="5"/>
        <v>91.719800000000006</v>
      </c>
      <c r="R33" s="2">
        <f t="shared" si="6"/>
        <v>5679.7699999999995</v>
      </c>
      <c r="S33" s="2"/>
      <c r="T33" s="2">
        <f t="shared" si="7"/>
        <v>114843.7</v>
      </c>
      <c r="U33" s="2">
        <f t="shared" si="8"/>
        <v>4853743</v>
      </c>
      <c r="V33" s="2"/>
      <c r="W33" s="2">
        <f t="shared" si="9"/>
        <v>8350.0300000000007</v>
      </c>
      <c r="X33" s="10">
        <v>20</v>
      </c>
      <c r="Z33" s="2"/>
      <c r="AA33" s="2"/>
    </row>
    <row r="34" spans="1:27" x14ac:dyDescent="0.25">
      <c r="A34" s="7">
        <v>2029</v>
      </c>
      <c r="B34" s="2">
        <f t="shared" si="2"/>
        <v>52.485237614353601</v>
      </c>
      <c r="E34">
        <v>29</v>
      </c>
      <c r="F34" s="7">
        <v>2029</v>
      </c>
      <c r="G34" s="2">
        <v>0</v>
      </c>
      <c r="K34" s="7">
        <v>2029</v>
      </c>
      <c r="L34" s="7">
        <v>30</v>
      </c>
      <c r="M34" s="2">
        <v>4891.3112999322902</v>
      </c>
      <c r="N34" s="2"/>
      <c r="O34" s="2">
        <f t="shared" si="3"/>
        <v>41.509000000000007</v>
      </c>
      <c r="P34" s="2">
        <f t="shared" si="4"/>
        <v>829.53000000000009</v>
      </c>
      <c r="Q34" s="2">
        <f t="shared" si="5"/>
        <v>94.385999999999996</v>
      </c>
      <c r="R34" s="2">
        <f t="shared" si="6"/>
        <v>5849.65</v>
      </c>
      <c r="S34" s="2"/>
      <c r="T34" s="2">
        <f t="shared" si="7"/>
        <v>116379</v>
      </c>
      <c r="U34" s="2">
        <f t="shared" si="8"/>
        <v>5023856</v>
      </c>
      <c r="V34" s="2"/>
      <c r="W34" s="2">
        <f t="shared" si="9"/>
        <v>8676.7999999999993</v>
      </c>
      <c r="X34" s="10">
        <v>21</v>
      </c>
      <c r="Z34" s="2"/>
      <c r="AA34" s="2"/>
    </row>
    <row r="35" spans="1:27" x14ac:dyDescent="0.25">
      <c r="A35" s="7">
        <v>2030</v>
      </c>
      <c r="B35" s="2">
        <f t="shared" ref="B35" si="10">157.92*E35^-0.314</f>
        <v>54.277653139677206</v>
      </c>
      <c r="E35">
        <v>30</v>
      </c>
      <c r="F35" s="7">
        <v>2030</v>
      </c>
      <c r="G35" s="2">
        <v>0</v>
      </c>
      <c r="K35" s="7">
        <v>2030</v>
      </c>
      <c r="L35" s="7">
        <v>31</v>
      </c>
      <c r="M35" s="2">
        <v>5188.3544059736496</v>
      </c>
      <c r="N35" s="2"/>
      <c r="O35" s="2">
        <f t="shared" si="3"/>
        <v>42.794300000000007</v>
      </c>
      <c r="P35" s="2">
        <f t="shared" si="4"/>
        <v>850.88600000000008</v>
      </c>
      <c r="Q35" s="2">
        <f t="shared" si="5"/>
        <v>97.052199999999999</v>
      </c>
      <c r="R35" s="2">
        <f t="shared" si="6"/>
        <v>6019.53</v>
      </c>
      <c r="S35" s="2"/>
      <c r="T35" s="2">
        <f t="shared" si="7"/>
        <v>117914.29999999999</v>
      </c>
      <c r="U35" s="2">
        <f t="shared" si="8"/>
        <v>5193969</v>
      </c>
      <c r="V35" s="2"/>
      <c r="W35" s="2">
        <f t="shared" si="9"/>
        <v>9003.57</v>
      </c>
      <c r="X35" s="10">
        <v>22</v>
      </c>
      <c r="Z35" s="2"/>
      <c r="AA35" s="2"/>
    </row>
    <row r="36" spans="1:27" x14ac:dyDescent="0.25">
      <c r="B36" s="19">
        <f>(B35/B20)^(1/(2030-2015))-1</f>
        <v>3.3730050612106544E-2</v>
      </c>
      <c r="M36" s="2"/>
      <c r="N36" s="2"/>
      <c r="O36" s="2"/>
      <c r="P36" s="2"/>
      <c r="Q36" s="2"/>
      <c r="R36" s="2"/>
      <c r="S36" s="2"/>
      <c r="T36" s="2"/>
      <c r="U36" s="2"/>
      <c r="V36" s="2"/>
      <c r="W36" s="2"/>
    </row>
  </sheetData>
  <mergeCells count="4">
    <mergeCell ref="A3:D3"/>
    <mergeCell ref="F3:I3"/>
    <mergeCell ref="M3:W3"/>
    <mergeCell ref="Y3:AD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zoomScale="85" zoomScaleNormal="85" workbookViewId="0">
      <pane xSplit="1" ySplit="4" topLeftCell="B17" activePane="bottomRight" state="frozen"/>
      <selection pane="topRight" activeCell="B1" sqref="B1"/>
      <selection pane="bottomLeft" activeCell="A5" sqref="A5"/>
      <selection pane="bottomRight" activeCell="U19" sqref="U19"/>
    </sheetView>
  </sheetViews>
  <sheetFormatPr defaultRowHeight="15" x14ac:dyDescent="0.25"/>
  <cols>
    <col min="2" max="2" width="15" bestFit="1" customWidth="1"/>
    <col min="3" max="3" width="16.140625" bestFit="1" customWidth="1"/>
    <col min="4" max="4" width="14" bestFit="1" customWidth="1"/>
    <col min="7" max="7" width="15" bestFit="1" customWidth="1"/>
    <col min="8" max="8" width="16.140625" bestFit="1" customWidth="1"/>
    <col min="9" max="9" width="14" bestFit="1" customWidth="1"/>
    <col min="12" max="12" width="9.7109375" bestFit="1" customWidth="1"/>
    <col min="13" max="13" width="10.28515625" bestFit="1" customWidth="1"/>
    <col min="14" max="16" width="9.28515625" bestFit="1" customWidth="1"/>
    <col min="17" max="17" width="9.5703125" bestFit="1" customWidth="1"/>
    <col min="18" max="18" width="9.28515625" bestFit="1" customWidth="1"/>
    <col min="19" max="19" width="14.85546875" bestFit="1" customWidth="1"/>
    <col min="20" max="20" width="18.28515625" bestFit="1" customWidth="1"/>
    <col min="21" max="21" width="16.5703125" bestFit="1" customWidth="1"/>
    <col min="22" max="22" width="10.5703125" bestFit="1" customWidth="1"/>
    <col min="24" max="26" width="9.28515625" bestFit="1" customWidth="1"/>
    <col min="27" max="27" width="13" bestFit="1" customWidth="1"/>
    <col min="28" max="28" width="9.28515625" bestFit="1" customWidth="1"/>
    <col min="29" max="29" width="12.28515625" bestFit="1" customWidth="1"/>
  </cols>
  <sheetData>
    <row r="1" spans="1:30" x14ac:dyDescent="0.25">
      <c r="A1" s="6" t="s">
        <v>11</v>
      </c>
      <c r="B1" s="6"/>
      <c r="C1" s="6"/>
      <c r="D1" s="6"/>
      <c r="E1" s="6"/>
      <c r="F1" s="6"/>
      <c r="G1" s="6"/>
      <c r="H1" s="6"/>
      <c r="I1" s="6"/>
    </row>
    <row r="2" spans="1:30" x14ac:dyDescent="0.25">
      <c r="A2" s="6"/>
      <c r="B2" s="6"/>
      <c r="C2" s="6"/>
      <c r="D2" s="6"/>
      <c r="E2" s="6"/>
      <c r="F2" s="6"/>
      <c r="G2" s="6"/>
      <c r="H2" s="6"/>
      <c r="I2" s="6"/>
    </row>
    <row r="3" spans="1:30" x14ac:dyDescent="0.25">
      <c r="A3" s="119" t="s">
        <v>2</v>
      </c>
      <c r="B3" s="119"/>
      <c r="C3" s="119"/>
      <c r="D3" s="119"/>
      <c r="E3" s="6"/>
      <c r="F3" s="119" t="s">
        <v>5</v>
      </c>
      <c r="G3" s="119"/>
      <c r="H3" s="119"/>
      <c r="I3" s="119"/>
      <c r="L3" s="120" t="s">
        <v>26</v>
      </c>
      <c r="M3" s="120"/>
      <c r="N3" s="120"/>
      <c r="O3" s="120"/>
      <c r="P3" s="120"/>
      <c r="Q3" s="120"/>
      <c r="R3" s="120"/>
      <c r="S3" s="120"/>
      <c r="T3" s="120"/>
      <c r="U3" s="120"/>
      <c r="V3" s="120"/>
      <c r="X3" s="120" t="s">
        <v>34</v>
      </c>
      <c r="Y3" s="120"/>
      <c r="Z3" s="120"/>
      <c r="AA3" s="120"/>
      <c r="AB3" s="120"/>
      <c r="AC3" s="120"/>
    </row>
    <row r="4" spans="1:30" x14ac:dyDescent="0.25">
      <c r="A4" s="6"/>
      <c r="B4" s="4" t="s">
        <v>4</v>
      </c>
      <c r="C4" s="1" t="s">
        <v>0</v>
      </c>
      <c r="D4" s="1" t="s">
        <v>1</v>
      </c>
      <c r="E4" s="6"/>
      <c r="F4" s="6"/>
      <c r="G4" s="4" t="s">
        <v>4</v>
      </c>
      <c r="H4" s="1" t="s">
        <v>0</v>
      </c>
      <c r="I4" s="1" t="s">
        <v>1</v>
      </c>
      <c r="L4" s="4" t="s">
        <v>15</v>
      </c>
      <c r="M4" s="4" t="s">
        <v>16</v>
      </c>
      <c r="N4" s="4" t="s">
        <v>17</v>
      </c>
      <c r="O4" s="4" t="s">
        <v>18</v>
      </c>
      <c r="P4" s="4" t="s">
        <v>19</v>
      </c>
      <c r="Q4" s="4" t="s">
        <v>20</v>
      </c>
      <c r="R4" s="4" t="s">
        <v>21</v>
      </c>
      <c r="S4" s="4" t="s">
        <v>22</v>
      </c>
      <c r="T4" s="4" t="s">
        <v>23</v>
      </c>
      <c r="U4" s="4" t="s">
        <v>24</v>
      </c>
      <c r="V4" s="4" t="s">
        <v>25</v>
      </c>
      <c r="X4" s="4" t="s">
        <v>35</v>
      </c>
      <c r="Y4" s="4" t="s">
        <v>36</v>
      </c>
      <c r="Z4" s="4" t="s">
        <v>37</v>
      </c>
      <c r="AA4" s="4" t="s">
        <v>38</v>
      </c>
      <c r="AB4" s="4" t="s">
        <v>39</v>
      </c>
      <c r="AC4" s="4" t="s">
        <v>40</v>
      </c>
    </row>
    <row r="5" spans="1:30" x14ac:dyDescent="0.25">
      <c r="A5" s="7">
        <v>2000</v>
      </c>
      <c r="B5" s="2"/>
      <c r="D5" s="2"/>
      <c r="F5" s="7">
        <v>2000</v>
      </c>
      <c r="G5" s="2"/>
      <c r="I5" s="2"/>
    </row>
    <row r="6" spans="1:30" x14ac:dyDescent="0.25">
      <c r="A6" s="7">
        <v>2001</v>
      </c>
      <c r="B6" s="2"/>
      <c r="D6" s="2"/>
      <c r="F6" s="7">
        <v>2001</v>
      </c>
      <c r="G6" s="2"/>
      <c r="I6" s="2"/>
    </row>
    <row r="7" spans="1:30" x14ac:dyDescent="0.25">
      <c r="A7" s="7">
        <v>2002</v>
      </c>
      <c r="B7" s="2"/>
      <c r="D7" s="2"/>
      <c r="F7" s="7">
        <v>2002</v>
      </c>
      <c r="G7" s="2"/>
      <c r="I7" s="2"/>
    </row>
    <row r="8" spans="1:30" x14ac:dyDescent="0.25">
      <c r="A8" s="7">
        <v>2003</v>
      </c>
      <c r="B8" s="2"/>
      <c r="D8" s="2"/>
      <c r="F8" s="7">
        <v>2003</v>
      </c>
      <c r="G8" s="2"/>
      <c r="I8" s="2"/>
    </row>
    <row r="9" spans="1:30" x14ac:dyDescent="0.25">
      <c r="A9" s="7">
        <v>2004</v>
      </c>
      <c r="B9" s="2"/>
      <c r="D9" s="2"/>
      <c r="F9" s="7">
        <v>2004</v>
      </c>
      <c r="G9" s="2"/>
      <c r="I9" s="2"/>
    </row>
    <row r="10" spans="1:30" x14ac:dyDescent="0.25">
      <c r="A10" s="7">
        <v>2005</v>
      </c>
      <c r="B10" s="2"/>
      <c r="D10" s="2"/>
      <c r="F10" s="7">
        <v>2005</v>
      </c>
      <c r="G10" s="2"/>
      <c r="I10" s="2"/>
    </row>
    <row r="11" spans="1:30" x14ac:dyDescent="0.25">
      <c r="A11" s="7">
        <v>2006</v>
      </c>
      <c r="B11" s="2"/>
      <c r="D11" s="2"/>
      <c r="F11" s="7">
        <v>2006</v>
      </c>
      <c r="G11" s="2"/>
      <c r="I11" s="2"/>
    </row>
    <row r="12" spans="1:30" x14ac:dyDescent="0.25">
      <c r="A12" s="7">
        <v>2007</v>
      </c>
      <c r="B12" s="2"/>
      <c r="D12" s="2"/>
      <c r="F12" s="7">
        <v>2007</v>
      </c>
      <c r="G12" s="2"/>
      <c r="I12" s="2"/>
    </row>
    <row r="13" spans="1:30" x14ac:dyDescent="0.25">
      <c r="A13" s="7">
        <v>2008</v>
      </c>
      <c r="B13" s="2"/>
      <c r="D13" s="2"/>
      <c r="F13" s="7">
        <v>2008</v>
      </c>
      <c r="G13" s="2"/>
      <c r="I13" s="2"/>
    </row>
    <row r="14" spans="1:30" x14ac:dyDescent="0.25">
      <c r="A14" s="7">
        <v>2009</v>
      </c>
      <c r="B14" s="2"/>
      <c r="D14" s="2"/>
      <c r="F14" s="7">
        <v>2009</v>
      </c>
      <c r="G14" s="2"/>
      <c r="I14" s="2"/>
    </row>
    <row r="15" spans="1:30" x14ac:dyDescent="0.25">
      <c r="A15" s="7">
        <v>2010</v>
      </c>
      <c r="B15" s="2"/>
      <c r="D15" s="2"/>
      <c r="F15" s="7">
        <v>2010</v>
      </c>
      <c r="G15" s="2"/>
      <c r="I15" s="2"/>
    </row>
    <row r="16" spans="1:30" x14ac:dyDescent="0.25">
      <c r="A16" s="7">
        <v>2011</v>
      </c>
      <c r="B16" s="2"/>
      <c r="D16" s="2"/>
      <c r="F16" s="7">
        <v>2011</v>
      </c>
      <c r="G16" s="2"/>
      <c r="I16" s="2"/>
      <c r="L16" s="2">
        <v>0</v>
      </c>
      <c r="M16" s="2"/>
      <c r="N16" s="2"/>
      <c r="O16" s="2"/>
      <c r="P16" s="2"/>
      <c r="Q16" s="2"/>
      <c r="R16" s="2"/>
      <c r="S16" s="2"/>
      <c r="T16" s="2"/>
      <c r="U16" s="2"/>
      <c r="V16" s="2"/>
      <c r="W16" s="2"/>
      <c r="X16" s="2"/>
      <c r="Y16" s="2"/>
      <c r="Z16" s="2"/>
      <c r="AA16" s="2"/>
      <c r="AB16" s="2"/>
      <c r="AC16" s="2"/>
      <c r="AD16" s="2"/>
    </row>
    <row r="17" spans="1:30" x14ac:dyDescent="0.25">
      <c r="A17" s="7">
        <v>2012</v>
      </c>
      <c r="B17" s="2"/>
      <c r="D17" s="2"/>
      <c r="F17" s="7">
        <v>2012</v>
      </c>
      <c r="G17" s="2"/>
      <c r="I17" s="2"/>
      <c r="L17" s="9">
        <v>0</v>
      </c>
      <c r="M17" s="9">
        <v>0</v>
      </c>
      <c r="N17" s="9">
        <v>0</v>
      </c>
      <c r="O17" s="9">
        <v>0</v>
      </c>
      <c r="P17" s="9">
        <v>0</v>
      </c>
      <c r="Q17" s="9">
        <v>0</v>
      </c>
      <c r="R17" s="9">
        <v>0</v>
      </c>
      <c r="S17" s="10">
        <v>0</v>
      </c>
      <c r="T17" s="10">
        <v>0</v>
      </c>
      <c r="U17" s="10">
        <v>0</v>
      </c>
      <c r="V17" s="10">
        <v>27577</v>
      </c>
      <c r="W17" s="2"/>
      <c r="X17" s="2"/>
      <c r="Y17" s="2"/>
      <c r="Z17" s="2"/>
      <c r="AA17" s="2"/>
      <c r="AB17" s="2"/>
      <c r="AC17" s="2"/>
      <c r="AD17" s="2"/>
    </row>
    <row r="18" spans="1:30" x14ac:dyDescent="0.25">
      <c r="A18" s="7">
        <v>2013</v>
      </c>
      <c r="B18" s="2"/>
      <c r="D18" s="2"/>
      <c r="F18" s="7">
        <v>2013</v>
      </c>
      <c r="G18" s="2"/>
      <c r="I18" s="2"/>
      <c r="L18" s="2">
        <v>0</v>
      </c>
      <c r="M18" s="2">
        <v>0</v>
      </c>
      <c r="N18" s="2">
        <v>0</v>
      </c>
      <c r="O18" s="2">
        <v>0</v>
      </c>
      <c r="P18" s="2">
        <v>0</v>
      </c>
      <c r="Q18" s="2">
        <v>0</v>
      </c>
      <c r="R18" s="2">
        <v>0</v>
      </c>
      <c r="S18" s="2">
        <v>0</v>
      </c>
      <c r="T18" s="2">
        <v>0</v>
      </c>
      <c r="U18" s="2">
        <v>0</v>
      </c>
      <c r="V18" s="2">
        <v>0</v>
      </c>
      <c r="W18" s="2"/>
      <c r="X18" s="2">
        <v>0</v>
      </c>
      <c r="Y18" s="2">
        <v>0</v>
      </c>
      <c r="Z18" s="2">
        <v>0</v>
      </c>
      <c r="AA18" s="2">
        <v>0</v>
      </c>
      <c r="AB18" s="2">
        <v>0</v>
      </c>
      <c r="AC18" s="2">
        <v>0</v>
      </c>
      <c r="AD18" s="2"/>
    </row>
    <row r="19" spans="1:30" x14ac:dyDescent="0.25">
      <c r="A19" s="7">
        <v>2014</v>
      </c>
      <c r="B19" s="2">
        <v>0</v>
      </c>
      <c r="D19" s="2">
        <v>0</v>
      </c>
      <c r="F19" s="7">
        <v>2014</v>
      </c>
      <c r="G19" s="2">
        <v>3051</v>
      </c>
      <c r="I19" s="2">
        <v>9730</v>
      </c>
      <c r="L19" s="9">
        <v>1108</v>
      </c>
      <c r="M19" s="9">
        <v>0</v>
      </c>
      <c r="N19" s="9">
        <v>0</v>
      </c>
      <c r="O19" s="9">
        <v>277</v>
      </c>
      <c r="P19" s="9"/>
      <c r="Q19" s="9">
        <v>4816</v>
      </c>
      <c r="R19" s="9">
        <v>0</v>
      </c>
      <c r="S19" s="10">
        <v>42316</v>
      </c>
      <c r="T19" s="10">
        <v>10430</v>
      </c>
      <c r="U19" s="10">
        <v>0</v>
      </c>
      <c r="V19" s="10">
        <v>719</v>
      </c>
      <c r="W19" s="2"/>
      <c r="X19" s="10">
        <v>0</v>
      </c>
      <c r="Y19" s="10">
        <v>139</v>
      </c>
      <c r="Z19" s="10">
        <v>5</v>
      </c>
      <c r="AA19" s="10">
        <v>5</v>
      </c>
      <c r="AB19" s="10">
        <v>5</v>
      </c>
      <c r="AC19" s="10">
        <v>3</v>
      </c>
      <c r="AD19" s="2"/>
    </row>
    <row r="20" spans="1:30" x14ac:dyDescent="0.25">
      <c r="A20" s="7">
        <v>2015</v>
      </c>
      <c r="B20">
        <v>30</v>
      </c>
      <c r="D20">
        <v>81</v>
      </c>
      <c r="F20" s="7">
        <v>2015</v>
      </c>
      <c r="G20" s="2">
        <v>4135</v>
      </c>
      <c r="H20" s="2"/>
      <c r="I20" s="2">
        <v>10586</v>
      </c>
      <c r="L20" s="2">
        <v>421</v>
      </c>
      <c r="M20" s="2">
        <v>0</v>
      </c>
      <c r="N20" s="2">
        <v>0</v>
      </c>
      <c r="O20" s="2">
        <v>231</v>
      </c>
      <c r="P20" s="2">
        <v>0</v>
      </c>
      <c r="Q20" s="2">
        <v>4760</v>
      </c>
      <c r="R20" s="2">
        <v>0</v>
      </c>
      <c r="S20" s="2">
        <v>40834</v>
      </c>
      <c r="T20" s="2">
        <v>446452</v>
      </c>
      <c r="U20" s="2">
        <v>0</v>
      </c>
      <c r="V20" s="2">
        <v>727</v>
      </c>
      <c r="W20" s="2"/>
      <c r="X20" s="2"/>
      <c r="Y20" s="2">
        <v>50</v>
      </c>
      <c r="Z20" s="2">
        <v>1</v>
      </c>
      <c r="AA20" s="2">
        <v>2</v>
      </c>
      <c r="AB20" s="2">
        <v>20</v>
      </c>
      <c r="AC20" s="2">
        <v>0</v>
      </c>
      <c r="AD20" s="2"/>
    </row>
    <row r="21" spans="1:30" x14ac:dyDescent="0.25">
      <c r="A21" s="7">
        <v>2016</v>
      </c>
      <c r="F21" s="7">
        <v>2016</v>
      </c>
      <c r="L21" s="9">
        <v>431</v>
      </c>
      <c r="M21" s="2"/>
      <c r="N21" s="2"/>
      <c r="O21" s="2"/>
      <c r="P21" s="2"/>
      <c r="Q21" s="2"/>
      <c r="R21" s="2"/>
      <c r="S21" s="2"/>
      <c r="T21" s="2"/>
      <c r="U21" s="2"/>
      <c r="V21" s="2"/>
      <c r="W21" s="2"/>
      <c r="X21" s="2"/>
      <c r="Y21" s="2"/>
      <c r="Z21" s="2"/>
      <c r="AA21" s="2"/>
      <c r="AB21" s="2"/>
      <c r="AC21" s="2"/>
      <c r="AD21" s="2"/>
    </row>
    <row r="22" spans="1:30" x14ac:dyDescent="0.25">
      <c r="A22" s="7">
        <v>2017</v>
      </c>
      <c r="F22" s="7">
        <v>2017</v>
      </c>
      <c r="L22" s="2">
        <v>561.62452499999995</v>
      </c>
      <c r="M22" s="2"/>
      <c r="N22" s="2"/>
      <c r="O22" s="2"/>
      <c r="P22" s="2"/>
      <c r="Q22" s="2"/>
      <c r="R22" s="2"/>
      <c r="S22" s="2"/>
      <c r="T22" s="2"/>
      <c r="U22" s="2"/>
      <c r="V22" s="2"/>
      <c r="W22" s="2"/>
      <c r="X22" s="2"/>
      <c r="Y22" s="2"/>
      <c r="Z22" s="2"/>
      <c r="AA22" s="2"/>
      <c r="AB22" s="2"/>
      <c r="AC22" s="2"/>
      <c r="AD22" s="2"/>
    </row>
    <row r="23" spans="1:30" x14ac:dyDescent="0.25">
      <c r="A23" s="7">
        <v>2018</v>
      </c>
      <c r="F23" s="7">
        <v>2018</v>
      </c>
      <c r="L23" s="2">
        <v>648.67632637499992</v>
      </c>
      <c r="M23" s="2"/>
      <c r="N23" s="2"/>
      <c r="O23" s="2"/>
      <c r="P23" s="2"/>
      <c r="Q23" s="2"/>
      <c r="R23" s="2"/>
      <c r="S23" s="2"/>
      <c r="T23" s="2"/>
      <c r="U23" s="2"/>
      <c r="V23" s="2"/>
      <c r="W23" s="2"/>
      <c r="X23" s="2"/>
      <c r="Y23" s="2"/>
      <c r="Z23" s="2"/>
      <c r="AA23" s="2"/>
      <c r="AB23" s="2"/>
      <c r="AC23" s="2"/>
      <c r="AD23" s="2"/>
    </row>
    <row r="24" spans="1:30" x14ac:dyDescent="0.25">
      <c r="A24" s="7">
        <v>2019</v>
      </c>
      <c r="F24" s="7">
        <v>2019</v>
      </c>
      <c r="L24" s="2">
        <v>749.22115696312494</v>
      </c>
      <c r="M24" s="2"/>
      <c r="N24" s="2"/>
      <c r="O24" s="2"/>
      <c r="P24" s="2"/>
      <c r="Q24" s="2"/>
      <c r="R24" s="2"/>
      <c r="S24" s="2"/>
      <c r="T24" s="2"/>
      <c r="U24" s="2"/>
      <c r="V24" s="2"/>
      <c r="W24" s="2"/>
      <c r="X24" s="2"/>
      <c r="Y24" s="2"/>
      <c r="Z24" s="2"/>
      <c r="AA24" s="2"/>
      <c r="AB24" s="2"/>
      <c r="AC24" s="2"/>
      <c r="AD24" s="2"/>
    </row>
    <row r="25" spans="1:30" x14ac:dyDescent="0.25">
      <c r="A25" s="7">
        <v>2020</v>
      </c>
      <c r="F25" s="7">
        <v>2020</v>
      </c>
      <c r="L25" s="2">
        <v>849.76598755124996</v>
      </c>
      <c r="M25" s="2"/>
      <c r="N25" s="2"/>
      <c r="O25" s="2"/>
      <c r="P25" s="2"/>
      <c r="Q25" s="2"/>
      <c r="R25" s="2"/>
      <c r="S25" s="2"/>
      <c r="T25" s="2"/>
      <c r="U25" s="2"/>
      <c r="V25" s="2"/>
      <c r="W25" s="2"/>
      <c r="X25" s="2"/>
      <c r="Y25" s="2"/>
      <c r="Z25" s="2"/>
      <c r="AA25" s="2"/>
      <c r="AB25" s="2"/>
      <c r="AC25" s="2"/>
      <c r="AD25" s="2"/>
    </row>
    <row r="26" spans="1:30" x14ac:dyDescent="0.25">
      <c r="A26" s="7">
        <v>2021</v>
      </c>
      <c r="F26" s="7">
        <v>2021</v>
      </c>
      <c r="L26" s="2">
        <v>950.31081813937499</v>
      </c>
      <c r="M26" s="2"/>
      <c r="N26" s="2"/>
      <c r="O26" s="2"/>
      <c r="P26" s="2"/>
      <c r="Q26" s="2"/>
      <c r="R26" s="2"/>
      <c r="S26" s="2"/>
      <c r="T26" s="2"/>
      <c r="U26" s="2"/>
      <c r="V26" s="2"/>
      <c r="W26" s="2"/>
      <c r="X26" s="2"/>
      <c r="Y26" s="2"/>
      <c r="Z26" s="2"/>
      <c r="AA26" s="2"/>
      <c r="AB26" s="2"/>
      <c r="AC26" s="2"/>
      <c r="AD26" s="2"/>
    </row>
    <row r="27" spans="1:30" x14ac:dyDescent="0.25">
      <c r="A27" s="7">
        <v>2022</v>
      </c>
      <c r="F27" s="7">
        <v>2022</v>
      </c>
      <c r="L27" s="2">
        <v>1050.8556487275</v>
      </c>
      <c r="M27" s="2"/>
      <c r="N27" s="2"/>
      <c r="O27" s="2"/>
      <c r="P27" s="2"/>
      <c r="Q27" s="2"/>
      <c r="R27" s="2"/>
      <c r="S27" s="2"/>
      <c r="T27" s="2"/>
      <c r="U27" s="2"/>
      <c r="V27" s="2"/>
      <c r="W27" s="2"/>
      <c r="X27" s="2"/>
      <c r="Y27" s="2"/>
      <c r="Z27" s="2"/>
      <c r="AA27" s="2"/>
      <c r="AB27" s="2"/>
      <c r="AC27" s="2"/>
      <c r="AD27" s="2"/>
    </row>
    <row r="28" spans="1:30" x14ac:dyDescent="0.25">
      <c r="A28" s="7">
        <v>2023</v>
      </c>
      <c r="F28" s="7">
        <v>2023</v>
      </c>
      <c r="L28" s="2">
        <v>1151.40047931563</v>
      </c>
      <c r="M28" s="2"/>
      <c r="N28" s="2"/>
      <c r="O28" s="2"/>
      <c r="P28" s="2"/>
      <c r="Q28" s="2"/>
      <c r="R28" s="2"/>
      <c r="S28" s="2"/>
      <c r="T28" s="2"/>
      <c r="U28" s="2"/>
      <c r="V28" s="2"/>
      <c r="W28" s="2"/>
      <c r="X28" s="2"/>
      <c r="Y28" s="2"/>
      <c r="Z28" s="2"/>
      <c r="AA28" s="2"/>
      <c r="AB28" s="2"/>
      <c r="AC28" s="2"/>
      <c r="AD28" s="2"/>
    </row>
    <row r="29" spans="1:30" x14ac:dyDescent="0.25">
      <c r="A29" s="7">
        <v>2024</v>
      </c>
      <c r="F29" s="7">
        <v>2024</v>
      </c>
      <c r="L29" s="2">
        <v>1251.9453099037501</v>
      </c>
      <c r="M29" s="2"/>
      <c r="N29" s="2"/>
      <c r="O29" s="2"/>
      <c r="P29" s="2"/>
      <c r="Q29" s="2"/>
      <c r="R29" s="2"/>
      <c r="S29" s="2"/>
      <c r="T29" s="2"/>
      <c r="U29" s="2"/>
      <c r="V29" s="2"/>
      <c r="W29" s="2"/>
      <c r="X29" s="2"/>
      <c r="Y29" s="2"/>
      <c r="Z29" s="2"/>
      <c r="AA29" s="2"/>
      <c r="AB29" s="2"/>
      <c r="AC29" s="2"/>
      <c r="AD29" s="2"/>
    </row>
    <row r="30" spans="1:30" x14ac:dyDescent="0.25">
      <c r="A30" s="7">
        <v>2025</v>
      </c>
      <c r="F30" s="7">
        <v>2025</v>
      </c>
      <c r="L30" s="2">
        <v>1352.4901404918801</v>
      </c>
      <c r="M30" s="2"/>
      <c r="N30" s="2"/>
      <c r="O30" s="2"/>
      <c r="P30" s="2"/>
      <c r="Q30" s="2"/>
      <c r="R30" s="2"/>
      <c r="S30" s="2"/>
      <c r="T30" s="2"/>
      <c r="U30" s="2"/>
      <c r="V30" s="2"/>
      <c r="W30" s="2"/>
      <c r="X30" s="2"/>
      <c r="Y30" s="2"/>
      <c r="Z30" s="2"/>
      <c r="AA30" s="2"/>
      <c r="AB30" s="2"/>
      <c r="AC30" s="2"/>
      <c r="AD30" s="2"/>
    </row>
    <row r="31" spans="1:30" x14ac:dyDescent="0.25">
      <c r="A31" s="7">
        <v>2026</v>
      </c>
      <c r="F31" s="7">
        <v>2026</v>
      </c>
      <c r="L31" s="2">
        <v>1453.0349710800001</v>
      </c>
      <c r="M31" s="2"/>
      <c r="N31" s="2"/>
      <c r="O31" s="2"/>
      <c r="P31" s="2"/>
      <c r="Q31" s="2"/>
      <c r="R31" s="2"/>
      <c r="S31" s="2"/>
      <c r="T31" s="2"/>
      <c r="U31" s="2"/>
      <c r="V31" s="2"/>
      <c r="W31" s="2"/>
      <c r="X31" s="2"/>
      <c r="Y31" s="2"/>
      <c r="Z31" s="2"/>
      <c r="AA31" s="2"/>
      <c r="AB31" s="2"/>
      <c r="AC31" s="2"/>
      <c r="AD31" s="2"/>
    </row>
    <row r="32" spans="1:30" x14ac:dyDescent="0.25">
      <c r="A32" s="7">
        <v>2027</v>
      </c>
      <c r="F32" s="7">
        <v>2027</v>
      </c>
      <c r="L32" s="2">
        <v>1553.5798016681199</v>
      </c>
      <c r="M32" s="2"/>
      <c r="N32" s="2"/>
      <c r="O32" s="2"/>
      <c r="P32" s="2"/>
      <c r="Q32" s="2"/>
      <c r="R32" s="2"/>
      <c r="S32" s="2"/>
      <c r="T32" s="2"/>
      <c r="U32" s="2"/>
      <c r="V32" s="2"/>
      <c r="W32" s="2"/>
      <c r="X32" s="2"/>
      <c r="Y32" s="2"/>
      <c r="Z32" s="2"/>
      <c r="AA32" s="2"/>
      <c r="AB32" s="2"/>
      <c r="AC32" s="2"/>
      <c r="AD32" s="2"/>
    </row>
    <row r="33" spans="1:30" x14ac:dyDescent="0.25">
      <c r="A33" s="7">
        <v>2028</v>
      </c>
      <c r="F33" s="7">
        <v>2028</v>
      </c>
      <c r="L33" s="2">
        <v>1654.1246322562499</v>
      </c>
      <c r="M33" s="2"/>
      <c r="N33" s="2"/>
      <c r="O33" s="2"/>
      <c r="P33" s="2"/>
      <c r="Q33" s="2"/>
      <c r="R33" s="2"/>
      <c r="S33" s="2"/>
      <c r="T33" s="2"/>
      <c r="U33" s="2"/>
      <c r="V33" s="2"/>
      <c r="W33" s="2"/>
      <c r="X33" s="2"/>
      <c r="Y33" s="2"/>
      <c r="Z33" s="2"/>
      <c r="AA33" s="2"/>
      <c r="AB33" s="2"/>
      <c r="AC33" s="2"/>
      <c r="AD33" s="2"/>
    </row>
    <row r="34" spans="1:30" x14ac:dyDescent="0.25">
      <c r="A34" s="7">
        <v>2029</v>
      </c>
      <c r="F34" s="7">
        <v>2029</v>
      </c>
      <c r="L34" s="2">
        <v>1754.66946284438</v>
      </c>
      <c r="M34" s="2"/>
      <c r="N34" s="2"/>
      <c r="O34" s="2"/>
      <c r="P34" s="2"/>
      <c r="Q34" s="2"/>
      <c r="R34" s="2"/>
      <c r="S34" s="2"/>
      <c r="T34" s="2"/>
      <c r="U34" s="2"/>
      <c r="V34" s="2"/>
      <c r="W34" s="2"/>
      <c r="X34" s="2"/>
      <c r="Y34" s="2"/>
      <c r="Z34" s="2"/>
      <c r="AA34" s="2"/>
      <c r="AB34" s="2"/>
      <c r="AC34" s="2"/>
      <c r="AD34" s="2"/>
    </row>
    <row r="35" spans="1:30" x14ac:dyDescent="0.25">
      <c r="A35" s="7">
        <v>2030</v>
      </c>
      <c r="F35" s="7">
        <v>2030</v>
      </c>
      <c r="L35" s="2">
        <v>1855.2142934325</v>
      </c>
      <c r="M35" s="2"/>
      <c r="N35" s="2"/>
      <c r="O35" s="2"/>
      <c r="P35" s="2"/>
      <c r="Q35" s="2"/>
      <c r="R35" s="2"/>
      <c r="S35" s="2"/>
      <c r="T35" s="2"/>
      <c r="U35" s="2"/>
      <c r="V35" s="2"/>
      <c r="W35" s="2"/>
      <c r="X35" s="2"/>
      <c r="Y35" s="2"/>
      <c r="Z35" s="2"/>
      <c r="AA35" s="2"/>
      <c r="AB35" s="2"/>
      <c r="AC35" s="2"/>
      <c r="AD35" s="2"/>
    </row>
  </sheetData>
  <mergeCells count="4">
    <mergeCell ref="A3:D3"/>
    <mergeCell ref="F3:I3"/>
    <mergeCell ref="L3:V3"/>
    <mergeCell ref="X3:A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40"/>
  <sheetViews>
    <sheetView tabSelected="1" zoomScale="85" zoomScaleNormal="85" workbookViewId="0">
      <pane xSplit="1" ySplit="4" topLeftCell="B24" activePane="bottomRight" state="frozen"/>
      <selection pane="topRight" activeCell="B1" sqref="B1"/>
      <selection pane="bottomLeft" activeCell="A5" sqref="A5"/>
      <selection pane="bottomRight" activeCell="M16" sqref="M16:M35"/>
    </sheetView>
  </sheetViews>
  <sheetFormatPr defaultRowHeight="15" x14ac:dyDescent="0.25"/>
  <cols>
    <col min="2" max="2" width="10.85546875" bestFit="1" customWidth="1"/>
    <col min="3" max="3" width="9" bestFit="1" customWidth="1"/>
    <col min="4" max="4" width="10.5703125" bestFit="1" customWidth="1"/>
    <col min="7" max="7" width="11" customWidth="1"/>
    <col min="8" max="8" width="8.7109375" bestFit="1" customWidth="1"/>
    <col min="9" max="9" width="9" bestFit="1" customWidth="1"/>
    <col min="20" max="22" width="11.5703125" bestFit="1" customWidth="1"/>
    <col min="23" max="23" width="10.5703125" bestFit="1" customWidth="1"/>
    <col min="25" max="25" width="9.5703125" bestFit="1" customWidth="1"/>
  </cols>
  <sheetData>
    <row r="3" spans="1:31" s="63" customFormat="1" ht="33.75" customHeight="1" x14ac:dyDescent="0.25">
      <c r="A3" s="116" t="s">
        <v>2</v>
      </c>
      <c r="B3" s="116"/>
      <c r="C3" s="116"/>
      <c r="D3" s="116"/>
      <c r="F3" s="116" t="s">
        <v>5</v>
      </c>
      <c r="G3" s="116"/>
      <c r="H3" s="116"/>
      <c r="I3" s="116"/>
      <c r="M3" s="117" t="s">
        <v>26</v>
      </c>
      <c r="N3" s="117"/>
      <c r="O3" s="117"/>
      <c r="P3" s="117"/>
      <c r="Q3" s="117"/>
      <c r="R3" s="117"/>
      <c r="S3" s="117"/>
      <c r="T3" s="117"/>
      <c r="U3" s="117"/>
      <c r="V3" s="117"/>
      <c r="W3" s="117"/>
      <c r="X3" s="64"/>
      <c r="Y3" s="117" t="s">
        <v>34</v>
      </c>
      <c r="Z3" s="117"/>
      <c r="AA3" s="117"/>
      <c r="AB3" s="117"/>
      <c r="AC3" s="117"/>
      <c r="AD3" s="117"/>
    </row>
    <row r="4" spans="1:31" s="63" customFormat="1" ht="45" x14ac:dyDescent="0.25">
      <c r="B4" s="65" t="s">
        <v>4</v>
      </c>
      <c r="C4" s="65" t="s">
        <v>0</v>
      </c>
      <c r="D4" s="65" t="s">
        <v>1</v>
      </c>
      <c r="G4" s="65" t="s">
        <v>4</v>
      </c>
      <c r="H4" s="65" t="s">
        <v>0</v>
      </c>
      <c r="I4" s="65" t="s">
        <v>1</v>
      </c>
      <c r="M4" s="65" t="s">
        <v>15</v>
      </c>
      <c r="N4" s="65" t="s">
        <v>16</v>
      </c>
      <c r="O4" s="65" t="s">
        <v>17</v>
      </c>
      <c r="P4" s="65" t="s">
        <v>18</v>
      </c>
      <c r="Q4" s="65" t="s">
        <v>19</v>
      </c>
      <c r="R4" s="65" t="s">
        <v>20</v>
      </c>
      <c r="S4" s="65" t="s">
        <v>21</v>
      </c>
      <c r="T4" s="65" t="s">
        <v>22</v>
      </c>
      <c r="U4" s="65" t="s">
        <v>23</v>
      </c>
      <c r="V4" s="65" t="s">
        <v>24</v>
      </c>
      <c r="W4" s="65" t="s">
        <v>25</v>
      </c>
      <c r="X4" s="64"/>
      <c r="Y4" s="65" t="s">
        <v>35</v>
      </c>
      <c r="Z4" s="65" t="s">
        <v>36</v>
      </c>
      <c r="AA4" s="65" t="s">
        <v>37</v>
      </c>
      <c r="AB4" s="65" t="s">
        <v>38</v>
      </c>
      <c r="AC4" s="65" t="s">
        <v>39</v>
      </c>
      <c r="AD4" s="65" t="s">
        <v>40</v>
      </c>
    </row>
    <row r="5" spans="1:31" x14ac:dyDescent="0.25">
      <c r="A5" s="7">
        <v>2000</v>
      </c>
      <c r="B5" s="28">
        <f>Paser!B5+'Kutai Barat'!B5+'Kutai Kertanegara'!B5+'Kutai Timur'!B5+Berau!B5+PPU!B5+Samarinda!B5+Balikpapan!B5+Bontang!B5+Mahulu!B5</f>
        <v>73120</v>
      </c>
      <c r="C5" s="77">
        <f>(D5*10)/B5</f>
        <v>33.740700218818382</v>
      </c>
      <c r="D5" s="28">
        <f>Paser!D5+'Kutai Barat'!D5+'Kutai Kertanegara'!D5+'Kutai Timur'!D5+Berau!D5+PPU!D5+Samarinda!D5+Balikpapan!D5+Bontang!D5+Mahulu!D5</f>
        <v>246712</v>
      </c>
      <c r="E5" s="31">
        <f t="shared" ref="E5:E12" si="0">B5+G5</f>
        <v>115292</v>
      </c>
      <c r="F5" s="31">
        <f t="shared" ref="F5:F12" si="1">D5+I5</f>
        <v>339678</v>
      </c>
      <c r="G5" s="28">
        <f>Paser!G5+'Kutai Barat'!G5+'Kutai Kertanegara'!G5+'Kutai Timur'!G5+Berau!G5+PPU!G5+Samarinda!G5+Balikpapan!G5+Bontang!G5+Mahulu!G5</f>
        <v>42172</v>
      </c>
      <c r="H5" s="77">
        <f t="shared" ref="H5:H10" si="2">(I5*10)/G5</f>
        <v>22.044484492080052</v>
      </c>
      <c r="I5" s="28">
        <f>Paser!I5+'Kutai Barat'!I5+'Kutai Kertanegara'!I5+'Kutai Timur'!I5+Berau!I5+PPU!I5+Samarinda!I5+Balikpapan!I5+Bontang!I5+Mahulu!I5</f>
        <v>92966</v>
      </c>
      <c r="M5" s="28">
        <f>Paser!M5+'Kutai Barat'!M5+'Kutai Kertanegara'!N5+'Kutai Timur'!N5+Berau!N5+PPU!N5+Samarinda!N5+Balikpapan!N5+Bontang!M5+Mahulu!L5</f>
        <v>43571</v>
      </c>
      <c r="N5" s="2">
        <f>Paser!N5+'Kutai Barat'!N5+'Kutai Kertanegara'!O5+'Kutai Timur'!O5+Berau!O5+PPU!O5+Samarinda!O5+Balikpapan!O5+Bontang!N5+Mahulu!M5</f>
        <v>25</v>
      </c>
      <c r="O5" s="2">
        <f>Paser!O5+'Kutai Barat'!O5+'Kutai Kertanegara'!P5+'Kutai Timur'!P5+Berau!P5+PPU!P5+Samarinda!P5+Balikpapan!P5+Bontang!O5+Mahulu!N5</f>
        <v>7941</v>
      </c>
      <c r="P5" s="2">
        <f>Paser!P5+'Kutai Barat'!P5+'Kutai Kertanegara'!Q5+'Kutai Timur'!Q5+Berau!Q5+PPU!Q5+Samarinda!Q5+Balikpapan!Q5+Bontang!P5+Mahulu!O5</f>
        <v>56343</v>
      </c>
      <c r="Q5" s="2">
        <f>Paser!Q5+'Kutai Barat'!Q5+'Kutai Kertanegara'!R5+'Kutai Timur'!R5+Berau!R5+PPU!R5+Samarinda!R5+Balikpapan!R5+Bontang!Q5+Mahulu!P5</f>
        <v>1055</v>
      </c>
      <c r="R5" s="2">
        <f>Paser!R5+'Kutai Barat'!R5+'Kutai Kertanegara'!S5+'Kutai Timur'!S5+Berau!S5+PPU!S5+Samarinda!S5+Balikpapan!S5+Bontang!R5+Mahulu!Q5</f>
        <v>103507</v>
      </c>
      <c r="S5" s="2">
        <f>Paser!S5+'Kutai Barat'!S5+'Kutai Kertanegara'!T5+'Kutai Timur'!T5+Berau!T5+PPU!T5+Samarinda!T5+Balikpapan!T5+Bontang!S5+Mahulu!R5</f>
        <v>86</v>
      </c>
      <c r="T5" s="2">
        <f>Paser!T5+'Kutai Barat'!T5+'Kutai Kertanegara'!U5+'Kutai Timur'!U5+Berau!U5+PPU!U5+Samarinda!U5+Balikpapan!U5+Bontang!T5+Mahulu!S5</f>
        <v>2536000</v>
      </c>
      <c r="U5" s="2">
        <f>Paser!U5+'Kutai Barat'!U5+'Kutai Kertanegara'!V5+'Kutai Timur'!V5+Berau!V5+PPU!V5+Samarinda!V5+Balikpapan!V5+Bontang!U5+Mahulu!T5</f>
        <v>12383800</v>
      </c>
      <c r="V5" s="2">
        <f>Paser!V5+'Kutai Barat'!V5+'Kutai Kertanegara'!W5+'Kutai Timur'!W5+Berau!W5+PPU!W5+Samarinda!W5+Balikpapan!W5+Bontang!V5+Mahulu!U5</f>
        <v>310600</v>
      </c>
      <c r="W5" s="2">
        <f>Paser!W5+'Kutai Barat'!W5+'Kutai Kertanegara'!X5+'Kutai Timur'!X5+Berau!X5+PPU!X5+Samarinda!X5+Balikpapan!X5+Bontang!W5+Mahulu!V5</f>
        <v>197300</v>
      </c>
      <c r="Y5" s="2">
        <f>Paser!Y5+'Kutai Barat'!Y5+'Kutai Kertanegara'!Z5+'Kutai Timur'!Z5+Berau!Z5+PPU!Z5+Samarinda!Z5+Balikpapan!Z5+Bontang!Y5+Mahulu!X5</f>
        <v>0</v>
      </c>
      <c r="Z5" s="2">
        <f>Paser!Z5+'Kutai Barat'!Z5+'Kutai Kertanegara'!AA5+'Kutai Timur'!AA5+Berau!AA5+PPU!AA5+Samarinda!AA5+Balikpapan!AA5+Bontang!Z5+Mahulu!Y5</f>
        <v>0</v>
      </c>
      <c r="AA5" s="2">
        <f>Paser!AA5+'Kutai Barat'!AA5+'Kutai Kertanegara'!AB5+'Kutai Timur'!AB5+Berau!AB5+PPU!AB5+Samarinda!AB5+Balikpapan!AB5+Bontang!AA5+Mahulu!Z5</f>
        <v>0</v>
      </c>
      <c r="AB5" s="2">
        <f>Paser!AB5+'Kutai Barat'!AB5+'Kutai Kertanegara'!AC5+'Kutai Timur'!AC5+Berau!AC5+PPU!AC5+Samarinda!AC5+Balikpapan!AC5+Bontang!AB5+Mahulu!AA5</f>
        <v>0</v>
      </c>
      <c r="AC5" s="2">
        <f>Paser!AC5+'Kutai Barat'!AC5+'Kutai Kertanegara'!AD5+'Kutai Timur'!AD5+Berau!AD5+PPU!AD5+Samarinda!AD5+Balikpapan!AD5+Bontang!AC5+Mahulu!AB5</f>
        <v>0</v>
      </c>
      <c r="AD5" s="2">
        <f>Paser!AD5+'Kutai Barat'!AD5+'Kutai Kertanegara'!AE5+'Kutai Timur'!AE5+Berau!AE5+PPU!AE5+Samarinda!AE5+Balikpapan!AE5+Bontang!AD5+Mahulu!AC5</f>
        <v>0</v>
      </c>
    </row>
    <row r="6" spans="1:31" x14ac:dyDescent="0.25">
      <c r="A6" s="7">
        <v>2001</v>
      </c>
      <c r="B6" s="28">
        <f>Paser!B6+'Kutai Barat'!B6+'Kutai Kertanegara'!B6+'Kutai Timur'!B6+Berau!B6+PPU!B6+Samarinda!B6+Balikpapan!B6+Bontang!B6+Mahulu!B6</f>
        <v>60127</v>
      </c>
      <c r="C6" s="77">
        <f t="shared" ref="C6:C35" si="3">(D6*10)/B6</f>
        <v>33.990054384885326</v>
      </c>
      <c r="D6" s="28">
        <f>Paser!D6+'Kutai Barat'!D6+'Kutai Kertanegara'!D6+'Kutai Timur'!D6+Berau!D6+PPU!D6+Samarinda!D6+Balikpapan!D6+Bontang!D6+Mahulu!D6</f>
        <v>204372</v>
      </c>
      <c r="E6" s="31">
        <f t="shared" si="0"/>
        <v>96326</v>
      </c>
      <c r="F6" s="31">
        <f t="shared" si="1"/>
        <v>285508</v>
      </c>
      <c r="G6" s="28">
        <f>Paser!G6+'Kutai Barat'!G6+'Kutai Kertanegara'!G6+'Kutai Timur'!G6+Berau!G6+PPU!G6+Samarinda!G6+Balikpapan!G6+Bontang!G6+Mahulu!G6</f>
        <v>36199</v>
      </c>
      <c r="H6" s="77">
        <f t="shared" si="2"/>
        <v>22.413878836431945</v>
      </c>
      <c r="I6" s="28">
        <f>Paser!I6+'Kutai Barat'!I6+'Kutai Kertanegara'!I6+'Kutai Timur'!I6+Berau!I6+PPU!I6+Samarinda!I6+Balikpapan!I6+Bontang!I6+Mahulu!I6</f>
        <v>81136</v>
      </c>
      <c r="M6" s="28">
        <f>Paser!M6+'Kutai Barat'!M6+'Kutai Kertanegara'!N6+'Kutai Timur'!N6+Berau!N6+PPU!N6+Samarinda!N6+Balikpapan!N6+Bontang!M6+Mahulu!L6</f>
        <v>44566</v>
      </c>
      <c r="N6" s="2">
        <f>Paser!N6+'Kutai Barat'!N6+'Kutai Kertanegara'!O6+'Kutai Timur'!O6+Berau!O6+PPU!O6+Samarinda!O6+Balikpapan!O6+Bontang!N6+Mahulu!M6</f>
        <v>23</v>
      </c>
      <c r="O6" s="2">
        <f>Paser!O6+'Kutai Barat'!O6+'Kutai Kertanegara'!P6+'Kutai Timur'!P6+Berau!P6+PPU!P6+Samarinda!P6+Balikpapan!P6+Bontang!O6+Mahulu!N6</f>
        <v>8334</v>
      </c>
      <c r="P6" s="2">
        <f>Paser!P6+'Kutai Barat'!P6+'Kutai Kertanegara'!Q6+'Kutai Timur'!Q6+Berau!Q6+PPU!Q6+Samarinda!Q6+Balikpapan!Q6+Bontang!P6+Mahulu!O6</f>
        <v>65059</v>
      </c>
      <c r="Q6" s="2">
        <f>Paser!Q6+'Kutai Barat'!Q6+'Kutai Kertanegara'!R6+'Kutai Timur'!R6+Berau!R6+PPU!R6+Samarinda!R6+Balikpapan!R6+Bontang!Q6+Mahulu!P6</f>
        <v>1177</v>
      </c>
      <c r="R6" s="2">
        <f>Paser!R6+'Kutai Barat'!R6+'Kutai Kertanegara'!S6+'Kutai Timur'!S6+Berau!S6+PPU!S6+Samarinda!S6+Balikpapan!S6+Bontang!R6+Mahulu!Q6</f>
        <v>118686</v>
      </c>
      <c r="S6" s="2">
        <f>Paser!S6+'Kutai Barat'!S6+'Kutai Kertanegara'!T6+'Kutai Timur'!T6+Berau!T6+PPU!T6+Samarinda!T6+Balikpapan!T6+Bontang!S6+Mahulu!R6</f>
        <v>85</v>
      </c>
      <c r="T6" s="2">
        <f>Paser!T6+'Kutai Barat'!T6+'Kutai Kertanegara'!U6+'Kutai Timur'!U6+Berau!U6+PPU!U6+Samarinda!U6+Balikpapan!U6+Bontang!T6+Mahulu!S6</f>
        <v>2616700</v>
      </c>
      <c r="U6" s="2">
        <f>Paser!U6+'Kutai Barat'!U6+'Kutai Kertanegara'!V6+'Kutai Timur'!V6+Berau!V6+PPU!V6+Samarinda!V6+Balikpapan!V6+Bontang!U6+Mahulu!T6</f>
        <v>15809300</v>
      </c>
      <c r="V6" s="2">
        <f>Paser!V6+'Kutai Barat'!V6+'Kutai Kertanegara'!W6+'Kutai Timur'!W6+Berau!W6+PPU!W6+Samarinda!W6+Balikpapan!W6+Bontang!V6+Mahulu!U6</f>
        <v>332700</v>
      </c>
      <c r="W6" s="2">
        <f>Paser!W6+'Kutai Barat'!W6+'Kutai Kertanegara'!X6+'Kutai Timur'!X6+Berau!X6+PPU!X6+Samarinda!X6+Balikpapan!X6+Bontang!W6+Mahulu!V6</f>
        <v>219900</v>
      </c>
      <c r="Y6" s="2">
        <f>Paser!Y6+'Kutai Barat'!Y6+'Kutai Kertanegara'!Z6+'Kutai Timur'!Z6+Berau!Z6+PPU!Z6+Samarinda!Z6+Balikpapan!Z6+Bontang!Y6+Mahulu!X6</f>
        <v>0</v>
      </c>
      <c r="Z6" s="2">
        <f>Paser!Z6+'Kutai Barat'!Z6+'Kutai Kertanegara'!AA6+'Kutai Timur'!AA6+Berau!AA6+PPU!AA6+Samarinda!AA6+Balikpapan!AA6+Bontang!Z6+Mahulu!Y6</f>
        <v>0</v>
      </c>
      <c r="AA6" s="2">
        <f>Paser!AA6+'Kutai Barat'!AA6+'Kutai Kertanegara'!AB6+'Kutai Timur'!AB6+Berau!AB6+PPU!AB6+Samarinda!AB6+Balikpapan!AB6+Bontang!AA6+Mahulu!Z6</f>
        <v>0</v>
      </c>
      <c r="AB6" s="2">
        <f>Paser!AB6+'Kutai Barat'!AB6+'Kutai Kertanegara'!AC6+'Kutai Timur'!AC6+Berau!AC6+PPU!AC6+Samarinda!AC6+Balikpapan!AC6+Bontang!AB6+Mahulu!AA6</f>
        <v>0</v>
      </c>
      <c r="AC6" s="2">
        <f>Paser!AC6+'Kutai Barat'!AC6+'Kutai Kertanegara'!AD6+'Kutai Timur'!AD6+Berau!AD6+PPU!AD6+Samarinda!AD6+Balikpapan!AD6+Bontang!AC6+Mahulu!AB6</f>
        <v>0</v>
      </c>
      <c r="AD6" s="2">
        <f>Paser!AD6+'Kutai Barat'!AD6+'Kutai Kertanegara'!AE6+'Kutai Timur'!AE6+Berau!AE6+PPU!AE6+Samarinda!AE6+Balikpapan!AE6+Bontang!AD6+Mahulu!AC6</f>
        <v>0</v>
      </c>
    </row>
    <row r="7" spans="1:31" x14ac:dyDescent="0.25">
      <c r="A7" s="7">
        <v>2002</v>
      </c>
      <c r="B7" s="28">
        <f>Paser!B7+'Kutai Barat'!B7+'Kutai Kertanegara'!B7+'Kutai Timur'!B7+Berau!B7+PPU!B7+Samarinda!B7+Balikpapan!B7+Bontang!B7+Mahulu!B7</f>
        <v>68650</v>
      </c>
      <c r="C7" s="77">
        <f t="shared" si="3"/>
        <v>34.98820101966497</v>
      </c>
      <c r="D7" s="28">
        <f>Paser!D7+'Kutai Barat'!D7+'Kutai Kertanegara'!D7+'Kutai Timur'!D7+Berau!D7+PPU!D7+Samarinda!D7+Balikpapan!D7+Bontang!D7+Mahulu!D7</f>
        <v>240194</v>
      </c>
      <c r="E7" s="31">
        <f t="shared" si="0"/>
        <v>116951</v>
      </c>
      <c r="F7" s="31">
        <f t="shared" si="1"/>
        <v>349705</v>
      </c>
      <c r="G7" s="28">
        <f>Paser!G7+'Kutai Barat'!G7+'Kutai Kertanegara'!G7+'Kutai Timur'!G7+Berau!G7+PPU!G7+Samarinda!G7+Balikpapan!G7+Bontang!G7+Mahulu!G7</f>
        <v>48301</v>
      </c>
      <c r="H7" s="77">
        <f t="shared" si="2"/>
        <v>22.672615473799713</v>
      </c>
      <c r="I7" s="28">
        <f>Paser!I7+'Kutai Barat'!I7+'Kutai Kertanegara'!I7+'Kutai Timur'!I7+Berau!I7+PPU!I7+Samarinda!I7+Balikpapan!I7+Bontang!I7+Mahulu!I7</f>
        <v>109511</v>
      </c>
      <c r="M7" s="28">
        <f>Paser!M7+'Kutai Barat'!M7+'Kutai Kertanegara'!N7+'Kutai Timur'!N7+Berau!N7+PPU!N7+Samarinda!N7+Balikpapan!N7+Bontang!M7+Mahulu!L7</f>
        <v>46800</v>
      </c>
      <c r="N7" s="2">
        <f>Paser!N7+'Kutai Barat'!N7+'Kutai Kertanegara'!O7+'Kutai Timur'!O7+Berau!O7+PPU!O7+Samarinda!O7+Balikpapan!O7+Bontang!N7+Mahulu!M7</f>
        <v>24</v>
      </c>
      <c r="O7" s="2">
        <f>Paser!O7+'Kutai Barat'!O7+'Kutai Kertanegara'!P7+'Kutai Timur'!P7+Berau!P7+PPU!P7+Samarinda!P7+Balikpapan!P7+Bontang!O7+Mahulu!N7</f>
        <v>8676</v>
      </c>
      <c r="P7" s="2">
        <f>Paser!P7+'Kutai Barat'!P7+'Kutai Kertanegara'!Q7+'Kutai Timur'!Q7+Berau!Q7+PPU!Q7+Samarinda!Q7+Balikpapan!Q7+Bontang!P7+Mahulu!O7</f>
        <v>67300</v>
      </c>
      <c r="Q7" s="2">
        <f>Paser!Q7+'Kutai Barat'!Q7+'Kutai Kertanegara'!R7+'Kutai Timur'!R7+Berau!R7+PPU!R7+Samarinda!R7+Balikpapan!R7+Bontang!Q7+Mahulu!P7</f>
        <v>1225</v>
      </c>
      <c r="R7" s="2">
        <f>Paser!R7+'Kutai Barat'!R7+'Kutai Kertanegara'!S7+'Kutai Timur'!S7+Berau!S7+PPU!S7+Samarinda!S7+Balikpapan!S7+Bontang!R7+Mahulu!Q7</f>
        <v>124889</v>
      </c>
      <c r="S7" s="2">
        <f>Paser!S7+'Kutai Barat'!S7+'Kutai Kertanegara'!T7+'Kutai Timur'!T7+Berau!T7+PPU!T7+Samarinda!T7+Balikpapan!T7+Bontang!S7+Mahulu!R7</f>
        <v>82</v>
      </c>
      <c r="T7" s="2">
        <f>Paser!T7+'Kutai Barat'!T7+'Kutai Kertanegara'!U7+'Kutai Timur'!U7+Berau!U7+PPU!U7+Samarinda!U7+Balikpapan!U7+Bontang!T7+Mahulu!S7</f>
        <v>2815100</v>
      </c>
      <c r="U7" s="2">
        <f>Paser!U7+'Kutai Barat'!U7+'Kutai Kertanegara'!V7+'Kutai Timur'!V7+Berau!V7+PPU!V7+Samarinda!V7+Balikpapan!V7+Bontang!U7+Mahulu!T7</f>
        <v>18967600</v>
      </c>
      <c r="V7" s="2">
        <f>Paser!V7+'Kutai Barat'!V7+'Kutai Kertanegara'!W7+'Kutai Timur'!W7+Berau!W7+PPU!W7+Samarinda!W7+Balikpapan!W7+Bontang!V7+Mahulu!U7</f>
        <v>791400</v>
      </c>
      <c r="W7" s="2">
        <f>Paser!W7+'Kutai Barat'!W7+'Kutai Kertanegara'!X7+'Kutai Timur'!X7+Berau!X7+PPU!X7+Samarinda!X7+Balikpapan!X7+Bontang!W7+Mahulu!V7</f>
        <v>359300</v>
      </c>
      <c r="Y7" s="2">
        <f>Paser!Y7+'Kutai Barat'!Y7+'Kutai Kertanegara'!Z7+'Kutai Timur'!Z7+Berau!Z7+PPU!Z7+Samarinda!Z7+Balikpapan!Z7+Bontang!Y7+Mahulu!X7</f>
        <v>0</v>
      </c>
      <c r="Z7" s="2">
        <f>Paser!Z7+'Kutai Barat'!Z7+'Kutai Kertanegara'!AA7+'Kutai Timur'!AA7+Berau!AA7+PPU!AA7+Samarinda!AA7+Balikpapan!AA7+Bontang!Z7+Mahulu!Y7</f>
        <v>0</v>
      </c>
      <c r="AA7" s="2">
        <f>Paser!AA7+'Kutai Barat'!AA7+'Kutai Kertanegara'!AB7+'Kutai Timur'!AB7+Berau!AB7+PPU!AB7+Samarinda!AB7+Balikpapan!AB7+Bontang!AA7+Mahulu!Z7</f>
        <v>0</v>
      </c>
      <c r="AB7" s="2">
        <f>Paser!AB7+'Kutai Barat'!AB7+'Kutai Kertanegara'!AC7+'Kutai Timur'!AC7+Berau!AC7+PPU!AC7+Samarinda!AC7+Balikpapan!AC7+Bontang!AB7+Mahulu!AA7</f>
        <v>0</v>
      </c>
      <c r="AC7" s="2">
        <f>Paser!AC7+'Kutai Barat'!AC7+'Kutai Kertanegara'!AD7+'Kutai Timur'!AD7+Berau!AD7+PPU!AD7+Samarinda!AD7+Balikpapan!AD7+Bontang!AC7+Mahulu!AB7</f>
        <v>0</v>
      </c>
      <c r="AD7" s="2">
        <f>Paser!AD7+'Kutai Barat'!AD7+'Kutai Kertanegara'!AE7+'Kutai Timur'!AE7+Berau!AE7+PPU!AE7+Samarinda!AE7+Balikpapan!AE7+Bontang!AD7+Mahulu!AC7</f>
        <v>0</v>
      </c>
    </row>
    <row r="8" spans="1:31" x14ac:dyDescent="0.25">
      <c r="A8" s="7">
        <v>2003</v>
      </c>
      <c r="B8" s="28">
        <f>Paser!B8+'Kutai Barat'!B8+'Kutai Kertanegara'!B8+'Kutai Timur'!B8+Berau!B8+PPU!B8+Samarinda!B8+Balikpapan!B8+Bontang!B8+Mahulu!B8</f>
        <v>65345</v>
      </c>
      <c r="C8" s="77">
        <f t="shared" si="3"/>
        <v>38.415487030377228</v>
      </c>
      <c r="D8" s="28">
        <f>Paser!D8+'Kutai Barat'!D8+'Kutai Kertanegara'!D8+'Kutai Timur'!D8+Berau!D8+PPU!D8+Samarinda!D8+Balikpapan!D8+Bontang!D8+Mahulu!D8</f>
        <v>251026</v>
      </c>
      <c r="E8" s="31">
        <f t="shared" si="0"/>
        <v>102770</v>
      </c>
      <c r="F8" s="31">
        <f t="shared" si="1"/>
        <v>336249</v>
      </c>
      <c r="G8" s="28">
        <f>Paser!G8+'Kutai Barat'!G8+'Kutai Kertanegara'!G8+'Kutai Timur'!G8+Berau!G8+PPU!G8+Samarinda!G8+Balikpapan!G8+Bontang!G8+Mahulu!G8</f>
        <v>37425</v>
      </c>
      <c r="H8" s="77">
        <f t="shared" si="2"/>
        <v>22.771676686706748</v>
      </c>
      <c r="I8" s="28">
        <f>Paser!I8+'Kutai Barat'!I8+'Kutai Kertanegara'!I8+'Kutai Timur'!I8+Berau!I8+PPU!I8+Samarinda!I8+Balikpapan!I8+Bontang!I8+Mahulu!I8</f>
        <v>85223</v>
      </c>
      <c r="M8" s="28">
        <f>Paser!M8+'Kutai Barat'!M8+'Kutai Kertanegara'!N8+'Kutai Timur'!N8+Berau!N8+PPU!N8+Samarinda!N8+Balikpapan!N8+Bontang!M8+Mahulu!L8</f>
        <v>45076</v>
      </c>
      <c r="N8" s="2">
        <f>Paser!N8+'Kutai Barat'!N8+'Kutai Kertanegara'!O8+'Kutai Timur'!O8+Berau!O8+PPU!O8+Samarinda!O8+Balikpapan!O8+Bontang!N8+Mahulu!M8</f>
        <v>0</v>
      </c>
      <c r="O8" s="2">
        <f>Paser!O8+'Kutai Barat'!O8+'Kutai Kertanegara'!P8+'Kutai Timur'!P8+Berau!P8+PPU!P8+Samarinda!P8+Balikpapan!P8+Bontang!O8+Mahulu!N8</f>
        <v>7006</v>
      </c>
      <c r="P8" s="2">
        <f>Paser!P8+'Kutai Barat'!P8+'Kutai Kertanegara'!Q8+'Kutai Timur'!Q8+Berau!Q8+PPU!Q8+Samarinda!Q8+Balikpapan!Q8+Bontang!P8+Mahulu!O8</f>
        <v>56535</v>
      </c>
      <c r="Q8" s="2">
        <f>Paser!Q8+'Kutai Barat'!Q8+'Kutai Kertanegara'!R8+'Kutai Timur'!R8+Berau!R8+PPU!R8+Samarinda!R8+Balikpapan!R8+Bontang!Q8+Mahulu!P8</f>
        <v>828</v>
      </c>
      <c r="R8" s="2">
        <f>Paser!R8+'Kutai Barat'!R8+'Kutai Kertanegara'!S8+'Kutai Timur'!S8+Berau!S8+PPU!S8+Samarinda!S8+Balikpapan!S8+Bontang!R8+Mahulu!Q8</f>
        <v>41546</v>
      </c>
      <c r="S8" s="2">
        <f>Paser!S8+'Kutai Barat'!S8+'Kutai Kertanegara'!T8+'Kutai Timur'!T8+Berau!T8+PPU!T8+Samarinda!T8+Balikpapan!T8+Bontang!S8+Mahulu!R8</f>
        <v>83</v>
      </c>
      <c r="T8" s="2">
        <f>Paser!T8+'Kutai Barat'!T8+'Kutai Kertanegara'!U8+'Kutai Timur'!U8+Berau!U8+PPU!U8+Samarinda!U8+Balikpapan!U8+Bontang!T8+Mahulu!S8</f>
        <v>2606800</v>
      </c>
      <c r="U8" s="2">
        <f>Paser!U8+'Kutai Barat'!U8+'Kutai Kertanegara'!V8+'Kutai Timur'!V8+Berau!V8+PPU!V8+Samarinda!V8+Balikpapan!V8+Bontang!U8+Mahulu!T8</f>
        <v>19989600</v>
      </c>
      <c r="V8" s="2">
        <f>Paser!V8+'Kutai Barat'!V8+'Kutai Kertanegara'!W8+'Kutai Timur'!W8+Berau!W8+PPU!W8+Samarinda!W8+Balikpapan!W8+Bontang!V8+Mahulu!U8</f>
        <v>462800</v>
      </c>
      <c r="W8" s="2">
        <f>Paser!W8+'Kutai Barat'!W8+'Kutai Kertanegara'!X8+'Kutai Timur'!X8+Berau!X8+PPU!X8+Samarinda!X8+Balikpapan!X8+Bontang!W8+Mahulu!V8</f>
        <v>326200</v>
      </c>
      <c r="Y8" s="2">
        <f>Paser!Y8+'Kutai Barat'!Y8+'Kutai Kertanegara'!Z8+'Kutai Timur'!Z8+Berau!Z8+PPU!Z8+Samarinda!Z8+Balikpapan!Z8+Bontang!Y8+Mahulu!X8</f>
        <v>0</v>
      </c>
      <c r="Z8" s="2">
        <f>Paser!Z8+'Kutai Barat'!Z8+'Kutai Kertanegara'!AA8+'Kutai Timur'!AA8+Berau!AA8+PPU!AA8+Samarinda!AA8+Balikpapan!AA8+Bontang!Z8+Mahulu!Y8</f>
        <v>0</v>
      </c>
      <c r="AA8" s="2">
        <f>Paser!AA8+'Kutai Barat'!AA8+'Kutai Kertanegara'!AB8+'Kutai Timur'!AB8+Berau!AB8+PPU!AB8+Samarinda!AB8+Balikpapan!AB8+Bontang!AA8+Mahulu!Z8</f>
        <v>0</v>
      </c>
      <c r="AB8" s="2">
        <f>Paser!AB8+'Kutai Barat'!AB8+'Kutai Kertanegara'!AC8+'Kutai Timur'!AC8+Berau!AC8+PPU!AC8+Samarinda!AC8+Balikpapan!AC8+Bontang!AB8+Mahulu!AA8</f>
        <v>0</v>
      </c>
      <c r="AC8" s="2">
        <f>Paser!AC8+'Kutai Barat'!AC8+'Kutai Kertanegara'!AD8+'Kutai Timur'!AD8+Berau!AD8+PPU!AD8+Samarinda!AD8+Balikpapan!AD8+Bontang!AC8+Mahulu!AB8</f>
        <v>0</v>
      </c>
      <c r="AD8" s="2">
        <f>Paser!AD8+'Kutai Barat'!AD8+'Kutai Kertanegara'!AE8+'Kutai Timur'!AE8+Berau!AE8+PPU!AE8+Samarinda!AE8+Balikpapan!AE8+Bontang!AD8+Mahulu!AC8</f>
        <v>0</v>
      </c>
    </row>
    <row r="9" spans="1:31" x14ac:dyDescent="0.25">
      <c r="A9" s="7">
        <v>2004</v>
      </c>
      <c r="B9" s="28">
        <f>Paser!B9+'Kutai Barat'!B9+'Kutai Kertanegara'!B9+'Kutai Timur'!B9+Berau!B9+PPU!B9+Samarinda!B9+Balikpapan!B9+Bontang!B9+Mahulu!B9</f>
        <v>72103</v>
      </c>
      <c r="C9" s="77">
        <f t="shared" si="3"/>
        <v>42.039582264260851</v>
      </c>
      <c r="D9" s="28">
        <f>Paser!D9+'Kutai Barat'!D9+'Kutai Kertanegara'!D9+'Kutai Timur'!D9+Berau!D9+PPU!D9+Samarinda!D9+Balikpapan!D9+Bontang!D9+Mahulu!D9</f>
        <v>303118</v>
      </c>
      <c r="E9" s="31">
        <f t="shared" si="0"/>
        <v>115670</v>
      </c>
      <c r="F9" s="31">
        <f t="shared" si="1"/>
        <v>407109</v>
      </c>
      <c r="G9" s="28">
        <f>Paser!G9+'Kutai Barat'!G9+'Kutai Kertanegara'!G9+'Kutai Timur'!G9+Berau!G9+PPU!G9+Samarinda!G9+Balikpapan!G9+Bontang!G9+Mahulu!G9</f>
        <v>43567</v>
      </c>
      <c r="H9" s="77">
        <f t="shared" si="2"/>
        <v>23.869212936396814</v>
      </c>
      <c r="I9" s="28">
        <f>Paser!I9+'Kutai Barat'!I9+'Kutai Kertanegara'!I9+'Kutai Timur'!I9+Berau!I9+PPU!I9+Samarinda!I9+Balikpapan!I9+Bontang!I9+Mahulu!I9</f>
        <v>103991</v>
      </c>
      <c r="M9" s="28">
        <f>Paser!M9+'Kutai Barat'!M9+'Kutai Kertanegara'!N9+'Kutai Timur'!N9+Berau!N9+PPU!N9+Samarinda!N9+Balikpapan!N9+Bontang!M9+Mahulu!L9</f>
        <v>48649</v>
      </c>
      <c r="N9" s="2">
        <f>Paser!N9+'Kutai Barat'!N9+'Kutai Kertanegara'!O9+'Kutai Timur'!O9+Berau!O9+PPU!O9+Samarinda!O9+Balikpapan!O9+Bontang!N9+Mahulu!M9</f>
        <v>0</v>
      </c>
      <c r="O9" s="2">
        <f>Paser!O9+'Kutai Barat'!O9+'Kutai Kertanegara'!P9+'Kutai Timur'!P9+Berau!P9+PPU!P9+Samarinda!P9+Balikpapan!P9+Bontang!O9+Mahulu!N9</f>
        <v>8496</v>
      </c>
      <c r="P9" s="2">
        <f>Paser!P9+'Kutai Barat'!P9+'Kutai Kertanegara'!Q9+'Kutai Timur'!Q9+Berau!Q9+PPU!Q9+Samarinda!Q9+Balikpapan!Q9+Bontang!P9+Mahulu!O9</f>
        <v>65793</v>
      </c>
      <c r="Q9" s="2">
        <f>Paser!Q9+'Kutai Barat'!Q9+'Kutai Kertanegara'!R9+'Kutai Timur'!R9+Berau!R9+PPU!R9+Samarinda!R9+Balikpapan!R9+Bontang!Q9+Mahulu!P9</f>
        <v>835</v>
      </c>
      <c r="R9" s="2">
        <f>Paser!R9+'Kutai Barat'!R9+'Kutai Kertanegara'!S9+'Kutai Timur'!S9+Berau!S9+PPU!S9+Samarinda!S9+Balikpapan!S9+Bontang!R9+Mahulu!Q9</f>
        <v>113276</v>
      </c>
      <c r="S9" s="2">
        <f>Paser!S9+'Kutai Barat'!S9+'Kutai Kertanegara'!T9+'Kutai Timur'!T9+Berau!T9+PPU!T9+Samarinda!T9+Balikpapan!T9+Bontang!S9+Mahulu!R9</f>
        <v>85</v>
      </c>
      <c r="T9" s="2">
        <f>Paser!T9+'Kutai Barat'!T9+'Kutai Kertanegara'!U9+'Kutai Timur'!U9+Berau!U9+PPU!U9+Samarinda!U9+Balikpapan!U9+Bontang!T9+Mahulu!S9</f>
        <v>2917600</v>
      </c>
      <c r="U9" s="2">
        <f>Paser!U9+'Kutai Barat'!U9+'Kutai Kertanegara'!V9+'Kutai Timur'!V9+Berau!V9+PPU!V9+Samarinda!V9+Balikpapan!V9+Bontang!U9+Mahulu!T9</f>
        <v>20075100</v>
      </c>
      <c r="V9" s="2">
        <f>Paser!V9+'Kutai Barat'!V9+'Kutai Kertanegara'!W9+'Kutai Timur'!W9+Berau!W9+PPU!W9+Samarinda!W9+Balikpapan!W9+Bontang!V9+Mahulu!U9</f>
        <v>542300</v>
      </c>
      <c r="W9" s="2">
        <f>Paser!W9+'Kutai Barat'!W9+'Kutai Kertanegara'!X9+'Kutai Timur'!X9+Berau!X9+PPU!X9+Samarinda!X9+Balikpapan!X9+Bontang!W9+Mahulu!V9</f>
        <v>251600</v>
      </c>
      <c r="Y9" s="2">
        <f>Paser!Y9+'Kutai Barat'!Y9+'Kutai Kertanegara'!Z9+'Kutai Timur'!Z9+Berau!Z9+PPU!Z9+Samarinda!Z9+Balikpapan!Z9+Bontang!Y9+Mahulu!X9</f>
        <v>0</v>
      </c>
      <c r="Z9" s="2">
        <f>Paser!Z9+'Kutai Barat'!Z9+'Kutai Kertanegara'!AA9+'Kutai Timur'!AA9+Berau!AA9+PPU!AA9+Samarinda!AA9+Balikpapan!AA9+Bontang!Z9+Mahulu!Y9</f>
        <v>0</v>
      </c>
      <c r="AA9" s="2">
        <f>Paser!AA9+'Kutai Barat'!AA9+'Kutai Kertanegara'!AB9+'Kutai Timur'!AB9+Berau!AB9+PPU!AB9+Samarinda!AB9+Balikpapan!AB9+Bontang!AA9+Mahulu!Z9</f>
        <v>0</v>
      </c>
      <c r="AB9" s="2">
        <f>Paser!AB9+'Kutai Barat'!AB9+'Kutai Kertanegara'!AC9+'Kutai Timur'!AC9+Berau!AC9+PPU!AC9+Samarinda!AC9+Balikpapan!AC9+Bontang!AB9+Mahulu!AA9</f>
        <v>0</v>
      </c>
      <c r="AC9" s="2">
        <f>Paser!AC9+'Kutai Barat'!AC9+'Kutai Kertanegara'!AD9+'Kutai Timur'!AD9+Berau!AD9+PPU!AD9+Samarinda!AD9+Balikpapan!AD9+Bontang!AC9+Mahulu!AB9</f>
        <v>0</v>
      </c>
      <c r="AD9" s="2">
        <f>Paser!AD9+'Kutai Barat'!AD9+'Kutai Kertanegara'!AE9+'Kutai Timur'!AE9+Berau!AE9+PPU!AE9+Samarinda!AE9+Balikpapan!AE9+Bontang!AD9+Mahulu!AC9</f>
        <v>0</v>
      </c>
    </row>
    <row r="10" spans="1:31" x14ac:dyDescent="0.25">
      <c r="A10" s="7">
        <v>2005</v>
      </c>
      <c r="B10" s="28">
        <f>Paser!B10+'Kutai Barat'!B10+'Kutai Kertanegara'!B10+'Kutai Timur'!B10+Berau!B10+PPU!B10+Samarinda!B10+Balikpapan!B10+Bontang!B10+Mahulu!B10</f>
        <v>67601</v>
      </c>
      <c r="C10" s="77">
        <f t="shared" si="3"/>
        <v>45.140825135722849</v>
      </c>
      <c r="D10" s="28">
        <f>Paser!D10+'Kutai Barat'!D10+'Kutai Kertanegara'!D10+'Kutai Timur'!D10+Berau!D10+PPU!D10+Samarinda!D10+Balikpapan!D10+Bontang!D10+Mahulu!D10</f>
        <v>305156.49200000003</v>
      </c>
      <c r="E10" s="31">
        <f t="shared" si="0"/>
        <v>116409</v>
      </c>
      <c r="F10" s="31">
        <f t="shared" si="1"/>
        <v>425045.49200000003</v>
      </c>
      <c r="G10" s="28">
        <f>Paser!G10+'Kutai Barat'!G10+'Kutai Kertanegara'!G10+'Kutai Timur'!G10+Berau!G10+PPU!G10+Samarinda!G10+Balikpapan!G10+Bontang!G10+Mahulu!G10</f>
        <v>48808</v>
      </c>
      <c r="H10" s="77">
        <f t="shared" si="2"/>
        <v>24.563391247336501</v>
      </c>
      <c r="I10" s="28">
        <f>Paser!I10+'Kutai Barat'!I10+'Kutai Kertanegara'!I10+'Kutai Timur'!I10+Berau!I10+PPU!I10+Samarinda!I10+Balikpapan!I10+Bontang!I10+Mahulu!I10</f>
        <v>119889</v>
      </c>
      <c r="M10" s="28">
        <f>Paser!M10+'Kutai Barat'!M10+'Kutai Kertanegara'!N10+'Kutai Timur'!N10+Berau!N10+PPU!N10+Samarinda!N10+Balikpapan!N10+Bontang!M10+Mahulu!L10</f>
        <v>54571</v>
      </c>
      <c r="N10" s="2">
        <f>Paser!N10+'Kutai Barat'!N10+'Kutai Kertanegara'!O10+'Kutai Timur'!O10+Berau!O10+PPU!O10+Samarinda!O10+Balikpapan!O10+Bontang!N10+Mahulu!M10</f>
        <v>0</v>
      </c>
      <c r="O10" s="2">
        <f>Paser!O10+'Kutai Barat'!O10+'Kutai Kertanegara'!P10+'Kutai Timur'!P10+Berau!P10+PPU!P10+Samarinda!P10+Balikpapan!P10+Bontang!O10+Mahulu!N10</f>
        <v>4878</v>
      </c>
      <c r="P10" s="2">
        <f>Paser!P10+'Kutai Barat'!P10+'Kutai Kertanegara'!Q10+'Kutai Timur'!Q10+Berau!Q10+PPU!Q10+Samarinda!Q10+Balikpapan!Q10+Bontang!P10+Mahulu!O10</f>
        <v>51656</v>
      </c>
      <c r="Q10" s="2">
        <f>Paser!Q10+'Kutai Barat'!Q10+'Kutai Kertanegara'!R10+'Kutai Timur'!R10+Berau!R10+PPU!R10+Samarinda!R10+Balikpapan!R10+Bontang!Q10+Mahulu!P10</f>
        <v>948</v>
      </c>
      <c r="R10" s="2">
        <f>Paser!R10+'Kutai Barat'!R10+'Kutai Kertanegara'!S10+'Kutai Timur'!S10+Berau!S10+PPU!S10+Samarinda!S10+Balikpapan!S10+Bontang!R10+Mahulu!Q10</f>
        <v>45149</v>
      </c>
      <c r="S10" s="2">
        <f>Paser!S10+'Kutai Barat'!S10+'Kutai Kertanegara'!T10+'Kutai Timur'!T10+Berau!T10+PPU!T10+Samarinda!T10+Balikpapan!T10+Bontang!S10+Mahulu!R10</f>
        <v>58</v>
      </c>
      <c r="T10" s="2">
        <f>Paser!T10+'Kutai Barat'!T10+'Kutai Kertanegara'!U10+'Kutai Timur'!U10+Berau!U10+PPU!U10+Samarinda!U10+Balikpapan!U10+Bontang!T10+Mahulu!S10</f>
        <v>2166200</v>
      </c>
      <c r="U10" s="2">
        <f>Paser!U10+'Kutai Barat'!U10+'Kutai Kertanegara'!V10+'Kutai Timur'!V10+Berau!V10+PPU!V10+Samarinda!V10+Balikpapan!V10+Bontang!U10+Mahulu!T10</f>
        <v>24193300</v>
      </c>
      <c r="V10" s="2">
        <f>Paser!V10+'Kutai Barat'!V10+'Kutai Kertanegara'!W10+'Kutai Timur'!W10+Berau!W10+PPU!W10+Samarinda!W10+Balikpapan!W10+Bontang!V10+Mahulu!U10</f>
        <v>576200</v>
      </c>
      <c r="W10" s="2">
        <f>Paser!W10+'Kutai Barat'!W10+'Kutai Kertanegara'!X10+'Kutai Timur'!X10+Berau!X10+PPU!X10+Samarinda!X10+Balikpapan!X10+Bontang!W10+Mahulu!V10</f>
        <v>146300</v>
      </c>
      <c r="Y10" s="2">
        <f>Paser!Y10+'Kutai Barat'!Y10+'Kutai Kertanegara'!Z10+'Kutai Timur'!Z10+Berau!Z10+PPU!Z10+Samarinda!Z10+Balikpapan!Z10+Bontang!Y10+Mahulu!X10</f>
        <v>0</v>
      </c>
      <c r="Z10" s="2">
        <f>Paser!Z10+'Kutai Barat'!Z10+'Kutai Kertanegara'!AA10+'Kutai Timur'!AA10+Berau!AA10+PPU!AA10+Samarinda!AA10+Balikpapan!AA10+Bontang!Z10+Mahulu!Y10</f>
        <v>0</v>
      </c>
      <c r="AA10" s="2">
        <f>Paser!AA10+'Kutai Barat'!AA10+'Kutai Kertanegara'!AB10+'Kutai Timur'!AB10+Berau!AB10+PPU!AB10+Samarinda!AB10+Balikpapan!AB10+Bontang!AA10+Mahulu!Z10</f>
        <v>0</v>
      </c>
      <c r="AB10" s="2">
        <f>Paser!AB10+'Kutai Barat'!AB10+'Kutai Kertanegara'!AC10+'Kutai Timur'!AC10+Berau!AC10+PPU!AC10+Samarinda!AC10+Balikpapan!AC10+Bontang!AB10+Mahulu!AA10</f>
        <v>0</v>
      </c>
      <c r="AC10" s="2">
        <f>Paser!AC10+'Kutai Barat'!AC10+'Kutai Kertanegara'!AD10+'Kutai Timur'!AD10+Berau!AD10+PPU!AD10+Samarinda!AD10+Balikpapan!AD10+Bontang!AC10+Mahulu!AB10</f>
        <v>0</v>
      </c>
      <c r="AD10" s="2">
        <f>Paser!AD10+'Kutai Barat'!AD10+'Kutai Kertanegara'!AE10+'Kutai Timur'!AE10+Berau!AE10+PPU!AE10+Samarinda!AE10+Balikpapan!AE10+Bontang!AD10+Mahulu!AC10</f>
        <v>0</v>
      </c>
    </row>
    <row r="11" spans="1:31" x14ac:dyDescent="0.25">
      <c r="A11" s="7">
        <v>2006</v>
      </c>
      <c r="B11" s="28">
        <f>Paser!B11+'Kutai Barat'!B11+'Kutai Kertanegara'!B11+'Kutai Timur'!B11+Berau!B11+PPU!B11+Samarinda!B11+Balikpapan!B11+Bontang!B11+Mahulu!B11</f>
        <v>68877</v>
      </c>
      <c r="C11" s="77">
        <f t="shared" si="3"/>
        <v>45.71032420111213</v>
      </c>
      <c r="D11" s="28">
        <f>Paser!D11+'Kutai Barat'!D11+'Kutai Kertanegara'!D11+'Kutai Timur'!D11+Berau!D11+PPU!D11+Samarinda!D11+Balikpapan!D11+Bontang!D11+Mahulu!D11</f>
        <v>314839</v>
      </c>
      <c r="E11" s="31">
        <f t="shared" si="0"/>
        <v>117805</v>
      </c>
      <c r="F11" s="31">
        <f t="shared" si="1"/>
        <v>440221</v>
      </c>
      <c r="G11" s="28">
        <f>Paser!G11+'Kutai Barat'!G11+'Kutai Kertanegara'!G11+'Kutai Timur'!G11+Berau!G11+PPU!G11+Samarinda!G11+Balikpapan!G11+Bontang!G11+Mahulu!G11</f>
        <v>48928</v>
      </c>
      <c r="H11" s="77">
        <f t="shared" ref="H11:H20" si="4">(I11*10)/G11</f>
        <v>25.625817527795945</v>
      </c>
      <c r="I11" s="28">
        <f>Paser!I11+'Kutai Barat'!I11+'Kutai Kertanegara'!I11+'Kutai Timur'!I11+Berau!I11+PPU!I11+Samarinda!I11+Balikpapan!I11+Bontang!I11+Mahulu!I11</f>
        <v>125382</v>
      </c>
      <c r="M11" s="28">
        <f>Paser!M11+'Kutai Barat'!M11+'Kutai Kertanegara'!N11+'Kutai Timur'!N11+Berau!N11+PPU!N11+Samarinda!N11+Balikpapan!N11+Bontang!M11+Mahulu!L11</f>
        <v>58113</v>
      </c>
      <c r="N11" s="2">
        <f>Paser!N11+'Kutai Barat'!N11+'Kutai Kertanegara'!O11+'Kutai Timur'!O11+Berau!O11+PPU!O11+Samarinda!O11+Balikpapan!O11+Bontang!N11+Mahulu!M11</f>
        <v>0</v>
      </c>
      <c r="O11" s="2">
        <f>Paser!O11+'Kutai Barat'!O11+'Kutai Kertanegara'!P11+'Kutai Timur'!P11+Berau!P11+PPU!P11+Samarinda!P11+Balikpapan!P11+Bontang!O11+Mahulu!N11</f>
        <v>4190</v>
      </c>
      <c r="P11" s="2">
        <f>Paser!P11+'Kutai Barat'!P11+'Kutai Kertanegara'!Q11+'Kutai Timur'!Q11+Berau!Q11+PPU!Q11+Samarinda!Q11+Balikpapan!Q11+Bontang!P11+Mahulu!O11</f>
        <v>46230</v>
      </c>
      <c r="Q11" s="2">
        <f>Paser!Q11+'Kutai Barat'!Q11+'Kutai Kertanegara'!R11+'Kutai Timur'!R11+Berau!R11+PPU!R11+Samarinda!R11+Balikpapan!R11+Bontang!Q11+Mahulu!P11</f>
        <v>983</v>
      </c>
      <c r="R11" s="2">
        <f>Paser!R11+'Kutai Barat'!R11+'Kutai Kertanegara'!S11+'Kutai Timur'!S11+Berau!S11+PPU!S11+Samarinda!S11+Balikpapan!S11+Bontang!R11+Mahulu!Q11</f>
        <v>44984</v>
      </c>
      <c r="S11" s="2">
        <f>Paser!S11+'Kutai Barat'!S11+'Kutai Kertanegara'!T11+'Kutai Timur'!T11+Berau!T11+PPU!T11+Samarinda!T11+Balikpapan!T11+Bontang!S11+Mahulu!R11</f>
        <v>57</v>
      </c>
      <c r="T11" s="2">
        <f>Paser!T11+'Kutai Barat'!T11+'Kutai Kertanegara'!U11+'Kutai Timur'!U11+Berau!U11+PPU!U11+Samarinda!U11+Balikpapan!U11+Bontang!T11+Mahulu!S11</f>
        <v>2218700</v>
      </c>
      <c r="U11" s="2">
        <f>Paser!U11+'Kutai Barat'!U11+'Kutai Kertanegara'!V11+'Kutai Timur'!V11+Berau!V11+PPU!V11+Samarinda!V11+Balikpapan!V11+Bontang!U11+Mahulu!T11</f>
        <v>24509700</v>
      </c>
      <c r="V11" s="2">
        <f>Paser!V11+'Kutai Barat'!V11+'Kutai Kertanegara'!W11+'Kutai Timur'!W11+Berau!W11+PPU!W11+Samarinda!W11+Balikpapan!W11+Bontang!V11+Mahulu!U11</f>
        <v>611200</v>
      </c>
      <c r="W11" s="2">
        <f>Paser!W11+'Kutai Barat'!W11+'Kutai Kertanegara'!X11+'Kutai Timur'!X11+Berau!X11+PPU!X11+Samarinda!X11+Balikpapan!X11+Bontang!W11+Mahulu!V11</f>
        <v>128800</v>
      </c>
      <c r="Y11" s="2">
        <f>Paser!Y11+'Kutai Barat'!Y11+'Kutai Kertanegara'!Z11+'Kutai Timur'!Z11+Berau!Z11+PPU!Z11+Samarinda!Z11+Balikpapan!Z11+Bontang!Y11+Mahulu!X11</f>
        <v>0</v>
      </c>
      <c r="Z11" s="2">
        <f>Paser!Z11+'Kutai Barat'!Z11+'Kutai Kertanegara'!AA11+'Kutai Timur'!AA11+Berau!AA11+PPU!AA11+Samarinda!AA11+Balikpapan!AA11+Bontang!Z11+Mahulu!Y11</f>
        <v>0</v>
      </c>
      <c r="AA11" s="2">
        <f>Paser!AA11+'Kutai Barat'!AA11+'Kutai Kertanegara'!AB11+'Kutai Timur'!AB11+Berau!AB11+PPU!AB11+Samarinda!AB11+Balikpapan!AB11+Bontang!AA11+Mahulu!Z11</f>
        <v>0</v>
      </c>
      <c r="AB11" s="2">
        <f>Paser!AB11+'Kutai Barat'!AB11+'Kutai Kertanegara'!AC11+'Kutai Timur'!AC11+Berau!AC11+PPU!AC11+Samarinda!AC11+Balikpapan!AC11+Bontang!AB11+Mahulu!AA11</f>
        <v>0</v>
      </c>
      <c r="AC11" s="2">
        <f>Paser!AC11+'Kutai Barat'!AC11+'Kutai Kertanegara'!AD11+'Kutai Timur'!AD11+Berau!AD11+PPU!AD11+Samarinda!AD11+Balikpapan!AD11+Bontang!AC11+Mahulu!AB11</f>
        <v>0</v>
      </c>
      <c r="AD11" s="2">
        <f>Paser!AD11+'Kutai Barat'!AD11+'Kutai Kertanegara'!AE11+'Kutai Timur'!AE11+Berau!AE11+PPU!AE11+Samarinda!AE11+Balikpapan!AE11+Bontang!AD11+Mahulu!AC11</f>
        <v>0</v>
      </c>
    </row>
    <row r="12" spans="1:31" x14ac:dyDescent="0.25">
      <c r="A12" s="7">
        <v>2007</v>
      </c>
      <c r="B12" s="28">
        <f>Paser!B12+'Kutai Barat'!B12+'Kutai Kertanegara'!B12+'Kutai Timur'!B12+Berau!B12+PPU!B12+Samarinda!B12+Balikpapan!B12+Bontang!B12+Mahulu!B12</f>
        <v>71919</v>
      </c>
      <c r="C12" s="77">
        <f t="shared" si="3"/>
        <v>46.198779182135461</v>
      </c>
      <c r="D12" s="28">
        <f>Paser!D12+'Kutai Barat'!D12+'Kutai Kertanegara'!D12+'Kutai Timur'!D12+Berau!D12+PPU!D12+Samarinda!D12+Balikpapan!D12+Bontang!D12+Mahulu!D12</f>
        <v>332257</v>
      </c>
      <c r="E12" s="31">
        <f t="shared" si="0"/>
        <v>122350</v>
      </c>
      <c r="F12" s="31">
        <f t="shared" si="1"/>
        <v>462846</v>
      </c>
      <c r="G12" s="28">
        <f>Paser!G12+'Kutai Barat'!G12+'Kutai Kertanegara'!G12+'Kutai Timur'!G12+Berau!G12+PPU!G12+Samarinda!G12+Balikpapan!G12+Bontang!G12+Mahulu!G12</f>
        <v>50431</v>
      </c>
      <c r="H12" s="77">
        <f t="shared" si="4"/>
        <v>25.894588645872577</v>
      </c>
      <c r="I12" s="28">
        <f>Paser!I12+'Kutai Barat'!I12+'Kutai Kertanegara'!I12+'Kutai Timur'!I12+Berau!I12+PPU!I12+Samarinda!I12+Balikpapan!I12+Bontang!I12+Mahulu!I12</f>
        <v>130589</v>
      </c>
      <c r="M12" s="28">
        <f>Paser!M12+'Kutai Barat'!M12+'Kutai Kertanegara'!N12+'Kutai Timur'!N12+Berau!N12+PPU!N12+Samarinda!N12+Balikpapan!N12+Bontang!M12+Mahulu!L12</f>
        <v>64397</v>
      </c>
      <c r="N12" s="2">
        <f>Paser!N12+'Kutai Barat'!N12+'Kutai Kertanegara'!O12+'Kutai Timur'!O12+Berau!O12+PPU!O12+Samarinda!O12+Balikpapan!O12+Bontang!N12+Mahulu!M12</f>
        <v>0</v>
      </c>
      <c r="O12" s="2">
        <f>Paser!O12+'Kutai Barat'!O12+'Kutai Kertanegara'!P12+'Kutai Timur'!P12+Berau!P12+PPU!P12+Samarinda!P12+Balikpapan!P12+Bontang!O12+Mahulu!N12</f>
        <v>4512</v>
      </c>
      <c r="P12" s="2">
        <f>Paser!P12+'Kutai Barat'!P12+'Kutai Kertanegara'!Q12+'Kutai Timur'!Q12+Berau!Q12+PPU!Q12+Samarinda!Q12+Balikpapan!Q12+Bontang!P12+Mahulu!O12</f>
        <v>54508</v>
      </c>
      <c r="Q12" s="2">
        <f>Paser!Q12+'Kutai Barat'!Q12+'Kutai Kertanegara'!R12+'Kutai Timur'!R12+Berau!R12+PPU!R12+Samarinda!R12+Balikpapan!R12+Bontang!Q12+Mahulu!P12</f>
        <v>894</v>
      </c>
      <c r="R12" s="2">
        <f>Paser!R12+'Kutai Barat'!R12+'Kutai Kertanegara'!S12+'Kutai Timur'!S12+Berau!S12+PPU!S12+Samarinda!S12+Balikpapan!S12+Bontang!R12+Mahulu!Q12</f>
        <v>47108</v>
      </c>
      <c r="S12" s="2">
        <f>Paser!S12+'Kutai Barat'!S12+'Kutai Kertanegara'!T12+'Kutai Timur'!T12+Berau!T12+PPU!T12+Samarinda!T12+Balikpapan!T12+Bontang!S12+Mahulu!R12</f>
        <v>42</v>
      </c>
      <c r="T12" s="2">
        <f>Paser!T12+'Kutai Barat'!T12+'Kutai Kertanegara'!U12+'Kutai Timur'!U12+Berau!U12+PPU!U12+Samarinda!U12+Balikpapan!U12+Bontang!T12+Mahulu!S12</f>
        <v>2551800</v>
      </c>
      <c r="U12" s="2">
        <f>Paser!U12+'Kutai Barat'!U12+'Kutai Kertanegara'!V12+'Kutai Timur'!V12+Berau!V12+PPU!V12+Samarinda!V12+Balikpapan!V12+Bontang!U12+Mahulu!T12</f>
        <v>22177600</v>
      </c>
      <c r="V12" s="2">
        <f>Paser!V12+'Kutai Barat'!V12+'Kutai Kertanegara'!W12+'Kutai Timur'!W12+Berau!W12+PPU!W12+Samarinda!W12+Balikpapan!W12+Bontang!V12+Mahulu!U12</f>
        <v>860000</v>
      </c>
      <c r="W12" s="2">
        <f>Paser!W12+'Kutai Barat'!W12+'Kutai Kertanegara'!X12+'Kutai Timur'!X12+Berau!X12+PPU!X12+Samarinda!X12+Balikpapan!X12+Bontang!W12+Mahulu!V12</f>
        <v>125400</v>
      </c>
      <c r="Y12" s="2">
        <f>Paser!Y12+'Kutai Barat'!Y12+'Kutai Kertanegara'!Z12+'Kutai Timur'!Z12+Berau!Z12+PPU!Z12+Samarinda!Z12+Balikpapan!Z12+Bontang!Y12+Mahulu!X12</f>
        <v>0</v>
      </c>
      <c r="Z12" s="2">
        <f>Paser!Z12+'Kutai Barat'!Z12+'Kutai Kertanegara'!AA12+'Kutai Timur'!AA12+Berau!AA12+PPU!AA12+Samarinda!AA12+Balikpapan!AA12+Bontang!Z12+Mahulu!Y12</f>
        <v>0</v>
      </c>
      <c r="AA12" s="2">
        <f>Paser!AA12+'Kutai Barat'!AA12+'Kutai Kertanegara'!AB12+'Kutai Timur'!AB12+Berau!AB12+PPU!AB12+Samarinda!AB12+Balikpapan!AB12+Bontang!AA12+Mahulu!Z12</f>
        <v>0</v>
      </c>
      <c r="AB12" s="2">
        <f>Paser!AB12+'Kutai Barat'!AB12+'Kutai Kertanegara'!AC12+'Kutai Timur'!AC12+Berau!AC12+PPU!AC12+Samarinda!AC12+Balikpapan!AC12+Bontang!AB12+Mahulu!AA12</f>
        <v>0</v>
      </c>
      <c r="AC12" s="2">
        <f>Paser!AC12+'Kutai Barat'!AC12+'Kutai Kertanegara'!AD12+'Kutai Timur'!AD12+Berau!AD12+PPU!AD12+Samarinda!AD12+Balikpapan!AD12+Bontang!AC12+Mahulu!AB12</f>
        <v>0</v>
      </c>
      <c r="AD12" s="2">
        <f>Paser!AD12+'Kutai Barat'!AD12+'Kutai Kertanegara'!AE12+'Kutai Timur'!AE12+Berau!AE12+PPU!AE12+Samarinda!AE12+Balikpapan!AE12+Bontang!AD12+Mahulu!AC12</f>
        <v>0</v>
      </c>
    </row>
    <row r="13" spans="1:31" x14ac:dyDescent="0.25">
      <c r="A13" s="7">
        <v>2008</v>
      </c>
      <c r="B13" s="28">
        <f>Paser!B13+'Kutai Barat'!B13+'Kutai Kertanegara'!B13+'Kutai Timur'!B13+Berau!B13+PPU!B13+Samarinda!B13+Balikpapan!B13+Bontang!B13+Mahulu!B13</f>
        <v>80918</v>
      </c>
      <c r="C13" s="77">
        <f t="shared" si="3"/>
        <v>45.8984740107269</v>
      </c>
      <c r="D13" s="28">
        <f>Paser!D13+'Kutai Barat'!D13+'Kutai Kertanegara'!D13+'Kutai Timur'!D13+Berau!D13+PPU!D13+Samarinda!D13+Balikpapan!D13+Bontang!D13+Mahulu!D13</f>
        <v>371401.27199999994</v>
      </c>
      <c r="E13" s="31">
        <f>B13+G13</f>
        <v>123164</v>
      </c>
      <c r="F13" s="31">
        <f>D13+I13</f>
        <v>479156.27199999994</v>
      </c>
      <c r="G13" s="28">
        <f>Paser!G13+'Kutai Barat'!G13+'Kutai Kertanegara'!G13+'Kutai Timur'!G13+Berau!G13+PPU!G13+Samarinda!G13+Balikpapan!G13+Bontang!G13+Mahulu!G13</f>
        <v>42246</v>
      </c>
      <c r="H13" s="77">
        <f t="shared" si="4"/>
        <v>25.50655683378308</v>
      </c>
      <c r="I13" s="28">
        <f>Paser!I13+'Kutai Barat'!I13+'Kutai Kertanegara'!I13+'Kutai Timur'!I13+Berau!I13+PPU!I13+Samarinda!I13+Balikpapan!I13+Bontang!I13+Mahulu!I13</f>
        <v>107755</v>
      </c>
      <c r="M13" s="28">
        <f>Paser!M13+'Kutai Barat'!M13+'Kutai Kertanegara'!N13+'Kutai Timur'!N13+Berau!N13+PPU!N13+Samarinda!N13+Balikpapan!N13+Bontang!M13+Mahulu!L13</f>
        <v>70927</v>
      </c>
      <c r="N13" s="2">
        <f>Paser!N13+'Kutai Barat'!N13+'Kutai Kertanegara'!O13+'Kutai Timur'!O13+Berau!O13+PPU!O13+Samarinda!O13+Balikpapan!O13+Bontang!N13+Mahulu!M13</f>
        <v>0</v>
      </c>
      <c r="O13" s="2">
        <f>Paser!O13+'Kutai Barat'!O13+'Kutai Kertanegara'!P13+'Kutai Timur'!P13+Berau!P13+PPU!P13+Samarinda!P13+Balikpapan!P13+Bontang!O13+Mahulu!N13</f>
        <v>4870</v>
      </c>
      <c r="P13" s="2">
        <f>Paser!P13+'Kutai Barat'!P13+'Kutai Kertanegara'!Q13+'Kutai Timur'!Q13+Berau!Q13+PPU!Q13+Samarinda!Q13+Balikpapan!Q13+Bontang!P13+Mahulu!O13</f>
        <v>47382</v>
      </c>
      <c r="Q13" s="2">
        <f>Paser!Q13+'Kutai Barat'!Q13+'Kutai Kertanegara'!R13+'Kutai Timur'!R13+Berau!R13+PPU!R13+Samarinda!R13+Balikpapan!R13+Bontang!Q13+Mahulu!P13</f>
        <v>909</v>
      </c>
      <c r="R13" s="2">
        <f>Paser!R13+'Kutai Barat'!R13+'Kutai Kertanegara'!S13+'Kutai Timur'!S13+Berau!S13+PPU!S13+Samarinda!S13+Balikpapan!S13+Bontang!R13+Mahulu!Q13</f>
        <v>52316</v>
      </c>
      <c r="S13" s="2">
        <f>Paser!S13+'Kutai Barat'!S13+'Kutai Kertanegara'!T13+'Kutai Timur'!T13+Berau!T13+PPU!T13+Samarinda!T13+Balikpapan!T13+Bontang!S13+Mahulu!R13</f>
        <v>62</v>
      </c>
      <c r="T13" s="2">
        <f>Paser!T13+'Kutai Barat'!T13+'Kutai Kertanegara'!U13+'Kutai Timur'!U13+Berau!U13+PPU!U13+Samarinda!U13+Balikpapan!U13+Bontang!T13+Mahulu!S13</f>
        <v>2678195</v>
      </c>
      <c r="U13" s="2">
        <f>Paser!U13+'Kutai Barat'!U13+'Kutai Kertanegara'!V13+'Kutai Timur'!V13+Berau!V13+PPU!V13+Samarinda!V13+Balikpapan!V13+Bontang!U13+Mahulu!T13</f>
        <v>24791710</v>
      </c>
      <c r="V13" s="2">
        <f>Paser!V13+'Kutai Barat'!V13+'Kutai Kertanegara'!W13+'Kutai Timur'!W13+Berau!W13+PPU!W13+Samarinda!W13+Balikpapan!W13+Bontang!V13+Mahulu!U13</f>
        <v>668161</v>
      </c>
      <c r="W13" s="2">
        <f>Paser!W13+'Kutai Barat'!W13+'Kutai Kertanegara'!X13+'Kutai Timur'!X13+Berau!X13+PPU!X13+Samarinda!X13+Balikpapan!X13+Bontang!W13+Mahulu!V13</f>
        <v>86180</v>
      </c>
      <c r="Y13" s="2">
        <f>Paser!Y13+'Kutai Barat'!Y13+'Kutai Kertanegara'!Z13+'Kutai Timur'!Z13+Berau!Z13+PPU!Z13+Samarinda!Z13+Balikpapan!Z13+Bontang!Y13+Mahulu!X13</f>
        <v>0</v>
      </c>
      <c r="Z13" s="2">
        <f>Paser!Z13+'Kutai Barat'!Z13+'Kutai Kertanegara'!AA13+'Kutai Timur'!AA13+Berau!AA13+PPU!AA13+Samarinda!AA13+Balikpapan!AA13+Bontang!Z13+Mahulu!Y13</f>
        <v>0</v>
      </c>
      <c r="AA13" s="2">
        <f>Paser!AA13+'Kutai Barat'!AA13+'Kutai Kertanegara'!AB13+'Kutai Timur'!AB13+Berau!AB13+PPU!AB13+Samarinda!AB13+Balikpapan!AB13+Bontang!AA13+Mahulu!Z13</f>
        <v>0</v>
      </c>
      <c r="AB13" s="2">
        <f>Paser!AB13+'Kutai Barat'!AB13+'Kutai Kertanegara'!AC13+'Kutai Timur'!AC13+Berau!AC13+PPU!AC13+Samarinda!AC13+Balikpapan!AC13+Bontang!AB13+Mahulu!AA13</f>
        <v>0</v>
      </c>
      <c r="AC13" s="2">
        <f>Paser!AC13+'Kutai Barat'!AC13+'Kutai Kertanegara'!AD13+'Kutai Timur'!AD13+Berau!AD13+PPU!AD13+Samarinda!AD13+Balikpapan!AD13+Bontang!AC13+Mahulu!AB13</f>
        <v>0</v>
      </c>
      <c r="AD13" s="2">
        <f>Paser!AD13+'Kutai Barat'!AD13+'Kutai Kertanegara'!AE13+'Kutai Timur'!AE13+Berau!AE13+PPU!AE13+Samarinda!AE13+Balikpapan!AE13+Bontang!AD13+Mahulu!AC13</f>
        <v>0</v>
      </c>
    </row>
    <row r="14" spans="1:31" x14ac:dyDescent="0.25">
      <c r="A14" s="7">
        <v>2009</v>
      </c>
      <c r="B14" s="28">
        <f>Paser!B14+'Kutai Barat'!B14+'Kutai Kertanegara'!B14+'Kutai Timur'!B14+Berau!B14+PPU!B14+Samarinda!B14+Balikpapan!B14+Bontang!B14+Mahulu!B14</f>
        <v>70913</v>
      </c>
      <c r="C14" s="77">
        <f t="shared" si="3"/>
        <v>47.091365476005812</v>
      </c>
      <c r="D14" s="28">
        <f>Paser!D14+'Kutai Barat'!D14+'Kutai Kertanegara'!D14+'Kutai Timur'!D14+Berau!D14+PPU!D14+Samarinda!D14+Balikpapan!D14+Bontang!D14+Mahulu!D14</f>
        <v>333939</v>
      </c>
      <c r="E14" s="31">
        <f t="shared" ref="E14:E19" si="5">B14+G14</f>
        <v>106407</v>
      </c>
      <c r="F14" s="31">
        <f t="shared" ref="F14:F20" si="6">D14+I14</f>
        <v>428062</v>
      </c>
      <c r="G14" s="28">
        <f>Paser!G14+'Kutai Barat'!G14+'Kutai Kertanegara'!G14+'Kutai Timur'!G14+Berau!G14+PPU!G14+Samarinda!G14+Balikpapan!G14+Bontang!G14+Mahulu!G14</f>
        <v>35494</v>
      </c>
      <c r="H14" s="77">
        <f t="shared" si="4"/>
        <v>26.518003042767791</v>
      </c>
      <c r="I14" s="28">
        <f>Paser!I14+'Kutai Barat'!I14+'Kutai Kertanegara'!I14+'Kutai Timur'!I14+Berau!I14+PPU!I14+Samarinda!I14+Balikpapan!I14+Bontang!I14+Mahulu!I14</f>
        <v>94123</v>
      </c>
      <c r="M14" s="28">
        <f>Paser!M14+'Kutai Barat'!M14+'Kutai Kertanegara'!N14+'Kutai Timur'!N14+Berau!N14+PPU!N14+Samarinda!N14+Balikpapan!N14+Bontang!M14+Mahulu!L14</f>
        <v>77272</v>
      </c>
      <c r="N14" s="2">
        <f>Paser!N14+'Kutai Barat'!N14+'Kutai Kertanegara'!O14+'Kutai Timur'!O14+Berau!O14+PPU!O14+Samarinda!O14+Balikpapan!O14+Bontang!N14+Mahulu!M14</f>
        <v>0</v>
      </c>
      <c r="O14" s="2">
        <f>Paser!O14+'Kutai Barat'!O14+'Kutai Kertanegara'!P14+'Kutai Timur'!P14+Berau!P14+PPU!P14+Samarinda!P14+Balikpapan!P14+Bontang!O14+Mahulu!N14</f>
        <v>5936</v>
      </c>
      <c r="P14" s="2">
        <f>Paser!P14+'Kutai Barat'!P14+'Kutai Kertanegara'!Q14+'Kutai Timur'!Q14+Berau!Q14+PPU!Q14+Samarinda!Q14+Balikpapan!Q14+Bontang!P14+Mahulu!O14</f>
        <v>53541</v>
      </c>
      <c r="Q14" s="2">
        <f>Paser!Q14+'Kutai Barat'!Q14+'Kutai Kertanegara'!R14+'Kutai Timur'!R14+Berau!R14+PPU!R14+Samarinda!R14+Balikpapan!R14+Bontang!Q14+Mahulu!P14</f>
        <v>930</v>
      </c>
      <c r="R14" s="2">
        <f>Paser!R14+'Kutai Barat'!R14+'Kutai Kertanegara'!S14+'Kutai Timur'!S14+Berau!S14+PPU!S14+Samarinda!S14+Balikpapan!S14+Bontang!R14+Mahulu!Q14</f>
        <v>52532</v>
      </c>
      <c r="S14" s="2">
        <f>Paser!S14+'Kutai Barat'!S14+'Kutai Kertanegara'!T14+'Kutai Timur'!T14+Berau!T14+PPU!T14+Samarinda!T14+Balikpapan!T14+Bontang!S14+Mahulu!R14</f>
        <v>78</v>
      </c>
      <c r="T14" s="2">
        <f>Paser!T14+'Kutai Barat'!T14+'Kutai Kertanegara'!U14+'Kutai Timur'!U14+Berau!U14+PPU!U14+Samarinda!U14+Balikpapan!U14+Bontang!T14+Mahulu!S14</f>
        <v>3602915</v>
      </c>
      <c r="U14" s="2">
        <f>Paser!U14+'Kutai Barat'!U14+'Kutai Kertanegara'!V14+'Kutai Timur'!V14+Berau!V14+PPU!V14+Samarinda!V14+Balikpapan!V14+Bontang!U14+Mahulu!T14</f>
        <v>35175429</v>
      </c>
      <c r="V14" s="2">
        <f>Paser!V14+'Kutai Barat'!V14+'Kutai Kertanegara'!W14+'Kutai Timur'!W14+Berau!W14+PPU!W14+Samarinda!W14+Balikpapan!W14+Bontang!V14+Mahulu!U14</f>
        <v>1287367</v>
      </c>
      <c r="W14" s="2">
        <f>Paser!W14+'Kutai Barat'!W14+'Kutai Kertanegara'!X14+'Kutai Timur'!X14+Berau!X14+PPU!X14+Samarinda!X14+Balikpapan!X14+Bontang!W14+Mahulu!V14</f>
        <v>142103</v>
      </c>
      <c r="Y14" s="28">
        <f>Paser!Y14+'Kutai Barat'!Y14+'Kutai Kertanegara'!Z14+'Kutai Timur'!Z14+Berau!Z14+PPU!Z14+Samarinda!Z14+Balikpapan!Z14+Bontang!Y14+Mahulu!X14</f>
        <v>3297</v>
      </c>
      <c r="Z14" s="28">
        <f>Paser!Z14+'Kutai Barat'!Z14+'Kutai Kertanegara'!AA14+'Kutai Timur'!AA14+Berau!AA14+PPU!AA14+Samarinda!AA14+Balikpapan!AA14+Bontang!Z14+Mahulu!Y14</f>
        <v>4731</v>
      </c>
      <c r="AA14" s="28">
        <f>Paser!AA14+'Kutai Barat'!AA14+'Kutai Kertanegara'!AB14+'Kutai Timur'!AB14+Berau!AB14+PPU!AB14+Samarinda!AB14+Balikpapan!AB14+Bontang!AA14+Mahulu!Z14</f>
        <v>1889</v>
      </c>
      <c r="AB14" s="28">
        <f>Paser!AB14+'Kutai Barat'!AB14+'Kutai Kertanegara'!AC14+'Kutai Timur'!AC14+Berau!AC14+PPU!AC14+Samarinda!AC14+Balikpapan!AC14+Bontang!AB14+Mahulu!AA14</f>
        <v>1709</v>
      </c>
      <c r="AC14" s="28">
        <f>Paser!AC14+'Kutai Barat'!AC14+'Kutai Kertanegara'!AD14+'Kutai Timur'!AD14+Berau!AD14+PPU!AD14+Samarinda!AD14+Balikpapan!AD14+Bontang!AC14+Mahulu!AB14</f>
        <v>1456</v>
      </c>
      <c r="AD14" s="28">
        <f>Paser!AD14+'Kutai Barat'!AD14+'Kutai Kertanegara'!AE14+'Kutai Timur'!AE14+Berau!AE14+PPU!AE14+Samarinda!AE14+Balikpapan!AE14+Bontang!AD14+Mahulu!AC14</f>
        <v>769</v>
      </c>
      <c r="AE14" s="30">
        <f>SUM(Y14:AD14)</f>
        <v>13851</v>
      </c>
    </row>
    <row r="15" spans="1:31" x14ac:dyDescent="0.25">
      <c r="A15" s="7">
        <v>2010</v>
      </c>
      <c r="B15" s="28">
        <f>Paser!B15+'Kutai Barat'!B15+'Kutai Kertanegara'!B15+'Kutai Timur'!B15+Berau!B15+PPU!B15+Samarinda!B15+Balikpapan!B15+Bontang!B15+Mahulu!B15</f>
        <v>75520</v>
      </c>
      <c r="C15" s="77">
        <f t="shared" si="3"/>
        <v>48.251588983050844</v>
      </c>
      <c r="D15" s="28">
        <f>Paser!D15+'Kutai Barat'!D15+'Kutai Kertanegara'!D15+'Kutai Timur'!D15+Berau!D15+PPU!D15+Samarinda!D15+Balikpapan!D15+Bontang!D15+Mahulu!D15</f>
        <v>364396</v>
      </c>
      <c r="E15" s="31">
        <f t="shared" si="5"/>
        <v>110288</v>
      </c>
      <c r="F15" s="31">
        <f t="shared" si="6"/>
        <v>459476</v>
      </c>
      <c r="G15" s="28">
        <f>Paser!G15+'Kutai Barat'!G15+'Kutai Kertanegara'!G15+'Kutai Timur'!G15+Berau!G15+PPU!G15+Samarinda!G15+Balikpapan!G15+Bontang!G15+Mahulu!G15</f>
        <v>34768</v>
      </c>
      <c r="H15" s="77">
        <f t="shared" si="4"/>
        <v>27.346985734008282</v>
      </c>
      <c r="I15" s="28">
        <f>Paser!I15+'Kutai Barat'!I15+'Kutai Kertanegara'!I15+'Kutai Timur'!I15+Berau!I15+PPU!I15+Samarinda!I15+Balikpapan!I15+Bontang!I15+Mahulu!I15</f>
        <v>95080</v>
      </c>
      <c r="M15" s="28">
        <f>Paser!M15+'Kutai Barat'!M15+'Kutai Kertanegara'!N15+'Kutai Timur'!N15+Berau!N15+PPU!N15+Samarinda!N15+Balikpapan!N15+Bontang!M15+Mahulu!L15</f>
        <v>83729</v>
      </c>
      <c r="N15" s="2">
        <f>Paser!N15+'Kutai Barat'!N15+'Kutai Kertanegara'!O15+'Kutai Timur'!O15+Berau!O15+PPU!O15+Samarinda!O15+Balikpapan!O15+Bontang!N15+Mahulu!M15</f>
        <v>21</v>
      </c>
      <c r="O15" s="2">
        <f>Paser!O15+'Kutai Barat'!O15+'Kutai Kertanegara'!P15+'Kutai Timur'!P15+Berau!P15+PPU!P15+Samarinda!P15+Balikpapan!P15+Bontang!O15+Mahulu!N15</f>
        <v>6318</v>
      </c>
      <c r="P15" s="2">
        <f>Paser!P15+'Kutai Barat'!P15+'Kutai Kertanegara'!Q15+'Kutai Timur'!Q15+Berau!Q15+PPU!Q15+Samarinda!Q15+Balikpapan!Q15+Bontang!P15+Mahulu!O15</f>
        <v>54392</v>
      </c>
      <c r="Q15" s="2">
        <f>Paser!Q15+'Kutai Barat'!Q15+'Kutai Kertanegara'!R15+'Kutai Timur'!R15+Berau!R15+PPU!R15+Samarinda!R15+Balikpapan!R15+Bontang!Q15+Mahulu!P15</f>
        <v>929</v>
      </c>
      <c r="R15" s="2">
        <f>Paser!R15+'Kutai Barat'!R15+'Kutai Kertanegara'!S15+'Kutai Timur'!S15+Berau!S15+PPU!S15+Samarinda!S15+Balikpapan!S15+Bontang!R15+Mahulu!Q15</f>
        <v>55940</v>
      </c>
      <c r="S15" s="2">
        <f>Paser!S15+'Kutai Barat'!S15+'Kutai Kertanegara'!T15+'Kutai Timur'!T15+Berau!T15+PPU!T15+Samarinda!T15+Balikpapan!T15+Bontang!S15+Mahulu!R15</f>
        <v>80</v>
      </c>
      <c r="T15" s="2">
        <f>Paser!T15+'Kutai Barat'!T15+'Kutai Kertanegara'!U15+'Kutai Timur'!U15+Berau!U15+PPU!U15+Samarinda!U15+Balikpapan!U15+Bontang!T15+Mahulu!S15</f>
        <v>4680112</v>
      </c>
      <c r="U15" s="2">
        <f>Paser!U15+'Kutai Barat'!U15+'Kutai Kertanegara'!V15+'Kutai Timur'!V15+Berau!V15+PPU!V15+Samarinda!V15+Balikpapan!V15+Bontang!U15+Mahulu!T15</f>
        <v>33779264</v>
      </c>
      <c r="V15" s="2">
        <f>Paser!V15+'Kutai Barat'!V15+'Kutai Kertanegara'!W15+'Kutai Timur'!W15+Berau!W15+PPU!W15+Samarinda!W15+Balikpapan!W15+Bontang!V15+Mahulu!U15</f>
        <v>1170149</v>
      </c>
      <c r="W15" s="2">
        <f>Paser!W15+'Kutai Barat'!W15+'Kutai Kertanegara'!X15+'Kutai Timur'!X15+Berau!X15+PPU!X15+Samarinda!X15+Balikpapan!X15+Bontang!W15+Mahulu!V15</f>
        <v>173932</v>
      </c>
      <c r="Y15" s="28">
        <f>Paser!Y15+'Kutai Barat'!Y15+'Kutai Kertanegara'!Z15+'Kutai Timur'!Z15+Berau!Z15+PPU!Z15+Samarinda!Z15+Balikpapan!Z15+Bontang!Y15+Mahulu!X15</f>
        <v>3758</v>
      </c>
      <c r="Z15" s="28">
        <f>Paser!Z15+'Kutai Barat'!Z15+'Kutai Kertanegara'!AA15+'Kutai Timur'!AA15+Berau!AA15+PPU!AA15+Samarinda!AA15+Balikpapan!AA15+Bontang!Z15+Mahulu!Y15</f>
        <v>4063</v>
      </c>
      <c r="AA15" s="28">
        <f>Paser!AA15+'Kutai Barat'!AA15+'Kutai Kertanegara'!AB15+'Kutai Timur'!AB15+Berau!AB15+PPU!AB15+Samarinda!AB15+Balikpapan!AB15+Bontang!AA15+Mahulu!Z15</f>
        <v>1694</v>
      </c>
      <c r="AB15" s="28">
        <f>Paser!AB15+'Kutai Barat'!AB15+'Kutai Kertanegara'!AC15+'Kutai Timur'!AC15+Berau!AC15+PPU!AC15+Samarinda!AC15+Balikpapan!AC15+Bontang!AB15+Mahulu!AA15</f>
        <v>1552</v>
      </c>
      <c r="AC15" s="28">
        <f>Paser!AC15+'Kutai Barat'!AC15+'Kutai Kertanegara'!AD15+'Kutai Timur'!AD15+Berau!AD15+PPU!AD15+Samarinda!AD15+Balikpapan!AD15+Bontang!AC15+Mahulu!AB15</f>
        <v>1420</v>
      </c>
      <c r="AD15" s="28">
        <f>Paser!AD15+'Kutai Barat'!AD15+'Kutai Kertanegara'!AE15+'Kutai Timur'!AE15+Berau!AE15+PPU!AE15+Samarinda!AE15+Balikpapan!AE15+Bontang!AD15+Mahulu!AC15</f>
        <v>654</v>
      </c>
      <c r="AE15" s="30">
        <f t="shared" ref="AE15:AE35" si="7">SUM(Y15:AD15)</f>
        <v>13141</v>
      </c>
    </row>
    <row r="16" spans="1:31" x14ac:dyDescent="0.25">
      <c r="A16" s="7">
        <v>2011</v>
      </c>
      <c r="B16" s="28">
        <f>Paser!B16+'Kutai Barat'!B16+'Kutai Kertanegara'!B16+'Kutai Timur'!B16+Berau!B16+PPU!B16+Samarinda!B16+Balikpapan!B16+Bontang!B16+Mahulu!B16</f>
        <v>71953</v>
      </c>
      <c r="C16" s="77">
        <f t="shared" si="3"/>
        <v>48.160604839270079</v>
      </c>
      <c r="D16" s="28">
        <f>Paser!D16+'Kutai Barat'!D16+'Kutai Kertanegara'!D16+'Kutai Timur'!D16+Berau!D16+PPU!D16+Samarinda!D16+Balikpapan!D16+Bontang!D16+Mahulu!D16</f>
        <v>346530</v>
      </c>
      <c r="E16" s="31">
        <f t="shared" si="5"/>
        <v>100826</v>
      </c>
      <c r="F16" s="31">
        <f t="shared" si="6"/>
        <v>425504</v>
      </c>
      <c r="G16" s="28">
        <f>Paser!G16+'Kutai Barat'!G16+'Kutai Kertanegara'!G16+'Kutai Timur'!G16+Berau!G16+PPU!G16+Samarinda!G16+Balikpapan!G16+Bontang!G16+Mahulu!G16</f>
        <v>28873</v>
      </c>
      <c r="H16" s="77">
        <f t="shared" si="4"/>
        <v>27.352197554808992</v>
      </c>
      <c r="I16" s="28">
        <f>Paser!I16+'Kutai Barat'!I16+'Kutai Kertanegara'!I16+'Kutai Timur'!I16+Berau!I16+PPU!I16+Samarinda!I16+Balikpapan!I16+Bontang!I16+Mahulu!I16</f>
        <v>78974</v>
      </c>
      <c r="M16" s="28">
        <f>Paser!M16+'Kutai Barat'!M16+'Kutai Kertanegara'!N16+'Kutai Timur'!N16+Berau!N16+PPU!N16+Samarinda!N16+Balikpapan!N16+Bontang!M16+Mahulu!L16</f>
        <v>83611</v>
      </c>
      <c r="N16" s="2">
        <f>Paser!N16+'Kutai Barat'!N16+'Kutai Kertanegara'!O16+'Kutai Timur'!O16+Berau!O16+PPU!O16+Samarinda!O16+Balikpapan!O16+Bontang!N16+Mahulu!M16</f>
        <v>43</v>
      </c>
      <c r="O16" s="2">
        <f>Paser!O16+'Kutai Barat'!O16+'Kutai Kertanegara'!P16+'Kutai Timur'!P16+Berau!P16+PPU!P16+Samarinda!P16+Balikpapan!P16+Bontang!O16+Mahulu!N16</f>
        <v>6636</v>
      </c>
      <c r="P16" s="2">
        <f>Paser!P16+'Kutai Barat'!P16+'Kutai Kertanegara'!Q16+'Kutai Timur'!Q16+Berau!Q16+PPU!Q16+Samarinda!Q16+Balikpapan!Q16+Bontang!P16+Mahulu!O16</f>
        <v>51339</v>
      </c>
      <c r="Q16" s="2">
        <f>Paser!Q16+'Kutai Barat'!Q16+'Kutai Kertanegara'!R16+'Kutai Timur'!R16+Berau!R16+PPU!R16+Samarinda!R16+Balikpapan!R16+Bontang!Q16+Mahulu!P16</f>
        <v>379</v>
      </c>
      <c r="R16" s="2">
        <f>Paser!R16+'Kutai Barat'!R16+'Kutai Kertanegara'!S16+'Kutai Timur'!S16+Berau!S16+PPU!S16+Samarinda!S16+Balikpapan!S16+Bontang!R16+Mahulu!Q16</f>
        <v>56838</v>
      </c>
      <c r="S16" s="2">
        <f>Paser!S16+'Kutai Barat'!S16+'Kutai Kertanegara'!T16+'Kutai Timur'!T16+Berau!T16+PPU!T16+Samarinda!T16+Balikpapan!T16+Bontang!S16+Mahulu!R16</f>
        <v>79</v>
      </c>
      <c r="T16" s="2">
        <f>Paser!T16+'Kutai Barat'!T16+'Kutai Kertanegara'!U16+'Kutai Timur'!U16+Berau!U16+PPU!U16+Samarinda!U16+Balikpapan!U16+Bontang!T16+Mahulu!S16</f>
        <v>4705019</v>
      </c>
      <c r="U16" s="2">
        <f>Paser!U16+'Kutai Barat'!U16+'Kutai Kertanegara'!V16+'Kutai Timur'!V16+Berau!V16+PPU!V16+Samarinda!V16+Balikpapan!V16+Bontang!U16+Mahulu!T16</f>
        <v>35298502</v>
      </c>
      <c r="V16" s="2">
        <f>Paser!V16+'Kutai Barat'!V16+'Kutai Kertanegara'!W16+'Kutai Timur'!W16+Berau!W16+PPU!W16+Samarinda!W16+Balikpapan!W16+Bontang!V16+Mahulu!U16</f>
        <v>1296078</v>
      </c>
      <c r="W16" s="2">
        <f>Paser!W16+'Kutai Barat'!W16+'Kutai Kertanegara'!X16+'Kutai Timur'!X16+Berau!X16+PPU!X16+Samarinda!X16+Balikpapan!X16+Bontang!W16+Mahulu!V16</f>
        <v>157888</v>
      </c>
      <c r="Y16" s="28">
        <f>Paser!Y16+'Kutai Barat'!Y16+'Kutai Kertanegara'!Z16+'Kutai Timur'!Z16+Berau!Z16+PPU!Z16+Samarinda!Z16+Balikpapan!Z16+Bontang!Y16+Mahulu!X16</f>
        <v>2411</v>
      </c>
      <c r="Z16" s="28">
        <f>Paser!Z16+'Kutai Barat'!Z16+'Kutai Kertanegara'!AA16+'Kutai Timur'!AA16+Berau!AA16+PPU!AA16+Samarinda!AA16+Balikpapan!AA16+Bontang!Z16+Mahulu!Y16</f>
        <v>3611</v>
      </c>
      <c r="AA16" s="28">
        <f>Paser!AA16+'Kutai Barat'!AA16+'Kutai Kertanegara'!AB16+'Kutai Timur'!AB16+Berau!AB16+PPU!AB16+Samarinda!AB16+Balikpapan!AB16+Bontang!AA16+Mahulu!Z16</f>
        <v>1583</v>
      </c>
      <c r="AB16" s="28">
        <f>Paser!AB16+'Kutai Barat'!AB16+'Kutai Kertanegara'!AC16+'Kutai Timur'!AC16+Berau!AC16+PPU!AC16+Samarinda!AC16+Balikpapan!AC16+Bontang!AB16+Mahulu!AA16</f>
        <v>1241</v>
      </c>
      <c r="AC16" s="28">
        <f>Paser!AC16+'Kutai Barat'!AC16+'Kutai Kertanegara'!AD16+'Kutai Timur'!AD16+Berau!AD16+PPU!AD16+Samarinda!AD16+Balikpapan!AD16+Bontang!AC16+Mahulu!AB16</f>
        <v>1187</v>
      </c>
      <c r="AD16" s="28">
        <f>Paser!AD16+'Kutai Barat'!AD16+'Kutai Kertanegara'!AE16+'Kutai Timur'!AE16+Berau!AE16+PPU!AE16+Samarinda!AE16+Balikpapan!AE16+Bontang!AD16+Mahulu!AC16</f>
        <v>577</v>
      </c>
      <c r="AE16" s="30">
        <f t="shared" si="7"/>
        <v>10610</v>
      </c>
    </row>
    <row r="17" spans="1:31" x14ac:dyDescent="0.25">
      <c r="A17" s="7">
        <v>2012</v>
      </c>
      <c r="B17" s="28">
        <f>Paser!B17+'Kutai Barat'!B17+'Kutai Kertanegara'!B17+'Kutai Timur'!B17+Berau!B17+PPU!B17+Samarinda!B17+Balikpapan!B17+Bontang!B17+Mahulu!B17</f>
        <v>70047</v>
      </c>
      <c r="C17" s="77">
        <f t="shared" si="3"/>
        <v>48.066441103830286</v>
      </c>
      <c r="D17" s="28">
        <f>Paser!D17+'Kutai Barat'!D17+'Kutai Kertanegara'!D17+'Kutai Timur'!D17+Berau!D17+PPU!D17+Samarinda!D17+Balikpapan!D17+Bontang!D17+Mahulu!D17</f>
        <v>336691</v>
      </c>
      <c r="E17" s="31">
        <f t="shared" si="5"/>
        <v>101960</v>
      </c>
      <c r="F17" s="31">
        <f t="shared" si="6"/>
        <v>423671</v>
      </c>
      <c r="G17" s="28">
        <f>Paser!G17+'Kutai Barat'!G17+'Kutai Kertanegara'!G17+'Kutai Timur'!G17+Berau!G17+PPU!G17+Samarinda!G17+Balikpapan!G17+Bontang!G17+Mahulu!G17</f>
        <v>31913</v>
      </c>
      <c r="H17" s="77">
        <f t="shared" si="4"/>
        <v>27.255350484128726</v>
      </c>
      <c r="I17" s="28">
        <f>Paser!I17+'Kutai Barat'!I17+'Kutai Kertanegara'!I17+'Kutai Timur'!I17+Berau!I17+PPU!I17+Samarinda!I17+Balikpapan!I17+Bontang!I17+Mahulu!I17</f>
        <v>86980</v>
      </c>
      <c r="M17" s="28">
        <f>Paser!M17+'Kutai Barat'!M17+'Kutai Kertanegara'!N17+'Kutai Timur'!N17+Berau!N17+PPU!N17+Samarinda!N17+Balikpapan!N17+Bontang!M17+Mahulu!L17</f>
        <v>91728</v>
      </c>
      <c r="N17" s="2">
        <f>Paser!N17+'Kutai Barat'!N17+'Kutai Kertanegara'!O17+'Kutai Timur'!O17+Berau!O17+PPU!O17+Samarinda!O17+Balikpapan!O17+Bontang!N17+Mahulu!M17</f>
        <v>47</v>
      </c>
      <c r="O17" s="2">
        <f>Paser!O17+'Kutai Barat'!O17+'Kutai Kertanegara'!P17+'Kutai Timur'!P17+Berau!P17+PPU!P17+Samarinda!P17+Balikpapan!P17+Bontang!O17+Mahulu!N17</f>
        <v>6783</v>
      </c>
      <c r="P17" s="2">
        <f>Paser!P17+'Kutai Barat'!P17+'Kutai Kertanegara'!Q17+'Kutai Timur'!Q17+Berau!Q17+PPU!Q17+Samarinda!Q17+Balikpapan!Q17+Bontang!P17+Mahulu!O17</f>
        <v>51640</v>
      </c>
      <c r="Q17" s="2">
        <f>Paser!Q17+'Kutai Barat'!Q17+'Kutai Kertanegara'!R17+'Kutai Timur'!R17+Berau!R17+PPU!R17+Samarinda!R17+Balikpapan!R17+Bontang!Q17+Mahulu!P17</f>
        <v>487</v>
      </c>
      <c r="R17" s="2">
        <f>Paser!R17+'Kutai Barat'!R17+'Kutai Kertanegara'!S17+'Kutai Timur'!S17+Berau!S17+PPU!S17+Samarinda!S17+Balikpapan!S17+Bontang!R17+Mahulu!Q17</f>
        <v>59108</v>
      </c>
      <c r="S17" s="2">
        <f>Paser!S17+'Kutai Barat'!S17+'Kutai Kertanegara'!T17+'Kutai Timur'!T17+Berau!T17+PPU!T17+Samarinda!T17+Balikpapan!T17+Bontang!S17+Mahulu!R17</f>
        <v>75</v>
      </c>
      <c r="T17" s="2">
        <f>Paser!T17+'Kutai Barat'!T17+'Kutai Kertanegara'!U17+'Kutai Timur'!U17+Berau!U17+PPU!U17+Samarinda!U17+Balikpapan!U17+Bontang!T17+Mahulu!S17</f>
        <v>5078888</v>
      </c>
      <c r="U17" s="2">
        <f>Paser!U17+'Kutai Barat'!U17+'Kutai Kertanegara'!V17+'Kutai Timur'!V17+Berau!V17+PPU!V17+Samarinda!V17+Balikpapan!V17+Bontang!U17+Mahulu!T17</f>
        <v>35368238</v>
      </c>
      <c r="V17" s="2">
        <f>Paser!V17+'Kutai Barat'!V17+'Kutai Kertanegara'!W17+'Kutai Timur'!W17+Berau!W17+PPU!W17+Samarinda!W17+Balikpapan!W17+Bontang!V17+Mahulu!U17</f>
        <v>1554349</v>
      </c>
      <c r="W17" s="2">
        <f>Paser!W17+'Kutai Barat'!W17+'Kutai Kertanegara'!X17+'Kutai Timur'!X17+Berau!X17+PPU!X17+Samarinda!X17+Balikpapan!X17+Bontang!W17+Mahulu!V17</f>
        <v>177745</v>
      </c>
      <c r="Y17" s="28">
        <f>Paser!Y17+'Kutai Barat'!Y17+'Kutai Kertanegara'!Z17+'Kutai Timur'!Z17+Berau!Z17+PPU!Z17+Samarinda!Z17+Balikpapan!Z17+Bontang!Y17+Mahulu!X17</f>
        <v>2743</v>
      </c>
      <c r="Z17" s="28">
        <f>Paser!Z17+'Kutai Barat'!Z17+'Kutai Kertanegara'!AA17+'Kutai Timur'!AA17+Berau!AA17+PPU!AA17+Samarinda!AA17+Balikpapan!AA17+Bontang!Z17+Mahulu!Y17</f>
        <v>2885</v>
      </c>
      <c r="AA17" s="28">
        <f>Paser!AA17+'Kutai Barat'!AA17+'Kutai Kertanegara'!AB17+'Kutai Timur'!AB17+Berau!AB17+PPU!AB17+Samarinda!AB17+Balikpapan!AB17+Bontang!AA17+Mahulu!Z17</f>
        <v>1311</v>
      </c>
      <c r="AB17" s="28">
        <f>Paser!AB17+'Kutai Barat'!AB17+'Kutai Kertanegara'!AC17+'Kutai Timur'!AC17+Berau!AC17+PPU!AC17+Samarinda!AC17+Balikpapan!AC17+Bontang!AB17+Mahulu!AA17</f>
        <v>1212</v>
      </c>
      <c r="AC17" s="28">
        <f>Paser!AC17+'Kutai Barat'!AC17+'Kutai Kertanegara'!AD17+'Kutai Timur'!AD17+Berau!AD17+PPU!AD17+Samarinda!AD17+Balikpapan!AD17+Bontang!AC17+Mahulu!AB17</f>
        <v>723</v>
      </c>
      <c r="AD17" s="28">
        <f>Paser!AD17+'Kutai Barat'!AD17+'Kutai Kertanegara'!AE17+'Kutai Timur'!AE17+Berau!AE17+PPU!AE17+Samarinda!AE17+Balikpapan!AE17+Bontang!AD17+Mahulu!AC17</f>
        <v>433</v>
      </c>
      <c r="AE17" s="30">
        <f t="shared" si="7"/>
        <v>9307</v>
      </c>
    </row>
    <row r="18" spans="1:31" x14ac:dyDescent="0.25">
      <c r="A18" s="7">
        <v>2013</v>
      </c>
      <c r="B18" s="28">
        <f>Paser!B18+'Kutai Barat'!B18+'Kutai Kertanegara'!B18+'Kutai Timur'!B18+Berau!B18+PPU!B18+Samarinda!B18+Balikpapan!B18+Bontang!B18+Mahulu!B18</f>
        <v>73627</v>
      </c>
      <c r="C18" s="77">
        <f t="shared" si="3"/>
        <v>48.639629483749168</v>
      </c>
      <c r="D18" s="28">
        <f>Paser!D18+'Kutai Barat'!D18+'Kutai Kertanegara'!D18+'Kutai Timur'!D18+Berau!D18+PPU!D18+Samarinda!D18+Balikpapan!D18+Bontang!D18+Mahulu!D18</f>
        <v>358119</v>
      </c>
      <c r="E18" s="31">
        <f t="shared" si="5"/>
        <v>102912</v>
      </c>
      <c r="F18" s="31">
        <f t="shared" si="6"/>
        <v>439439</v>
      </c>
      <c r="G18" s="28">
        <f>Paser!G18+'Kutai Barat'!G18+'Kutai Kertanegara'!G18+'Kutai Timur'!G18+Berau!G18+PPU!G18+Samarinda!G18+Balikpapan!G18+Bontang!G18+Mahulu!G18</f>
        <v>29285</v>
      </c>
      <c r="H18" s="77">
        <f t="shared" si="4"/>
        <v>27.768482158101417</v>
      </c>
      <c r="I18" s="28">
        <f>Paser!I18+'Kutai Barat'!I18+'Kutai Kertanegara'!I18+'Kutai Timur'!I18+Berau!I18+PPU!I18+Samarinda!I18+Balikpapan!I18+Bontang!I18+Mahulu!I18</f>
        <v>81320</v>
      </c>
      <c r="M18" s="28">
        <f>Paser!M18+'Kutai Barat'!M18+'Kutai Kertanegara'!N18+'Kutai Timur'!N18+Berau!N18+PPU!N18+Samarinda!N18+Balikpapan!N18+Bontang!M18+Mahulu!L18</f>
        <v>95085</v>
      </c>
      <c r="N18" s="2">
        <f>Paser!N18+'Kutai Barat'!N18+'Kutai Kertanegara'!O18+'Kutai Timur'!O18+Berau!O18+PPU!O18+Samarinda!O18+Balikpapan!O18+Bontang!N18+Mahulu!M18</f>
        <v>48</v>
      </c>
      <c r="O18" s="2">
        <f>Paser!O18+'Kutai Barat'!O18+'Kutai Kertanegara'!P18+'Kutai Timur'!P18+Berau!P18+PPU!P18+Samarinda!P18+Balikpapan!P18+Bontang!O18+Mahulu!N18</f>
        <v>5513</v>
      </c>
      <c r="P18" s="2">
        <f>Paser!P18+'Kutai Barat'!P18+'Kutai Kertanegara'!Q18+'Kutai Timur'!Q18+Berau!Q18+PPU!Q18+Samarinda!Q18+Balikpapan!Q18+Bontang!P18+Mahulu!O18</f>
        <v>50072</v>
      </c>
      <c r="Q18" s="2">
        <f>Paser!Q18+'Kutai Barat'!Q18+'Kutai Kertanegara'!R18+'Kutai Timur'!R18+Berau!R18+PPU!R18+Samarinda!R18+Balikpapan!R18+Bontang!Q18+Mahulu!P18</f>
        <v>229</v>
      </c>
      <c r="R18" s="2">
        <f>Paser!R18+'Kutai Barat'!R18+'Kutai Kertanegara'!S18+'Kutai Timur'!S18+Berau!S18+PPU!S18+Samarinda!S18+Balikpapan!S18+Bontang!R18+Mahulu!Q18</f>
        <v>61478</v>
      </c>
      <c r="S18" s="2">
        <f>Paser!S18+'Kutai Barat'!S18+'Kutai Kertanegara'!T18+'Kutai Timur'!T18+Berau!T18+PPU!T18+Samarinda!T18+Balikpapan!T18+Bontang!S18+Mahulu!R18</f>
        <v>47</v>
      </c>
      <c r="T18" s="2">
        <f>Paser!T18+'Kutai Barat'!T18+'Kutai Kertanegara'!U18+'Kutai Timur'!U18+Berau!U18+PPU!U18+Samarinda!U18+Balikpapan!U18+Bontang!T18+Mahulu!S18</f>
        <v>5616679</v>
      </c>
      <c r="U18" s="2">
        <f>Paser!U18+'Kutai Barat'!U18+'Kutai Kertanegara'!V18+'Kutai Timur'!V18+Berau!V18+PPU!V18+Samarinda!V18+Balikpapan!V18+Bontang!U18+Mahulu!T18</f>
        <v>34394637</v>
      </c>
      <c r="V18" s="2">
        <f>Paser!V18+'Kutai Barat'!V18+'Kutai Kertanegara'!W18+'Kutai Timur'!W18+Berau!W18+PPU!W18+Samarinda!W18+Balikpapan!W18+Bontang!V18+Mahulu!U18</f>
        <v>1195743</v>
      </c>
      <c r="W18" s="2">
        <f>Paser!W18+'Kutai Barat'!W18+'Kutai Kertanegara'!X18+'Kutai Timur'!X18+Berau!X18+PPU!X18+Samarinda!X18+Balikpapan!X18+Bontang!W18+Mahulu!V18</f>
        <v>153107</v>
      </c>
      <c r="Y18" s="28">
        <f>Paser!Y18+'Kutai Barat'!Y18+'Kutai Kertanegara'!Z18+'Kutai Timur'!Z18+Berau!Z18+PPU!Z18+Samarinda!Z18+Balikpapan!Z18+Bontang!Y18+Mahulu!X18</f>
        <v>1868</v>
      </c>
      <c r="Z18" s="28">
        <f>Paser!Z18+'Kutai Barat'!Z18+'Kutai Kertanegara'!AA18+'Kutai Timur'!AA18+Berau!AA18+PPU!AA18+Samarinda!AA18+Balikpapan!AA18+Bontang!Z18+Mahulu!Y18</f>
        <v>2809</v>
      </c>
      <c r="AA18" s="28">
        <f>Paser!AA18+'Kutai Barat'!AA18+'Kutai Kertanegara'!AB18+'Kutai Timur'!AB18+Berau!AB18+PPU!AB18+Samarinda!AB18+Balikpapan!AB18+Bontang!AA18+Mahulu!Z18</f>
        <v>1269</v>
      </c>
      <c r="AB18" s="28">
        <f>Paser!AB18+'Kutai Barat'!AB18+'Kutai Kertanegara'!AC18+'Kutai Timur'!AC18+Berau!AC18+PPU!AC18+Samarinda!AC18+Balikpapan!AC18+Bontang!AB18+Mahulu!AA18</f>
        <v>1105</v>
      </c>
      <c r="AC18" s="28">
        <f>Paser!AC18+'Kutai Barat'!AC18+'Kutai Kertanegara'!AD18+'Kutai Timur'!AD18+Berau!AD18+PPU!AD18+Samarinda!AD18+Balikpapan!AD18+Bontang!AC18+Mahulu!AB18</f>
        <v>963</v>
      </c>
      <c r="AD18" s="28">
        <f>Paser!AD18+'Kutai Barat'!AD18+'Kutai Kertanegara'!AE18+'Kutai Timur'!AE18+Berau!AE18+PPU!AE18+Samarinda!AE18+Balikpapan!AE18+Bontang!AD18+Mahulu!AC18</f>
        <v>381</v>
      </c>
      <c r="AE18" s="30">
        <f t="shared" si="7"/>
        <v>8395</v>
      </c>
    </row>
    <row r="19" spans="1:31" x14ac:dyDescent="0.25">
      <c r="A19" s="7">
        <v>2014</v>
      </c>
      <c r="B19" s="28">
        <f>Paser!B19+'Kutai Barat'!B19+'Kutai Kertanegara'!B19+'Kutai Timur'!B19+Berau!B19+PPU!B19+Samarinda!B19+Balikpapan!B19+Bontang!B19+Mahulu!B19</f>
        <v>71332</v>
      </c>
      <c r="C19" s="77">
        <f t="shared" si="3"/>
        <v>48.570487298828013</v>
      </c>
      <c r="D19" s="28">
        <f>Paser!D19+'Kutai Barat'!D19+'Kutai Kertanegara'!D19+'Kutai Timur'!D19+Berau!D19+PPU!D19+Samarinda!D19+Balikpapan!D19+Bontang!D19+Mahulu!D19</f>
        <v>346463</v>
      </c>
      <c r="E19" s="31">
        <f t="shared" si="5"/>
        <v>100262</v>
      </c>
      <c r="F19" s="31">
        <f t="shared" si="6"/>
        <v>426567</v>
      </c>
      <c r="G19" s="28">
        <f>Paser!G19+'Kutai Barat'!G19+'Kutai Kertanegara'!G19+'Kutai Timur'!G19+Berau!G19+PPU!G19+Samarinda!G19+Balikpapan!G19+Bontang!G19+Mahulu!G19</f>
        <v>28930</v>
      </c>
      <c r="H19" s="77">
        <f t="shared" si="4"/>
        <v>27.688904251641894</v>
      </c>
      <c r="I19" s="28">
        <f>Paser!I19+'Kutai Barat'!I19+'Kutai Kertanegara'!I19+'Kutai Timur'!I19+Berau!I19+PPU!I19+Samarinda!I19+Balikpapan!I19+Bontang!I19+Mahulu!I19</f>
        <v>80104</v>
      </c>
      <c r="M19" s="28">
        <f>Paser!M19+'Kutai Barat'!M19+'Kutai Kertanegara'!N19+'Kutai Timur'!N19+Berau!N19+PPU!N19+Samarinda!N19+Balikpapan!N19+Bontang!M19+Mahulu!L19</f>
        <v>101743</v>
      </c>
      <c r="N19" s="2">
        <f>Paser!N19+'Kutai Barat'!N19+'Kutai Kertanegara'!O19+'Kutai Timur'!O19+Berau!O19+PPU!O19+Samarinda!O19+Balikpapan!O19+Bontang!N19+Mahulu!M19</f>
        <v>77</v>
      </c>
      <c r="O19" s="2">
        <f>Paser!O19+'Kutai Barat'!O19+'Kutai Kertanegara'!P19+'Kutai Timur'!P19+Berau!P19+PPU!P19+Samarinda!P19+Balikpapan!P19+Bontang!O19+Mahulu!N19</f>
        <v>5908</v>
      </c>
      <c r="P19" s="2">
        <f>Paser!P19+'Kutai Barat'!P19+'Kutai Kertanegara'!Q19+'Kutai Timur'!Q19+Berau!Q19+PPU!Q19+Samarinda!Q19+Balikpapan!Q19+Bontang!P19+Mahulu!O19</f>
        <v>55259</v>
      </c>
      <c r="Q19" s="2">
        <f>Paser!Q19+'Kutai Barat'!Q19+'Kutai Kertanegara'!R19+'Kutai Timur'!R19+Berau!R19+PPU!R19+Samarinda!R19+Balikpapan!R19+Bontang!Q19+Mahulu!P19</f>
        <v>239</v>
      </c>
      <c r="R19" s="2">
        <f>Paser!R19+'Kutai Barat'!R19+'Kutai Kertanegara'!S19+'Kutai Timur'!S19+Berau!S19+PPU!S19+Samarinda!S19+Balikpapan!S19+Bontang!R19+Mahulu!Q19</f>
        <v>64214</v>
      </c>
      <c r="S19" s="2">
        <f>Paser!S19+'Kutai Barat'!S19+'Kutai Kertanegara'!T19+'Kutai Timur'!T19+Berau!T19+PPU!T19+Samarinda!T19+Balikpapan!T19+Bontang!S19+Mahulu!R19</f>
        <v>57</v>
      </c>
      <c r="T19" s="2">
        <f>Paser!T19+'Kutai Barat'!T19+'Kutai Kertanegara'!U19+'Kutai Timur'!U19+Berau!U19+PPU!U19+Samarinda!U19+Balikpapan!U19+Bontang!T19+Mahulu!S19</f>
        <v>4287075</v>
      </c>
      <c r="U19" s="2">
        <f>Paser!U19+'Kutai Barat'!U19+'Kutai Kertanegara'!V19+'Kutai Timur'!V19+Berau!V19+PPU!V19+Samarinda!V19+Balikpapan!V19+Bontang!U19+Mahulu!T19</f>
        <v>46553307</v>
      </c>
      <c r="V19" s="2">
        <f>Paser!V19+'Kutai Barat'!V19+'Kutai Kertanegara'!W19+'Kutai Timur'!W19+Berau!W19+PPU!W19+Samarinda!W19+Balikpapan!W19+Bontang!V19+Mahulu!U19</f>
        <v>686278</v>
      </c>
      <c r="W19" s="2">
        <f>Paser!W19+'Kutai Barat'!W19+'Kutai Kertanegara'!X19+'Kutai Timur'!X19+Berau!X19+PPU!X19+Samarinda!X19+Balikpapan!X19+Bontang!W19+Mahulu!V19</f>
        <v>217779</v>
      </c>
      <c r="Y19" s="28">
        <f>Paser!Y19+'Kutai Barat'!Y19+'Kutai Kertanegara'!Z19+'Kutai Timur'!Z19+Berau!Z19+PPU!Z19+Samarinda!Z19+Balikpapan!Z19+Bontang!Y19+Mahulu!X19</f>
        <v>2873</v>
      </c>
      <c r="Z19" s="28">
        <f>Paser!Z19+'Kutai Barat'!Z19+'Kutai Kertanegara'!AA19+'Kutai Timur'!AA19+Berau!AA19+PPU!AA19+Samarinda!AA19+Balikpapan!AA19+Bontang!Z19+Mahulu!Y19</f>
        <v>2988</v>
      </c>
      <c r="AA19" s="28">
        <f>Paser!AA19+'Kutai Barat'!AA19+'Kutai Kertanegara'!AB19+'Kutai Timur'!AB19+Berau!AB19+PPU!AB19+Samarinda!AB19+Balikpapan!AB19+Bontang!AA19+Mahulu!Z19</f>
        <v>1217</v>
      </c>
      <c r="AB19" s="28">
        <f>Paser!AB19+'Kutai Barat'!AB19+'Kutai Kertanegara'!AC19+'Kutai Timur'!AC19+Berau!AC19+PPU!AC19+Samarinda!AC19+Balikpapan!AC19+Bontang!AB19+Mahulu!AA19</f>
        <v>1189</v>
      </c>
      <c r="AC19" s="28">
        <f>Paser!AC19+'Kutai Barat'!AC19+'Kutai Kertanegara'!AD19+'Kutai Timur'!AD19+Berau!AD19+PPU!AD19+Samarinda!AD19+Balikpapan!AD19+Bontang!AC19+Mahulu!AB19</f>
        <v>768</v>
      </c>
      <c r="AD19" s="28">
        <f>Paser!AD19+'Kutai Barat'!AD19+'Kutai Kertanegara'!AE19+'Kutai Timur'!AE19+Berau!AE19+PPU!AE19+Samarinda!AE19+Balikpapan!AE19+Bontang!AD19+Mahulu!AC19</f>
        <v>368</v>
      </c>
      <c r="AE19" s="30">
        <f t="shared" si="7"/>
        <v>9403</v>
      </c>
    </row>
    <row r="20" spans="1:31" x14ac:dyDescent="0.25">
      <c r="A20" s="7">
        <v>2015</v>
      </c>
      <c r="B20" s="28">
        <f>Paser!B20+'Kutai Barat'!B20+'Kutai Kertanegara'!B20+'Kutai Timur'!B20+Berau!B20+PPU!B20+Samarinda!B20+Balikpapan!B20+Bontang!B20+Mahulu!B20</f>
        <v>69072</v>
      </c>
      <c r="C20" s="77">
        <f t="shared" si="3"/>
        <v>47.776088719017835</v>
      </c>
      <c r="D20" s="28">
        <f>Paser!D20+'Kutai Barat'!D20+'Kutai Kertanegara'!D20+'Kutai Timur'!D20+Berau!D20+PPU!D20+Samarinda!D20+Balikpapan!D20+Bontang!D20+Mahulu!D20</f>
        <v>329999</v>
      </c>
      <c r="E20" s="31">
        <f>B20+G20</f>
        <v>99209</v>
      </c>
      <c r="F20" s="31">
        <f t="shared" si="6"/>
        <v>408782</v>
      </c>
      <c r="G20" s="28">
        <f>Paser!G20+'Kutai Barat'!G20+'Kutai Kertanegara'!G20+'Kutai Timur'!G20+Berau!G20+PPU!G20+Samarinda!G20+Balikpapan!G20+Bontang!G20+Mahulu!G20</f>
        <v>30137</v>
      </c>
      <c r="H20" s="77">
        <f t="shared" si="4"/>
        <v>26.1416199356273</v>
      </c>
      <c r="I20" s="28">
        <f>Paser!I20+'Kutai Barat'!I20+'Kutai Kertanegara'!I20+'Kutai Timur'!I20+Berau!I20+PPU!I20+Samarinda!I20+Balikpapan!I20+Bontang!I20+Mahulu!I20</f>
        <v>78783</v>
      </c>
      <c r="M20" s="28">
        <f>Paser!M20+'Kutai Barat'!M20+'Kutai Kertanegara'!N20+'Kutai Timur'!N20+Berau!N20+PPU!N20+Samarinda!N20+Balikpapan!N20+Bontang!M20+Mahulu!L20</f>
        <v>110097</v>
      </c>
      <c r="N20" s="2">
        <f>Paser!N20+'Kutai Barat'!N20+'Kutai Kertanegara'!O20+'Kutai Timur'!O20+Berau!O20+PPU!O20+Samarinda!O20+Balikpapan!O20+Bontang!N20+Mahulu!M20</f>
        <v>79</v>
      </c>
      <c r="O20" s="2">
        <f>Paser!O20+'Kutai Barat'!O20+'Kutai Kertanegara'!P20+'Kutai Timur'!P20+Berau!P20+PPU!P20+Samarinda!P20+Balikpapan!P20+Bontang!O20+Mahulu!N20</f>
        <v>6680</v>
      </c>
      <c r="P20" s="2">
        <f>Paser!P20+'Kutai Barat'!P20+'Kutai Kertanegara'!Q20+'Kutai Timur'!Q20+Berau!Q20+PPU!Q20+Samarinda!Q20+Balikpapan!Q20+Bontang!P20+Mahulu!O20</f>
        <v>59258</v>
      </c>
      <c r="Q20" s="2">
        <f>Paser!Q20+'Kutai Barat'!Q20+'Kutai Kertanegara'!R20+'Kutai Timur'!R20+Berau!R20+PPU!R20+Samarinda!R20+Balikpapan!R20+Bontang!Q20+Mahulu!P20</f>
        <v>265</v>
      </c>
      <c r="R20" s="2">
        <f>Paser!R20+'Kutai Barat'!R20+'Kutai Kertanegara'!S20+'Kutai Timur'!S20+Berau!S20+PPU!S20+Samarinda!S20+Balikpapan!S20+Bontang!R20+Mahulu!Q20</f>
        <v>68238</v>
      </c>
      <c r="S20" s="2">
        <f>Paser!S20+'Kutai Barat'!S20+'Kutai Kertanegara'!T20+'Kutai Timur'!T20+Berau!T20+PPU!T20+Samarinda!T20+Balikpapan!T20+Bontang!S20+Mahulu!R20</f>
        <v>107</v>
      </c>
      <c r="T20" s="2">
        <f>Paser!T20+'Kutai Barat'!T20+'Kutai Kertanegara'!U20+'Kutai Timur'!U20+Berau!U20+PPU!U20+Samarinda!U20+Balikpapan!U20+Bontang!T20+Mahulu!S20</f>
        <v>4561377</v>
      </c>
      <c r="U20" s="2">
        <f>Paser!U20+'Kutai Barat'!U20+'Kutai Kertanegara'!V20+'Kutai Timur'!V20+Berau!V20+PPU!V20+Samarinda!V20+Balikpapan!V20+Bontang!U20+Mahulu!T20</f>
        <v>55783230</v>
      </c>
      <c r="V20" s="2">
        <f>Paser!V20+'Kutai Barat'!V20+'Kutai Kertanegara'!W20+'Kutai Timur'!W20+Berau!W20+PPU!W20+Samarinda!W20+Balikpapan!W20+Bontang!V20+Mahulu!U20</f>
        <v>966432</v>
      </c>
      <c r="W20" s="2">
        <f>Paser!W20+'Kutai Barat'!W20+'Kutai Kertanegara'!X20+'Kutai Timur'!X20+Berau!X20+PPU!X20+Samarinda!X20+Balikpapan!X20+Bontang!W20+Mahulu!V20</f>
        <v>216997</v>
      </c>
      <c r="Y20" s="28">
        <f>Paser!Y20+'Kutai Barat'!Y20+'Kutai Kertanegara'!Z20+'Kutai Timur'!Z20+Berau!Z20+PPU!Z20+Samarinda!Z20+Balikpapan!Z20+Bontang!Y20+Mahulu!X20</f>
        <v>2307</v>
      </c>
      <c r="Z20" s="28">
        <f>Paser!Z20+'Kutai Barat'!Z20+'Kutai Kertanegara'!AA20+'Kutai Timur'!AA20+Berau!AA20+PPU!AA20+Samarinda!AA20+Balikpapan!AA20+Bontang!Z20+Mahulu!Y20</f>
        <v>2384</v>
      </c>
      <c r="AA20" s="28">
        <f>Paser!AA20+'Kutai Barat'!AA20+'Kutai Kertanegara'!AB20+'Kutai Timur'!AB20+Berau!AB20+PPU!AB20+Samarinda!AB20+Balikpapan!AB20+Bontang!AA20+Mahulu!Z20</f>
        <v>978</v>
      </c>
      <c r="AB20" s="28">
        <f>Paser!AB20+'Kutai Barat'!AB20+'Kutai Kertanegara'!AC20+'Kutai Timur'!AC20+Berau!AC20+PPU!AC20+Samarinda!AC20+Balikpapan!AC20+Bontang!AB20+Mahulu!AA20</f>
        <v>882</v>
      </c>
      <c r="AC20" s="28">
        <f>Paser!AC20+'Kutai Barat'!AC20+'Kutai Kertanegara'!AD20+'Kutai Timur'!AD20+Berau!AD20+PPU!AD20+Samarinda!AD20+Balikpapan!AD20+Bontang!AC20+Mahulu!AB20</f>
        <v>947</v>
      </c>
      <c r="AD20" s="28">
        <f>Paser!AD20+'Kutai Barat'!AD20+'Kutai Kertanegara'!AE20+'Kutai Timur'!AE20+Berau!AE20+PPU!AE20+Samarinda!AE20+Balikpapan!AE20+Bontang!AD20+Mahulu!AC20</f>
        <v>171</v>
      </c>
      <c r="AE20" s="30">
        <f t="shared" si="7"/>
        <v>7669</v>
      </c>
    </row>
    <row r="21" spans="1:31" x14ac:dyDescent="0.25">
      <c r="A21" s="66">
        <v>2016</v>
      </c>
      <c r="B21" s="2">
        <f>Paser!B21+'Kutai Barat'!B21+'Kutai Kertanegara'!B21+'Kutai Timur'!B21+Berau!B21+PPU!B21+Samarinda!B21+Balikpapan!B21+Bontang!B21+Mahulu!B21</f>
        <v>64331.943080092889</v>
      </c>
      <c r="C21" s="76">
        <f t="shared" si="3"/>
        <v>33.138519137362721</v>
      </c>
      <c r="D21" s="2">
        <f>Paser!D21+'Kutai Barat'!D21+'Kutai Kertanegara'!D21+'Kutai Timur'!D21+Berau!D21+PPU!D21+Samarinda!D21+Balikpapan!D21+Bontang!D21+Mahulu!D21</f>
        <v>213186.53269033873</v>
      </c>
      <c r="G21" s="2">
        <f>Paser!G21+'Kutai Barat'!G21+'Kutai Kertanegara'!G21+'Kutai Timur'!G21+Berau!G21+PPU!G21+Samarinda!G21+Balikpapan!G21+Bontang!G21+Mahulu!G21</f>
        <v>27120.058452587109</v>
      </c>
      <c r="I21" s="2">
        <f>Paser!I21+'Kutai Barat'!I21+'Kutai Kertanegara'!I21+'Kutai Timur'!I21+Berau!I21+PPU!I21+Samarinda!I21+Balikpapan!I21+Bontang!I21+Mahulu!I21</f>
        <v>19991.944196707394</v>
      </c>
      <c r="M21" s="53">
        <f>Paser!M21+'Kutai Barat'!M21+'Kutai Kertanegara'!N21+'Kutai Timur'!N21+Berau!N21+PPU!N21+Samarinda!N21+Balikpapan!N21+Bontang!M21+Mahulu!L21</f>
        <v>118712</v>
      </c>
      <c r="N21" s="2">
        <f>Paser!N21+'Kutai Barat'!N21+'Kutai Kertanegara'!O21+'Kutai Timur'!O21+Berau!O21+PPU!O21+Samarinda!O21+Balikpapan!O21+Bontang!N21+Mahulu!M21</f>
        <v>79</v>
      </c>
      <c r="O21" s="2">
        <f>Paser!O21+'Kutai Barat'!O21+'Kutai Kertanegara'!P21+'Kutai Timur'!P21+Berau!P21+PPU!P21+Samarinda!P21+Balikpapan!P21+Bontang!O21+Mahulu!N21</f>
        <v>7177.8733000000002</v>
      </c>
      <c r="P21" s="2">
        <f>Paser!P21+'Kutai Barat'!P21+'Kutai Kertanegara'!Q21+'Kutai Timur'!Q21+Berau!Q21+PPU!Q21+Samarinda!Q21+Balikpapan!Q21+Bontang!P21+Mahulu!O21</f>
        <v>62046.752999999997</v>
      </c>
      <c r="Q21" s="2">
        <f>Paser!Q21+'Kutai Barat'!Q21+'Kutai Kertanegara'!R21+'Kutai Timur'!R21+Berau!R21+PPU!R21+Samarinda!R21+Balikpapan!R21+Bontang!Q21+Mahulu!P21</f>
        <v>133.72540000000001</v>
      </c>
      <c r="R21" s="2">
        <f>Paser!R21+'Kutai Barat'!R21+'Kutai Kertanegara'!S21+'Kutai Timur'!S21+Berau!S21+PPU!S21+Samarinda!S21+Balikpapan!S21+Bontang!R21+Mahulu!Q21</f>
        <v>63310.878999999994</v>
      </c>
      <c r="S21" s="2">
        <f>Paser!S21+'Kutai Barat'!S21+'Kutai Kertanegara'!T21+'Kutai Timur'!T21+Berau!T21+PPU!T21+Samarinda!T21+Balikpapan!T21+Bontang!S21+Mahulu!R21</f>
        <v>0</v>
      </c>
      <c r="T21" s="2">
        <f>Paser!T21+'Kutai Barat'!T21+'Kutai Kertanegara'!U21+'Kutai Timur'!V21+Berau!U21+PPU!U21+Samarinda!U21+Balikpapan!U21+Bontang!T21+Mahulu!S21</f>
        <v>6910659.7799999993</v>
      </c>
      <c r="U21" s="2">
        <f>Paser!U21+'Kutai Barat'!U21+'Kutai Kertanegara'!V21+'Kutai Timur'!V21+Berau!V21+PPU!V21+Samarinda!V21+Balikpapan!V21+Bontang!U21+Mahulu!T21</f>
        <v>48222954.039999999</v>
      </c>
      <c r="V21" s="2">
        <f>Paser!V21+'Kutai Barat'!V21+'Kutai Kertanegara'!W21+'Kutai Timur'!W21+Berau!W21+PPU!W21+Samarinda!W21+Balikpapan!W21+Bontang!V21+Mahulu!U21</f>
        <v>1217780.7</v>
      </c>
      <c r="W21" s="2">
        <f>Paser!W21+'Kutai Barat'!W21+'Kutai Kertanegara'!X21+'Kutai Timur'!X21+Berau!X21+PPU!X21+Samarinda!X21+Balikpapan!X21+Bontang!W21+Mahulu!V21</f>
        <v>207129.55499999999</v>
      </c>
      <c r="Y21" s="78">
        <f>Paser!Y21+'Kutai Barat'!Y21+'Kutai Kertanegara'!Z21+'Kutai Timur'!Z21+Berau!Z21+PPU!Z21+Samarinda!Z21+Balikpapan!Z21+Bontang!Y21+Mahulu!X21</f>
        <v>1497.02</v>
      </c>
      <c r="Z21" s="78">
        <f>Paser!Z21+'Kutai Barat'!Z21+'Kutai Kertanegara'!AA21+'Kutai Timur'!AA21+Berau!AA21+PPU!AA21+Samarinda!AA21+Balikpapan!AA21+Bontang!Z21+Mahulu!Y21</f>
        <v>1596.1119999999999</v>
      </c>
      <c r="AA21" s="78">
        <f>Paser!AA21+'Kutai Barat'!AA21+'Kutai Kertanegara'!AB21+'Kutai Timur'!AB21+Berau!AB21+PPU!AB21+Samarinda!AB21+Balikpapan!AB21+Bontang!AA21+Mahulu!Z21</f>
        <v>630.82439999999997</v>
      </c>
      <c r="AB21" s="78">
        <f>Paser!AB21+'Kutai Barat'!AB21+'Kutai Kertanegara'!AC21+'Kutai Timur'!AC21+Berau!AC21+PPU!AC21+Samarinda!AC21+Balikpapan!AC21+Bontang!AB21+Mahulu!AA21</f>
        <v>459.42719999999997</v>
      </c>
      <c r="AC21" s="78">
        <f>Paser!AC21+'Kutai Barat'!AC21+'Kutai Kertanegara'!AD21+'Kutai Timur'!AD21+Berau!AD21+PPU!AD21+Samarinda!AD21+Balikpapan!AD21+Bontang!AC21+Mahulu!AB21</f>
        <v>923.428</v>
      </c>
      <c r="AD21" s="78">
        <f>Paser!AD21+'Kutai Barat'!AD21+'Kutai Kertanegara'!AE21+'Kutai Timur'!AE21+Berau!AE21+PPU!AE21+Samarinda!AE21+Balikpapan!AE21+Bontang!AD21+Mahulu!AC21</f>
        <v>98</v>
      </c>
      <c r="AE21" s="30">
        <f t="shared" si="7"/>
        <v>5204.8115999999991</v>
      </c>
    </row>
    <row r="22" spans="1:31" x14ac:dyDescent="0.25">
      <c r="A22" s="66">
        <v>2017</v>
      </c>
      <c r="B22" s="2">
        <f>Paser!B22+'Kutai Barat'!B22+'Kutai Kertanegara'!B22+'Kutai Timur'!B22+Berau!B22+PPU!B22+Samarinda!B22+Balikpapan!B22+Bontang!B22+Mahulu!B22</f>
        <v>73529.703392459996</v>
      </c>
      <c r="C22" s="76">
        <f t="shared" si="3"/>
        <v>33.007012515883112</v>
      </c>
      <c r="D22" s="2">
        <f>Paser!D22+'Kutai Barat'!D22+'Kutai Kertanegara'!D22+'Kutai Timur'!D22+Berau!D22+PPU!D22+Samarinda!D22+Balikpapan!D22+Bontang!D22+Mahulu!D22</f>
        <v>242699.58401640999</v>
      </c>
      <c r="G22" s="2">
        <f>Paser!G22+'Kutai Barat'!G22+'Kutai Kertanegara'!G22+'Kutai Timur'!G22+Berau!G22+PPU!G22+Samarinda!G22+Balikpapan!G22+Bontang!G22+Mahulu!G22</f>
        <v>29325.946088106779</v>
      </c>
      <c r="I22" s="2">
        <f>Paser!I22+'Kutai Barat'!I22+'Kutai Kertanegara'!I22+'Kutai Timur'!I22+Berau!I22+PPU!I22+Samarinda!I22+Balikpapan!I22+Bontang!I22+Mahulu!I22</f>
        <v>21807.527402970081</v>
      </c>
      <c r="M22" s="53">
        <f>Paser!M22+'Kutai Barat'!M22+'Kutai Kertanegara'!N22+'Kutai Timur'!N22+Berau!N22+PPU!N22+Samarinda!N22+Balikpapan!N22+Bontang!M22+Mahulu!L22</f>
        <v>128324.65987242393</v>
      </c>
      <c r="N22" s="2">
        <f>Paser!N22+'Kutai Barat'!N22+'Kutai Kertanegara'!O22+'Kutai Timur'!O22+Berau!O22+PPU!O22+Samarinda!O22+Balikpapan!O22+Bontang!N22+Mahulu!M22</f>
        <v>90</v>
      </c>
      <c r="O22" s="2">
        <f>Paser!O22+'Kutai Barat'!O22+'Kutai Kertanegara'!P22+'Kutai Timur'!P22+Berau!P22+PPU!P22+Samarinda!P22+Balikpapan!P22+Bontang!O22+Mahulu!N22</f>
        <v>7559.3901999999998</v>
      </c>
      <c r="P22" s="2">
        <f>Paser!P22+'Kutai Barat'!P22+'Kutai Kertanegara'!Q22+'Kutai Timur'!Q22+Berau!Q22+PPU!Q22+Samarinda!Q22+Balikpapan!Q22+Bontang!P22+Mahulu!O22</f>
        <v>63908.797599999998</v>
      </c>
      <c r="Q22" s="2">
        <f>Paser!Q22+'Kutai Barat'!Q22+'Kutai Kertanegara'!R22+'Kutai Timur'!R22+Berau!R22+PPU!R22+Samarinda!R22+Balikpapan!R22+Bontang!Q22+Mahulu!P22</f>
        <v>119.3916</v>
      </c>
      <c r="R22" s="2">
        <f>Paser!R22+'Kutai Barat'!R22+'Kutai Kertanegara'!S22+'Kutai Timur'!S22+Berau!S22+PPU!S22+Samarinda!S22+Balikpapan!S22+Bontang!R22+Mahulu!Q22</f>
        <v>65086.559999999998</v>
      </c>
      <c r="S22" s="2">
        <f>Paser!S22+'Kutai Barat'!S22+'Kutai Kertanegara'!T22+'Kutai Timur'!T22+Berau!T22+PPU!T22+Samarinda!T22+Balikpapan!T22+Bontang!S22+Mahulu!R22</f>
        <v>0</v>
      </c>
      <c r="T22" s="2">
        <f>Paser!T22+'Kutai Barat'!T22+'Kutai Kertanegara'!U22+'Kutai Timur'!U22+Berau!U22+PPU!U22+Samarinda!U22+Balikpapan!U22+Bontang!T22+Mahulu!S22</f>
        <v>6187933.8416000009</v>
      </c>
      <c r="U22" s="2">
        <f>Paser!U22+'Kutai Barat'!U22+'Kutai Kertanegara'!V22+'Kutai Timur'!V22+Berau!V22+PPU!V22+Samarinda!V22+Balikpapan!V22+Bontang!U22+Mahulu!T22</f>
        <v>50301012.800799996</v>
      </c>
      <c r="V22" s="2">
        <f>Paser!V22+'Kutai Barat'!V22+'Kutai Kertanegara'!W22+'Kutai Timur'!W22+Berau!W22+PPU!W22+Samarinda!W22+Balikpapan!W22+Bontang!V22+Mahulu!U22</f>
        <v>1271032.4100000001</v>
      </c>
      <c r="W22" s="2">
        <f>Paser!W22+'Kutai Barat'!W22+'Kutai Kertanegara'!X22+'Kutai Timur'!X22+Berau!X22+PPU!X22+Samarinda!X22+Balikpapan!X22+Bontang!W22+Mahulu!V22</f>
        <v>218163.83999999997</v>
      </c>
      <c r="Y22" s="78">
        <f>Paser!Y22+'Kutai Barat'!Y22+'Kutai Kertanegara'!Z22+'Kutai Timur'!Z22+Berau!Z22+PPU!Z22+Samarinda!Z22+Balikpapan!Z22+Bontang!Y22+Mahulu!X22</f>
        <v>1286.3049999999998</v>
      </c>
      <c r="Z22" s="78">
        <f>Paser!Z22+'Kutai Barat'!Z22+'Kutai Kertanegara'!AA22+'Kutai Timur'!AA22+Berau!AA22+PPU!AA22+Samarinda!AA22+Balikpapan!AA22+Bontang!Z22+Mahulu!Y22</f>
        <v>1628.7579999999998</v>
      </c>
      <c r="AA22" s="78">
        <f>Paser!AA22+'Kutai Barat'!AA22+'Kutai Kertanegara'!AB22+'Kutai Timur'!AB22+Berau!AB22+PPU!AB22+Samarinda!AB22+Balikpapan!AB22+Bontang!AA22+Mahulu!Z22</f>
        <v>787.10509999999999</v>
      </c>
      <c r="AB22" s="78">
        <f>Paser!AB22+'Kutai Barat'!AB22+'Kutai Kertanegara'!AC22+'Kutai Timur'!AC22+Berau!AC22+PPU!AC22+Samarinda!AC22+Balikpapan!AC22+Bontang!AB22+Mahulu!AA22</f>
        <v>555.99880000000007</v>
      </c>
      <c r="AC22" s="78">
        <f>Paser!AC22+'Kutai Barat'!AC22+'Kutai Kertanegara'!AD22+'Kutai Timur'!AD22+Berau!AD22+PPU!AD22+Samarinda!AD22+Balikpapan!AD22+Bontang!AC22+Mahulu!AB22</f>
        <v>1080.0720000000001</v>
      </c>
      <c r="AD22" s="78">
        <f>Paser!AD22+'Kutai Barat'!AD22+'Kutai Kertanegara'!AE22+'Kutai Timur'!AE22+Berau!AE22+PPU!AE22+Samarinda!AE22+Balikpapan!AE22+Bontang!AD22+Mahulu!AC22</f>
        <v>75</v>
      </c>
      <c r="AE22" s="30">
        <f t="shared" si="7"/>
        <v>5413.2389000000003</v>
      </c>
    </row>
    <row r="23" spans="1:31" x14ac:dyDescent="0.25">
      <c r="A23" s="66">
        <v>2018</v>
      </c>
      <c r="B23" s="2">
        <f>Paser!B23+'Kutai Barat'!B23+'Kutai Kertanegara'!B23+'Kutai Timur'!B23+Berau!B23+PPU!B23+Samarinda!B23+Balikpapan!B23+Bontang!B23+Mahulu!B23</f>
        <v>76281.53510915798</v>
      </c>
      <c r="C23" s="76">
        <f t="shared" si="3"/>
        <v>34.38043709642276</v>
      </c>
      <c r="D23" s="2">
        <f>Paser!D23+'Kutai Barat'!D23+'Kutai Kertanegara'!D23+'Kutai Timur'!D23+Berau!D23+PPU!D23+Samarinda!D23+Balikpapan!D23+Bontang!D23+Mahulu!D23</f>
        <v>262259.25194389705</v>
      </c>
      <c r="G23" s="2">
        <f>Paser!G23+'Kutai Barat'!G23+'Kutai Kertanegara'!G23+'Kutai Timur'!G23+Berau!G23+PPU!G23+Samarinda!G23+Balikpapan!G23+Bontang!G23+Mahulu!G23</f>
        <v>30080.978371392514</v>
      </c>
      <c r="I23" s="2">
        <f>Paser!I23+'Kutai Barat'!I23+'Kutai Kertanegara'!I23+'Kutai Timur'!I23+Berau!I23+PPU!I23+Samarinda!I23+Balikpapan!I23+Bontang!I23+Mahulu!I23</f>
        <v>23787.994141641084</v>
      </c>
      <c r="M23" s="53">
        <f>Paser!M23+'Kutai Barat'!M23+'Kutai Kertanegara'!N23+'Kutai Timur'!N23+Berau!N23+PPU!N23+Samarinda!N23+Balikpapan!N23+Bontang!M23+Mahulu!L23</f>
        <v>138882.20163306064</v>
      </c>
      <c r="N23" s="2">
        <f>Paser!N23+'Kutai Barat'!N23+'Kutai Kertanegara'!O23+'Kutai Timur'!O23+Berau!O23+PPU!O23+Samarinda!O23+Balikpapan!O23+Bontang!N23+Mahulu!M23</f>
        <v>101</v>
      </c>
      <c r="O23" s="2">
        <f>Paser!O23+'Kutai Barat'!O23+'Kutai Kertanegara'!P23+'Kutai Timur'!P23+Berau!P23+PPU!P23+Samarinda!P23+Balikpapan!P23+Bontang!O23+Mahulu!N23</f>
        <v>7994.5261399999999</v>
      </c>
      <c r="P23" s="2">
        <f>Paser!P23+'Kutai Barat'!P23+'Kutai Kertanegara'!Q23+'Kutai Timur'!Q23+Berau!Q23+PPU!Q23+Samarinda!Q23+Balikpapan!Q23+Bontang!P23+Mahulu!O23</f>
        <v>66380.275112000003</v>
      </c>
      <c r="Q23" s="2">
        <f>Paser!Q23+'Kutai Barat'!Q23+'Kutai Kertanegara'!R23+'Kutai Timur'!R23+Berau!R23+PPU!R23+Samarinda!R23+Balikpapan!R23+Bontang!Q23+Mahulu!P23</f>
        <v>133.05779999999999</v>
      </c>
      <c r="R23" s="2">
        <f>Paser!R23+'Kutai Barat'!R23+'Kutai Kertanegara'!S23+'Kutai Timur'!S23+Berau!S23+PPU!S23+Samarinda!S23+Balikpapan!S23+Bontang!R23+Mahulu!Q23</f>
        <v>67702.460279999999</v>
      </c>
      <c r="S23" s="2">
        <f>Paser!S23+'Kutai Barat'!S23+'Kutai Kertanegara'!T23+'Kutai Timur'!T23+Berau!T23+PPU!T23+Samarinda!T23+Balikpapan!T23+Bontang!S23+Mahulu!R23</f>
        <v>0</v>
      </c>
      <c r="T23" s="2">
        <f>Paser!T23+'Kutai Barat'!T23+'Kutai Kertanegara'!U23+'Kutai Timur'!U23+Berau!U23+PPU!W22+Samarinda!U23+Balikpapan!U23+Bontang!T23+Mahulu!S23</f>
        <v>6367515.376832</v>
      </c>
      <c r="U23" s="2">
        <f>Paser!U23+'Kutai Barat'!U23+'Kutai Kertanegara'!V23+'Kutai Timur'!V23+Berau!V23+PPU!V23+Samarinda!V23+Balikpapan!V23+Bontang!U23+Mahulu!T23</f>
        <v>52702924.488816001</v>
      </c>
      <c r="V23" s="2">
        <f>Paser!V23+'Kutai Barat'!V23+'Kutai Kertanegara'!W23+'Kutai Timur'!W23+Berau!W23+PPU!W23+Samarinda!W23+Balikpapan!W23+Bontang!V23+Mahulu!U23</f>
        <v>1340080.331</v>
      </c>
      <c r="W23" s="2">
        <f>Paser!W23+'Kutai Barat'!W23+'Kutai Kertanegara'!X23+'Kutai Timur'!X23+Berau!X23+PPU!X23+Samarinda!X23+Balikpapan!X23+Bontang!W23+Mahulu!V23</f>
        <v>234732.65959999996</v>
      </c>
      <c r="Y23" s="78">
        <f>Paser!Y23+'Kutai Barat'!Y23+'Kutai Kertanegara'!Z23+'Kutai Timur'!Z23+Berau!Z23+PPU!Z23+Samarinda!Z23+Balikpapan!Z23+Bontang!Y23+Mahulu!X23</f>
        <v>1611.4</v>
      </c>
      <c r="Z23" s="78">
        <f>Paser!Z23+'Kutai Barat'!Z23+'Kutai Kertanegara'!AA23+'Kutai Timur'!AA23+Berau!AA23+PPU!AA23+Samarinda!AA23+Balikpapan!AA23+Bontang!Z23+Mahulu!Y23</f>
        <v>1840.9999999999995</v>
      </c>
      <c r="AA23" s="78">
        <f>Paser!AA23+'Kutai Barat'!AA23+'Kutai Kertanegara'!AB23+'Kutai Timur'!AB23+Berau!AB23+PPU!AB23+Samarinda!AB23+Balikpapan!AB23+Bontang!AA23+Mahulu!Z23</f>
        <v>828.09999999999991</v>
      </c>
      <c r="AB23" s="78">
        <f>Paser!AB23+'Kutai Barat'!AB23+'Kutai Kertanegara'!AC23+'Kutai Timur'!AC23+Berau!AC23+PPU!AC23+Samarinda!AC23+Balikpapan!AC23+Bontang!AB23+Mahulu!AA23</f>
        <v>566.87999999999988</v>
      </c>
      <c r="AC23" s="78">
        <f>Paser!AC23+'Kutai Barat'!AC23+'Kutai Kertanegara'!AD23+'Kutai Timur'!AD23+Berau!AD23+PPU!AD23+Samarinda!AD23+Balikpapan!AD23+Bontang!AC23+Mahulu!AB23</f>
        <v>1349.7399999999998</v>
      </c>
      <c r="AD23" s="78">
        <f>Paser!AD23+'Kutai Barat'!AD23+'Kutai Kertanegara'!AE23+'Kutai Timur'!AE23+Berau!AE23+PPU!AE23+Samarinda!AE23+Balikpapan!AE23+Bontang!AD23+Mahulu!AC23</f>
        <v>80</v>
      </c>
      <c r="AE23" s="30">
        <f t="shared" si="7"/>
        <v>6277.12</v>
      </c>
    </row>
    <row r="24" spans="1:31" x14ac:dyDescent="0.25">
      <c r="A24" s="66">
        <v>2019</v>
      </c>
      <c r="B24" s="2">
        <f>Paser!B24+'Kutai Barat'!B24+'Kutai Kertanegara'!B24+'Kutai Timur'!B24+Berau!B24+PPU!B24+Samarinda!B24+Balikpapan!B24+Bontang!B24+Mahulu!B24</f>
        <v>79578.332337975051</v>
      </c>
      <c r="C24" s="76">
        <f t="shared" si="3"/>
        <v>35.81630767795258</v>
      </c>
      <c r="D24" s="2">
        <f>Paser!D24+'Kutai Barat'!D24+'Kutai Kertanegara'!D24+'Kutai Timur'!D24+Berau!D24+PPU!D24+Samarinda!D24+Balikpapan!D24+Bontang!D24+Mahulu!D24</f>
        <v>285020.20355152781</v>
      </c>
      <c r="G24" s="2">
        <f>Paser!G24+'Kutai Barat'!G24+'Kutai Kertanegara'!G24+'Kutai Timur'!G24+Berau!G24+PPU!G24+Samarinda!G24+Balikpapan!G24+Bontang!G24+Mahulu!G24</f>
        <v>30858.777435737553</v>
      </c>
      <c r="I24" s="2">
        <f>Paser!I24+'Kutai Barat'!I24+'Kutai Kertanegara'!I24+'Kutai Timur'!I24+Berau!I24+PPU!I24+Samarinda!I24+Balikpapan!I24+Bontang!I24+Mahulu!I24</f>
        <v>25948.31843272988</v>
      </c>
      <c r="M24" s="53">
        <f>Paser!M24+'Kutai Barat'!M24+'Kutai Kertanegara'!N24+'Kutai Timur'!N24+Berau!N24+PPU!N24+Samarinda!N24+Balikpapan!N24+Bontang!M24+Mahulu!L24</f>
        <v>150560.28892238316</v>
      </c>
      <c r="N24" s="2">
        <f>Paser!N24+'Kutai Barat'!N24+'Kutai Kertanegara'!O24+'Kutai Timur'!O24+Berau!O24+PPU!O24+Samarinda!O24+Balikpapan!O24+Bontang!N24+Mahulu!M24</f>
        <v>112</v>
      </c>
      <c r="O24" s="2">
        <f>Paser!O24+'Kutai Barat'!O24+'Kutai Kertanegara'!P24+'Kutai Timur'!P24+Berau!P24+PPU!P24+Samarinda!P24+Balikpapan!P24+Bontang!O24+Mahulu!N24</f>
        <v>8560.2883008000008</v>
      </c>
      <c r="P24" s="2">
        <f>Paser!P24+'Kutai Barat'!P24+'Kutai Kertanegara'!Q24+'Kutai Timur'!Q24+Berau!Q24+PPU!Q24+Samarinda!Q24+Balikpapan!Q24+Bontang!P24+Mahulu!O24</f>
        <v>68705.233794240004</v>
      </c>
      <c r="Q24" s="2">
        <f>Paser!Q24+'Kutai Barat'!Q24+'Kutai Kertanegara'!R24+'Kutai Timur'!R24+Berau!R24+PPU!R24+Samarinda!R24+Balikpapan!R24+Bontang!Q24+Mahulu!P24</f>
        <v>148.72399999999999</v>
      </c>
      <c r="R24" s="2">
        <f>Paser!R24+'Kutai Barat'!R24+'Kutai Kertanegara'!S24+'Kutai Timur'!S24+Berau!S24+PPU!S24+Samarinda!S24+Balikpapan!S24+Bontang!R24+Mahulu!Q24</f>
        <v>70587.819825600003</v>
      </c>
      <c r="S24" s="2">
        <f>Paser!S24+'Kutai Barat'!S24+'Kutai Kertanegara'!T24+'Kutai Timur'!T24+Berau!T24+PPU!T24+Samarinda!T24+Balikpapan!T24+Bontang!S24+Mahulu!R24</f>
        <v>0</v>
      </c>
      <c r="T24" s="2">
        <f>Paser!T24+'Kutai Barat'!T24+'Kutai Kertanegara'!U24+'Kutai Timur'!U24+Berau!U24+PPU!U24+Samarinda!U24+Balikpapan!U24+Bontang!T24+Mahulu!S24</f>
        <v>7205136.8598086406</v>
      </c>
      <c r="U24" s="2">
        <f>Paser!U24+'Kutai Barat'!U24+'Kutai Kertanegara'!V24+'Kutai Timur'!V24+Berau!V24+PPU!V24+Samarinda!V24+Balikpapan!V24+Bontang!U24+Mahulu!T24</f>
        <v>54800219.411792323</v>
      </c>
      <c r="V24" s="2">
        <f>Paser!V24+'Kutai Barat'!V24+'Kutai Kertanegara'!W24+'Kutai Timur'!W24+Berau!W24+PPU!W24+Samarinda!W24+Balikpapan!W24+Bontang!V24+Mahulu!U24</f>
        <v>1390385.8840999999</v>
      </c>
      <c r="W24" s="2">
        <f>Paser!W24+'Kutai Barat'!W24+'Kutai Kertanegara'!X24+'Kutai Timur'!X24+Berau!X24+PPU!X24+Samarinda!X24+Balikpapan!X24+Bontang!W24+Mahulu!V24</f>
        <v>253310.93057200001</v>
      </c>
      <c r="Y24" s="78">
        <f>Paser!Y24+'Kutai Barat'!Y24+'Kutai Kertanegara'!Z24+'Kutai Timur'!Z24+Berau!Z24+PPU!Z24+Samarinda!Z24+Balikpapan!Z24+Bontang!Y24+Mahulu!X24</f>
        <v>1927.3049999999998</v>
      </c>
      <c r="Z24" s="78">
        <f>Paser!Z24+'Kutai Barat'!Z24+'Kutai Kertanegara'!AA24+'Kutai Timur'!AA24+Berau!AA24+PPU!AA24+Samarinda!AA24+Balikpapan!AA24+Bontang!Z24+Mahulu!Y24</f>
        <v>2109.8379999999997</v>
      </c>
      <c r="AA24" s="78">
        <f>Paser!AA24+'Kutai Barat'!AA24+'Kutai Kertanegara'!AB24+'Kutai Timur'!AB24+Berau!AB24+PPU!AB24+Samarinda!AB24+Balikpapan!AB24+Bontang!AA24+Mahulu!Z24</f>
        <v>882.80909999999994</v>
      </c>
      <c r="AB24" s="78">
        <f>Paser!AB24+'Kutai Barat'!AB24+'Kutai Kertanegara'!AC24+'Kutai Timur'!AC24+Berau!AC24+PPU!AC24+Samarinda!AC24+Balikpapan!AC24+Bontang!AB24+Mahulu!AA24</f>
        <v>591.07079999999996</v>
      </c>
      <c r="AC24" s="78">
        <f>Paser!AC24+'Kutai Barat'!AC24+'Kutai Kertanegara'!AD24+'Kutai Timur'!AD24+Berau!AD24+PPU!AD24+Samarinda!AD24+Balikpapan!AD24+Bontang!AC24+Mahulu!AB24</f>
        <v>1626.4320000000002</v>
      </c>
      <c r="AD24" s="78">
        <f>Paser!AD24+'Kutai Barat'!AD24+'Kutai Kertanegara'!AE24+'Kutai Timur'!AE24+Berau!AE24+PPU!AE24+Samarinda!AE24+Balikpapan!AE24+Bontang!AD24+Mahulu!AC24</f>
        <v>85</v>
      </c>
      <c r="AE24" s="30">
        <f t="shared" si="7"/>
        <v>7222.4549000000006</v>
      </c>
    </row>
    <row r="25" spans="1:31" x14ac:dyDescent="0.25">
      <c r="A25" s="66">
        <v>2020</v>
      </c>
      <c r="B25" s="2">
        <f>Paser!B25+'Kutai Barat'!B25+'Kutai Kertanegara'!B25+'Kutai Timur'!B25+Berau!B25+PPU!B25+Samarinda!B25+Balikpapan!B25+Bontang!B25+Mahulu!B25</f>
        <v>82675.397549932226</v>
      </c>
      <c r="C25" s="76">
        <f t="shared" si="3"/>
        <v>37.311908314309292</v>
      </c>
      <c r="D25" s="2">
        <f>Paser!D25+'Kutai Barat'!D25+'Kutai Kertanegara'!D25+'Kutai Timur'!D25+Berau!D25+PPU!D25+Samarinda!D25+Balikpapan!D25+Bontang!D25+Mahulu!D25</f>
        <v>308477.68532321427</v>
      </c>
      <c r="G25" s="2">
        <f>Paser!G25+'Kutai Barat'!G25+'Kutai Kertanegara'!G25+'Kutai Timur'!G25+Berau!G25+PPU!G25+Samarinda!G25+Balikpapan!G25+Bontang!G25+Mahulu!G25</f>
        <v>31914.383868932044</v>
      </c>
      <c r="I25" s="2">
        <f>Paser!I25+'Kutai Barat'!I25+'Kutai Kertanegara'!I25+'Kutai Timur'!I25+Berau!I25+PPU!I25+Samarinda!I25+Balikpapan!I25+Bontang!I25+Mahulu!I25</f>
        <v>28304.834172953892</v>
      </c>
      <c r="M25" s="53">
        <f>Paser!M25+'Kutai Barat'!M25+'Kutai Kertanegara'!N25+'Kutai Timur'!N25+Berau!N25+PPU!N25+Samarinda!N25+Balikpapan!N25+Bontang!M25+Mahulu!L25</f>
        <v>162238.37621170568</v>
      </c>
      <c r="N25" s="2">
        <f>Paser!N25+'Kutai Barat'!N25+'Kutai Kertanegara'!O25+'Kutai Timur'!O25+Berau!O25+PPU!O25+Samarinda!O25+Balikpapan!O25+Bontang!N25+Mahulu!M25</f>
        <v>131</v>
      </c>
      <c r="O25" s="2">
        <f>Paser!O25+'Kutai Barat'!O25+'Kutai Kertanegara'!P25+'Kutai Timur'!P25+Berau!P25+PPU!P25+Samarinda!P25+Balikpapan!P25+Bontang!O25+Mahulu!N25</f>
        <v>9152.6840068160018</v>
      </c>
      <c r="P25" s="2">
        <f>Paser!P25+'Kutai Barat'!P25+'Kutai Kertanegara'!Q25+'Kutai Timur'!Q25+Berau!Q25+PPU!Q25+Samarinda!Q25+Balikpapan!Q25+Bontang!P25+Mahulu!O25</f>
        <v>71368.72287012478</v>
      </c>
      <c r="Q25" s="2">
        <f>Paser!Q25+'Kutai Barat'!Q25+'Kutai Kertanegara'!R25+'Kutai Timur'!R25+Berau!R25+PPU!R25+Samarinda!R25+Balikpapan!R25+Bontang!Q25+Mahulu!P25</f>
        <v>167.39019999999999</v>
      </c>
      <c r="R25" s="2">
        <f>Paser!R25+'Kutai Barat'!R25+'Kutai Kertanegara'!S25+'Kutai Timur'!S25+Berau!S25+PPU!S25+Samarinda!S25+Balikpapan!S25+Bontang!R25+Mahulu!Q25</f>
        <v>73486.883422112005</v>
      </c>
      <c r="S25" s="2">
        <f>Paser!S25+'Kutai Barat'!S25+'Kutai Kertanegara'!T25+'Kutai Timur'!T25+Berau!T25+PPU!T25+Samarinda!T25+Balikpapan!T25+Bontang!S25+Mahulu!R25</f>
        <v>0</v>
      </c>
      <c r="T25" s="2">
        <f>Paser!T25+'Kutai Barat'!T25+'Kutai Kertanegara'!U25+'Kutai Timur'!U25+Berau!U25+PPU!U25+Samarinda!U25+Balikpapan!U25+Bontang!T25+Mahulu!S25</f>
        <v>7770948.3925888138</v>
      </c>
      <c r="U25" s="2">
        <f>Paser!U25+'Kutai Barat'!U25+'Kutai Kertanegara'!V25+'Kutai Timur'!V25+Berau!V25+PPU!V25+Samarinda!V25+Balikpapan!V25+Bontang!U25+Mahulu!T25</f>
        <v>57099198.662548169</v>
      </c>
      <c r="V25" s="2">
        <f>Paser!V25+'Kutai Barat'!V25+'Kutai Kertanegara'!W25+'Kutai Timur'!W25+Berau!W25+PPU!W25+Samarinda!W25+Balikpapan!W25+Bontang!V25+Mahulu!U25</f>
        <v>1459348.73251</v>
      </c>
      <c r="W25" s="2">
        <f>Paser!W25+'Kutai Barat'!W25+'Kutai Kertanegara'!X25+'Kutai Timur'!X25+Berau!X25+PPU!X25+Samarinda!X25+Balikpapan!X25+Bontang!W25+Mahulu!V25</f>
        <v>273944.85087143996</v>
      </c>
      <c r="Y25" s="78">
        <f>Paser!Y25+'Kutai Barat'!Y25+'Kutai Kertanegara'!Z25+'Kutai Timur'!Z25+Berau!Z25+PPU!Z25+Samarinda!Z25+Balikpapan!Z25+Bontang!Y25+Mahulu!X25</f>
        <v>2533.0199999999991</v>
      </c>
      <c r="Z25" s="78">
        <f>Paser!Z25+'Kutai Barat'!Z25+'Kutai Kertanegara'!AA25+'Kutai Timur'!AA25+Berau!AA25+PPU!AA25+Samarinda!AA25+Balikpapan!AA25+Bontang!Z25+Mahulu!Y25</f>
        <v>2450.2719999999999</v>
      </c>
      <c r="AA25" s="78">
        <f>Paser!AA25+'Kutai Barat'!AA25+'Kutai Kertanegara'!AB25+'Kutai Timur'!AB25+Berau!AB25+PPU!AB25+Samarinda!AB25+Balikpapan!AB25+Bontang!AA25+Mahulu!Z25</f>
        <v>951.23239999999998</v>
      </c>
      <c r="AB25" s="78">
        <f>Paser!AB25+'Kutai Barat'!AB25+'Kutai Kertanegara'!AC25+'Kutai Timur'!AC25+Berau!AC25+PPU!AC25+Samarinda!AC25+Balikpapan!AC25+Bontang!AB25+Mahulu!AA25</f>
        <v>623.57119999999998</v>
      </c>
      <c r="AC25" s="78">
        <f>Paser!AC25+'Kutai Barat'!AC25+'Kutai Kertanegara'!AD25+'Kutai Timur'!AD25+Berau!AD25+PPU!AD25+Samarinda!AD25+Balikpapan!AD25+Bontang!AC25+Mahulu!AB25</f>
        <v>1944.1480000000001</v>
      </c>
      <c r="AD25" s="78">
        <f>Paser!AD25+'Kutai Barat'!AD25+'Kutai Kertanegara'!AE25+'Kutai Timur'!AE25+Berau!AE25+PPU!AE25+Samarinda!AE25+Balikpapan!AE25+Bontang!AD25+Mahulu!AC25</f>
        <v>90</v>
      </c>
      <c r="AE25" s="30">
        <f t="shared" si="7"/>
        <v>8592.2435999999998</v>
      </c>
    </row>
    <row r="26" spans="1:31" x14ac:dyDescent="0.25">
      <c r="A26" s="66">
        <v>2021</v>
      </c>
      <c r="B26" s="2">
        <f>Paser!B26+'Kutai Barat'!B26+'Kutai Kertanegara'!B26+'Kutai Timur'!B26+Berau!B26+PPU!B26+Samarinda!B26+Balikpapan!B26+Bontang!B26+Mahulu!B26</f>
        <v>85751.294918429601</v>
      </c>
      <c r="C26" s="76">
        <f t="shared" si="3"/>
        <v>44.891233925793344</v>
      </c>
      <c r="D26" s="2">
        <f>Paser!D26+'Kutai Barat'!D26+'Kutai Kertanegara'!D26+'Kutai Timur'!D26+Berau!D26+PPU!D26+Samarinda!D26+Balikpapan!D26+Bontang!D26+Mahulu!D26</f>
        <v>384948.14396229171</v>
      </c>
      <c r="G26" s="2">
        <f>Paser!G26+'Kutai Barat'!G26+'Kutai Kertanegara'!G26+'Kutai Timur'!G26+Berau!G26+PPU!G26+Samarinda!G26+Balikpapan!G26+Bontang!G26+Mahulu!G26</f>
        <v>32569.889165189779</v>
      </c>
      <c r="I26" s="2">
        <f>Paser!I26+'Kutai Barat'!I26+'Kutai Kertanegara'!I26+'Kutai Timur'!I26+Berau!I26+PPU!I26+Samarinda!I26+Balikpapan!I26+Bontang!I26+Mahulu!I26</f>
        <v>30884.91124857865</v>
      </c>
      <c r="M26" s="53">
        <f>Paser!M26+'Kutai Barat'!M26+'Kutai Kertanegara'!N26+'Kutai Timur'!N26+Berau!N26+PPU!N26+Samarinda!N26+Balikpapan!N26+Bontang!M26+Mahulu!L26</f>
        <v>173916.46350102808</v>
      </c>
      <c r="N26" s="2">
        <f>Paser!N26+'Kutai Barat'!N26+'Kutai Kertanegara'!O26+'Kutai Timur'!O26+Berau!O26+PPU!O26+Samarinda!O26+Balikpapan!O26+Bontang!N26+Mahulu!M26</f>
        <v>147</v>
      </c>
      <c r="O26" s="2">
        <f>Paser!O26+'Kutai Barat'!O26+'Kutai Kertanegara'!P26+'Kutai Timur'!P26+Berau!P26+PPU!P26+Samarinda!P26+Balikpapan!P26+Bontang!O26+Mahulu!N26</f>
        <v>9799.7207289523194</v>
      </c>
      <c r="P26" s="2">
        <f>Paser!P26+'Kutai Barat'!P26+'Kutai Kertanegara'!Q26+'Kutai Timur'!Q26+Berau!Q26+PPU!Q27+Samarinda!Q26+Balikpapan!Q26+Bontang!P26+Mahulu!O26</f>
        <v>74329.792547527293</v>
      </c>
      <c r="Q26" s="2">
        <f>Paser!Q26+'Kutai Barat'!Q26+'Kutai Kertanegara'!R26+'Kutai Timur'!R26+Berau!R26+PPU!R27+Samarinda!R26+Balikpapan!R26+Bontang!Q26+Mahulu!P26</f>
        <v>189.0564</v>
      </c>
      <c r="R26" s="2">
        <f>Paser!R26+'Kutai Barat'!R26+'Kutai Kertanegara'!S26+'Kutai Timur'!S26+Berau!S26+PPU!S27+Samarinda!S26+Balikpapan!S26+Bontang!R26+Mahulu!Q26</f>
        <v>76657.900750554239</v>
      </c>
      <c r="S26" s="2">
        <f>Paser!S26+'Kutai Barat'!S26+'Kutai Kertanegara'!T26+'Kutai Timur'!T26+Berau!T26+PPU!T27+Samarinda!T26+Balikpapan!T26+Bontang!S26+Mahulu!R26</f>
        <v>0</v>
      </c>
      <c r="T26" s="2">
        <f>Paser!T26+'Kutai Barat'!T26+'Kutai Kertanegara'!U26+'Kutai Timur'!U26+Berau!U26+PPU!U27+Samarinda!U26+Balikpapan!U26+Bontang!T26+Mahulu!S26</f>
        <v>8387053.1655829893</v>
      </c>
      <c r="U26" s="2">
        <f>Paser!U26+'Kutai Barat'!U26+'Kutai Kertanegara'!V26+'Kutai Timur'!V26+Berau!V26+PPU!V27+Samarinda!V26+Balikpapan!V26+Bontang!U26+Mahulu!T26</f>
        <v>59196524.770571128</v>
      </c>
      <c r="V26" s="2">
        <f>Paser!V26+'Kutai Barat'!V26+'Kutai Kertanegara'!W26+'Kutai Timur'!W26+Berau!W26+PPU!W27+Samarinda!W26+Balikpapan!W26+Bontang!V26+Mahulu!U26</f>
        <v>1523252.8057610001</v>
      </c>
      <c r="W26" s="2">
        <f>Paser!W26+'Kutai Barat'!W26+'Kutai Kertanegara'!X26+'Kutai Timur'!X26+Berau!X26+PPU!X27+Samarinda!X26+Balikpapan!X26+Bontang!W26+Mahulu!V26</f>
        <v>297307.32754566876</v>
      </c>
      <c r="Y26" s="78">
        <f>Paser!Y26+'Kutai Barat'!Y26+'Kutai Kertanegara'!Z26+'Kutai Timur'!Z26+Berau!Z26+PPU!Z26+Samarinda!Z26+Balikpapan!Z26+Bontang!Y26+Mahulu!X26</f>
        <v>3119.5450000000005</v>
      </c>
      <c r="Z26" s="78">
        <f>Paser!Z26+'Kutai Barat'!Z26+'Kutai Kertanegara'!AA26+'Kutai Timur'!AA26+Berau!AA26+PPU!AA26+Samarinda!AA26+Balikpapan!AA26+Bontang!Z26+Mahulu!Y26</f>
        <v>2804.3020000000001</v>
      </c>
      <c r="AA26" s="78">
        <f>Paser!AA26+'Kutai Barat'!AA26+'Kutai Kertanegara'!AB26+'Kutai Timur'!AB26+Berau!AB26+PPU!AB26+Samarinda!AB26+Balikpapan!AB26+Bontang!AA26+Mahulu!Z26</f>
        <v>1026.3698999999999</v>
      </c>
      <c r="AB26" s="78">
        <f>Paser!AB26+'Kutai Barat'!AB26+'Kutai Kertanegara'!AC26+'Kutai Timur'!AC26+Berau!AC26+PPU!AC26+Samarinda!AC26+Balikpapan!AC26+Bontang!AB26+Mahulu!AA26</f>
        <v>661.38120000000004</v>
      </c>
      <c r="AC26" s="78">
        <f>Paser!AC26+'Kutai Barat'!AC26+'Kutai Kertanegara'!AD26+'Kutai Timur'!AD26+Berau!AD26+PPU!AD26+Samarinda!AD26+Balikpapan!AD26+Bontang!AC26+Mahulu!AB26</f>
        <v>2300.8880000000004</v>
      </c>
      <c r="AD26" s="78">
        <f>Paser!AD26+'Kutai Barat'!AD26+'Kutai Kertanegara'!AE26+'Kutai Timur'!AE26+Berau!AE26+PPU!AE26+Samarinda!AE26+Balikpapan!AE26+Bontang!AD26+Mahulu!AC26</f>
        <v>90</v>
      </c>
      <c r="AE26" s="30">
        <f t="shared" si="7"/>
        <v>10002.4861</v>
      </c>
    </row>
    <row r="27" spans="1:31" x14ac:dyDescent="0.25">
      <c r="A27" s="7">
        <v>2022</v>
      </c>
      <c r="B27" s="2">
        <f>Paser!B27+'Kutai Barat'!B27+'Kutai Kertanegara'!B27+'Kutai Timur'!B27+Berau!B27+PPU!B27+Samarinda!B27+Balikpapan!B27+Bontang!B27+Mahulu!B27</f>
        <v>90818.919350152602</v>
      </c>
      <c r="C27" s="76">
        <f t="shared" si="3"/>
        <v>41.277401843691464</v>
      </c>
      <c r="D27" s="2">
        <f>Paser!D27+'Kutai Barat'!D27+'Kutai Kertanegara'!D27+'Kutai Timur'!D27+Berau!D27+PPU!D27+Samarinda!D27+Balikpapan!D27+Bontang!D27+Mahulu!D27</f>
        <v>374876.90290260554</v>
      </c>
      <c r="G27" s="2">
        <f>Paser!G27+'Kutai Barat'!G27+'Kutai Kertanegara'!G27+'Kutai Timur'!G27+Berau!G27+PPU!G27+Samarinda!G27+Balikpapan!G27+Bontang!G27+Mahulu!G27</f>
        <v>32881.977303256259</v>
      </c>
      <c r="I27" s="2">
        <f>Paser!I27+'Kutai Barat'!I27+'Kutai Kertanegara'!I27+'Kutai Timur'!I27+Berau!I27+PPU!I27+Samarinda!I27+Balikpapan!I27+Bontang!I27+Mahulu!I27</f>
        <v>33637.751952667444</v>
      </c>
      <c r="M27" s="53">
        <f>Paser!M27+'Kutai Barat'!M27+'Kutai Kertanegara'!N27+'Kutai Timur'!N27+Berau!N27+PPU!N27+Samarinda!N27+Balikpapan!N27+Bontang!M27+Mahulu!L27</f>
        <v>185594.55079035065</v>
      </c>
      <c r="N27" s="2">
        <f>Paser!N27+'Kutai Barat'!N27+'Kutai Kertanegara'!O27+'Kutai Timur'!O27+Berau!O27+PPU!O27+Samarinda!O27+Balikpapan!O27+Bontang!N27+Mahulu!M27</f>
        <v>152</v>
      </c>
      <c r="O27" s="2">
        <f>Paser!O27+'Kutai Barat'!O27+'Kutai Kertanegara'!P27+'Kutai Timur'!P27+Berau!P27+PPU!P27+Samarinda!P27+Balikpapan!P27+Bontang!O27+Mahulu!N27</f>
        <v>10404.856087531363</v>
      </c>
      <c r="P27" s="2">
        <f>Paser!P27+'Kutai Barat'!P27+'Kutai Kertanegara'!Q27+'Kutai Timur'!Q27+Berau!Q27+PPU!Q28+Samarinda!Q27+Balikpapan!Q27+Bontang!P27+Mahulu!O27</f>
        <v>77531.694038477843</v>
      </c>
      <c r="Q27" s="2">
        <f>Paser!Q27+'Kutai Barat'!Q27+'Kutai Kertanegara'!R27+'Kutai Timur'!R27+Berau!R27+PPU!R28+Samarinda!R27+Balikpapan!R27+Bontang!Q27+Mahulu!P27</f>
        <v>214.92259999999999</v>
      </c>
      <c r="R27" s="2">
        <f>Paser!R27+'Kutai Barat'!R27+'Kutai Kertanegara'!S27+'Kutai Timur'!S27+Berau!S27+PPU!S28+Samarinda!S27+Balikpapan!S27+Bontang!R27+Mahulu!Q27</f>
        <v>79685.146485565332</v>
      </c>
      <c r="S27" s="2">
        <f>Paser!S27+'Kutai Barat'!S27+'Kutai Kertanegara'!T27+'Kutai Timur'!T27+Berau!T27+PPU!T28+Samarinda!T27+Balikpapan!T27+Bontang!S27+Mahulu!R27</f>
        <v>0</v>
      </c>
      <c r="T27" s="2">
        <f>Paser!T27+'Kutai Barat'!T27+'Kutai Kertanegara'!U27+'Kutai Timur'!U27+Berau!U27+PPU!U28+Samarinda!U27+Balikpapan!U27+Bontang!T27+Mahulu!S27</f>
        <v>9043538.36395129</v>
      </c>
      <c r="U27" s="2">
        <f>Paser!U27+'Kutai Barat'!U27+'Kutai Kertanegara'!V27+'Kutai Timur'!V27+Berau!V27+PPU!V28+Samarinda!V27+Balikpapan!V27+Bontang!U27+Mahulu!T27</f>
        <v>61363861.51823175</v>
      </c>
      <c r="V27" s="2">
        <f>Paser!V27+'Kutai Barat'!V27+'Kutai Kertanegara'!W27+'Kutai Timur'!W27+Berau!W27+PPU!W28+Samarinda!W27+Balikpapan!W27+Bontang!V27+Mahulu!U27</f>
        <v>1583298.3263371</v>
      </c>
      <c r="W27" s="2">
        <f>Paser!W27+'Kutai Barat'!W27+'Kutai Kertanegara'!X27+'Kutai Timur'!X27+Berau!X27+PPU!X28+Samarinda!X27+Balikpapan!X27+Bontang!W27+Mahulu!V27</f>
        <v>322234.44742906216</v>
      </c>
      <c r="Y27" s="78">
        <f>Paser!Y27+'Kutai Barat'!Y27+'Kutai Kertanegara'!Z27+'Kutai Timur'!Z27+Berau!Z27+PPU!Z27+Samarinda!Z27+Balikpapan!Z27+Bontang!Y27+Mahulu!X27</f>
        <v>3797.1840000000007</v>
      </c>
      <c r="Z27" s="78">
        <f>Paser!Z27+'Kutai Barat'!Z27+'Kutai Kertanegara'!AA27+'Kutai Timur'!AA27+Berau!AA27+PPU!AA27+Samarinda!AA27+Balikpapan!AA27+Bontang!Z27+Mahulu!Y27</f>
        <v>3242.1231999999995</v>
      </c>
      <c r="AA27" s="78">
        <f>Paser!AA27+'Kutai Barat'!AA27+'Kutai Kertanegara'!AB27+'Kutai Timur'!AB27+Berau!AB27+PPU!AB27+Samarinda!AB27+Balikpapan!AB27+Bontang!AA27+Mahulu!Z27</f>
        <v>1083.9137999999998</v>
      </c>
      <c r="AB27" s="78">
        <f>Paser!AB27+'Kutai Barat'!AB27+'Kutai Kertanegara'!AC27+'Kutai Timur'!AC27+Berau!AC27+PPU!AC27+Samarinda!AC27+Balikpapan!AC27+Bontang!AB27+Mahulu!AA27</f>
        <v>713.25959999999975</v>
      </c>
      <c r="AC27" s="78">
        <f>Paser!AC27+'Kutai Barat'!AC27+'Kutai Kertanegara'!AD27+'Kutai Timur'!AD27+Berau!AD27+PPU!AD27+Samarinda!AD27+Balikpapan!AD27+Bontang!AC27+Mahulu!AB27</f>
        <v>2697.7689999999998</v>
      </c>
      <c r="AD27" s="78">
        <f>Paser!AD27+'Kutai Barat'!AD27+'Kutai Kertanegara'!AE27+'Kutai Timur'!AE27+Berau!AE27+PPU!AE27+Samarinda!AE27+Balikpapan!AE27+Bontang!AD27+Mahulu!AC27</f>
        <v>112.04200000000002</v>
      </c>
      <c r="AE27" s="30">
        <f t="shared" si="7"/>
        <v>11646.291599999999</v>
      </c>
    </row>
    <row r="28" spans="1:31" x14ac:dyDescent="0.25">
      <c r="A28" s="7">
        <v>2023</v>
      </c>
      <c r="B28" s="2">
        <f>Paser!B28+'Kutai Barat'!B28+'Kutai Kertanegara'!B28+'Kutai Timur'!B28+Berau!B28+PPU!B28+Samarinda!B28+Balikpapan!B28+Bontang!B28+Mahulu!B28</f>
        <v>94905.936243703647</v>
      </c>
      <c r="C28" s="76">
        <f t="shared" si="3"/>
        <v>44.350409677056732</v>
      </c>
      <c r="D28" s="2">
        <f>Paser!D28+'Kutai Barat'!D28+'Kutai Kertanegara'!D28+'Kutai Timur'!D28+Berau!D28+PPU!D28+Samarinda!D28+Balikpapan!D28+Bontang!D28+Mahulu!D28</f>
        <v>420911.71531928837</v>
      </c>
      <c r="G28" s="2">
        <f>Paser!G28+'Kutai Barat'!G28+'Kutai Kertanegara'!G28+'Kutai Timur'!G28+Berau!G28+PPU!G28+Samarinda!G28+Balikpapan!G28+Bontang!G28+Mahulu!G28</f>
        <v>33801.028457242021</v>
      </c>
      <c r="I28" s="2">
        <f>Paser!I28+'Kutai Barat'!I28+'Kutai Kertanegara'!I28+'Kutai Timur'!I28+Berau!I28+PPU!I28+Samarinda!I28+Balikpapan!I28+Bontang!I28+Mahulu!I28</f>
        <v>36635.959460018013</v>
      </c>
      <c r="M28" s="53">
        <f>Paser!M28+'Kutai Barat'!M28+'Kutai Kertanegara'!N28+'Kutai Timur'!N28+Berau!N28+PPU!N28+Samarinda!N28+Balikpapan!N28+Bontang!M28+Mahulu!L28</f>
        <v>197272.63807967308</v>
      </c>
      <c r="N28" s="2">
        <f>Paser!N28+'Kutai Barat'!N28+'Kutai Kertanegara'!O28+'Kutai Timur'!O28+Berau!O28+PPU!O28+Samarinda!O28+Balikpapan!O28+Bontang!N28+Mahulu!M28</f>
        <v>155</v>
      </c>
      <c r="O28" s="2">
        <f>Paser!O28+'Kutai Barat'!O28+'Kutai Kertanegara'!P28+'Kutai Timur'!P28+Berau!P28+PPU!P28+Samarinda!P28+Balikpapan!P28+Bontang!O28+Mahulu!N28</f>
        <v>11052.820355281994</v>
      </c>
      <c r="P28" s="2">
        <f>Paser!P28+'Kutai Barat'!P28+'Kutai Kertanegara'!Q28+'Kutai Timur'!Q28+Berau!Q28+PPU!Q28+Samarinda!Q28+Balikpapan!Q28+Bontang!P28+Mahulu!O28</f>
        <v>81008.239579247398</v>
      </c>
      <c r="Q28" s="2">
        <f>Paser!Q28+'Kutai Barat'!Q28+'Kutai Kertanegara'!R28+'Kutai Timur'!R28+Berau!R28+PPU!R28+Samarinda!R28+Balikpapan!R28+Bontang!Q28+Mahulu!P28</f>
        <v>245.4288</v>
      </c>
      <c r="R28" s="2">
        <f>Paser!R28+'Kutai Barat'!R28+'Kutai Kertanegara'!S28+'Kutai Timur'!S28+Berau!S28+PPU!S28+Samarinda!S28+Balikpapan!S28+Bontang!R28+Mahulu!Q28</f>
        <v>82459.080795276634</v>
      </c>
      <c r="S28" s="2">
        <f>Paser!S28+'Kutai Barat'!S28+'Kutai Kertanegara'!T28+'Kutai Timur'!T28+Berau!T28+PPU!T28+Samarinda!T28+Balikpapan!T28+Bontang!S28+Mahulu!R28</f>
        <v>0</v>
      </c>
      <c r="T28" s="2">
        <f>Paser!T28+'Kutai Barat'!T28+'Kutai Kertanegara'!U28+'Kutai Timur'!U28+Berau!U28+PPU!U29+Samarinda!U28+Balikpapan!U28+Bontang!T28+Mahulu!S28</f>
        <v>9744287.6645926181</v>
      </c>
      <c r="U28" s="2">
        <f>Paser!U28+'Kutai Barat'!U28+'Kutai Kertanegara'!V28+'Kutai Timur'!V28+Berau!V28+PPU!V29+Samarinda!V28+Balikpapan!V28+Bontang!U28+Mahulu!T28</f>
        <v>63569422.138070509</v>
      </c>
      <c r="V28" s="2">
        <f>Paser!V28+'Kutai Barat'!V28+'Kutai Kertanegara'!W28+'Kutai Timur'!W28+Berau!W28+PPU!W29+Samarinda!W28+Balikpapan!W28+Bontang!V28+Mahulu!U28</f>
        <v>1643140.8389708099</v>
      </c>
      <c r="W28" s="2">
        <f>Paser!W28+'Kutai Barat'!W28+'Kutai Kertanegara'!X28+'Kutai Timur'!X28+Berau!X28+PPU!X29+Samarinda!X28+Balikpapan!X28+Bontang!W28+Mahulu!V28</f>
        <v>349390.99490337132</v>
      </c>
      <c r="Y28" s="78">
        <f>Paser!Y28+'Kutai Barat'!Y28+'Kutai Kertanegara'!Z28+'Kutai Timur'!Z28+Berau!Z28+PPU!Z28+Samarinda!Z28+Balikpapan!Z28+Bontang!Y28+Mahulu!X28</f>
        <v>4575.8450000000003</v>
      </c>
      <c r="Z28" s="78">
        <f>Paser!Z28+'Kutai Barat'!Z28+'Kutai Kertanegara'!AA28+'Kutai Timur'!AA28+Berau!AA28+PPU!AA28+Samarinda!AA28+Balikpapan!AA28+Bontang!Z28+Mahulu!Y28</f>
        <v>3727.6799999999994</v>
      </c>
      <c r="AA28" s="78">
        <f>Paser!AA28+'Kutai Barat'!AA28+'Kutai Kertanegara'!AB28+'Kutai Timur'!AB28+Berau!AB28+PPU!AB28+Samarinda!AB28+Balikpapan!AB28+Bontang!AA28+Mahulu!Z28</f>
        <v>1183.183</v>
      </c>
      <c r="AB28" s="78">
        <f>Paser!AB28+'Kutai Barat'!AB28+'Kutai Kertanegara'!AC28+'Kutai Timur'!AC28+Berau!AC28+PPU!AC28+Samarinda!AC28+Balikpapan!AC28+Bontang!AB28+Mahulu!AA28</f>
        <v>772.04749999999979</v>
      </c>
      <c r="AC28" s="78">
        <f>Paser!AC28+'Kutai Barat'!AC28+'Kutai Kertanegara'!AD28+'Kutai Timur'!AD28+Berau!AD28+PPU!AD28+Samarinda!AD28+Balikpapan!AD28+Bontang!AC28+Mahulu!AB28</f>
        <v>3142.5624999999995</v>
      </c>
      <c r="AD28" s="78">
        <f>Paser!AD28+'Kutai Barat'!AD28+'Kutai Kertanegara'!AE28+'Kutai Timur'!AE28+Berau!AE28+PPU!AE28+Samarinda!AE28+Balikpapan!AE28+Bontang!AD28+Mahulu!AC28</f>
        <v>127.58299999999998</v>
      </c>
      <c r="AE28" s="30">
        <f t="shared" si="7"/>
        <v>13528.901</v>
      </c>
    </row>
    <row r="29" spans="1:31" x14ac:dyDescent="0.25">
      <c r="A29" s="7">
        <v>2024</v>
      </c>
      <c r="B29" s="2">
        <f>Paser!B29+'Kutai Barat'!B29+'Kutai Kertanegara'!B29+'Kutai Timur'!B29+Berau!B29+PPU!B29+Samarinda!B29+Balikpapan!B29+Bontang!B29+Mahulu!B29</f>
        <v>99255.56201379883</v>
      </c>
      <c r="C29" s="76">
        <f t="shared" si="3"/>
        <v>47.618235286476121</v>
      </c>
      <c r="D29" s="2">
        <f>Paser!D29+'Kutai Barat'!D29+'Kutai Kertanegara'!D29+'Kutai Timur'!D29+Berau!D29+PPU!D29+Samarinda!D29+Balikpapan!D29+Bontang!D29+Mahulu!D29</f>
        <v>472637.47054644948</v>
      </c>
      <c r="G29" s="2">
        <f>Paser!G29+'Kutai Barat'!G29+'Kutai Kertanegara'!G29+'Kutai Timur'!G29+Berau!G29+PPU!G29+Samarinda!G29+Balikpapan!G29+Bontang!G29+Mahulu!G29</f>
        <v>34778.906847065678</v>
      </c>
      <c r="I29" s="2">
        <f>Paser!I29+'Kutai Barat'!I29+'Kutai Kertanegara'!I29+'Kutai Timur'!I29+Berau!I29+PPU!I29+Samarinda!I29+Balikpapan!I29+Bontang!I29+Mahulu!I29</f>
        <v>39901.403858519421</v>
      </c>
      <c r="M29" s="53">
        <f>Paser!M29+'Kutai Barat'!M29+'Kutai Kertanegara'!N29+'Kutai Timur'!N29+Berau!N29+PPU!N29+Samarinda!N29+Balikpapan!N29+Bontang!M29+Mahulu!L29</f>
        <v>208950.72536899557</v>
      </c>
      <c r="N29" s="2">
        <f>Paser!N29+'Kutai Barat'!N29+'Kutai Kertanegara'!O29+'Kutai Timur'!O29+Berau!O29+PPU!O29+Samarinda!O29+Balikpapan!O29+Bontang!N29+Mahulu!M29</f>
        <v>159</v>
      </c>
      <c r="O29" s="2">
        <f>Paser!O29+'Kutai Barat'!O29+'Kutai Kertanegara'!P29+'Kutai Timur'!P29+Berau!P29+PPU!P29+Samarinda!P29+Balikpapan!P29+Bontang!O29+Mahulu!N29</f>
        <v>11745.730085387635</v>
      </c>
      <c r="P29" s="2">
        <f>Paser!P29+'Kutai Barat'!P29+'Kutai Kertanegara'!Q29+'Kutai Timur'!Q29+Berau!Q29+PPU!Q29+Samarinda!Q29+Balikpapan!Q29+Bontang!P29+Mahulu!O29</f>
        <v>84708.630450832352</v>
      </c>
      <c r="Q29" s="2">
        <f>Paser!Q29+'Kutai Barat'!Q29+'Kutai Kertanegara'!R29+'Kutai Timur'!R29+Berau!R29+PPU!R29+Samarinda!R29+Balikpapan!R29+Bontang!Q29+Mahulu!P29</f>
        <v>281.50299999999999</v>
      </c>
      <c r="R29" s="2">
        <f>Paser!R29+'Kutai Barat'!R29+'Kutai Kertanegara'!S29+'Kutai Timur'!S29+Berau!S29+PPU!S29+Samarinda!S29+Balikpapan!S29+Bontang!R29+Mahulu!Q29</f>
        <v>86295.993051182159</v>
      </c>
      <c r="S29" s="2">
        <f>Paser!S29+'Kutai Barat'!S29+'Kutai Kertanegara'!T29+'Kutai Timur'!T29+Berau!T29+PPU!T29+Samarinda!T29+Balikpapan!T29+Bontang!S29+Mahulu!R29</f>
        <v>0</v>
      </c>
      <c r="T29" s="2">
        <f>Paser!T29+'Kutai Barat'!T29+'Kutai Kertanegara'!U29+'Kutai Timur'!U29+Berau!U29+PPU!U30+Samarinda!U29+Balikpapan!U29+Bontang!T29+Mahulu!S29</f>
        <v>10491641.482783005</v>
      </c>
      <c r="U29" s="2">
        <f>Paser!U29+'Kutai Barat'!U29+'Kutai Kertanegara'!V29+'Kutai Timur'!V29+Berau!V29+PPU!V30+Samarinda!V29+Balikpapan!V29+Bontang!U29+Mahulu!T29</f>
        <v>65801599.129253447</v>
      </c>
      <c r="V29" s="2">
        <f>Paser!V29+'Kutai Barat'!V29+'Kutai Kertanegara'!W29+'Kutai Timur'!W29+Berau!W29+PPU!W30+Samarinda!W29+Balikpapan!W29+Bontang!V29+Mahulu!U29</f>
        <v>1702944.242867891</v>
      </c>
      <c r="W29" s="2">
        <f>Paser!W29+'Kutai Barat'!W29+'Kutai Kertanegara'!X29+'Kutai Timur'!X29+Berau!X29+PPU!X30+Samarinda!X29+Balikpapan!X29+Bontang!W29+Mahulu!V29</f>
        <v>377191.0214297396</v>
      </c>
      <c r="Y29" s="78">
        <f>Paser!Y29+'Kutai Barat'!Y29+'Kutai Kertanegara'!Z29+'Kutai Timur'!Z29+Berau!Z29+PPU!Z29+Samarinda!Z29+Balikpapan!Z29+Bontang!Y29+Mahulu!X29</f>
        <v>5444.3159999999998</v>
      </c>
      <c r="Z29" s="78">
        <f>Paser!Z29+'Kutai Barat'!Z29+'Kutai Kertanegara'!AA29+'Kutai Timur'!AA29+Berau!AA29+PPU!AA29+Samarinda!AA29+Balikpapan!AA29+Bontang!Z29+Mahulu!Y29</f>
        <v>4268.4831999999997</v>
      </c>
      <c r="AA29" s="78">
        <f>Paser!AA29+'Kutai Barat'!AA29+'Kutai Kertanegara'!AB29+'Kutai Timur'!AB29+Berau!AB29+PPU!AB29+Samarinda!AB29+Balikpapan!AB29+Bontang!AA29+Mahulu!Z29</f>
        <v>1297.1663999999998</v>
      </c>
      <c r="AB29" s="78">
        <f>Paser!AB29+'Kutai Barat'!AB29+'Kutai Kertanegara'!AC29+'Kutai Timur'!AC29+Berau!AC29+PPU!AC29+Samarinda!AC29+Balikpapan!AC29+Bontang!AB29+Mahulu!AA29</f>
        <v>842.48959999999988</v>
      </c>
      <c r="AC29" s="78">
        <f>Paser!AC29+'Kutai Barat'!AC29+'Kutai Kertanegara'!AD29+'Kutai Timur'!AD29+Berau!AD29+PPU!AD29+Samarinda!AD29+Balikpapan!AD29+Bontang!AC29+Mahulu!AB29</f>
        <v>3628.38</v>
      </c>
      <c r="AD29" s="78">
        <f>Paser!AD29+'Kutai Barat'!AD29+'Kutai Kertanegara'!AE29+'Kutai Timur'!AE29+Berau!AE29+PPU!AE29+Samarinda!AE29+Balikpapan!AE29+Bontang!AD29+Mahulu!AC29</f>
        <v>145.19600000000003</v>
      </c>
      <c r="AE29" s="30">
        <f t="shared" si="7"/>
        <v>15626.031200000001</v>
      </c>
    </row>
    <row r="30" spans="1:31" x14ac:dyDescent="0.25">
      <c r="A30" s="7">
        <v>2025</v>
      </c>
      <c r="B30" s="2">
        <f>Paser!B30+'Kutai Barat'!B30+'Kutai Kertanegara'!B30+'Kutai Timur'!B30+Berau!B30+PPU!B30+Samarinda!B30+Balikpapan!B30+Bontang!B30+Mahulu!B30</f>
        <v>103872.60542083837</v>
      </c>
      <c r="C30" s="76">
        <f t="shared" si="3"/>
        <v>51.0962351973022</v>
      </c>
      <c r="D30" s="2">
        <f>Paser!D30+'Kutai Barat'!D30+'Kutai Kertanegara'!D30+'Kutai Timur'!D30+Berau!D30+PPU!D30+Samarinda!D30+Balikpapan!D30+Bontang!D30+Mahulu!D30</f>
        <v>530749.9077139725</v>
      </c>
      <c r="G30" s="2">
        <f>Paser!G30+'Kutai Barat'!G30+'Kutai Kertanegara'!G30+'Kutai Timur'!G30+Berau!G30+PPU!G30+Samarinda!G30+Balikpapan!G30+Bontang!G30+Mahulu!G30</f>
        <v>35816.934735749674</v>
      </c>
      <c r="I30" s="2">
        <f>Paser!I30+'Kutai Barat'!I30+'Kutai Kertanegara'!I30+'Kutai Timur'!I30+Berau!I30+PPU!I30+Samarinda!I30+Balikpapan!I30+Bontang!I30+Mahulu!I30</f>
        <v>43457.904565545825</v>
      </c>
      <c r="M30" s="53">
        <f>Paser!M30+'Kutai Barat'!M30+'Kutai Kertanegara'!N30+'Kutai Timur'!N30+Berau!N30+PPU!N30+Samarinda!N30+Balikpapan!N30+Bontang!M30+Mahulu!L30</f>
        <v>220628.81265831817</v>
      </c>
      <c r="N30" s="2">
        <f>Paser!N30+'Kutai Barat'!N30+'Kutai Kertanegara'!O30+'Kutai Timur'!O30+Berau!O30+PPU!O30+Samarinda!O30+Balikpapan!O30+Bontang!N30+Mahulu!M30</f>
        <v>163</v>
      </c>
      <c r="O30" s="2">
        <f>Paser!O30+'Kutai Barat'!O30+'Kutai Kertanegara'!P30+'Kutai Timur'!P30+Berau!P30+PPU!P30+Samarinda!P30+Balikpapan!P30+Bontang!O30+Mahulu!N30</f>
        <v>12483.707420845385</v>
      </c>
      <c r="P30" s="2">
        <f>Paser!P30+'Kutai Barat'!P30+'Kutai Kertanegara'!Q30+'Kutai Timur'!Q30+Berau!Q30+PPU!Q30+Samarinda!Q30+Balikpapan!Q30+Bontang!P30+Mahulu!O30</f>
        <v>88659.126399848989</v>
      </c>
      <c r="Q30" s="2">
        <f>Paser!Q30+'Kutai Barat'!Q30+'Kutai Kertanegara'!R30+'Kutai Timur'!R30+Berau!R30+PPU!R30+Samarinda!R30+Balikpapan!R30+Bontang!Q30+Mahulu!P30</f>
        <v>324.25879999999995</v>
      </c>
      <c r="R30" s="2">
        <f>Paser!R30+'Kutai Barat'!R30+'Kutai Kertanegara'!S30+'Kutai Timur'!S30+Berau!S30+PPU!S30+Samarinda!S30+Balikpapan!S30+Bontang!R30+Mahulu!Q30</f>
        <v>89326.178412205831</v>
      </c>
      <c r="S30" s="2">
        <f>Paser!S30+'Kutai Barat'!S30+'Kutai Kertanegara'!T30+'Kutai Timur'!T30+Berau!T30+PPU!T30+Samarinda!T30+Balikpapan!T30+Bontang!S30+Mahulu!R30</f>
        <v>0</v>
      </c>
      <c r="T30" s="2">
        <f>Paser!T30+'Kutai Barat'!T30+'Kutai Kertanegara'!U30+'Kutai Timur'!U30+Berau!U30+PPU!U31+Samarinda!U30+Balikpapan!U30+Bontang!T30+Mahulu!S30</f>
        <v>11288172.143427055</v>
      </c>
      <c r="U30" s="2">
        <f>Paser!U30+'Kutai Barat'!U30+'Kutai Kertanegara'!V30+'Kutai Timur'!V30+Berau!V30+PPU!V31+Samarinda!V30+Balikpapan!V30+Bontang!U30+Mahulu!T30</f>
        <v>68369341.955102205</v>
      </c>
      <c r="V30" s="2">
        <f>Paser!V30+'Kutai Barat'!V30+'Kutai Kertanegara'!W30+'Kutai Timur'!W30+Berau!W30+PPU!W31+Samarinda!W30+Balikpapan!W30+Bontang!V30+Mahulu!U30</f>
        <v>1762765.8271546802</v>
      </c>
      <c r="W30" s="2">
        <f>Paser!W30+'Kutai Barat'!W30+'Kutai Kertanegara'!X30+'Kutai Timur'!X30+Berau!X30+PPU!X31+Samarinda!X30+Balikpapan!X30+Bontang!W30+Mahulu!V30</f>
        <v>408975.47202946525</v>
      </c>
      <c r="Y30" s="78">
        <f>Paser!Y30+'Kutai Barat'!Y30+'Kutai Kertanegara'!Z30+'Kutai Timur'!Z30+Berau!Z30+PPU!Z30+Samarinda!Z30+Balikpapan!Z30+Bontang!Y30+Mahulu!X30</f>
        <v>6402.5969999999988</v>
      </c>
      <c r="Z30" s="78">
        <f>Paser!Z30+'Kutai Barat'!Z30+'Kutai Kertanegara'!AA30+'Kutai Timur'!AA30+Berau!AA30+PPU!AA30+Samarinda!AA30+Balikpapan!AA30+Bontang!Z30+Mahulu!Y30</f>
        <v>4866.5328</v>
      </c>
      <c r="AA30" s="78">
        <f>Paser!AA30+'Kutai Barat'!AA30+'Kutai Kertanegara'!AB30+'Kutai Timur'!AB30+Berau!AB30+PPU!AB30+Samarinda!AB30+Balikpapan!AB30+Bontang!AA30+Mahulu!Z30</f>
        <v>1423.864</v>
      </c>
      <c r="AB30" s="78">
        <f>Paser!AB30+'Kutai Barat'!AB30+'Kutai Kertanegara'!AC30+'Kutai Timur'!AC30+Berau!AC30+PPU!AC30+Samarinda!AC30+Balikpapan!AC30+Bontang!AB30+Mahulu!AA30</f>
        <v>922.58590000000004</v>
      </c>
      <c r="AC30" s="78">
        <f>Paser!AC30+'Kutai Barat'!AC30+'Kutai Kertanegara'!AD30+'Kutai Timur'!AD30+Berau!AD30+PPU!AD30+Samarinda!AD30+Balikpapan!AD30+Bontang!AC30+Mahulu!AB30</f>
        <v>4155.2214999999997</v>
      </c>
      <c r="AD30" s="78">
        <f>Paser!AD30+'Kutai Barat'!AD30+'Kutai Kertanegara'!AE30+'Kutai Timur'!AE30+Berau!AE30+PPU!AE30+Samarinda!AE30+Balikpapan!AE30+Bontang!AD30+Mahulu!AC30</f>
        <v>164.88100000000003</v>
      </c>
      <c r="AE30" s="30">
        <f t="shared" si="7"/>
        <v>17935.682199999999</v>
      </c>
    </row>
    <row r="31" spans="1:31" x14ac:dyDescent="0.25">
      <c r="A31" s="7">
        <v>2026</v>
      </c>
      <c r="B31" s="2">
        <f>Paser!B31+'Kutai Barat'!B31+'Kutai Kertanegara'!B31+'Kutai Timur'!B31+Berau!B31+PPU!B31+Samarinda!B31+Balikpapan!B31+Bontang!B31+Mahulu!B31</f>
        <v>108767.22474773311</v>
      </c>
      <c r="C31" s="76">
        <f t="shared" si="3"/>
        <v>54.801523204002017</v>
      </c>
      <c r="D31" s="2">
        <f>Paser!D31+'Kutai Barat'!D31+'Kutai Kertanegara'!D31+'Kutai Timur'!D31+Berau!D31+PPU!D31+Samarinda!D31+Balikpapan!D31+Bontang!D31+Mahulu!D31</f>
        <v>596060.95908477984</v>
      </c>
      <c r="G31" s="2">
        <f>Paser!G31+'Kutai Barat'!G31+'Kutai Kertanegara'!G31+'Kutai Timur'!G31+Berau!G31+PPU!G31+Samarinda!G31+Balikpapan!G31+Bontang!G31+Mahulu!G31</f>
        <v>36918.499581188502</v>
      </c>
      <c r="I31" s="2">
        <f>Paser!I31+'Kutai Barat'!I31+'Kutai Kertanegara'!I31+'Kutai Timur'!I31+Berau!I31+PPU!I31+Samarinda!I31+Balikpapan!I31+Bontang!I31+Mahulu!I31</f>
        <v>47331.404076021041</v>
      </c>
      <c r="M31" s="53">
        <f>Paser!M31+'Kutai Barat'!M31+'Kutai Kertanegara'!N31+'Kutai Timur'!N31+Berau!N31+PPU!N31+Samarinda!N31+Balikpapan!N31+Bontang!M31+Mahulu!L31</f>
        <v>232306.89994764054</v>
      </c>
      <c r="N31" s="2">
        <f>Paser!N31+'Kutai Barat'!N31+'Kutai Kertanegara'!O31+'Kutai Timur'!O31+Berau!O31+PPU!O32+Samarinda!O31+Balikpapan!O31+Bontang!N31+Mahulu!M31</f>
        <v>169</v>
      </c>
      <c r="O31" s="2">
        <f>Paser!O31+'Kutai Barat'!O31+'Kutai Kertanegara'!P31+'Kutai Timur'!P31+Berau!P31+PPU!P31+Samarinda!P31+Balikpapan!P31+Bontang!O31+Mahulu!N31</f>
        <v>13267.880369199789</v>
      </c>
      <c r="P31" s="2">
        <f>Paser!P31+'Kutai Barat'!P31+'Kutai Kertanegara'!Q31+'Kutai Timur'!Q31+Berau!Q31+PPU!Q31+Samarinda!Q31+Balikpapan!Q31+Bontang!P31+Mahulu!O31</f>
        <v>92861.048529845968</v>
      </c>
      <c r="Q31" s="2">
        <f>Paser!Q31+'Kutai Barat'!Q31+'Kutai Kertanegara'!R31+'Kutai Timur'!R31+Berau!R31+PPU!R31+Samarinda!R31+Balikpapan!R31+Bontang!Q31+Mahulu!P31</f>
        <v>375.03251999999998</v>
      </c>
      <c r="R31" s="2">
        <f>Paser!R31+'Kutai Barat'!R31+'Kutai Kertanegara'!S31+'Kutai Timur'!S31+Berau!S31+PPU!S31+Samarinda!S31+Balikpapan!S31+Bontang!R31+Mahulu!Q31</f>
        <v>93058.937940449934</v>
      </c>
      <c r="S31" s="2">
        <f>Paser!S31+'Kutai Barat'!S31+'Kutai Kertanegara'!T31+'Kutai Timur'!T31+Berau!T31+PPU!T31+Samarinda!T31+Balikpapan!T31+Bontang!S31+Mahulu!R31</f>
        <v>0</v>
      </c>
      <c r="T31" s="2">
        <f>Paser!T31+'Kutai Barat'!T31+'Kutai Kertanegara'!U31+'Kutai Timur'!U31+Berau!U31+PPU!U32+Samarinda!U31+Balikpapan!U31+Bontang!T31+Mahulu!S31</f>
        <v>12136712.169382822</v>
      </c>
      <c r="U31" s="2">
        <f>Paser!U31+'Kutai Barat'!U31+'Kutai Kertanegara'!V31+'Kutai Timur'!V31+Berau!V31+PPU!V32+Samarinda!V31+Balikpapan!V31+Bontang!U31+Mahulu!T31</f>
        <v>70686880.909794301</v>
      </c>
      <c r="V31" s="2">
        <f>Paser!V31+'Kutai Barat'!V31+'Kutai Kertanegara'!W31+'Kutai Timur'!W31+Berau!W31+PPU!W32+Samarinda!W31+Balikpapan!W31+Bontang!V31+Mahulu!U31</f>
        <v>1822630.3098701481</v>
      </c>
      <c r="W31" s="2">
        <f>Paser!W31+'Kutai Barat'!W31+'Kutai Kertanegara'!X31+'Kutai Timur'!X31+Berau!X31+PPU!X32+Samarinda!X31+Balikpapan!X31+Bontang!W31+Mahulu!V31</f>
        <v>443219.87440829858</v>
      </c>
      <c r="Y31" s="78">
        <f>Paser!Y31+'Kutai Barat'!Y31+'Kutai Kertanegara'!Z31+'Kutai Timur'!Z31+Berau!Z31+PPU!Z31+Samarinda!Z31+Balikpapan!Z31+Bontang!Y31+Mahulu!X31</f>
        <v>7451.6880000000001</v>
      </c>
      <c r="Z31" s="78">
        <f>Paser!Z31+'Kutai Barat'!Z31+'Kutai Kertanegara'!AA31+'Kutai Timur'!AA31+Berau!AA31+PPU!AA31+Samarinda!AA31+Balikpapan!AA31+Bontang!Z31+Mahulu!Y31</f>
        <v>5519.8288000000002</v>
      </c>
      <c r="AA31" s="78">
        <f>Paser!AA31+'Kutai Barat'!AA31+'Kutai Kertanegara'!AB31+'Kutai Timur'!AB31+Berau!AB31+PPU!AB31+Samarinda!AB31+Balikpapan!AB31+Bontang!AA31+Mahulu!Z31</f>
        <v>1565.2758000000001</v>
      </c>
      <c r="AB31" s="78">
        <f>Paser!AB31+'Kutai Barat'!AB31+'Kutai Kertanegara'!AC31+'Kutai Timur'!AC31+Berau!AC31+PPU!AC31+Samarinda!AC31+Balikpapan!AC31+Bontang!AB31+Mahulu!AA31</f>
        <v>1014.3363999999999</v>
      </c>
      <c r="AC31" s="78">
        <f>Paser!AC31+'Kutai Barat'!AC31+'Kutai Kertanegara'!AD31+'Kutai Timur'!AD31+Berau!AD31+PPU!AD31+Samarinda!AD31+Balikpapan!AD31+Bontang!AC31+Mahulu!AB31</f>
        <v>4723.0870000000004</v>
      </c>
      <c r="AD31" s="78">
        <f>Paser!AD31+'Kutai Barat'!AD31+'Kutai Kertanegara'!AE31+'Kutai Timur'!AE31+Berau!AE31+PPU!AE31+Samarinda!AE31+Balikpapan!AE31+Bontang!AD31+Mahulu!AC31</f>
        <v>186.63800000000003</v>
      </c>
      <c r="AE31" s="30">
        <f t="shared" si="7"/>
        <v>20460.853999999999</v>
      </c>
    </row>
    <row r="32" spans="1:31" x14ac:dyDescent="0.25">
      <c r="A32" s="7">
        <v>2027</v>
      </c>
      <c r="B32" s="2">
        <f>Paser!B32+'Kutai Barat'!B32+'Kutai Kertanegara'!B32+'Kutai Timur'!B32+Berau!B32+PPU!B32+Samarinda!B32+Balikpapan!B32+Bontang!B32+Mahulu!B32</f>
        <v>113943.94586805131</v>
      </c>
      <c r="C32" s="76">
        <f t="shared" si="3"/>
        <v>58.752196465641752</v>
      </c>
      <c r="D32" s="2">
        <f>Paser!D32+'Kutai Barat'!D32+'Kutai Kertanegara'!D32+'Kutai Timur'!D32+Berau!D32+PPU!D32+Samarinda!D32+Balikpapan!D32+Bontang!D32+Mahulu!D32</f>
        <v>669445.70937101985</v>
      </c>
      <c r="G32" s="2">
        <f>Paser!G32+'Kutai Barat'!G32+'Kutai Kertanegara'!G32+'Kutai Timur'!G32+Berau!G32+PPU!G32+Samarinda!G32+Balikpapan!G32+Bontang!G32+Mahulu!G32</f>
        <v>38083.057350405958</v>
      </c>
      <c r="I32" s="2">
        <f>Paser!I32+'Kutai Barat'!I32+'Kutai Kertanegara'!I32+'Kutai Timur'!I32+Berau!I32+PPU!I32+Samarinda!I32+Balikpapan!I32+Bontang!I32+Mahulu!I32</f>
        <v>51550.157197033848</v>
      </c>
      <c r="M32" s="53">
        <f>Paser!M32+'Kutai Barat'!M32+'Kutai Kertanegara'!N32+'Kutai Timur'!N32+Berau!N32+PPU!N32+Samarinda!N32+Balikpapan!N32+Bontang!M32+Mahulu!L32</f>
        <v>243984.98723696312</v>
      </c>
      <c r="N32" s="2">
        <f>Paser!N32+'Kutai Barat'!N32+'Kutai Kertanegara'!O32+'Kutai Timur'!O32+Berau!O32+PPU!O33+Samarinda!O32+Balikpapan!O32+Bontang!N32+Mahulu!M32</f>
        <v>174</v>
      </c>
      <c r="O32" s="2">
        <f>Paser!O32+'Kutai Barat'!O32+'Kutai Kertanegara'!P32+'Kutai Timur'!P32+Berau!P32+PPU!P32+Samarinda!P32+Balikpapan!P32+Bontang!O32+Mahulu!N32</f>
        <v>14095.383090918165</v>
      </c>
      <c r="P32" s="2">
        <f>Paser!P32+'Kutai Barat'!P32+'Kutai Kertanegara'!Q32+'Kutai Timur'!Q32+Berau!Q32+PPU!Q32+Samarinda!Q32+Balikpapan!Q32+Bontang!P32+Mahulu!O32</f>
        <v>97318.782336542921</v>
      </c>
      <c r="Q32" s="2">
        <f>Paser!Q32+'Kutai Barat'!Q32+'Kutai Kertanegara'!R32+'Kutai Timur'!R32+Berau!R32+PPU!R32+Samarinda!R32+Balikpapan!R32+Bontang!Q32+Mahulu!P32</f>
        <v>435.42774399999996</v>
      </c>
      <c r="R32" s="2">
        <f>Paser!R32+'Kutai Barat'!R32+'Kutai Kertanegara'!S32+'Kutai Timur'!S32+Berau!S32+PPU!U31+Samarinda!S32+Balikpapan!S32+Bontang!R32+Mahulu!Q32</f>
        <v>574197.57871925889</v>
      </c>
      <c r="S32" s="2">
        <f>Paser!S32+'Kutai Barat'!S32+'Kutai Kertanegara'!T32+'Kutai Timur'!T32+Berau!T32+PPU!T32+Samarinda!T32+Balikpapan!T32+Bontang!S32+Mahulu!R32</f>
        <v>0</v>
      </c>
      <c r="T32" s="2">
        <f>Paser!T32+'Kutai Barat'!T32+'Kutai Kertanegara'!U32+'Kutai Timur'!U32+Berau!U32+PPU!U32+Samarinda!U32+Balikpapan!U32+Bontang!T32+Mahulu!S32</f>
        <v>13028516.898566427</v>
      </c>
      <c r="U32" s="2">
        <f>Paser!U32+'Kutai Barat'!U32+'Kutai Kertanegara'!V32+'Kutai Timur'!V32+Berau!V32+PPU!W31+Samarinda!V32+Balikpapan!V32+Bontang!U32+Mahulu!T32</f>
        <v>71625542.471139252</v>
      </c>
      <c r="V32" s="2">
        <f>Paser!V32+'Kutai Barat'!V32+'Kutai Kertanegara'!W32+'Kutai Timur'!W32+Berau!W32+PPU!W33+Samarinda!W32+Balikpapan!W32+Bontang!V32+Mahulu!U32</f>
        <v>1882548.8808571631</v>
      </c>
      <c r="W32" s="2">
        <f>Paser!W32+'Kutai Barat'!W32+'Kutai Kertanegara'!X32+'Kutai Timur'!X32+Berau!X32+PPU!X33+Samarinda!X32+Balikpapan!X32+Bontang!W32+Mahulu!V32</f>
        <v>480015.09698853287</v>
      </c>
      <c r="Y32" s="78">
        <f>Paser!Y32+'Kutai Barat'!Y32+'Kutai Kertanegara'!Z32+'Kutai Timur'!Z32+Berau!Z32+PPU!Z32+Samarinda!Z32+Balikpapan!Z32+Bontang!Y32+Mahulu!X32</f>
        <v>8589.5889999999999</v>
      </c>
      <c r="Z32" s="78">
        <f>Paser!Z32+'Kutai Barat'!Z32+'Kutai Kertanegara'!AA32+'Kutai Timur'!AA32+Berau!AA32+PPU!AA32+Samarinda!AA32+Balikpapan!AA32+Bontang!Z32+Mahulu!Y32</f>
        <v>6230.3711999999996</v>
      </c>
      <c r="AA32" s="78">
        <f>Paser!AA32+'Kutai Barat'!AA32+'Kutai Kertanegara'!AB32+'Kutai Timur'!AB32+Berau!AB32+PPU!AB32+Samarinda!AB32+Balikpapan!AB32+Bontang!AA32+Mahulu!Z32</f>
        <v>1720.4018000000001</v>
      </c>
      <c r="AB32" s="78">
        <f>Paser!AB32+'Kutai Barat'!AB32+'Kutai Kertanegara'!AC32+'Kutai Timur'!AC32+Berau!AC32+PPU!AC32+Samarinda!AC32+Balikpapan!AC32+Bontang!AB32+Mahulu!AA32</f>
        <v>1115.7410999999997</v>
      </c>
      <c r="AC32" s="78">
        <f>Paser!AC32+'Kutai Barat'!AC32+'Kutai Kertanegara'!AD32+'Kutai Timur'!AD32+Berau!AD32+PPU!AD32+Samarinda!AD32+Balikpapan!AD32+Bontang!AC32+Mahulu!AB32</f>
        <v>5331.9765000000016</v>
      </c>
      <c r="AD32" s="78">
        <f>Paser!AD32+'Kutai Barat'!AD32+'Kutai Kertanegara'!AE32+'Kutai Timur'!AE32+Berau!AE32+PPU!AE32+Samarinda!AE32+Balikpapan!AE32+Bontang!AD32+Mahulu!AC32</f>
        <v>210.46700000000004</v>
      </c>
      <c r="AE32" s="30">
        <f t="shared" si="7"/>
        <v>23198.546600000001</v>
      </c>
    </row>
    <row r="33" spans="1:31" x14ac:dyDescent="0.25">
      <c r="A33" s="7">
        <v>2028</v>
      </c>
      <c r="B33" s="2">
        <f>Paser!B33+'Kutai Barat'!B33+'Kutai Kertanegara'!B33+'Kutai Timur'!B33+Berau!B33+PPU!B33+Samarinda!B33+Balikpapan!B33+Bontang!B33+Mahulu!B33</f>
        <v>119412.68125184288</v>
      </c>
      <c r="C33" s="76">
        <f t="shared" si="3"/>
        <v>62.96844113245151</v>
      </c>
      <c r="D33" s="2">
        <f>Paser!D33+'Kutai Barat'!D33+'Kutai Kertanegara'!D33+'Kutai Timur'!D33+Berau!D33+PPU!D33+Samarinda!D33+Balikpapan!D33+Bontang!D33+Mahulu!D33</f>
        <v>751923.03898748639</v>
      </c>
      <c r="G33" s="2">
        <f>Paser!G33+'Kutai Barat'!G33+'Kutai Kertanegara'!G33+'Kutai Timur'!G33+Berau!G33+PPU!G33+Samarinda!G33+Balikpapan!G33+Bontang!G33+Mahulu!G33</f>
        <v>39314.136004735185</v>
      </c>
      <c r="I33" s="2">
        <f>Paser!I33+'Kutai Barat'!I33+'Kutai Kertanegara'!I33+'Kutai Timur'!I33+Berau!I33+PPU!I33+Samarinda!I33+Balikpapan!I33+Bontang!I33+Mahulu!I33</f>
        <v>56144.937149354453</v>
      </c>
      <c r="M33" s="53">
        <f>Paser!M33+'Kutai Barat'!M33+'Kutai Kertanegara'!N33+'Kutai Timur'!N33+Berau!N33+PPU!N33+Samarinda!N33+Balikpapan!N33+Bontang!M33+Mahulu!L33</f>
        <v>255663.07452628546</v>
      </c>
      <c r="N33" s="2">
        <f>Paser!N33+'Kutai Barat'!N33+'Kutai Kertanegara'!O33+'Kutai Timur'!O33+Berau!O33+PPU!O34+Samarinda!O33+Balikpapan!O33+Bontang!N33+Mahulu!M33</f>
        <v>179</v>
      </c>
      <c r="O33" s="2">
        <f>Paser!O33+'Kutai Barat'!O33+'Kutai Kertanegara'!P33+'Kutai Timur'!P33+Berau!P33+PPU!P33+Samarinda!P33+Balikpapan!P33+Bontang!O33+Mahulu!N33</f>
        <v>14967.35620208762</v>
      </c>
      <c r="P33" s="2">
        <f>Paser!P33+'Kutai Barat'!P33+'Kutai Kertanegara'!Q33+'Kutai Timur'!Q33+Berau!Q33+PPU!Q33+Samarinda!Q33+Balikpapan!Q33+Bontang!P33+Mahulu!O33</f>
        <v>102029.78089417875</v>
      </c>
      <c r="Q33" s="2">
        <f>Paser!Q33+'Kutai Barat'!Q33+'Kutai Kertanegara'!R33+'Kutai Timur'!R33+Berau!R33+PPU!R33+Samarinda!R33+Balikpapan!R33+Bontang!Q33+Mahulu!P33</f>
        <v>507.36877279999993</v>
      </c>
      <c r="R33" s="2">
        <f>Paser!R33+'Kutai Barat'!R33+'Kutai Kertanegara'!S33+'Kutai Timur'!S33+Berau!S33+PPU!S33+Samarinda!S33+Balikpapan!S33+Bontang!R33+Mahulu!Q33</f>
        <v>101179.41397364411</v>
      </c>
      <c r="S33" s="2">
        <f>Paser!S33+'Kutai Barat'!S33+'Kutai Kertanegara'!T33+'Kutai Timur'!T33+Berau!T33+PPU!T33+Samarinda!T33+Balikpapan!T33+Bontang!S33+Mahulu!R33</f>
        <v>0</v>
      </c>
      <c r="T33" s="2">
        <f>Paser!T33+'Kutai Barat'!T33+'Kutai Kertanegara'!U33+'Kutai Timur'!U33+Berau!U33+PPU!U33+Samarinda!U33+Balikpapan!U33+Bontang!T33+Mahulu!S33</f>
        <v>13990432.662713299</v>
      </c>
      <c r="U33" s="2">
        <f>Paser!U33+'Kutai Barat'!U33+'Kutai Kertanegara'!V33+'Kutai Timur'!V33+Berau!V33+PPU!V33+Samarinda!V33+Balikpapan!V33+Bontang!U33+Mahulu!T33</f>
        <v>75734873.488025993</v>
      </c>
      <c r="V33" s="2">
        <f>Paser!V33+'Kutai Barat'!V33+'Kutai Kertanegara'!W33+'Kutai Timur'!W33+Berau!W33+PPU!W33+Samarinda!W33+Balikpapan!W33+Bontang!V33+Mahulu!U33</f>
        <v>1942528.2489428793</v>
      </c>
      <c r="W33" s="2">
        <f>Paser!W33+'Kutai Barat'!W33+'Kutai Kertanegara'!X33+'Kutai Timur'!X33+Berau!X33+PPU!X34+Samarinda!X33+Balikpapan!X33+Bontang!W33+Mahulu!V33</f>
        <v>519463.18273957877</v>
      </c>
      <c r="Y33" s="78">
        <f>Paser!Y33+'Kutai Barat'!Y33+'Kutai Kertanegara'!Z33+'Kutai Timur'!Z33+Berau!Z33+PPU!Z33+Samarinda!Z33+Balikpapan!Z33+Bontang!Y33+Mahulu!X33</f>
        <v>9818.2999999999993</v>
      </c>
      <c r="Z33" s="78">
        <f>Paser!Z33+'Kutai Barat'!Z33+'Kutai Kertanegara'!AA33+'Kutai Timur'!AA33+Berau!AA33+PPU!AA33+Samarinda!AA33+Balikpapan!AA33+Bontang!Z33+Mahulu!Y33</f>
        <v>6997.1599999999989</v>
      </c>
      <c r="AA33" s="78">
        <f>Paser!AA33+'Kutai Barat'!AA33+'Kutai Kertanegara'!AB33+'Kutai Timur'!AB33+Berau!AB33+PPU!AB33+Samarinda!AB33+Balikpapan!AB33+Bontang!AA33+Mahulu!Z33</f>
        <v>1889.242</v>
      </c>
      <c r="AB33" s="78">
        <f>Paser!AB33+'Kutai Barat'!AB33+'Kutai Kertanegara'!AC33+'Kutai Timur'!AC33+Berau!AC33+PPU!AC33+Samarinda!AC33+Balikpapan!AC33+Bontang!AB33+Mahulu!AA33</f>
        <v>1228.7999999999997</v>
      </c>
      <c r="AC33" s="78">
        <f>Paser!AC33+'Kutai Barat'!AC33+'Kutai Kertanegara'!AD33+'Kutai Timur'!AD33+Berau!AD33+PPU!AD33+Samarinda!AD33+Balikpapan!AD33+Bontang!AC33+Mahulu!AB33</f>
        <v>5981.8899999999994</v>
      </c>
      <c r="AD33" s="78">
        <f>Paser!AD33+'Kutai Barat'!AD33+'Kutai Kertanegara'!AE33+'Kutai Timur'!AE33+Berau!AE33+PPU!AE33+Samarinda!AE33+Balikpapan!AE33+Bontang!AD33+Mahulu!AC33</f>
        <v>236.36800000000005</v>
      </c>
      <c r="AE33" s="30">
        <f t="shared" si="7"/>
        <v>26151.759999999995</v>
      </c>
    </row>
    <row r="34" spans="1:31" x14ac:dyDescent="0.25">
      <c r="A34" s="7">
        <v>2029</v>
      </c>
      <c r="B34" s="2">
        <f>Paser!B34+'Kutai Barat'!B34+'Kutai Kertanegara'!B34+'Kutai Timur'!B34+Berau!B34+PPU!B34+Samarinda!B34+Balikpapan!B34+Bontang!B34+Mahulu!B34</f>
        <v>125131.74995791506</v>
      </c>
      <c r="C34" s="76">
        <f t="shared" si="3"/>
        <v>67.498926438847718</v>
      </c>
      <c r="D34" s="2">
        <f>Paser!D34+'Kutai Barat'!D34+'Kutai Kertanegara'!D34+'Kutai Timur'!D34+Berau!D34+PPU!D34+Samarinda!D34+Balikpapan!D34+Bontang!D34+Mahulu!D34</f>
        <v>844625.87855735933</v>
      </c>
      <c r="G34" s="2">
        <f>Paser!G34+'Kutai Barat'!G34+'Kutai Kertanegara'!G34+'Kutai Timur'!G34+Berau!G34+PPU!G34+Samarinda!G34+Balikpapan!G34+Bontang!G34+Mahulu!G34</f>
        <v>40611.339164794656</v>
      </c>
      <c r="I34" s="2">
        <f>Paser!I34+'Kutai Barat'!I34+'Kutai Kertanegara'!I34+'Kutai Timur'!I34+Berau!I34+PPU!I34+Samarinda!I34+Balikpapan!I34+Bontang!I34+Mahulu!I34</f>
        <v>61149.260039236884</v>
      </c>
      <c r="M34" s="53">
        <f>Paser!M34+'Kutai Barat'!M34+'Kutai Kertanegara'!N34+'Kutai Timur'!N34+Berau!N34+PPU!N34+Samarinda!N34+Balikpapan!N34+Bontang!M34+Mahulu!L34</f>
        <v>267341.16181560798</v>
      </c>
      <c r="N34" s="2">
        <f>Paser!N34+'Kutai Barat'!N34+'Kutai Kertanegara'!O34+'Kutai Timur'!O34+Berau!O34+PPU!O35+Samarinda!O34+Balikpapan!O34+Bontang!N34+Mahulu!M34</f>
        <v>182</v>
      </c>
      <c r="O34" s="2">
        <f>Paser!O34+'Kutai Barat'!O34+'Kutai Kertanegara'!P34+'Kutai Timur'!P34+Berau!P34+PPU!P34+Samarinda!P34+Balikpapan!P34+Bontang!O34+Mahulu!N34</f>
        <v>15884.947092148021</v>
      </c>
      <c r="P34" s="2">
        <f>Paser!P34+'Kutai Barat'!P34+'Kutai Kertanegara'!Q34+'Kutai Timur'!Q34+Berau!Q34+PPU!Q34+Samarinda!Q34+Balikpapan!Q34+Bontang!P34+Mahulu!O34</f>
        <v>106998.56820051259</v>
      </c>
      <c r="Q34" s="2">
        <f>Paser!Q34+'Kutai Barat'!Q34+'Kutai Kertanegara'!R34+'Kutai Timur'!R34+Berau!R34+PPU!R34+Samarinda!R34+Balikpapan!R34+Bontang!Q34+Mahulu!P34</f>
        <v>593.16476735999993</v>
      </c>
      <c r="R34" s="2">
        <f>Paser!R34+'Kutai Barat'!R34+'Kutai Kertanegara'!S34+'Kutai Timur'!S34+Berau!S34+PPU!S34+Samarinda!S34+Balikpapan!S34+Bontang!R34+Mahulu!Q34</f>
        <v>105594.76319311697</v>
      </c>
      <c r="S34" s="2">
        <f>Paser!S34+'Kutai Barat'!S34+'Kutai Kertanegara'!T34+'Kutai Timur'!T34+Berau!T34+PPU!T34+Samarinda!T34+Balikpapan!T34+Bontang!S34+Mahulu!R34</f>
        <v>0</v>
      </c>
      <c r="T34" s="2">
        <f>Paser!T34+'Kutai Barat'!T34+'Kutai Kertanegara'!U34+'Kutai Timur'!U34+Berau!U34+PPU!U34+Samarinda!U34+Balikpapan!U34+Bontang!T34+Mahulu!S34</f>
        <v>15014646.783960665</v>
      </c>
      <c r="U34" s="2">
        <f>Paser!U34+'Kutai Barat'!U34+'Kutai Kertanegara'!V34+'Kutai Timur'!V34+Berau!V34+PPU!V34+Samarinda!V34+Balikpapan!V34+Bontang!U34+Mahulu!T34</f>
        <v>78242639.585996881</v>
      </c>
      <c r="V34" s="2">
        <f>Paser!V34+'Kutai Barat'!V34+'Kutai Kertanegara'!W34+'Kutai Timur'!W34+Berau!W34+PPU!W34+Samarinda!W34+Balikpapan!W34+Bontang!V34+Mahulu!U34</f>
        <v>2002577.693837167</v>
      </c>
      <c r="W34" s="2">
        <f>Paser!W34+'Kutai Barat'!W34+'Kutai Kertanegara'!X34+'Kutai Timur'!X34+Berau!X34+PPU!X35+Samarinda!X34+Balikpapan!X34+Bontang!W34+Mahulu!V34</f>
        <v>561676.26638677309</v>
      </c>
      <c r="Y34" s="78">
        <f>Paser!Y34+'Kutai Barat'!Y34+'Kutai Kertanegara'!Z34+'Kutai Timur'!Z34+Berau!Z34+PPU!Z34+Samarinda!Z34+Balikpapan!Z34+Bontang!Y34+Mahulu!X34</f>
        <v>11135.820999999998</v>
      </c>
      <c r="Z34" s="78">
        <f>Paser!Z34+'Kutai Barat'!Z34+'Kutai Kertanegara'!AA34+'Kutai Timur'!AA34+Berau!AA34+PPU!AA34+Samarinda!AA34+Balikpapan!AA34+Bontang!Z34+Mahulu!Y34</f>
        <v>7820.1952000000001</v>
      </c>
      <c r="AA34" s="78">
        <f>Paser!AA34+'Kutai Barat'!AA34+'Kutai Kertanegara'!AB34+'Kutai Timur'!AB34+Berau!AB34+PPU!AB34+Samarinda!AB34+Balikpapan!AB34+Bontang!AA34+Mahulu!Z34</f>
        <v>2070.7963999999997</v>
      </c>
      <c r="AB34" s="78">
        <f>Paser!AB34+'Kutai Barat'!AB34+'Kutai Kertanegara'!AC34+'Kutai Timur'!AC34+Berau!AC34+PPU!AC34+Samarinda!AC34+Balikpapan!AC34+Bontang!AB34+Mahulu!AA34</f>
        <v>1351.5130999999999</v>
      </c>
      <c r="AC34" s="78">
        <f>Paser!AC34+'Kutai Barat'!AC34+'Kutai Kertanegara'!AD34+'Kutai Timur'!AD34+Berau!AD34+PPU!AD34+Samarinda!AD34+Balikpapan!AD34+Bontang!AC34+Mahulu!AB34</f>
        <v>6673.8274999999994</v>
      </c>
      <c r="AD34" s="78">
        <f>Paser!AD34+'Kutai Barat'!AD34+'Kutai Kertanegara'!AE34+'Kutai Timur'!AE34+Berau!AE34+PPU!AE34+Samarinda!AE34+Balikpapan!AE34+Bontang!AD34+Mahulu!AC34</f>
        <v>265.34100000000007</v>
      </c>
      <c r="AE34" s="30">
        <f t="shared" si="7"/>
        <v>29317.494199999997</v>
      </c>
    </row>
    <row r="35" spans="1:31" x14ac:dyDescent="0.25">
      <c r="A35" s="24">
        <v>2030</v>
      </c>
      <c r="B35" s="2">
        <f>Paser!B35+'Kutai Barat'!B35+'Kutai Kertanegara'!B35+'Kutai Timur'!B35+Berau!B35+PPU!B35+Samarinda!B35+Balikpapan!B35+Bontang!B35+Mahulu!B35</f>
        <v>131195.89946251441</v>
      </c>
      <c r="C35" s="76">
        <f t="shared" si="3"/>
        <v>87.208560205371697</v>
      </c>
      <c r="D35" s="2">
        <f>Paser!D35+'Kutai Barat'!D35+'Kutai Kertanegara'!D35+'Kutai Timur'!D35+Berau!D35+PPU!D35+Samarinda!D35+Balikpapan!D35+Bontang!D35+Mahulu!D35</f>
        <v>1144140.549697458</v>
      </c>
      <c r="G35" s="2">
        <f>Paser!G35+'Kutai Barat'!G35+'Kutai Kertanegara'!G35+'Kutai Timur'!G35+Berau!G35+PPU!G35+Samarinda!G35+Balikpapan!G35+Bontang!G35+Mahulu!G35</f>
        <v>41988.23419062527</v>
      </c>
      <c r="I35" s="2">
        <f>Paser!I35+'Kutai Barat'!I35+'Kutai Kertanegara'!I35+'Kutai Timur'!I35+Berau!I35+PPU!I35+Samarinda!I35+Balikpapan!I35+Bontang!I35+Mahulu!I35</f>
        <v>104239.1189512711</v>
      </c>
      <c r="M35" s="53">
        <f>Paser!M35+'Kutai Barat'!M35+'Kutai Kertanegara'!N35+'Kutai Timur'!N35+Berau!N35+PPU!N35+Samarinda!N35+Balikpapan!N35+Bontang!M35+Mahulu!L35</f>
        <v>279019.24910493044</v>
      </c>
      <c r="N35" s="2">
        <f>Paser!N35+'Kutai Barat'!N35+'Kutai Kertanegara'!O35+'Kutai Timur'!O35+Berau!O35+PPU!O35+Samarinda!O35+Balikpapan!O35+Bontang!N35+Mahulu!M35</f>
        <v>185</v>
      </c>
      <c r="O35" s="2">
        <f>Paser!O35+'Kutai Barat'!O35+'Kutai Kertanegara'!P35+'Kutai Timur'!P35+Berau!P35+PPU!P35+Samarinda!P35+Balikpapan!P35+Bontang!O35+Mahulu!N35</f>
        <v>16848.310257410569</v>
      </c>
      <c r="P35" s="2">
        <f>Paser!P35+'Kutai Barat'!P35+'Kutai Kertanegara'!Q35+'Kutai Timur'!Q35+Berau!Q35+PPU!Q35+Samarinda!Q35+Balikpapan!Q35+Bontang!P35+Mahulu!O35</f>
        <v>112226.74268839558</v>
      </c>
      <c r="Q35" s="2">
        <f>Paser!Q35+'Kutai Barat'!Q35+'Kutai Kertanegara'!R35+'Kutai Timur'!R35+Berau!R35+PPU!R35+Samarinda!R35+Balikpapan!R35+Bontang!Q35+Mahulu!P35</f>
        <v>695.58672083199986</v>
      </c>
      <c r="R35" s="2">
        <f>Paser!R35+'Kutai Barat'!R35+'Kutai Kertanegara'!S35+'Kutai Timur'!S35+Berau!S35+PPU!S35+Samarinda!S35+Balikpapan!S35+Bontang!R35+Mahulu!Q35</f>
        <v>110268.95225697933</v>
      </c>
      <c r="S35" s="2">
        <f>Paser!S35+'Kutai Barat'!S35+'Kutai Kertanegara'!T35+'Kutai Timur'!T35+Berau!T35+PPU!T35+Samarinda!T35+Balikpapan!T35+Bontang!S35+Mahulu!R35</f>
        <v>0</v>
      </c>
      <c r="T35" s="2">
        <f>Paser!T35+'Kutai Barat'!T35+'Kutai Kertanegara'!U35+'Kutai Timur'!U35+Berau!U35+PPU!U35+Samarinda!U35+Balikpapan!U35+Bontang!T35+Mahulu!S35</f>
        <v>16105296.671032287</v>
      </c>
      <c r="U35" s="2">
        <f>Paser!U35+'Kutai Barat'!U35+'Kutai Kertanegara'!V35+'Kutai Timur'!V35+Berau!V35+PPU!V35+Samarinda!V35+Balikpapan!V35+Bontang!U35+Mahulu!T35</f>
        <v>80822066.212748215</v>
      </c>
      <c r="V35" s="2">
        <f>Paser!V35+'Kutai Barat'!V35+'Kutai Kertanegara'!W35+'Kutai Timur'!W35+Berau!W35+PPU!W35+Samarinda!W35+Balikpapan!W35+Bontang!V35+Mahulu!U35</f>
        <v>2062702.1232208838</v>
      </c>
      <c r="W35" s="2">
        <f>Paser!W35+'Kutai Barat'!W35+'Kutai Kertanegara'!X35+'Kutai Timur'!X35+Berau!X35+PPU!X36+Samarinda!X35+Balikpapan!X35+Bontang!W35+Mahulu!V35</f>
        <v>579932.58333615144</v>
      </c>
      <c r="Y35" s="78">
        <f>Paser!Y35+'Kutai Barat'!Y35+'Kutai Kertanegara'!Z35+'Kutai Timur'!Z35+Berau!Z35+PPU!Z35+Samarinda!Z35+Balikpapan!Z35+Bontang!Y35+Mahulu!X35</f>
        <v>12544.152</v>
      </c>
      <c r="Z35" s="78">
        <f>Paser!Z35+'Kutai Barat'!Z35+'Kutai Kertanegara'!AA35+'Kutai Timur'!AA35+Berau!AA35+PPU!AA35+Samarinda!AA35+Balikpapan!AA35+Bontang!Z35+Mahulu!Y35</f>
        <v>8699.4768000000004</v>
      </c>
      <c r="AA35" s="78">
        <f>Paser!AA35+'Kutai Barat'!AA35+'Kutai Kertanegara'!AB35+'Kutai Timur'!AB35+Berau!AB35+PPU!AB35+Samarinda!AB35+Balikpapan!AB35+Bontang!AA35+Mahulu!Z35</f>
        <v>2267.0650000000001</v>
      </c>
      <c r="AB35" s="78">
        <f>Paser!AB35+'Kutai Barat'!AB35+'Kutai Kertanegara'!AC35+'Kutai Timur'!AC35+Berau!AC35+PPU!AC35+Samarinda!AC35+Balikpapan!AC35+Bontang!AB35+Mahulu!AA35</f>
        <v>1485.8803999999998</v>
      </c>
      <c r="AC35" s="78">
        <f>Paser!AC35+'Kutai Barat'!AC35+'Kutai Kertanegara'!AD35+'Kutai Timur'!AD35+Berau!AD35+PPU!AD35+Samarinda!AD35+Balikpapan!AD35+Bontang!AC35+Mahulu!AB35</f>
        <v>7405.7890000000016</v>
      </c>
      <c r="AD35" s="78">
        <f>Paser!AD35+'Kutai Barat'!AD35+'Kutai Kertanegara'!AE35+'Kutai Timur'!AE35+Berau!AE35+PPU!AE35+Samarinda!AE35+Balikpapan!AE35+Bontang!AD35+Mahulu!AC35</f>
        <v>295.38600000000002</v>
      </c>
      <c r="AE35" s="30">
        <f t="shared" si="7"/>
        <v>32697.749199999995</v>
      </c>
    </row>
    <row r="38" spans="1:31" x14ac:dyDescent="0.25">
      <c r="B38" t="s">
        <v>61</v>
      </c>
    </row>
    <row r="39" spans="1:31" x14ac:dyDescent="0.25">
      <c r="B39" s="118" t="s">
        <v>62</v>
      </c>
      <c r="C39" s="118"/>
      <c r="D39" s="118"/>
      <c r="E39" s="118"/>
      <c r="F39" s="118"/>
      <c r="G39" s="118"/>
      <c r="H39" s="118"/>
      <c r="I39" s="118"/>
    </row>
    <row r="40" spans="1:31" ht="30.75" customHeight="1" x14ac:dyDescent="0.25">
      <c r="B40" s="115" t="s">
        <v>63</v>
      </c>
      <c r="C40" s="115"/>
      <c r="D40" s="115"/>
      <c r="E40" s="115"/>
      <c r="F40" s="115"/>
      <c r="G40" s="115"/>
      <c r="H40" s="115"/>
      <c r="I40" s="115"/>
    </row>
  </sheetData>
  <mergeCells count="6">
    <mergeCell ref="B40:I40"/>
    <mergeCell ref="A3:D3"/>
    <mergeCell ref="F3:I3"/>
    <mergeCell ref="M3:W3"/>
    <mergeCell ref="Y3:AD3"/>
    <mergeCell ref="B39:I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6"/>
  <sheetViews>
    <sheetView zoomScale="85" zoomScaleNormal="85" workbookViewId="0">
      <pane xSplit="1" ySplit="4" topLeftCell="B5" activePane="bottomRight" state="frozen"/>
      <selection pane="topRight" activeCell="B1" sqref="B1"/>
      <selection pane="bottomLeft" activeCell="A5" sqref="A5"/>
      <selection pane="bottomRight" activeCell="T16" sqref="T16"/>
    </sheetView>
  </sheetViews>
  <sheetFormatPr defaultRowHeight="15" x14ac:dyDescent="0.25"/>
  <cols>
    <col min="1" max="1" width="9.140625" style="6"/>
    <col min="2" max="2" width="18.5703125" style="6" customWidth="1"/>
    <col min="3" max="3" width="16.140625" style="6" bestFit="1" customWidth="1"/>
    <col min="4" max="4" width="14" style="6" bestFit="1" customWidth="1"/>
    <col min="5" max="5" width="4.85546875" style="6" customWidth="1"/>
    <col min="6" max="6" width="9.140625" style="6"/>
    <col min="7" max="7" width="20.140625" style="6" customWidth="1"/>
    <col min="8" max="8" width="26.85546875" style="6" bestFit="1" customWidth="1"/>
    <col min="9" max="9" width="15.28515625" style="6" customWidth="1"/>
    <col min="10" max="10" width="2.7109375" style="6" customWidth="1"/>
    <col min="11" max="11" width="9.140625" style="6"/>
    <col min="12" max="12" width="5.28515625" style="6" customWidth="1"/>
    <col min="13" max="13" width="12.28515625" style="6" customWidth="1"/>
    <col min="14" max="14" width="10.28515625" style="6" bestFit="1" customWidth="1"/>
    <col min="15" max="16" width="9.5703125" style="6" bestFit="1" customWidth="1"/>
    <col min="17" max="17" width="7.28515625" style="6" bestFit="1" customWidth="1"/>
    <col min="18" max="18" width="9.5703125" style="6" bestFit="1" customWidth="1"/>
    <col min="19" max="19" width="5.42578125" style="6" bestFit="1" customWidth="1"/>
    <col min="20" max="20" width="14.85546875" style="6" bestFit="1" customWidth="1"/>
    <col min="21" max="21" width="18.28515625" style="6" bestFit="1" customWidth="1"/>
    <col min="22" max="22" width="16.5703125" style="6" bestFit="1" customWidth="1"/>
    <col min="23" max="23" width="10.5703125" style="6" bestFit="1" customWidth="1"/>
    <col min="24" max="24" width="4.140625" style="49" customWidth="1"/>
    <col min="25" max="30" width="13.140625" style="6" customWidth="1"/>
    <col min="31" max="16384" width="9.140625" style="6"/>
  </cols>
  <sheetData>
    <row r="1" spans="1:30" x14ac:dyDescent="0.25">
      <c r="A1" s="6" t="s">
        <v>3</v>
      </c>
    </row>
    <row r="2" spans="1:30" x14ac:dyDescent="0.25">
      <c r="C2" s="11">
        <f>(D5*10)/B5</f>
        <v>33.16986533771604</v>
      </c>
    </row>
    <row r="3" spans="1:30" x14ac:dyDescent="0.25">
      <c r="A3" s="119" t="s">
        <v>2</v>
      </c>
      <c r="B3" s="119"/>
      <c r="C3" s="119"/>
      <c r="D3" s="119"/>
      <c r="G3" s="119" t="s">
        <v>5</v>
      </c>
      <c r="H3" s="119"/>
      <c r="I3" s="119"/>
      <c r="M3" s="120" t="s">
        <v>26</v>
      </c>
      <c r="N3" s="120"/>
      <c r="O3" s="120"/>
      <c r="P3" s="120"/>
      <c r="Q3" s="120"/>
      <c r="R3" s="120"/>
      <c r="S3" s="120"/>
      <c r="T3" s="120"/>
      <c r="U3" s="120"/>
      <c r="V3" s="120"/>
      <c r="W3" s="120"/>
      <c r="Y3" s="120" t="s">
        <v>34</v>
      </c>
      <c r="Z3" s="120"/>
      <c r="AA3" s="120"/>
      <c r="AB3" s="120"/>
      <c r="AC3" s="120"/>
      <c r="AD3" s="120"/>
    </row>
    <row r="4" spans="1:30" x14ac:dyDescent="0.25">
      <c r="B4" s="4" t="s">
        <v>4</v>
      </c>
      <c r="C4" s="1" t="s">
        <v>0</v>
      </c>
      <c r="D4" s="1" t="s">
        <v>1</v>
      </c>
      <c r="G4" s="4" t="s">
        <v>4</v>
      </c>
      <c r="H4" s="1" t="s">
        <v>0</v>
      </c>
      <c r="I4" s="1" t="s">
        <v>1</v>
      </c>
      <c r="M4" s="4" t="s">
        <v>15</v>
      </c>
      <c r="N4" s="4" t="s">
        <v>16</v>
      </c>
      <c r="O4" s="4" t="s">
        <v>17</v>
      </c>
      <c r="P4" s="4" t="s">
        <v>18</v>
      </c>
      <c r="Q4" s="4" t="s">
        <v>19</v>
      </c>
      <c r="R4" s="4" t="s">
        <v>20</v>
      </c>
      <c r="S4" s="4" t="s">
        <v>21</v>
      </c>
      <c r="T4" s="4" t="s">
        <v>22</v>
      </c>
      <c r="U4" s="4" t="s">
        <v>23</v>
      </c>
      <c r="V4" s="4" t="s">
        <v>24</v>
      </c>
      <c r="W4" s="4" t="s">
        <v>25</v>
      </c>
      <c r="Y4" s="4" t="s">
        <v>35</v>
      </c>
      <c r="Z4" s="4" t="s">
        <v>36</v>
      </c>
      <c r="AA4" s="4" t="s">
        <v>37</v>
      </c>
      <c r="AB4" s="4" t="s">
        <v>38</v>
      </c>
      <c r="AC4" s="4" t="s">
        <v>39</v>
      </c>
      <c r="AD4" s="4" t="s">
        <v>40</v>
      </c>
    </row>
    <row r="5" spans="1:30" x14ac:dyDescent="0.25">
      <c r="A5" s="7">
        <v>2000</v>
      </c>
      <c r="B5" s="83">
        <v>18862</v>
      </c>
      <c r="C5" s="11">
        <f>(D5*10)/B5</f>
        <v>33.16986533771604</v>
      </c>
      <c r="D5" s="2">
        <v>62565</v>
      </c>
      <c r="E5" s="50">
        <v>1</v>
      </c>
      <c r="F5" s="7">
        <v>2000</v>
      </c>
      <c r="G5" s="93">
        <v>7444</v>
      </c>
      <c r="H5" s="12">
        <f>(I5*10)/G5</f>
        <v>22.369693713057497</v>
      </c>
      <c r="I5" s="5">
        <v>16652</v>
      </c>
      <c r="K5" s="7">
        <v>2000</v>
      </c>
      <c r="L5" s="7">
        <v>1</v>
      </c>
      <c r="M5" s="5">
        <v>7808</v>
      </c>
      <c r="N5" s="2">
        <v>0</v>
      </c>
      <c r="O5" s="5">
        <v>1098</v>
      </c>
      <c r="P5" s="5">
        <v>9693</v>
      </c>
      <c r="Q5" s="5">
        <v>25</v>
      </c>
      <c r="R5" s="5">
        <v>82</v>
      </c>
      <c r="S5" s="5"/>
      <c r="T5" s="81">
        <v>574400</v>
      </c>
      <c r="U5" s="81">
        <v>87000</v>
      </c>
      <c r="V5" s="81">
        <v>9000</v>
      </c>
      <c r="W5" s="81">
        <v>9900</v>
      </c>
    </row>
    <row r="6" spans="1:30" x14ac:dyDescent="0.25">
      <c r="A6" s="7">
        <v>2001</v>
      </c>
      <c r="B6" s="81">
        <v>13295</v>
      </c>
      <c r="C6" s="11">
        <f t="shared" ref="C6:C18" si="0">(D6*10)/B6</f>
        <v>33.441895449417075</v>
      </c>
      <c r="D6" s="5">
        <v>44461</v>
      </c>
      <c r="E6" s="50">
        <v>2</v>
      </c>
      <c r="F6" s="7">
        <v>2001</v>
      </c>
      <c r="G6" s="93">
        <v>8814</v>
      </c>
      <c r="H6" s="12">
        <f t="shared" ref="H6:H20" si="1">(I6*10)/G6</f>
        <v>22.727479010664851</v>
      </c>
      <c r="I6" s="5">
        <v>20032</v>
      </c>
      <c r="K6" s="7">
        <v>2001</v>
      </c>
      <c r="L6" s="7">
        <v>2</v>
      </c>
      <c r="M6" s="5">
        <v>8078</v>
      </c>
      <c r="N6" s="2">
        <v>0</v>
      </c>
      <c r="O6" s="5">
        <v>1135</v>
      </c>
      <c r="P6" s="5">
        <v>9993</v>
      </c>
      <c r="Q6" s="5">
        <v>31</v>
      </c>
      <c r="R6" s="5">
        <v>94</v>
      </c>
      <c r="S6" s="2">
        <v>0</v>
      </c>
      <c r="T6" s="81">
        <v>533600</v>
      </c>
      <c r="U6" s="81">
        <v>25700</v>
      </c>
      <c r="V6" s="81">
        <v>16200</v>
      </c>
      <c r="W6" s="81">
        <v>9900</v>
      </c>
    </row>
    <row r="7" spans="1:30" x14ac:dyDescent="0.25">
      <c r="A7" s="7">
        <v>2002</v>
      </c>
      <c r="B7" s="81">
        <v>12873</v>
      </c>
      <c r="C7" s="11">
        <f t="shared" si="0"/>
        <v>33.98741552085761</v>
      </c>
      <c r="D7" s="5">
        <v>43752</v>
      </c>
      <c r="E7" s="49">
        <v>3</v>
      </c>
      <c r="F7" s="7">
        <v>2002</v>
      </c>
      <c r="G7" s="93">
        <v>8350</v>
      </c>
      <c r="H7" s="12">
        <f t="shared" si="1"/>
        <v>22.431137724550897</v>
      </c>
      <c r="I7" s="5">
        <v>18730</v>
      </c>
      <c r="K7" s="7">
        <v>2002</v>
      </c>
      <c r="L7" s="7">
        <v>3</v>
      </c>
      <c r="M7" s="5">
        <v>8520</v>
      </c>
      <c r="N7" s="2">
        <v>0</v>
      </c>
      <c r="O7" s="5">
        <v>1138</v>
      </c>
      <c r="P7" s="5">
        <v>10490</v>
      </c>
      <c r="Q7" s="5">
        <v>74</v>
      </c>
      <c r="R7" s="2">
        <v>0</v>
      </c>
      <c r="S7" s="2">
        <v>0</v>
      </c>
      <c r="T7" s="81">
        <v>564500</v>
      </c>
      <c r="U7" s="81">
        <v>142500</v>
      </c>
      <c r="V7" s="81">
        <v>42800</v>
      </c>
      <c r="W7" s="81">
        <v>7200</v>
      </c>
    </row>
    <row r="8" spans="1:30" x14ac:dyDescent="0.25">
      <c r="A8" s="7">
        <v>2003</v>
      </c>
      <c r="B8" s="81">
        <v>4172</v>
      </c>
      <c r="C8" s="11">
        <f t="shared" si="0"/>
        <v>37.658197507190799</v>
      </c>
      <c r="D8" s="5">
        <v>15711</v>
      </c>
      <c r="E8" s="49">
        <v>4</v>
      </c>
      <c r="F8" s="7">
        <v>2003</v>
      </c>
      <c r="G8" s="93">
        <v>6139</v>
      </c>
      <c r="H8" s="12">
        <f t="shared" si="1"/>
        <v>23.940381169571591</v>
      </c>
      <c r="I8" s="5">
        <v>14697</v>
      </c>
      <c r="K8" s="7">
        <v>2003</v>
      </c>
      <c r="L8" s="7">
        <v>4</v>
      </c>
      <c r="M8" s="5">
        <v>3985</v>
      </c>
      <c r="N8" s="2">
        <v>0</v>
      </c>
      <c r="O8" s="5">
        <v>317</v>
      </c>
      <c r="P8" s="5">
        <v>5355</v>
      </c>
      <c r="Q8" s="5">
        <v>49</v>
      </c>
      <c r="R8" s="2">
        <v>0</v>
      </c>
      <c r="S8" s="2">
        <v>0</v>
      </c>
      <c r="T8" s="81">
        <v>335000</v>
      </c>
      <c r="U8" s="81">
        <v>135400</v>
      </c>
      <c r="V8" s="81">
        <v>30500</v>
      </c>
      <c r="W8" s="81">
        <v>3500</v>
      </c>
    </row>
    <row r="9" spans="1:30" x14ac:dyDescent="0.25">
      <c r="A9" s="7">
        <v>2004</v>
      </c>
      <c r="B9" s="92">
        <v>5723</v>
      </c>
      <c r="C9" s="11">
        <f t="shared" si="0"/>
        <v>35.114450463043859</v>
      </c>
      <c r="D9" s="5">
        <v>20096</v>
      </c>
      <c r="E9" s="49">
        <v>5</v>
      </c>
      <c r="F9" s="7">
        <v>2004</v>
      </c>
      <c r="G9" s="93">
        <v>5798</v>
      </c>
      <c r="H9" s="12">
        <f t="shared" si="1"/>
        <v>26.190065539841324</v>
      </c>
      <c r="I9" s="5">
        <v>15185</v>
      </c>
      <c r="K9" s="7">
        <v>2004</v>
      </c>
      <c r="L9" s="7">
        <v>5</v>
      </c>
      <c r="M9" s="5">
        <v>4771</v>
      </c>
      <c r="N9" s="2">
        <v>0</v>
      </c>
      <c r="O9" s="5">
        <v>522</v>
      </c>
      <c r="P9" s="5">
        <v>5836</v>
      </c>
      <c r="Q9" s="5">
        <v>51</v>
      </c>
      <c r="R9" s="2">
        <v>0</v>
      </c>
      <c r="S9" s="2">
        <v>0</v>
      </c>
      <c r="T9" s="82">
        <v>409900</v>
      </c>
      <c r="U9" s="82">
        <v>135400</v>
      </c>
      <c r="V9" s="82">
        <v>40700</v>
      </c>
      <c r="W9" s="82">
        <v>5400</v>
      </c>
    </row>
    <row r="10" spans="1:30" x14ac:dyDescent="0.25">
      <c r="A10" s="7">
        <v>2005</v>
      </c>
      <c r="B10" s="83">
        <v>5440</v>
      </c>
      <c r="C10" s="11">
        <f t="shared" si="0"/>
        <v>36.005514705882355</v>
      </c>
      <c r="D10" s="2">
        <v>19587</v>
      </c>
      <c r="E10" s="49">
        <v>6</v>
      </c>
      <c r="F10" s="7">
        <v>2005</v>
      </c>
      <c r="G10" s="94">
        <v>6128</v>
      </c>
      <c r="H10" s="12">
        <f t="shared" si="1"/>
        <v>26.563315926892951</v>
      </c>
      <c r="I10" s="2">
        <v>16278</v>
      </c>
      <c r="K10" s="7">
        <v>2005</v>
      </c>
      <c r="L10" s="7">
        <v>6</v>
      </c>
      <c r="M10" s="2">
        <v>6062</v>
      </c>
      <c r="N10" s="2">
        <v>0</v>
      </c>
      <c r="O10" s="2">
        <v>585</v>
      </c>
      <c r="P10" s="2">
        <v>5025</v>
      </c>
      <c r="Q10" s="2">
        <v>79</v>
      </c>
      <c r="R10" s="2">
        <v>0</v>
      </c>
      <c r="S10" s="2">
        <v>0</v>
      </c>
      <c r="T10" s="83">
        <v>399100</v>
      </c>
      <c r="U10" s="83">
        <v>1204800</v>
      </c>
      <c r="V10" s="83">
        <v>28900</v>
      </c>
      <c r="W10" s="83">
        <v>5800</v>
      </c>
    </row>
    <row r="11" spans="1:30" x14ac:dyDescent="0.25">
      <c r="A11" s="7">
        <v>2006</v>
      </c>
      <c r="B11" s="83">
        <v>6175</v>
      </c>
      <c r="C11" s="11">
        <f t="shared" si="0"/>
        <v>37.054251012145748</v>
      </c>
      <c r="D11" s="2">
        <v>22881</v>
      </c>
      <c r="E11" s="49">
        <v>7</v>
      </c>
      <c r="F11" s="7">
        <v>2006</v>
      </c>
      <c r="G11" s="94">
        <v>5900</v>
      </c>
      <c r="H11" s="12">
        <f t="shared" si="1"/>
        <v>26.510169491525424</v>
      </c>
      <c r="I11" s="2">
        <v>15641</v>
      </c>
      <c r="K11" s="7">
        <v>2006</v>
      </c>
      <c r="L11" s="7">
        <v>7</v>
      </c>
      <c r="M11" s="2">
        <v>6548</v>
      </c>
      <c r="N11" s="2">
        <v>0</v>
      </c>
      <c r="O11" s="2">
        <v>596</v>
      </c>
      <c r="P11" s="2">
        <v>5083</v>
      </c>
      <c r="Q11" s="2">
        <v>82</v>
      </c>
      <c r="R11" s="2">
        <v>0</v>
      </c>
      <c r="S11" s="2">
        <v>0</v>
      </c>
      <c r="T11" s="83">
        <v>521100</v>
      </c>
      <c r="U11" s="83">
        <v>1483800</v>
      </c>
      <c r="V11" s="83">
        <v>30600</v>
      </c>
      <c r="W11" s="83">
        <v>6000</v>
      </c>
    </row>
    <row r="12" spans="1:30" x14ac:dyDescent="0.25">
      <c r="A12" s="7">
        <v>2007</v>
      </c>
      <c r="B12" s="83">
        <v>8293</v>
      </c>
      <c r="C12" s="11">
        <f t="shared" si="0"/>
        <v>37.043289521283008</v>
      </c>
      <c r="D12" s="2">
        <v>30720</v>
      </c>
      <c r="E12" s="50">
        <v>8</v>
      </c>
      <c r="F12" s="7">
        <v>2007</v>
      </c>
      <c r="G12" s="94">
        <v>7977</v>
      </c>
      <c r="H12" s="12">
        <f t="shared" si="1"/>
        <v>27.749780619280433</v>
      </c>
      <c r="I12" s="2">
        <v>22136</v>
      </c>
      <c r="K12" s="7">
        <v>2007</v>
      </c>
      <c r="L12" s="7">
        <v>8</v>
      </c>
      <c r="M12" s="2">
        <v>7482</v>
      </c>
      <c r="N12" s="2">
        <v>0</v>
      </c>
      <c r="O12" s="2">
        <v>578</v>
      </c>
      <c r="P12" s="2">
        <v>5314</v>
      </c>
      <c r="Q12" s="2">
        <v>69</v>
      </c>
      <c r="R12" s="2">
        <v>0</v>
      </c>
      <c r="S12" s="2">
        <v>0</v>
      </c>
      <c r="T12" s="83">
        <v>648800</v>
      </c>
      <c r="U12" s="83">
        <v>1525500</v>
      </c>
      <c r="V12" s="83">
        <v>61000</v>
      </c>
      <c r="W12" s="83">
        <v>6900</v>
      </c>
    </row>
    <row r="13" spans="1:30" x14ac:dyDescent="0.25">
      <c r="A13" s="7">
        <v>2008</v>
      </c>
      <c r="B13" s="83">
        <v>8962</v>
      </c>
      <c r="C13" s="11">
        <f>(D13*10)/B13</f>
        <v>37.390091497433609</v>
      </c>
      <c r="D13" s="2">
        <v>33509</v>
      </c>
      <c r="E13" s="50">
        <v>9</v>
      </c>
      <c r="F13" s="7">
        <v>2008</v>
      </c>
      <c r="G13" s="2">
        <v>7833</v>
      </c>
      <c r="H13" s="12">
        <f t="shared" si="1"/>
        <v>27.970126388356952</v>
      </c>
      <c r="I13" s="2">
        <v>21909</v>
      </c>
      <c r="K13" s="7">
        <v>2008</v>
      </c>
      <c r="L13" s="7">
        <v>9</v>
      </c>
      <c r="M13" s="2">
        <v>8235</v>
      </c>
      <c r="N13" s="2">
        <v>0</v>
      </c>
      <c r="O13" s="2">
        <v>601</v>
      </c>
      <c r="P13" s="2">
        <v>5619</v>
      </c>
      <c r="Q13" s="2">
        <v>69</v>
      </c>
      <c r="R13" s="2">
        <v>2324</v>
      </c>
      <c r="S13" s="2"/>
      <c r="T13" s="83">
        <v>835654</v>
      </c>
      <c r="U13" s="83">
        <v>1925500</v>
      </c>
      <c r="V13" s="83">
        <v>80903</v>
      </c>
      <c r="W13" s="83">
        <v>5949</v>
      </c>
    </row>
    <row r="14" spans="1:30" x14ac:dyDescent="0.25">
      <c r="A14" s="7">
        <v>2009</v>
      </c>
      <c r="B14" s="83">
        <v>7281</v>
      </c>
      <c r="C14" s="11">
        <f t="shared" si="0"/>
        <v>37.673396511468205</v>
      </c>
      <c r="D14" s="2">
        <v>27430</v>
      </c>
      <c r="E14" s="49">
        <v>10</v>
      </c>
      <c r="F14" s="7">
        <v>2009</v>
      </c>
      <c r="G14" s="2">
        <v>5744</v>
      </c>
      <c r="H14" s="12">
        <f t="shared" si="1"/>
        <v>29.404596100278553</v>
      </c>
      <c r="I14" s="2">
        <v>16890</v>
      </c>
      <c r="K14" s="7">
        <v>2009</v>
      </c>
      <c r="L14" s="7">
        <v>10</v>
      </c>
      <c r="M14" s="2">
        <v>9458</v>
      </c>
      <c r="N14" s="2">
        <v>0</v>
      </c>
      <c r="O14" s="2">
        <v>625</v>
      </c>
      <c r="P14" s="2">
        <v>5862</v>
      </c>
      <c r="Q14" s="2">
        <v>79</v>
      </c>
      <c r="R14" s="2">
        <v>2324</v>
      </c>
      <c r="S14" s="2">
        <v>0</v>
      </c>
      <c r="T14" s="83">
        <v>1069269</v>
      </c>
      <c r="U14" s="83">
        <v>172645</v>
      </c>
      <c r="V14" s="83">
        <v>105485</v>
      </c>
      <c r="W14" s="83">
        <v>8494</v>
      </c>
      <c r="X14" s="50">
        <v>1</v>
      </c>
      <c r="Y14" s="2">
        <v>278</v>
      </c>
      <c r="Z14" s="2">
        <v>188</v>
      </c>
      <c r="AA14" s="2">
        <v>117</v>
      </c>
      <c r="AB14" s="2">
        <v>106</v>
      </c>
      <c r="AC14" s="2">
        <v>99</v>
      </c>
      <c r="AD14" s="2">
        <v>58</v>
      </c>
    </row>
    <row r="15" spans="1:30" x14ac:dyDescent="0.25">
      <c r="A15" s="7">
        <v>2010</v>
      </c>
      <c r="B15" s="73">
        <v>6882</v>
      </c>
      <c r="C15" s="11">
        <f t="shared" si="0"/>
        <v>39.558267945364719</v>
      </c>
      <c r="D15" s="8">
        <v>27224</v>
      </c>
      <c r="E15" s="49">
        <v>11</v>
      </c>
      <c r="F15" s="7">
        <v>2010</v>
      </c>
      <c r="G15" s="8">
        <v>4745</v>
      </c>
      <c r="H15" s="12">
        <f t="shared" si="1"/>
        <v>29.869336143308747</v>
      </c>
      <c r="I15" s="8">
        <v>14173</v>
      </c>
      <c r="K15" s="7">
        <v>2010</v>
      </c>
      <c r="L15" s="7">
        <v>11</v>
      </c>
      <c r="M15" s="9">
        <v>10334</v>
      </c>
      <c r="N15" s="9">
        <v>0</v>
      </c>
      <c r="O15" s="9">
        <v>635</v>
      </c>
      <c r="P15" s="9">
        <v>5875</v>
      </c>
      <c r="Q15" s="9">
        <v>82</v>
      </c>
      <c r="R15" s="9">
        <v>2370</v>
      </c>
      <c r="S15" s="9">
        <v>0</v>
      </c>
      <c r="T15" s="47">
        <v>1385112</v>
      </c>
      <c r="U15" s="47">
        <v>2100000</v>
      </c>
      <c r="V15" s="47">
        <v>31871</v>
      </c>
      <c r="W15" s="47">
        <v>9012</v>
      </c>
      <c r="X15" s="51">
        <v>2</v>
      </c>
      <c r="Y15" s="10">
        <v>285</v>
      </c>
      <c r="Z15" s="10">
        <v>121</v>
      </c>
      <c r="AA15" s="10">
        <v>107</v>
      </c>
      <c r="AB15" s="10">
        <v>124</v>
      </c>
      <c r="AC15" s="10">
        <v>197</v>
      </c>
      <c r="AD15" s="10">
        <v>55</v>
      </c>
    </row>
    <row r="16" spans="1:30" x14ac:dyDescent="0.25">
      <c r="A16" s="7">
        <v>2011</v>
      </c>
      <c r="B16" s="73">
        <v>6564</v>
      </c>
      <c r="C16" s="11">
        <f>(D16*10)/B16</f>
        <v>40.121876904326633</v>
      </c>
      <c r="D16" s="8">
        <v>26336</v>
      </c>
      <c r="E16" s="49">
        <v>12</v>
      </c>
      <c r="F16" s="7">
        <v>2011</v>
      </c>
      <c r="G16" s="2">
        <v>2961</v>
      </c>
      <c r="H16" s="12">
        <f t="shared" si="1"/>
        <v>27.386018237082066</v>
      </c>
      <c r="I16" s="2">
        <v>8109</v>
      </c>
      <c r="K16" s="7">
        <v>2011</v>
      </c>
      <c r="L16" s="7">
        <v>12</v>
      </c>
      <c r="M16" s="9">
        <v>12189</v>
      </c>
      <c r="N16" s="9">
        <v>0</v>
      </c>
      <c r="O16" s="9">
        <v>554</v>
      </c>
      <c r="P16" s="9">
        <v>4847</v>
      </c>
      <c r="Q16" s="9">
        <v>58</v>
      </c>
      <c r="R16" s="9">
        <v>0</v>
      </c>
      <c r="S16" s="9">
        <v>0</v>
      </c>
      <c r="T16" s="47">
        <v>837449</v>
      </c>
      <c r="U16" s="47">
        <v>2050000</v>
      </c>
      <c r="V16" s="47">
        <v>1275</v>
      </c>
      <c r="W16" s="47">
        <v>12890</v>
      </c>
      <c r="X16" s="51">
        <v>3</v>
      </c>
      <c r="Y16" s="10">
        <v>151</v>
      </c>
      <c r="Z16" s="10">
        <v>193</v>
      </c>
      <c r="AA16" s="10">
        <v>150</v>
      </c>
      <c r="AB16" s="10">
        <v>85</v>
      </c>
      <c r="AC16" s="10">
        <v>138</v>
      </c>
      <c r="AD16" s="10">
        <v>50</v>
      </c>
    </row>
    <row r="17" spans="1:30" x14ac:dyDescent="0.25">
      <c r="A17" s="7">
        <v>2012</v>
      </c>
      <c r="B17" s="73">
        <v>6814</v>
      </c>
      <c r="C17" s="11">
        <f t="shared" si="0"/>
        <v>41.031699442324623</v>
      </c>
      <c r="D17" s="8">
        <v>27959</v>
      </c>
      <c r="E17" s="49">
        <v>13</v>
      </c>
      <c r="F17" s="7">
        <v>2012</v>
      </c>
      <c r="G17" s="2">
        <v>3399</v>
      </c>
      <c r="H17" s="12">
        <f t="shared" si="1"/>
        <v>26.73139158576052</v>
      </c>
      <c r="I17" s="2">
        <v>9086</v>
      </c>
      <c r="K17" s="7">
        <v>2012</v>
      </c>
      <c r="L17" s="7">
        <v>13</v>
      </c>
      <c r="M17" s="9">
        <v>15398</v>
      </c>
      <c r="N17" s="9">
        <v>0</v>
      </c>
      <c r="O17" s="9">
        <v>560</v>
      </c>
      <c r="P17" s="9">
        <v>5760</v>
      </c>
      <c r="Q17" s="9">
        <v>130</v>
      </c>
      <c r="R17" s="9">
        <v>2575</v>
      </c>
      <c r="S17" s="9">
        <v>0</v>
      </c>
      <c r="T17" s="47">
        <v>872933</v>
      </c>
      <c r="U17" s="47">
        <v>1993350</v>
      </c>
      <c r="V17" s="47">
        <v>2100</v>
      </c>
      <c r="W17" s="47">
        <v>16602</v>
      </c>
      <c r="X17" s="51">
        <v>4</v>
      </c>
      <c r="Y17" s="10">
        <v>310</v>
      </c>
      <c r="Z17" s="10">
        <v>136</v>
      </c>
      <c r="AA17" s="10">
        <v>80</v>
      </c>
      <c r="AB17" s="10">
        <v>84</v>
      </c>
      <c r="AC17" s="10">
        <v>77</v>
      </c>
      <c r="AD17" s="10">
        <v>13</v>
      </c>
    </row>
    <row r="18" spans="1:30" x14ac:dyDescent="0.25">
      <c r="A18" s="7">
        <v>2013</v>
      </c>
      <c r="B18" s="83">
        <v>7240</v>
      </c>
      <c r="C18" s="11">
        <f t="shared" si="0"/>
        <v>44.870165745856355</v>
      </c>
      <c r="D18" s="2">
        <v>32486</v>
      </c>
      <c r="E18" s="49">
        <v>14</v>
      </c>
      <c r="F18" s="7">
        <v>2013</v>
      </c>
      <c r="G18" s="8">
        <v>3064</v>
      </c>
      <c r="H18" s="12">
        <f t="shared" si="1"/>
        <v>27.777415143603132</v>
      </c>
      <c r="I18" s="8">
        <v>8511</v>
      </c>
      <c r="K18" s="7">
        <v>2013</v>
      </c>
      <c r="L18" s="7">
        <v>14</v>
      </c>
      <c r="M18" s="9">
        <v>14136</v>
      </c>
      <c r="N18" s="9">
        <v>0</v>
      </c>
      <c r="O18" s="9">
        <v>489</v>
      </c>
      <c r="P18" s="9">
        <v>5994</v>
      </c>
      <c r="Q18" s="9">
        <v>125</v>
      </c>
      <c r="R18" s="9">
        <v>2580</v>
      </c>
      <c r="S18" s="9">
        <v>0</v>
      </c>
      <c r="T18" s="47">
        <v>925756</v>
      </c>
      <c r="U18" s="47">
        <v>1831500</v>
      </c>
      <c r="V18" s="47">
        <v>3315</v>
      </c>
      <c r="W18" s="47">
        <v>18117</v>
      </c>
      <c r="X18" s="51">
        <v>5</v>
      </c>
      <c r="Y18" s="10">
        <v>248</v>
      </c>
      <c r="Z18" s="10">
        <v>109</v>
      </c>
      <c r="AA18" s="10">
        <v>122</v>
      </c>
      <c r="AB18" s="10">
        <v>78</v>
      </c>
      <c r="AC18" s="10">
        <v>161</v>
      </c>
      <c r="AD18" s="10">
        <v>17</v>
      </c>
    </row>
    <row r="19" spans="1:30" x14ac:dyDescent="0.25">
      <c r="A19" s="7">
        <v>2014</v>
      </c>
      <c r="B19" s="73">
        <v>6428</v>
      </c>
      <c r="C19" s="11">
        <f>(D19*10)/B19</f>
        <v>45.87429993777225</v>
      </c>
      <c r="D19" s="8">
        <v>29488</v>
      </c>
      <c r="E19" s="50">
        <v>15</v>
      </c>
      <c r="F19" s="7">
        <v>2014</v>
      </c>
      <c r="G19" s="8">
        <v>2595</v>
      </c>
      <c r="H19" s="12">
        <f t="shared" si="1"/>
        <v>28.342967244701349</v>
      </c>
      <c r="I19" s="8">
        <v>7355</v>
      </c>
      <c r="K19" s="7">
        <v>2014</v>
      </c>
      <c r="L19" s="7">
        <v>15</v>
      </c>
      <c r="M19" s="9">
        <v>17345</v>
      </c>
      <c r="N19" s="9">
        <v>0</v>
      </c>
      <c r="O19" s="9">
        <v>528</v>
      </c>
      <c r="P19" s="9">
        <v>6469</v>
      </c>
      <c r="Q19" s="9">
        <v>33</v>
      </c>
      <c r="R19" s="9">
        <v>2885</v>
      </c>
      <c r="S19" s="9">
        <v>0</v>
      </c>
      <c r="T19" s="47">
        <v>1019349</v>
      </c>
      <c r="U19" s="47">
        <v>1967589</v>
      </c>
      <c r="V19" s="47">
        <v>3466</v>
      </c>
      <c r="W19" s="47">
        <v>35648</v>
      </c>
      <c r="X19" s="51">
        <v>6</v>
      </c>
      <c r="Y19" s="10">
        <v>273</v>
      </c>
      <c r="Z19" s="10">
        <v>97</v>
      </c>
      <c r="AA19" s="10">
        <v>67</v>
      </c>
      <c r="AB19" s="10">
        <v>52</v>
      </c>
      <c r="AC19" s="10">
        <v>76</v>
      </c>
      <c r="AD19" s="10">
        <v>22</v>
      </c>
    </row>
    <row r="20" spans="1:30" x14ac:dyDescent="0.25">
      <c r="A20" s="7">
        <v>2015</v>
      </c>
      <c r="B20" s="73">
        <v>6090</v>
      </c>
      <c r="C20" s="11">
        <f>(D20*10)/B20</f>
        <v>43.397372742200325</v>
      </c>
      <c r="D20" s="8">
        <v>26429</v>
      </c>
      <c r="E20" s="50">
        <v>16</v>
      </c>
      <c r="F20" s="7">
        <v>2015</v>
      </c>
      <c r="G20" s="8">
        <v>3283</v>
      </c>
      <c r="H20" s="12">
        <f t="shared" si="1"/>
        <v>30.03959792872373</v>
      </c>
      <c r="I20" s="8">
        <v>9862</v>
      </c>
      <c r="K20" s="7">
        <v>2015</v>
      </c>
      <c r="L20" s="7">
        <v>16</v>
      </c>
      <c r="M20" s="2">
        <v>20502</v>
      </c>
      <c r="N20" s="9">
        <v>0</v>
      </c>
      <c r="O20" s="42">
        <v>683</v>
      </c>
      <c r="P20" s="42">
        <v>7201</v>
      </c>
      <c r="Q20" s="84">
        <f>[1]PETERNAKAN!$S$16</f>
        <v>48</v>
      </c>
      <c r="R20" s="42">
        <v>3071</v>
      </c>
      <c r="S20" s="9">
        <v>0</v>
      </c>
      <c r="T20" s="2">
        <v>1314528</v>
      </c>
      <c r="U20" s="2">
        <v>1967715</v>
      </c>
      <c r="V20" s="2">
        <v>2201</v>
      </c>
      <c r="W20" s="2">
        <v>38896</v>
      </c>
      <c r="X20" s="51">
        <v>7</v>
      </c>
      <c r="Y20" s="10">
        <v>334</v>
      </c>
      <c r="Z20" s="10">
        <v>104</v>
      </c>
      <c r="AA20" s="10">
        <v>43</v>
      </c>
      <c r="AB20" s="10">
        <v>33</v>
      </c>
      <c r="AC20" s="10">
        <v>87</v>
      </c>
      <c r="AD20" s="10">
        <v>12</v>
      </c>
    </row>
    <row r="21" spans="1:30" x14ac:dyDescent="0.25">
      <c r="A21" s="66">
        <v>2016</v>
      </c>
      <c r="B21" s="22">
        <f>[1]PERTANIAN!$T$11</f>
        <v>6785</v>
      </c>
      <c r="C21" s="67">
        <f>C20*1.0613</f>
        <v>46.057631691297203</v>
      </c>
      <c r="D21" s="8">
        <f>D20*1.104</f>
        <v>29177.616000000002</v>
      </c>
      <c r="E21" s="68">
        <v>17</v>
      </c>
      <c r="F21" s="66">
        <v>2016</v>
      </c>
      <c r="G21" s="22">
        <f>[1]PERTANIAN!$T$12</f>
        <v>3491</v>
      </c>
      <c r="H21" s="67">
        <f>H20*1.0385</f>
        <v>31.196122448979594</v>
      </c>
      <c r="I21" s="60"/>
      <c r="K21" s="7">
        <v>2016</v>
      </c>
      <c r="L21" s="7">
        <v>17</v>
      </c>
      <c r="M21" s="53">
        <v>21659</v>
      </c>
      <c r="N21" s="9">
        <v>0</v>
      </c>
      <c r="O21" s="28">
        <f>[1]PETERNAKAN!$T$14</f>
        <v>756</v>
      </c>
      <c r="P21" s="28">
        <f>[1]PETERNAKAN!$T$15</f>
        <v>7724</v>
      </c>
      <c r="Q21" s="80">
        <f>[1]PETERNAKAN!$T$16</f>
        <v>74</v>
      </c>
      <c r="R21" s="28">
        <f>[1]PETERNAKAN!$T$18</f>
        <v>3218</v>
      </c>
      <c r="S21" s="9">
        <v>0</v>
      </c>
      <c r="T21" s="28">
        <f>T20+(T20*10%)</f>
        <v>1445980.8</v>
      </c>
      <c r="U21" s="28">
        <f t="shared" ref="U21:W35" si="2">U20+(U20*10%)</f>
        <v>2164486.5</v>
      </c>
      <c r="V21" s="28">
        <f t="shared" si="2"/>
        <v>2421.1</v>
      </c>
      <c r="W21" s="28">
        <f t="shared" si="2"/>
        <v>42785.599999999999</v>
      </c>
      <c r="X21" s="51">
        <v>8</v>
      </c>
      <c r="Y21" s="28">
        <f>[1]PERTANIAN!$T$16</f>
        <v>352</v>
      </c>
      <c r="Z21" s="28">
        <f>[1]PERTANIAN!$T$19</f>
        <v>55</v>
      </c>
      <c r="AA21" s="28">
        <f>[1]PERTANIAN!$T$20</f>
        <v>22</v>
      </c>
      <c r="AB21" s="28">
        <f>[1]PERTANIAN!$T$18</f>
        <v>55</v>
      </c>
      <c r="AC21" s="28">
        <f>[1]PERTANIAN!$T$17</f>
        <v>171</v>
      </c>
      <c r="AD21" s="28">
        <f>[1]PERTANIAN!$T$21</f>
        <v>16</v>
      </c>
    </row>
    <row r="22" spans="1:30" x14ac:dyDescent="0.25">
      <c r="A22" s="66">
        <v>2017</v>
      </c>
      <c r="B22" s="22">
        <f>[1]PERTANIAN!$U$11</f>
        <v>8500</v>
      </c>
      <c r="C22" s="67">
        <f t="shared" ref="C22:C34" si="3">C21*1.0613</f>
        <v>48.880964513973716</v>
      </c>
      <c r="D22" s="8">
        <f t="shared" ref="D22:D34" si="4">D21*1.104</f>
        <v>32212.088064000003</v>
      </c>
      <c r="E22" s="68">
        <v>18</v>
      </c>
      <c r="F22" s="66">
        <v>2017</v>
      </c>
      <c r="G22" s="22">
        <f>[1]PERTANIAN!$U$12</f>
        <v>3300</v>
      </c>
      <c r="H22" s="67">
        <f t="shared" ref="H22:H34" si="5">H21*1.0385</f>
        <v>32.397173163265307</v>
      </c>
      <c r="I22" s="60"/>
      <c r="K22" s="7">
        <v>2017</v>
      </c>
      <c r="L22" s="7">
        <v>18</v>
      </c>
      <c r="M22" s="53">
        <v>26589.508234463978</v>
      </c>
      <c r="N22" s="9">
        <v>0</v>
      </c>
      <c r="O22" s="28">
        <f>[1]PETERNAKAN!$U$14</f>
        <v>717</v>
      </c>
      <c r="P22" s="28">
        <f>[1]PETERNAKAN!$U$15</f>
        <v>7558</v>
      </c>
      <c r="Q22" s="80">
        <f>[1]PETERNAKAN!$U$16</f>
        <v>57</v>
      </c>
      <c r="R22" s="28">
        <f>[1]PETERNAKAN!$U$18</f>
        <v>2821</v>
      </c>
      <c r="S22" s="9">
        <v>0</v>
      </c>
      <c r="T22" s="28">
        <f t="shared" ref="T22:T35" si="6">T21+(T21*10%)</f>
        <v>1590578.8800000001</v>
      </c>
      <c r="U22" s="28">
        <f t="shared" ref="U22:U35" si="7">U21+(U21*10%)</f>
        <v>2380935.15</v>
      </c>
      <c r="V22" s="28">
        <f t="shared" ref="V22:V35" si="8">V21+(V21*10%)</f>
        <v>2663.21</v>
      </c>
      <c r="W22" s="28">
        <f t="shared" si="2"/>
        <v>47064.159999999996</v>
      </c>
      <c r="X22" s="51">
        <v>9</v>
      </c>
      <c r="Y22" s="28">
        <f>[1]PERTANIAN!$U$16</f>
        <v>344</v>
      </c>
      <c r="Z22" s="28">
        <f>[1]PERTANIAN!$U$19</f>
        <v>100</v>
      </c>
      <c r="AA22" s="28">
        <f>[1]PERTANIAN!$U$20</f>
        <v>120</v>
      </c>
      <c r="AB22" s="28">
        <f>[1]PERTANIAN!$U$18</f>
        <v>50</v>
      </c>
      <c r="AC22" s="28">
        <f>[1]PERTANIAN!$U$17</f>
        <v>140</v>
      </c>
      <c r="AD22" s="28">
        <f>[1]PERTANIAN!$U$21</f>
        <v>25</v>
      </c>
    </row>
    <row r="23" spans="1:30" x14ac:dyDescent="0.25">
      <c r="A23" s="66">
        <v>2018</v>
      </c>
      <c r="B23" s="22">
        <f>[1]PERTANIAN!$V$11</f>
        <v>9000</v>
      </c>
      <c r="C23" s="67">
        <f t="shared" si="3"/>
        <v>51.877367638680298</v>
      </c>
      <c r="D23" s="8">
        <f t="shared" si="4"/>
        <v>35562.145222656007</v>
      </c>
      <c r="E23" s="68">
        <v>19</v>
      </c>
      <c r="F23" s="66">
        <v>2018</v>
      </c>
      <c r="G23" s="22">
        <f>[1]PERTANIAN!$V$12</f>
        <v>3500</v>
      </c>
      <c r="H23" s="67">
        <f t="shared" si="5"/>
        <v>33.644464330051022</v>
      </c>
      <c r="I23" s="60"/>
      <c r="K23" s="7">
        <v>2018</v>
      </c>
      <c r="L23" s="7">
        <v>19</v>
      </c>
      <c r="M23" s="53">
        <v>30280.799896359073</v>
      </c>
      <c r="N23" s="9">
        <v>0</v>
      </c>
      <c r="O23" s="28">
        <f>[1]PETERNAKAN!$V$14</f>
        <v>752</v>
      </c>
      <c r="P23" s="28">
        <f>[1]PETERNAKAN!$V$15</f>
        <v>7935</v>
      </c>
      <c r="Q23" s="80">
        <f>[1]PETERNAKAN!$V$16</f>
        <v>68</v>
      </c>
      <c r="R23" s="28">
        <f>[1]PETERNAKAN!$V$18</f>
        <v>2877</v>
      </c>
      <c r="S23" s="9">
        <v>0</v>
      </c>
      <c r="T23" s="28">
        <f t="shared" si="6"/>
        <v>1749636.7680000002</v>
      </c>
      <c r="U23" s="28">
        <f t="shared" si="7"/>
        <v>2619028.665</v>
      </c>
      <c r="V23" s="28">
        <f t="shared" si="8"/>
        <v>2929.5309999999999</v>
      </c>
      <c r="W23" s="28">
        <f t="shared" si="2"/>
        <v>51770.575999999994</v>
      </c>
      <c r="X23" s="51">
        <v>10</v>
      </c>
      <c r="Y23" s="28">
        <f>[1]PERTANIAN!$V$16</f>
        <v>354</v>
      </c>
      <c r="Z23" s="28">
        <f>[1]PERTANIAN!$V$19</f>
        <v>120</v>
      </c>
      <c r="AA23" s="28">
        <f>[1]PERTANIAN!$V$20</f>
        <v>130</v>
      </c>
      <c r="AB23" s="28">
        <f>[1]PERTANIAN!$V$18</f>
        <v>55</v>
      </c>
      <c r="AC23" s="28">
        <f>[1]PERTANIAN!$V$17</f>
        <v>176</v>
      </c>
      <c r="AD23" s="28">
        <f>[1]PERTANIAN!$V$21</f>
        <v>30</v>
      </c>
    </row>
    <row r="24" spans="1:30" x14ac:dyDescent="0.25">
      <c r="A24" s="66">
        <v>2019</v>
      </c>
      <c r="B24" s="22">
        <f>[1]PERTANIAN!$W$11</f>
        <v>9500</v>
      </c>
      <c r="C24" s="67">
        <f t="shared" si="3"/>
        <v>55.057450274931398</v>
      </c>
      <c r="D24" s="8">
        <f t="shared" si="4"/>
        <v>39260.608325812238</v>
      </c>
      <c r="E24" s="68">
        <v>20</v>
      </c>
      <c r="F24" s="66">
        <v>2019</v>
      </c>
      <c r="G24" s="22">
        <f>[1]PERTANIAN!$W$12</f>
        <v>3700</v>
      </c>
      <c r="H24" s="67">
        <f t="shared" si="5"/>
        <v>34.939776206757983</v>
      </c>
      <c r="I24" s="60"/>
      <c r="K24" s="7">
        <v>2019</v>
      </c>
      <c r="L24" s="7">
        <v>20</v>
      </c>
      <c r="M24" s="53">
        <v>34484.535564853562</v>
      </c>
      <c r="N24" s="9">
        <v>0</v>
      </c>
      <c r="O24" s="28">
        <f>[1]PETERNAKAN!$W$14</f>
        <v>789</v>
      </c>
      <c r="P24" s="28">
        <f>[1]PETERNAKAN!$W$15</f>
        <v>8331</v>
      </c>
      <c r="Q24" s="80">
        <f>[1]PETERNAKAN!$W$16</f>
        <v>81</v>
      </c>
      <c r="R24" s="28">
        <f>[1]PETERNAKAN!$W$18</f>
        <v>2934</v>
      </c>
      <c r="S24" s="9">
        <v>0</v>
      </c>
      <c r="T24" s="28">
        <f t="shared" si="6"/>
        <v>1924600.4448000002</v>
      </c>
      <c r="U24" s="28">
        <f t="shared" si="7"/>
        <v>2880931.5315</v>
      </c>
      <c r="V24" s="28">
        <f t="shared" si="8"/>
        <v>3222.4841000000001</v>
      </c>
      <c r="W24" s="28">
        <f t="shared" si="2"/>
        <v>56947.633599999994</v>
      </c>
      <c r="X24" s="51">
        <v>11</v>
      </c>
      <c r="Y24" s="28">
        <f>[1]PERTANIAN!$W$16</f>
        <v>265</v>
      </c>
      <c r="Z24" s="28">
        <f>[1]PERTANIAN!$W$19</f>
        <v>140</v>
      </c>
      <c r="AA24" s="28">
        <f>[1]PERTANIAN!$W$20</f>
        <v>140</v>
      </c>
      <c r="AB24" s="28">
        <f>[1]PERTANIAN!$W$18</f>
        <v>60</v>
      </c>
      <c r="AC24" s="28">
        <f>[1]PERTANIAN!$W$17</f>
        <v>178</v>
      </c>
      <c r="AD24" s="28">
        <f>[1]PERTANIAN!$W$21</f>
        <v>35</v>
      </c>
    </row>
    <row r="25" spans="1:30" x14ac:dyDescent="0.25">
      <c r="A25" s="66">
        <v>2020</v>
      </c>
      <c r="B25" s="22">
        <f>[1]PERTANIAN!$X$11</f>
        <v>10000</v>
      </c>
      <c r="C25" s="67">
        <f t="shared" si="3"/>
        <v>58.43247197678469</v>
      </c>
      <c r="D25" s="8">
        <f t="shared" si="4"/>
        <v>43343.711591696716</v>
      </c>
      <c r="E25" s="68">
        <v>21</v>
      </c>
      <c r="F25" s="66">
        <v>2020</v>
      </c>
      <c r="G25" s="22">
        <f>[1]PERTANIAN!$X$12</f>
        <v>4000</v>
      </c>
      <c r="H25" s="67">
        <f t="shared" si="5"/>
        <v>36.284957590718165</v>
      </c>
      <c r="I25" s="60"/>
      <c r="K25" s="7">
        <v>2020</v>
      </c>
      <c r="L25" s="7">
        <v>21</v>
      </c>
      <c r="M25" s="53">
        <v>38688.271233348103</v>
      </c>
      <c r="N25" s="9">
        <v>0</v>
      </c>
      <c r="O25" s="28">
        <f>[1]PETERNAKAN!$X$14</f>
        <v>828</v>
      </c>
      <c r="P25" s="28">
        <f>[1]PETERNAKAN!$X$15</f>
        <v>8747</v>
      </c>
      <c r="Q25" s="80">
        <f>[1]PETERNAKAN!$X$16</f>
        <v>97</v>
      </c>
      <c r="R25" s="28">
        <f>[1]PETERNAKAN!$X$18</f>
        <v>2994</v>
      </c>
      <c r="S25" s="9">
        <v>0</v>
      </c>
      <c r="T25" s="28">
        <f t="shared" si="6"/>
        <v>2117060.4892800003</v>
      </c>
      <c r="U25" s="28">
        <f t="shared" si="7"/>
        <v>3169024.6846500002</v>
      </c>
      <c r="V25" s="28">
        <f t="shared" si="8"/>
        <v>3544.7325100000003</v>
      </c>
      <c r="W25" s="28">
        <f t="shared" si="2"/>
        <v>62642.396959999991</v>
      </c>
      <c r="X25" s="51">
        <v>12</v>
      </c>
      <c r="Y25" s="28">
        <f>[1]PERTANIAN!$X$16</f>
        <v>376</v>
      </c>
      <c r="Z25" s="28">
        <f>[1]PERTANIAN!$X$19</f>
        <v>160</v>
      </c>
      <c r="AA25" s="28">
        <f>[1]PERTANIAN!$X$20</f>
        <v>150</v>
      </c>
      <c r="AB25" s="28">
        <f>[1]PERTANIAN!$X$18</f>
        <v>65</v>
      </c>
      <c r="AC25" s="28">
        <f>[1]PERTANIAN!$X$17</f>
        <v>180</v>
      </c>
      <c r="AD25" s="28">
        <f>[1]PERTANIAN!$X$21</f>
        <v>40</v>
      </c>
    </row>
    <row r="26" spans="1:30" x14ac:dyDescent="0.25">
      <c r="A26" s="66">
        <v>2021</v>
      </c>
      <c r="B26" s="22">
        <f>[1]PERTANIAN!$Y$11</f>
        <v>10350</v>
      </c>
      <c r="C26" s="67">
        <f t="shared" si="3"/>
        <v>62.014382508961589</v>
      </c>
      <c r="D26" s="8">
        <f t="shared" si="4"/>
        <v>47851.45759723318</v>
      </c>
      <c r="E26" s="69">
        <v>22</v>
      </c>
      <c r="F26" s="66">
        <v>2021</v>
      </c>
      <c r="G26" s="22">
        <f>[1]PERTANIAN!$Y$12</f>
        <v>4050</v>
      </c>
      <c r="H26" s="67">
        <f t="shared" si="5"/>
        <v>37.681928457960815</v>
      </c>
      <c r="I26" s="60"/>
      <c r="K26" s="7">
        <v>2021</v>
      </c>
      <c r="L26" s="7">
        <v>22</v>
      </c>
      <c r="M26" s="53">
        <v>42892.0069018426</v>
      </c>
      <c r="N26" s="9">
        <v>0</v>
      </c>
      <c r="O26" s="28">
        <f>[1]PETERNAKAN!$Y$14</f>
        <v>869</v>
      </c>
      <c r="P26" s="28">
        <f>[1]PETERNAKAN!$Y$15</f>
        <v>9184</v>
      </c>
      <c r="Q26" s="80">
        <f>[1]PETERNAKAN!$Y$16</f>
        <v>116</v>
      </c>
      <c r="R26" s="28">
        <f>[1]PETERNAKAN!$Y$18</f>
        <v>3051</v>
      </c>
      <c r="S26" s="9">
        <v>0</v>
      </c>
      <c r="T26" s="28">
        <f t="shared" si="6"/>
        <v>2328766.5382080004</v>
      </c>
      <c r="U26" s="28">
        <f t="shared" si="7"/>
        <v>3485927.1531150001</v>
      </c>
      <c r="V26" s="28">
        <f t="shared" si="8"/>
        <v>3899.2057610000002</v>
      </c>
      <c r="W26" s="28">
        <f t="shared" si="2"/>
        <v>68906.636655999988</v>
      </c>
      <c r="X26" s="51">
        <v>13</v>
      </c>
      <c r="Y26" s="28">
        <f>[1]PERTANIAN!$Y$16</f>
        <v>378</v>
      </c>
      <c r="Z26" s="28">
        <f>[1]PERTANIAN!$Y$19</f>
        <v>162</v>
      </c>
      <c r="AA26" s="28">
        <f>[1]PERTANIAN!$Y$20</f>
        <v>153</v>
      </c>
      <c r="AB26" s="28">
        <f>[1]PERTANIAN!$Y$18</f>
        <v>67</v>
      </c>
      <c r="AC26" s="28">
        <f>[1]PERTANIAN!$Y$17</f>
        <v>180</v>
      </c>
      <c r="AD26" s="28">
        <f>[1]PERTANIAN!$Y$21</f>
        <v>40</v>
      </c>
    </row>
    <row r="27" spans="1:30" x14ac:dyDescent="0.25">
      <c r="A27" s="7">
        <v>2022</v>
      </c>
      <c r="B27" s="95">
        <f>62.135*E27^2-1541.8*E27+15432</f>
        <v>12840.014999999999</v>
      </c>
      <c r="C27" s="11">
        <f t="shared" si="3"/>
        <v>65.815864156760924</v>
      </c>
      <c r="D27" s="8">
        <f t="shared" si="4"/>
        <v>52828.009187345437</v>
      </c>
      <c r="E27" s="50">
        <v>23</v>
      </c>
      <c r="F27" s="7">
        <v>2022</v>
      </c>
      <c r="G27" s="95">
        <f>14.161*E27^2-572.31*E27+9239.5</f>
        <v>3567.5390000000007</v>
      </c>
      <c r="H27" s="11">
        <f t="shared" si="5"/>
        <v>39.132682703592309</v>
      </c>
      <c r="I27" s="16"/>
      <c r="K27" s="7">
        <v>2022</v>
      </c>
      <c r="L27" s="7">
        <v>23</v>
      </c>
      <c r="M27" s="53">
        <v>47095.742570337097</v>
      </c>
      <c r="N27" s="9">
        <v>0</v>
      </c>
      <c r="O27" s="28">
        <f>[1]PETERNAKAN!$Z$14</f>
        <v>912.45</v>
      </c>
      <c r="P27" s="28">
        <f>[1]PETERNAKAN!$Z$15</f>
        <v>9643.2000000000007</v>
      </c>
      <c r="Q27" s="80">
        <f>[1]PETERNAKAN!$Z$16</f>
        <v>139.19999999999999</v>
      </c>
      <c r="R27" s="28">
        <f>[1]PETERNAKAN!$Z$18</f>
        <v>3112.02</v>
      </c>
      <c r="S27" s="9">
        <v>0</v>
      </c>
      <c r="T27" s="28">
        <f t="shared" si="6"/>
        <v>2561643.1920288005</v>
      </c>
      <c r="U27" s="28">
        <f t="shared" si="7"/>
        <v>3834519.8684264999</v>
      </c>
      <c r="V27" s="28">
        <f t="shared" si="8"/>
        <v>4289.1263371000005</v>
      </c>
      <c r="W27" s="28">
        <f t="shared" si="2"/>
        <v>75797.300321599992</v>
      </c>
      <c r="X27" s="51">
        <v>14</v>
      </c>
      <c r="Y27" s="96">
        <f>10.516*X27+230.08</f>
        <v>377.30399999999997</v>
      </c>
      <c r="Z27" s="96">
        <f>2.3252*X27^2-34.096*X27+221.8</f>
        <v>200.19520000000011</v>
      </c>
      <c r="AA27" s="96">
        <f>2.7033*X27+88.846</f>
        <v>126.69220000000001</v>
      </c>
      <c r="AB27" s="96">
        <f>1.1723*X27^2-20.638*X27+140.92</f>
        <v>81.758799999999951</v>
      </c>
      <c r="AC27" s="96">
        <f>5.0055*X27+108.04</f>
        <v>178.11700000000002</v>
      </c>
      <c r="AD27" s="96">
        <f>1.036*X27^2-15.503*X27+75.028</f>
        <v>61.042000000000016</v>
      </c>
    </row>
    <row r="28" spans="1:30" x14ac:dyDescent="0.25">
      <c r="A28" s="7">
        <v>2023</v>
      </c>
      <c r="B28" s="95">
        <f t="shared" ref="B28:B35" si="9">62.135*E28^2-1541.8*E28+15432</f>
        <v>14218.560000000005</v>
      </c>
      <c r="C28" s="11">
        <f t="shared" si="3"/>
        <v>69.850376629570363</v>
      </c>
      <c r="D28" s="8">
        <f t="shared" si="4"/>
        <v>58322.122142829365</v>
      </c>
      <c r="E28" s="49">
        <v>24</v>
      </c>
      <c r="F28" s="7">
        <v>2023</v>
      </c>
      <c r="G28" s="95">
        <f t="shared" ref="G28:G35" si="10">14.161*E28^2-572.31*E28+9239.5</f>
        <v>3660.7960000000012</v>
      </c>
      <c r="H28" s="11">
        <f t="shared" si="5"/>
        <v>40.63929098768061</v>
      </c>
      <c r="I28" s="16"/>
      <c r="K28" s="7">
        <v>2023</v>
      </c>
      <c r="L28" s="7">
        <v>24</v>
      </c>
      <c r="M28" s="53">
        <v>51299.4782388315</v>
      </c>
      <c r="N28" s="9">
        <v>0</v>
      </c>
      <c r="O28" s="28">
        <f>[1]PETERNAKAN!$AA$14</f>
        <v>958.07249999999999</v>
      </c>
      <c r="P28" s="28">
        <f>[1]PETERNAKAN!$AA$15</f>
        <v>10125.36</v>
      </c>
      <c r="Q28" s="80">
        <f>[1]PETERNAKAN!$AA$16</f>
        <v>167.04</v>
      </c>
      <c r="R28" s="28">
        <f>[1]PETERNAKAN!$AA$18</f>
        <v>3174.2604000000001</v>
      </c>
      <c r="S28" s="9">
        <v>0</v>
      </c>
      <c r="T28" s="28">
        <f t="shared" si="6"/>
        <v>2817807.5112316804</v>
      </c>
      <c r="U28" s="28">
        <f t="shared" si="7"/>
        <v>4217971.8552691499</v>
      </c>
      <c r="V28" s="28">
        <f t="shared" si="8"/>
        <v>4718.0389708100001</v>
      </c>
      <c r="W28" s="28">
        <f t="shared" si="2"/>
        <v>83377.030353759998</v>
      </c>
      <c r="X28" s="51">
        <v>15</v>
      </c>
      <c r="Y28" s="96">
        <f t="shared" ref="Y28:Y35" si="11">10.516*X28+230.08</f>
        <v>387.82000000000005</v>
      </c>
      <c r="Z28" s="96">
        <f t="shared" ref="Z28:Z35" si="12">2.3252*X28^2-34.096*X28+221.8</f>
        <v>233.53000000000014</v>
      </c>
      <c r="AA28" s="96">
        <f t="shared" ref="AA28:AA35" si="13">2.7033*X28+88.846</f>
        <v>129.3955</v>
      </c>
      <c r="AB28" s="96">
        <f t="shared" ref="AB28:AB35" si="14">1.1723*X28^2-20.638*X28+140.92</f>
        <v>95.117499999999922</v>
      </c>
      <c r="AC28" s="96">
        <f t="shared" ref="AC28:AC35" si="15">5.0055*X28+108.04</f>
        <v>183.1225</v>
      </c>
      <c r="AD28" s="96">
        <f t="shared" ref="AD28:AD35" si="16">1.036*X28^2-15.503*X28+75.028</f>
        <v>75.582999999999984</v>
      </c>
    </row>
    <row r="29" spans="1:30" x14ac:dyDescent="0.25">
      <c r="A29" s="7">
        <v>2024</v>
      </c>
      <c r="B29" s="95">
        <f t="shared" si="9"/>
        <v>15721.375</v>
      </c>
      <c r="C29" s="11">
        <f t="shared" si="3"/>
        <v>74.132204716963017</v>
      </c>
      <c r="D29" s="8">
        <f t="shared" si="4"/>
        <v>64387.622845683625</v>
      </c>
      <c r="E29" s="49">
        <v>25</v>
      </c>
      <c r="F29" s="7">
        <v>2024</v>
      </c>
      <c r="G29" s="95">
        <f t="shared" si="10"/>
        <v>3782.3750000000018</v>
      </c>
      <c r="H29" s="11">
        <f t="shared" si="5"/>
        <v>42.203903690706312</v>
      </c>
      <c r="I29" s="16"/>
      <c r="K29" s="7">
        <v>2024</v>
      </c>
      <c r="L29" s="7">
        <v>25</v>
      </c>
      <c r="M29" s="53">
        <v>55503.213907325997</v>
      </c>
      <c r="N29" s="9">
        <v>0</v>
      </c>
      <c r="O29" s="28">
        <f>[1]PETERNAKAN!$AB$14</f>
        <v>1005.976125</v>
      </c>
      <c r="P29" s="28">
        <f>[1]PETERNAKAN!$AB$15</f>
        <v>10631.628000000001</v>
      </c>
      <c r="Q29" s="80">
        <f>[1]PETERNAKAN!$AB$16</f>
        <v>200.44799999999998</v>
      </c>
      <c r="R29" s="28">
        <f>[1]PETERNAKAN!$AB$18</f>
        <v>3237.7456080000002</v>
      </c>
      <c r="S29" s="9">
        <v>0</v>
      </c>
      <c r="T29" s="28">
        <f t="shared" si="6"/>
        <v>3099588.2623548484</v>
      </c>
      <c r="U29" s="28">
        <f t="shared" si="7"/>
        <v>4639769.0407960648</v>
      </c>
      <c r="V29" s="28">
        <f t="shared" si="8"/>
        <v>5189.8428678910004</v>
      </c>
      <c r="W29" s="28">
        <f t="shared" si="2"/>
        <v>91714.733389136003</v>
      </c>
      <c r="X29" s="51">
        <v>16</v>
      </c>
      <c r="Y29" s="96">
        <f t="shared" si="11"/>
        <v>398.33600000000001</v>
      </c>
      <c r="Z29" s="96">
        <f t="shared" si="12"/>
        <v>271.51520000000011</v>
      </c>
      <c r="AA29" s="96">
        <f t="shared" si="13"/>
        <v>132.09880000000001</v>
      </c>
      <c r="AB29" s="96">
        <f t="shared" si="14"/>
        <v>110.82079999999993</v>
      </c>
      <c r="AC29" s="96">
        <f t="shared" si="15"/>
        <v>188.12799999999999</v>
      </c>
      <c r="AD29" s="96">
        <f t="shared" si="16"/>
        <v>92.196000000000012</v>
      </c>
    </row>
    <row r="30" spans="1:30" x14ac:dyDescent="0.25">
      <c r="A30" s="7">
        <v>2025</v>
      </c>
      <c r="B30" s="95">
        <f t="shared" si="9"/>
        <v>17348.460000000006</v>
      </c>
      <c r="C30" s="11">
        <f t="shared" si="3"/>
        <v>78.67650886611284</v>
      </c>
      <c r="D30" s="8">
        <f t="shared" si="4"/>
        <v>71083.935621634722</v>
      </c>
      <c r="E30" s="49">
        <v>26</v>
      </c>
      <c r="F30" s="7">
        <v>2025</v>
      </c>
      <c r="G30" s="95">
        <f t="shared" si="10"/>
        <v>3932.2760000000017</v>
      </c>
      <c r="H30" s="11">
        <f t="shared" si="5"/>
        <v>43.828753982798503</v>
      </c>
      <c r="I30" s="16"/>
      <c r="K30" s="7">
        <v>2025</v>
      </c>
      <c r="L30" s="7">
        <v>26</v>
      </c>
      <c r="M30" s="53">
        <v>59706.949575820501</v>
      </c>
      <c r="N30" s="9">
        <v>0</v>
      </c>
      <c r="O30" s="28">
        <f>[1]PETERNAKAN!$AC$14</f>
        <v>1056.27493125</v>
      </c>
      <c r="P30" s="28">
        <f>[1]PETERNAKAN!$AC$15</f>
        <v>11163.2094</v>
      </c>
      <c r="Q30" s="80">
        <f>[1]PETERNAKAN!$AC$16</f>
        <v>240.53759999999997</v>
      </c>
      <c r="R30" s="28">
        <f>[1]PETERNAKAN!$AC$18</f>
        <v>3302.5005201600002</v>
      </c>
      <c r="S30" s="9">
        <v>0</v>
      </c>
      <c r="T30" s="28">
        <f t="shared" si="6"/>
        <v>3409547.0885903332</v>
      </c>
      <c r="U30" s="28">
        <f t="shared" si="7"/>
        <v>5103745.9448756715</v>
      </c>
      <c r="V30" s="28">
        <f t="shared" si="8"/>
        <v>5708.8271546801006</v>
      </c>
      <c r="W30" s="28">
        <f t="shared" si="2"/>
        <v>100886.2067280496</v>
      </c>
      <c r="X30" s="51">
        <v>17</v>
      </c>
      <c r="Y30" s="96">
        <f t="shared" si="11"/>
        <v>408.85199999999998</v>
      </c>
      <c r="Z30" s="96">
        <f t="shared" si="12"/>
        <v>314.15080000000006</v>
      </c>
      <c r="AA30" s="96">
        <f t="shared" si="13"/>
        <v>134.8021</v>
      </c>
      <c r="AB30" s="96">
        <f t="shared" si="14"/>
        <v>128.86869999999996</v>
      </c>
      <c r="AC30" s="96">
        <f t="shared" si="15"/>
        <v>193.1335</v>
      </c>
      <c r="AD30" s="96">
        <f t="shared" si="16"/>
        <v>110.88100000000001</v>
      </c>
    </row>
    <row r="31" spans="1:30" x14ac:dyDescent="0.25">
      <c r="A31" s="7">
        <v>2026</v>
      </c>
      <c r="B31" s="95">
        <f t="shared" si="9"/>
        <v>19099.815000000002</v>
      </c>
      <c r="C31" s="11">
        <f t="shared" si="3"/>
        <v>83.499378859605557</v>
      </c>
      <c r="D31" s="8">
        <f t="shared" si="4"/>
        <v>78476.664926284735</v>
      </c>
      <c r="E31" s="49">
        <v>27</v>
      </c>
      <c r="F31" s="7">
        <v>2026</v>
      </c>
      <c r="G31" s="95">
        <f t="shared" si="10"/>
        <v>4110.4990000000016</v>
      </c>
      <c r="H31" s="11">
        <f t="shared" si="5"/>
        <v>45.516161011136248</v>
      </c>
      <c r="I31" s="16"/>
      <c r="K31" s="7">
        <v>2026</v>
      </c>
      <c r="L31" s="7">
        <v>27</v>
      </c>
      <c r="M31" s="53">
        <v>63910.685244314998</v>
      </c>
      <c r="N31" s="9">
        <v>0</v>
      </c>
      <c r="O31" s="28">
        <f>[1]PETERNAKAN!$AD$14</f>
        <v>1109.0886778125</v>
      </c>
      <c r="P31" s="28">
        <f>[1]PETERNAKAN!$AD$15</f>
        <v>11721.36987</v>
      </c>
      <c r="Q31" s="80">
        <f>[1]PETERNAKAN!$AD$16</f>
        <v>288.64511999999996</v>
      </c>
      <c r="R31" s="28">
        <f>[1]PETERNAKAN!$AD$18</f>
        <v>3368.5505305632</v>
      </c>
      <c r="S31" s="9">
        <v>0</v>
      </c>
      <c r="T31" s="28">
        <f t="shared" si="6"/>
        <v>3750501.7974493667</v>
      </c>
      <c r="U31" s="28">
        <f t="shared" si="7"/>
        <v>5614120.539363239</v>
      </c>
      <c r="V31" s="28">
        <f t="shared" si="8"/>
        <v>6279.7098701481109</v>
      </c>
      <c r="W31" s="28">
        <f t="shared" si="2"/>
        <v>110974.82740085456</v>
      </c>
      <c r="X31" s="51">
        <v>18</v>
      </c>
      <c r="Y31" s="96">
        <f t="shared" si="11"/>
        <v>419.36800000000005</v>
      </c>
      <c r="Z31" s="96">
        <f t="shared" si="12"/>
        <v>361.43680000000012</v>
      </c>
      <c r="AA31" s="96">
        <f t="shared" si="13"/>
        <v>137.50540000000001</v>
      </c>
      <c r="AB31" s="96">
        <f t="shared" si="14"/>
        <v>149.26119999999995</v>
      </c>
      <c r="AC31" s="96">
        <f t="shared" si="15"/>
        <v>198.13900000000001</v>
      </c>
      <c r="AD31" s="96">
        <f t="shared" si="16"/>
        <v>131.63800000000003</v>
      </c>
    </row>
    <row r="32" spans="1:30" x14ac:dyDescent="0.25">
      <c r="A32" s="7">
        <v>2027</v>
      </c>
      <c r="B32" s="95">
        <f t="shared" si="9"/>
        <v>20975.439999999995</v>
      </c>
      <c r="C32" s="11">
        <f t="shared" si="3"/>
        <v>88.617890783699366</v>
      </c>
      <c r="D32" s="8">
        <f t="shared" si="4"/>
        <v>86638.238078618349</v>
      </c>
      <c r="E32" s="49">
        <v>28</v>
      </c>
      <c r="F32" s="7">
        <v>2027</v>
      </c>
      <c r="G32" s="95">
        <f t="shared" si="10"/>
        <v>4317.0440000000017</v>
      </c>
      <c r="H32" s="11">
        <f t="shared" si="5"/>
        <v>47.268533210064994</v>
      </c>
      <c r="I32" s="16"/>
      <c r="K32" s="7">
        <v>2027</v>
      </c>
      <c r="L32" s="7">
        <v>28</v>
      </c>
      <c r="M32" s="53">
        <v>68114.420912809495</v>
      </c>
      <c r="N32" s="9">
        <v>0</v>
      </c>
      <c r="O32" s="28">
        <f>[1]PETERNAKAN!$AE$14</f>
        <v>1164.5431117031251</v>
      </c>
      <c r="P32" s="28">
        <f>[1]PETERNAKAN!$AE$15</f>
        <v>12307.438363500001</v>
      </c>
      <c r="Q32" s="80">
        <f>[1]PETERNAKAN!$AE$16</f>
        <v>346.37414399999994</v>
      </c>
      <c r="R32" s="28">
        <f>[1]PETERNAKAN!$AE$18</f>
        <v>3435.921541174464</v>
      </c>
      <c r="S32" s="9">
        <v>0</v>
      </c>
      <c r="T32" s="28">
        <f t="shared" si="6"/>
        <v>4125551.9771943032</v>
      </c>
      <c r="U32" s="28">
        <f t="shared" si="7"/>
        <v>6175532.593299563</v>
      </c>
      <c r="V32" s="28">
        <f t="shared" si="8"/>
        <v>6907.6808571629217</v>
      </c>
      <c r="W32" s="28">
        <f t="shared" si="2"/>
        <v>122072.31014094001</v>
      </c>
      <c r="X32" s="51">
        <v>19</v>
      </c>
      <c r="Y32" s="96">
        <f t="shared" si="11"/>
        <v>429.88400000000001</v>
      </c>
      <c r="Z32" s="96">
        <f t="shared" si="12"/>
        <v>413.37320000000017</v>
      </c>
      <c r="AA32" s="96">
        <f t="shared" si="13"/>
        <v>140.20870000000002</v>
      </c>
      <c r="AB32" s="96">
        <f t="shared" si="14"/>
        <v>171.99829999999994</v>
      </c>
      <c r="AC32" s="96">
        <f t="shared" si="15"/>
        <v>203.14449999999999</v>
      </c>
      <c r="AD32" s="96">
        <f t="shared" si="16"/>
        <v>154.46700000000004</v>
      </c>
    </row>
    <row r="33" spans="1:30" x14ac:dyDescent="0.25">
      <c r="A33" s="7">
        <v>2028</v>
      </c>
      <c r="B33" s="95">
        <f t="shared" si="9"/>
        <v>22975.334999999999</v>
      </c>
      <c r="C33" s="11">
        <f t="shared" si="3"/>
        <v>94.050167488740129</v>
      </c>
      <c r="D33" s="8">
        <f t="shared" si="4"/>
        <v>95648.61483879466</v>
      </c>
      <c r="E33" s="50">
        <v>29</v>
      </c>
      <c r="F33" s="7">
        <v>2028</v>
      </c>
      <c r="G33" s="95">
        <f t="shared" si="10"/>
        <v>4551.9110000000019</v>
      </c>
      <c r="H33" s="11">
        <f t="shared" si="5"/>
        <v>49.088371738652498</v>
      </c>
      <c r="I33" s="16"/>
      <c r="K33" s="7">
        <v>2028</v>
      </c>
      <c r="L33" s="7">
        <v>29</v>
      </c>
      <c r="M33" s="53">
        <v>72318.156581304007</v>
      </c>
      <c r="N33" s="9">
        <v>0</v>
      </c>
      <c r="O33" s="28">
        <f>[1]PETERNAKAN!$AF$14</f>
        <v>1222.7702672882813</v>
      </c>
      <c r="P33" s="28">
        <f>[1]PETERNAKAN!$AF$15</f>
        <v>12922.810281675002</v>
      </c>
      <c r="Q33" s="80">
        <f>[1]PETERNAKAN!$AF$16</f>
        <v>415.64897279999991</v>
      </c>
      <c r="R33" s="28">
        <f>[1]PETERNAKAN!$AF$18</f>
        <v>3504.6399719979531</v>
      </c>
      <c r="S33" s="9">
        <v>0</v>
      </c>
      <c r="T33" s="28">
        <f t="shared" si="6"/>
        <v>4538107.1749137333</v>
      </c>
      <c r="U33" s="28">
        <f t="shared" si="7"/>
        <v>6793085.8526295191</v>
      </c>
      <c r="V33" s="28">
        <f t="shared" si="8"/>
        <v>7598.448942879214</v>
      </c>
      <c r="W33" s="28">
        <f t="shared" si="2"/>
        <v>134279.54115503401</v>
      </c>
      <c r="X33" s="51">
        <v>20</v>
      </c>
      <c r="Y33" s="96">
        <f t="shared" si="11"/>
        <v>440.4</v>
      </c>
      <c r="Z33" s="96">
        <f t="shared" si="12"/>
        <v>469.96000000000009</v>
      </c>
      <c r="AA33" s="96">
        <f t="shared" si="13"/>
        <v>142.91200000000001</v>
      </c>
      <c r="AB33" s="96">
        <f t="shared" si="14"/>
        <v>197.0799999999999</v>
      </c>
      <c r="AC33" s="96">
        <f t="shared" si="15"/>
        <v>208.14999999999998</v>
      </c>
      <c r="AD33" s="96">
        <f t="shared" si="16"/>
        <v>179.36800000000005</v>
      </c>
    </row>
    <row r="34" spans="1:30" x14ac:dyDescent="0.25">
      <c r="A34" s="7">
        <v>2029</v>
      </c>
      <c r="B34" s="95">
        <f t="shared" si="9"/>
        <v>25099.5</v>
      </c>
      <c r="C34" s="11">
        <f t="shared" si="3"/>
        <v>99.815442755799893</v>
      </c>
      <c r="D34" s="8">
        <f t="shared" si="4"/>
        <v>105596.07078202932</v>
      </c>
      <c r="E34" s="50">
        <v>30</v>
      </c>
      <c r="F34" s="7">
        <v>2029</v>
      </c>
      <c r="G34" s="95">
        <f>14.161*E34^2-572.31*E34+9239.5</f>
        <v>4815.1000000000004</v>
      </c>
      <c r="H34" s="11">
        <f t="shared" si="5"/>
        <v>50.97827405059062</v>
      </c>
      <c r="I34" s="16"/>
      <c r="K34" s="7">
        <v>2029</v>
      </c>
      <c r="L34" s="7">
        <v>30</v>
      </c>
      <c r="M34" s="53">
        <v>76521.892249798504</v>
      </c>
      <c r="N34" s="9">
        <v>0</v>
      </c>
      <c r="O34" s="28">
        <f>[1]PETERNAKAN!$AG$14</f>
        <v>1283.9087806526954</v>
      </c>
      <c r="P34" s="28">
        <f>[1]PETERNAKAN!$AG$15</f>
        <v>13568.950795758752</v>
      </c>
      <c r="Q34" s="80">
        <f>[1]PETERNAKAN!$AG$16</f>
        <v>498.7787673599999</v>
      </c>
      <c r="R34" s="28">
        <f>[1]PETERNAKAN!$AG$18</f>
        <v>3574.7327714379121</v>
      </c>
      <c r="S34" s="9">
        <v>0</v>
      </c>
      <c r="T34" s="28">
        <f t="shared" si="6"/>
        <v>4991917.8924051067</v>
      </c>
      <c r="U34" s="28">
        <f t="shared" si="7"/>
        <v>7472394.4378924705</v>
      </c>
      <c r="V34" s="28">
        <f t="shared" si="8"/>
        <v>8358.2938371671353</v>
      </c>
      <c r="W34" s="28">
        <f t="shared" si="2"/>
        <v>147707.49527053742</v>
      </c>
      <c r="X34" s="51">
        <v>21</v>
      </c>
      <c r="Y34" s="96">
        <f t="shared" si="11"/>
        <v>450.91600000000005</v>
      </c>
      <c r="Z34" s="96">
        <f t="shared" si="12"/>
        <v>531.19720000000007</v>
      </c>
      <c r="AA34" s="96">
        <f t="shared" si="13"/>
        <v>145.61529999999999</v>
      </c>
      <c r="AB34" s="96">
        <f t="shared" si="14"/>
        <v>224.50629999999992</v>
      </c>
      <c r="AC34" s="96">
        <f t="shared" si="15"/>
        <v>213.15550000000002</v>
      </c>
      <c r="AD34" s="96">
        <f t="shared" si="16"/>
        <v>206.34100000000007</v>
      </c>
    </row>
    <row r="35" spans="1:30" x14ac:dyDescent="0.25">
      <c r="A35" s="24">
        <v>2030</v>
      </c>
      <c r="B35" s="95">
        <f t="shared" si="9"/>
        <v>27347.935000000005</v>
      </c>
      <c r="C35" s="26">
        <v>106</v>
      </c>
      <c r="D35" s="79">
        <f>(C35/10)*B35</f>
        <v>289888.11100000003</v>
      </c>
      <c r="E35" s="49">
        <v>31</v>
      </c>
      <c r="F35" s="24">
        <v>2030</v>
      </c>
      <c r="G35" s="95">
        <f t="shared" si="10"/>
        <v>5106.6110000000026</v>
      </c>
      <c r="H35" s="27">
        <f>C35/2</f>
        <v>53</v>
      </c>
      <c r="I35" s="25">
        <f>(H35/10)*G35</f>
        <v>27065.038300000015</v>
      </c>
      <c r="K35" s="7">
        <v>2030</v>
      </c>
      <c r="L35" s="7">
        <v>31</v>
      </c>
      <c r="M35" s="53">
        <v>80725.627918293001</v>
      </c>
      <c r="N35" s="9">
        <v>0</v>
      </c>
      <c r="O35" s="28">
        <f>[1]PETERNAKAN!$AH$14</f>
        <v>1348.1042196853302</v>
      </c>
      <c r="P35" s="28">
        <f>[1]PETERNAKAN!$AH$15</f>
        <v>14247.39833554669</v>
      </c>
      <c r="Q35" s="80">
        <f>[1]PETERNAKAN!$AH$16</f>
        <v>598.53452083199988</v>
      </c>
      <c r="R35" s="28">
        <f>[1]PETERNAKAN!$AH$18</f>
        <v>3646.2274268666702</v>
      </c>
      <c r="S35" s="9">
        <v>0</v>
      </c>
      <c r="T35" s="28">
        <f t="shared" si="6"/>
        <v>5491109.6816456169</v>
      </c>
      <c r="U35" s="28">
        <f t="shared" si="7"/>
        <v>8219633.8816817179</v>
      </c>
      <c r="V35" s="28">
        <f t="shared" si="8"/>
        <v>9194.1232208838483</v>
      </c>
      <c r="W35" s="28">
        <f t="shared" si="2"/>
        <v>162478.24479759115</v>
      </c>
      <c r="X35" s="51">
        <v>22</v>
      </c>
      <c r="Y35" s="96">
        <f t="shared" si="11"/>
        <v>461.43200000000002</v>
      </c>
      <c r="Z35" s="96">
        <f t="shared" si="12"/>
        <v>597.08480000000009</v>
      </c>
      <c r="AA35" s="96">
        <f t="shared" si="13"/>
        <v>148.3186</v>
      </c>
      <c r="AB35" s="96">
        <f t="shared" si="14"/>
        <v>254.27719999999991</v>
      </c>
      <c r="AC35" s="96">
        <f t="shared" si="15"/>
        <v>218.161</v>
      </c>
      <c r="AD35" s="96">
        <f t="shared" si="16"/>
        <v>235.38600000000002</v>
      </c>
    </row>
    <row r="36" spans="1:30" x14ac:dyDescent="0.25">
      <c r="A36" s="7"/>
      <c r="B36" s="19">
        <f>(B35/B26)^(1/9)-1</f>
        <v>0.11400497959336686</v>
      </c>
      <c r="D36" s="19">
        <f>(C35/C20)^(1/15)-1</f>
        <v>6.1343982170155797E-2</v>
      </c>
      <c r="I36" s="19">
        <f>(H35/H20)^(1/15)-1</f>
        <v>3.857719846961416E-2</v>
      </c>
      <c r="AC36" s="2"/>
    </row>
    <row r="37" spans="1:30" x14ac:dyDescent="0.25">
      <c r="A37" s="7"/>
      <c r="B37" s="16">
        <f>(B35/C42)+G35</f>
        <v>26143.48407692308</v>
      </c>
      <c r="D37" s="18">
        <f>(D35/D20)^(1/15)-1</f>
        <v>0.17312235710141843</v>
      </c>
      <c r="I37" s="19">
        <f>(I35/I20)^(1/15)-1</f>
        <v>6.9620151844153932E-2</v>
      </c>
      <c r="AC37" s="2"/>
    </row>
    <row r="39" spans="1:30" x14ac:dyDescent="0.25">
      <c r="A39" s="6">
        <f>5.3*2</f>
        <v>10.6</v>
      </c>
      <c r="B39" s="6" t="s">
        <v>27</v>
      </c>
    </row>
    <row r="40" spans="1:30" x14ac:dyDescent="0.25">
      <c r="A40" s="6">
        <f>A39*10</f>
        <v>106</v>
      </c>
      <c r="B40" s="6" t="s">
        <v>28</v>
      </c>
    </row>
    <row r="42" spans="1:30" ht="34.5" customHeight="1" x14ac:dyDescent="0.25">
      <c r="A42" s="121" t="s">
        <v>59</v>
      </c>
      <c r="B42" s="121"/>
      <c r="C42" s="61">
        <v>1.3</v>
      </c>
    </row>
    <row r="44" spans="1:30" x14ac:dyDescent="0.25">
      <c r="B44" s="7" t="s">
        <v>57</v>
      </c>
      <c r="G44" s="6" t="s">
        <v>58</v>
      </c>
      <c r="H44" s="6" t="s">
        <v>60</v>
      </c>
    </row>
    <row r="45" spans="1:30" x14ac:dyDescent="0.25">
      <c r="A45" s="6">
        <f>A5</f>
        <v>2000</v>
      </c>
      <c r="B45" s="11">
        <f>B5/$C$42</f>
        <v>14509.23076923077</v>
      </c>
      <c r="E45" s="6">
        <v>1</v>
      </c>
      <c r="G45" s="16">
        <f>G5</f>
        <v>7444</v>
      </c>
      <c r="H45" s="16">
        <f>B45+G45</f>
        <v>21953.23076923077</v>
      </c>
      <c r="I45" s="18">
        <f>G45/H45</f>
        <v>0.33908448730167629</v>
      </c>
    </row>
    <row r="46" spans="1:30" x14ac:dyDescent="0.25">
      <c r="A46" s="6">
        <f t="shared" ref="A46:A75" si="17">A6</f>
        <v>2001</v>
      </c>
      <c r="B46" s="11">
        <f t="shared" ref="B46:B59" si="18">B6/$C$42</f>
        <v>10226.923076923076</v>
      </c>
      <c r="E46" s="6">
        <v>2</v>
      </c>
      <c r="G46" s="16">
        <f t="shared" ref="G46:G60" si="19">G6</f>
        <v>8814</v>
      </c>
      <c r="H46" s="16">
        <f t="shared" ref="H46:H60" si="20">B46+G46</f>
        <v>19040.923076923078</v>
      </c>
      <c r="I46" s="18">
        <f t="shared" ref="I46:I60" si="21">G46/H46</f>
        <v>0.46289772635457233</v>
      </c>
    </row>
    <row r="47" spans="1:30" x14ac:dyDescent="0.25">
      <c r="A47" s="6">
        <f t="shared" si="17"/>
        <v>2002</v>
      </c>
      <c r="B47" s="11">
        <f t="shared" si="18"/>
        <v>9902.3076923076915</v>
      </c>
      <c r="E47" s="6">
        <v>3</v>
      </c>
      <c r="G47" s="16">
        <f t="shared" si="19"/>
        <v>8350</v>
      </c>
      <c r="H47" s="16">
        <f t="shared" si="20"/>
        <v>18252.307692307691</v>
      </c>
      <c r="I47" s="18">
        <f t="shared" si="21"/>
        <v>0.45747639919082944</v>
      </c>
    </row>
    <row r="48" spans="1:30" x14ac:dyDescent="0.25">
      <c r="A48" s="6">
        <f t="shared" si="17"/>
        <v>2003</v>
      </c>
      <c r="B48" s="11">
        <f t="shared" si="18"/>
        <v>3209.2307692307691</v>
      </c>
      <c r="E48" s="6">
        <v>4</v>
      </c>
      <c r="G48" s="16">
        <f t="shared" si="19"/>
        <v>6139</v>
      </c>
      <c r="H48" s="16">
        <f t="shared" si="20"/>
        <v>9348.2307692307695</v>
      </c>
      <c r="I48" s="18">
        <f t="shared" si="21"/>
        <v>0.65670180289153846</v>
      </c>
    </row>
    <row r="49" spans="1:9" x14ac:dyDescent="0.25">
      <c r="A49" s="6">
        <f t="shared" si="17"/>
        <v>2004</v>
      </c>
      <c r="B49" s="11">
        <f t="shared" si="18"/>
        <v>4402.3076923076924</v>
      </c>
      <c r="E49" s="6">
        <v>5</v>
      </c>
      <c r="G49" s="16">
        <f t="shared" si="19"/>
        <v>5798</v>
      </c>
      <c r="H49" s="16">
        <f t="shared" si="20"/>
        <v>10200.307692307691</v>
      </c>
      <c r="I49" s="18">
        <f t="shared" si="21"/>
        <v>0.56841422581520928</v>
      </c>
    </row>
    <row r="50" spans="1:9" x14ac:dyDescent="0.25">
      <c r="A50" s="6">
        <f t="shared" si="17"/>
        <v>2005</v>
      </c>
      <c r="B50" s="11">
        <f t="shared" si="18"/>
        <v>4184.6153846153848</v>
      </c>
      <c r="E50" s="6">
        <v>6</v>
      </c>
      <c r="G50" s="16">
        <f t="shared" si="19"/>
        <v>6128</v>
      </c>
      <c r="H50" s="16">
        <f t="shared" si="20"/>
        <v>10312.615384615385</v>
      </c>
      <c r="I50" s="18">
        <f>G50/H50</f>
        <v>0.59422365437403035</v>
      </c>
    </row>
    <row r="51" spans="1:9" x14ac:dyDescent="0.25">
      <c r="A51" s="6">
        <f t="shared" si="17"/>
        <v>2006</v>
      </c>
      <c r="B51" s="11">
        <f t="shared" si="18"/>
        <v>4750</v>
      </c>
      <c r="E51" s="6">
        <v>7</v>
      </c>
      <c r="G51" s="16">
        <f t="shared" si="19"/>
        <v>5900</v>
      </c>
      <c r="H51" s="16">
        <f t="shared" si="20"/>
        <v>10650</v>
      </c>
      <c r="I51" s="18">
        <f t="shared" si="21"/>
        <v>0.5539906103286385</v>
      </c>
    </row>
    <row r="52" spans="1:9" x14ac:dyDescent="0.25">
      <c r="A52" s="6">
        <f t="shared" si="17"/>
        <v>2007</v>
      </c>
      <c r="B52" s="11">
        <f t="shared" si="18"/>
        <v>6379.2307692307686</v>
      </c>
      <c r="E52" s="6">
        <v>8</v>
      </c>
      <c r="G52" s="16">
        <f t="shared" si="19"/>
        <v>7977</v>
      </c>
      <c r="H52" s="16">
        <f t="shared" si="20"/>
        <v>14356.23076923077</v>
      </c>
      <c r="I52" s="18">
        <f t="shared" si="21"/>
        <v>0.55564723974045038</v>
      </c>
    </row>
    <row r="53" spans="1:9" x14ac:dyDescent="0.25">
      <c r="A53" s="6">
        <f t="shared" si="17"/>
        <v>2008</v>
      </c>
      <c r="B53" s="11">
        <f t="shared" si="18"/>
        <v>6893.8461538461534</v>
      </c>
      <c r="E53" s="6">
        <v>9</v>
      </c>
      <c r="G53" s="16">
        <f t="shared" si="19"/>
        <v>7833</v>
      </c>
      <c r="H53" s="16">
        <f t="shared" si="20"/>
        <v>14726.846153846152</v>
      </c>
      <c r="I53" s="18">
        <f t="shared" si="21"/>
        <v>0.53188577636864132</v>
      </c>
    </row>
    <row r="54" spans="1:9" x14ac:dyDescent="0.25">
      <c r="A54" s="6">
        <f t="shared" si="17"/>
        <v>2009</v>
      </c>
      <c r="B54" s="11">
        <f t="shared" si="18"/>
        <v>5600.7692307692305</v>
      </c>
      <c r="E54" s="6">
        <v>10</v>
      </c>
      <c r="G54" s="16">
        <f t="shared" si="19"/>
        <v>5744</v>
      </c>
      <c r="H54" s="16">
        <f t="shared" si="20"/>
        <v>11344.76923076923</v>
      </c>
      <c r="I54" s="18">
        <f t="shared" si="21"/>
        <v>0.50631263476220834</v>
      </c>
    </row>
    <row r="55" spans="1:9" x14ac:dyDescent="0.25">
      <c r="A55" s="6">
        <f t="shared" si="17"/>
        <v>2010</v>
      </c>
      <c r="B55" s="11">
        <f t="shared" si="18"/>
        <v>5293.8461538461534</v>
      </c>
      <c r="E55" s="6">
        <v>11</v>
      </c>
      <c r="G55" s="16">
        <f t="shared" si="19"/>
        <v>4745</v>
      </c>
      <c r="H55" s="16">
        <f t="shared" si="20"/>
        <v>10038.846153846152</v>
      </c>
      <c r="I55" s="18">
        <f t="shared" si="21"/>
        <v>0.47266388260986175</v>
      </c>
    </row>
    <row r="56" spans="1:9" x14ac:dyDescent="0.25">
      <c r="A56" s="6">
        <f t="shared" si="17"/>
        <v>2011</v>
      </c>
      <c r="B56" s="11">
        <f t="shared" si="18"/>
        <v>5049.2307692307695</v>
      </c>
      <c r="E56" s="6">
        <v>12</v>
      </c>
      <c r="G56" s="16">
        <f t="shared" si="19"/>
        <v>2961</v>
      </c>
      <c r="H56" s="16">
        <f t="shared" si="20"/>
        <v>8010.2307692307695</v>
      </c>
      <c r="I56" s="18">
        <f t="shared" si="21"/>
        <v>0.36965227161418568</v>
      </c>
    </row>
    <row r="57" spans="1:9" x14ac:dyDescent="0.25">
      <c r="A57" s="6">
        <f t="shared" si="17"/>
        <v>2012</v>
      </c>
      <c r="B57" s="11">
        <f t="shared" si="18"/>
        <v>5241.538461538461</v>
      </c>
      <c r="E57" s="6">
        <v>13</v>
      </c>
      <c r="G57" s="16">
        <f t="shared" si="19"/>
        <v>3399</v>
      </c>
      <c r="H57" s="16">
        <f t="shared" si="20"/>
        <v>8640.538461538461</v>
      </c>
      <c r="I57" s="18">
        <f t="shared" si="21"/>
        <v>0.39337826168240941</v>
      </c>
    </row>
    <row r="58" spans="1:9" x14ac:dyDescent="0.25">
      <c r="A58" s="6">
        <f t="shared" si="17"/>
        <v>2013</v>
      </c>
      <c r="B58" s="11">
        <f t="shared" si="18"/>
        <v>5569.2307692307686</v>
      </c>
      <c r="E58" s="6">
        <v>14</v>
      </c>
      <c r="G58" s="16">
        <f t="shared" si="19"/>
        <v>3064</v>
      </c>
      <c r="H58" s="16">
        <f t="shared" si="20"/>
        <v>8633.2307692307695</v>
      </c>
      <c r="I58" s="18">
        <f t="shared" si="21"/>
        <v>0.3549076912110628</v>
      </c>
    </row>
    <row r="59" spans="1:9" x14ac:dyDescent="0.25">
      <c r="A59" s="6">
        <f>A19</f>
        <v>2014</v>
      </c>
      <c r="B59" s="11">
        <f t="shared" si="18"/>
        <v>4944.6153846153848</v>
      </c>
      <c r="E59" s="6">
        <v>15</v>
      </c>
      <c r="G59" s="16">
        <f t="shared" si="19"/>
        <v>2595</v>
      </c>
      <c r="H59" s="16">
        <f t="shared" si="20"/>
        <v>7539.6153846153848</v>
      </c>
      <c r="I59" s="18">
        <f t="shared" si="21"/>
        <v>0.34418201295720041</v>
      </c>
    </row>
    <row r="60" spans="1:9" x14ac:dyDescent="0.25">
      <c r="A60" s="6">
        <f t="shared" si="17"/>
        <v>2015</v>
      </c>
      <c r="B60" s="11">
        <f>B20/$C$42</f>
        <v>4684.6153846153848</v>
      </c>
      <c r="E60" s="6">
        <v>16</v>
      </c>
      <c r="G60" s="16">
        <f t="shared" si="19"/>
        <v>3283</v>
      </c>
      <c r="H60" s="16">
        <f t="shared" si="20"/>
        <v>7967.6153846153848</v>
      </c>
      <c r="I60" s="18">
        <f t="shared" si="21"/>
        <v>0.41204298168547676</v>
      </c>
    </row>
    <row r="61" spans="1:9" x14ac:dyDescent="0.25">
      <c r="A61" s="6">
        <f t="shared" si="17"/>
        <v>2016</v>
      </c>
      <c r="B61" s="11">
        <f>H61-G61</f>
        <v>4936.3714919526783</v>
      </c>
      <c r="E61" s="6">
        <v>17</v>
      </c>
      <c r="G61" s="16">
        <f>H61*$I$61</f>
        <v>4436.6285080473217</v>
      </c>
      <c r="H61" s="22">
        <v>9373</v>
      </c>
      <c r="I61" s="59">
        <f>AVERAGE(I45:I60)</f>
        <v>0.47334135368049945</v>
      </c>
    </row>
    <row r="62" spans="1:9" x14ac:dyDescent="0.25">
      <c r="A62" s="6">
        <f t="shared" si="17"/>
        <v>2017</v>
      </c>
      <c r="B62" s="11">
        <f t="shared" ref="B62:B75" si="22">H62-G62</f>
        <v>5055.9230046672055</v>
      </c>
      <c r="E62" s="6">
        <v>18</v>
      </c>
      <c r="G62" s="16">
        <f t="shared" ref="G62:G67" si="23">H62*$I$61</f>
        <v>4544.0769953327945</v>
      </c>
      <c r="H62" s="22">
        <v>9600</v>
      </c>
    </row>
    <row r="63" spans="1:9" x14ac:dyDescent="0.25">
      <c r="A63" s="6">
        <f t="shared" si="17"/>
        <v>2018</v>
      </c>
      <c r="B63" s="11">
        <f t="shared" si="22"/>
        <v>5161.254733931105</v>
      </c>
      <c r="E63" s="6">
        <v>19</v>
      </c>
      <c r="G63" s="16">
        <f t="shared" si="23"/>
        <v>4638.745266068895</v>
      </c>
      <c r="H63" s="22">
        <v>9800</v>
      </c>
    </row>
    <row r="64" spans="1:9" x14ac:dyDescent="0.25">
      <c r="A64" s="6">
        <f t="shared" si="17"/>
        <v>2019</v>
      </c>
      <c r="B64" s="11">
        <f t="shared" si="22"/>
        <v>5266.5864631950053</v>
      </c>
      <c r="E64" s="6">
        <v>20</v>
      </c>
      <c r="G64" s="16">
        <f t="shared" si="23"/>
        <v>4733.4135368049947</v>
      </c>
      <c r="H64" s="22">
        <v>10000</v>
      </c>
    </row>
    <row r="65" spans="1:8" x14ac:dyDescent="0.25">
      <c r="A65" s="6">
        <f t="shared" si="17"/>
        <v>2020</v>
      </c>
      <c r="B65" s="11">
        <f t="shared" si="22"/>
        <v>5371.9181924589057</v>
      </c>
      <c r="E65" s="6">
        <v>21</v>
      </c>
      <c r="G65" s="16">
        <f t="shared" si="23"/>
        <v>4828.0818075410943</v>
      </c>
      <c r="H65" s="22">
        <v>10200</v>
      </c>
    </row>
    <row r="66" spans="1:8" x14ac:dyDescent="0.25">
      <c r="A66" s="6">
        <f t="shared" si="17"/>
        <v>2021</v>
      </c>
      <c r="B66" s="11">
        <f>H66-G66</f>
        <v>5477.249921722806</v>
      </c>
      <c r="E66" s="6">
        <v>22</v>
      </c>
      <c r="G66" s="16">
        <f t="shared" si="23"/>
        <v>4922.750078277194</v>
      </c>
      <c r="H66" s="22">
        <v>10400</v>
      </c>
    </row>
    <row r="67" spans="1:8" x14ac:dyDescent="0.25">
      <c r="A67" s="6">
        <f t="shared" si="17"/>
        <v>2022</v>
      </c>
      <c r="B67" s="11">
        <f t="shared" si="22"/>
        <v>6283.7460064709376</v>
      </c>
      <c r="E67" s="6">
        <v>23</v>
      </c>
      <c r="G67" s="16">
        <f t="shared" si="23"/>
        <v>5647.5989935290563</v>
      </c>
      <c r="H67" s="16">
        <f>53.605*E67^2-1613.9*E67+20694</f>
        <v>11931.344999999994</v>
      </c>
    </row>
    <row r="68" spans="1:8" x14ac:dyDescent="0.25">
      <c r="A68" s="6">
        <f>A28</f>
        <v>2023</v>
      </c>
      <c r="B68" s="11">
        <f t="shared" si="22"/>
        <v>6760.6538437658664</v>
      </c>
      <c r="E68" s="6">
        <v>24</v>
      </c>
      <c r="G68" s="16">
        <f t="shared" ref="G68" si="24">H68*$I$61</f>
        <v>6076.2261562341273</v>
      </c>
      <c r="H68" s="16">
        <f>53.605*E68^2-1613.9*E68+20694</f>
        <v>12836.879999999994</v>
      </c>
    </row>
    <row r="69" spans="1:8" x14ac:dyDescent="0.25">
      <c r="A69" s="6">
        <f t="shared" si="17"/>
        <v>2024</v>
      </c>
      <c r="B69" s="11">
        <f>H69-G69</f>
        <v>7294.0247545327129</v>
      </c>
      <c r="E69" s="6">
        <v>25</v>
      </c>
      <c r="G69" s="16">
        <f t="shared" ref="G69:G75" si="25">H69*$I$61</f>
        <v>6555.6002454672871</v>
      </c>
      <c r="H69" s="16">
        <f>53.605*E69^2-1613.9*E69+20694</f>
        <v>13849.625</v>
      </c>
    </row>
    <row r="70" spans="1:8" x14ac:dyDescent="0.25">
      <c r="A70" s="6">
        <f t="shared" si="17"/>
        <v>2025</v>
      </c>
      <c r="B70" s="11">
        <f t="shared" si="22"/>
        <v>7883.8587387714661</v>
      </c>
      <c r="E70" s="6">
        <v>26</v>
      </c>
      <c r="G70" s="16">
        <f t="shared" si="25"/>
        <v>7085.7212612285284</v>
      </c>
      <c r="H70" s="16">
        <f>53.605*E70^2-1613.9*E70+20694</f>
        <v>14969.579999999994</v>
      </c>
    </row>
    <row r="71" spans="1:8" x14ac:dyDescent="0.25">
      <c r="A71" s="6">
        <f t="shared" si="17"/>
        <v>2026</v>
      </c>
      <c r="B71" s="11">
        <f t="shared" si="22"/>
        <v>8415.4785095392981</v>
      </c>
      <c r="E71" s="6">
        <v>27</v>
      </c>
      <c r="G71" s="16">
        <f t="shared" si="25"/>
        <v>7563.521490460701</v>
      </c>
      <c r="H71" s="16">
        <f>'Luas Alokasi Pertanian'!$D$6</f>
        <v>15979</v>
      </c>
    </row>
    <row r="72" spans="1:8" x14ac:dyDescent="0.25">
      <c r="A72" s="6">
        <f t="shared" si="17"/>
        <v>2027</v>
      </c>
      <c r="B72" s="11">
        <f t="shared" si="22"/>
        <v>8415.4785095392981</v>
      </c>
      <c r="E72" s="6">
        <v>28</v>
      </c>
      <c r="G72" s="16">
        <f t="shared" si="25"/>
        <v>7563.521490460701</v>
      </c>
      <c r="H72" s="16">
        <f>'Luas Alokasi Pertanian'!$D$6</f>
        <v>15979</v>
      </c>
    </row>
    <row r="73" spans="1:8" x14ac:dyDescent="0.25">
      <c r="A73" s="6">
        <f t="shared" si="17"/>
        <v>2028</v>
      </c>
      <c r="B73" s="11">
        <f t="shared" si="22"/>
        <v>8415.4785095392981</v>
      </c>
      <c r="E73" s="6">
        <v>29</v>
      </c>
      <c r="G73" s="16">
        <f t="shared" si="25"/>
        <v>7563.521490460701</v>
      </c>
      <c r="H73" s="16">
        <f>'Luas Alokasi Pertanian'!$D$6</f>
        <v>15979</v>
      </c>
    </row>
    <row r="74" spans="1:8" x14ac:dyDescent="0.25">
      <c r="A74" s="6">
        <f>A34</f>
        <v>2029</v>
      </c>
      <c r="B74" s="11">
        <f t="shared" si="22"/>
        <v>8415.4785095392981</v>
      </c>
      <c r="E74" s="6">
        <v>30</v>
      </c>
      <c r="G74" s="16">
        <f t="shared" si="25"/>
        <v>7563.521490460701</v>
      </c>
      <c r="H74" s="16">
        <f>'Luas Alokasi Pertanian'!$D$6</f>
        <v>15979</v>
      </c>
    </row>
    <row r="75" spans="1:8" x14ac:dyDescent="0.25">
      <c r="A75" s="6">
        <f t="shared" si="17"/>
        <v>2030</v>
      </c>
      <c r="B75" s="11">
        <f t="shared" si="22"/>
        <v>8415.4785095392981</v>
      </c>
      <c r="E75" s="6">
        <v>31</v>
      </c>
      <c r="G75" s="16">
        <f t="shared" si="25"/>
        <v>7563.521490460701</v>
      </c>
      <c r="H75" s="16">
        <f>'Luas Alokasi Pertanian'!$D$6</f>
        <v>15979</v>
      </c>
    </row>
    <row r="76" spans="1:8" x14ac:dyDescent="0.25">
      <c r="C76" s="11">
        <f>B75+G75</f>
        <v>15979</v>
      </c>
    </row>
  </sheetData>
  <mergeCells count="5">
    <mergeCell ref="A3:D3"/>
    <mergeCell ref="M3:W3"/>
    <mergeCell ref="Y3:AD3"/>
    <mergeCell ref="A42:B42"/>
    <mergeCell ref="G3:I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2"/>
  <sheetViews>
    <sheetView zoomScale="85" zoomScaleNormal="85" workbookViewId="0">
      <pane xSplit="1" ySplit="4" topLeftCell="P5" activePane="bottomRight" state="frozen"/>
      <selection pane="topRight" activeCell="B1" sqref="B1"/>
      <selection pane="bottomLeft" activeCell="A5" sqref="A5"/>
      <selection pane="bottomRight" activeCell="U17" sqref="U17"/>
    </sheetView>
  </sheetViews>
  <sheetFormatPr defaultRowHeight="15" x14ac:dyDescent="0.25"/>
  <cols>
    <col min="2" max="2" width="15" bestFit="1" customWidth="1"/>
    <col min="3" max="3" width="16.140625" bestFit="1" customWidth="1"/>
    <col min="4" max="4" width="14" bestFit="1" customWidth="1"/>
    <col min="5" max="5" width="2.85546875" customWidth="1"/>
    <col min="7" max="7" width="19.42578125" bestFit="1" customWidth="1"/>
    <col min="8" max="8" width="26.85546875" bestFit="1" customWidth="1"/>
    <col min="9" max="9" width="14" bestFit="1" customWidth="1"/>
    <col min="10" max="10" width="14" customWidth="1"/>
    <col min="11" max="11" width="7.7109375" customWidth="1"/>
    <col min="13" max="13" width="8" bestFit="1" customWidth="1"/>
    <col min="14" max="14" width="10.28515625" bestFit="1" customWidth="1"/>
    <col min="15" max="15" width="8" bestFit="1" customWidth="1"/>
    <col min="16" max="16" width="8.7109375" bestFit="1" customWidth="1"/>
    <col min="19" max="19" width="8.7109375" customWidth="1"/>
    <col min="20" max="20" width="14.85546875" bestFit="1" customWidth="1"/>
    <col min="21" max="21" width="18.28515625" bestFit="1" customWidth="1"/>
    <col min="22" max="22" width="16.5703125" bestFit="1" customWidth="1"/>
    <col min="23" max="23" width="8" bestFit="1" customWidth="1"/>
    <col min="24" max="24" width="4.42578125" customWidth="1"/>
    <col min="25" max="30" width="12.85546875" customWidth="1"/>
  </cols>
  <sheetData>
    <row r="1" spans="1:30" x14ac:dyDescent="0.25">
      <c r="A1" s="6" t="s">
        <v>6</v>
      </c>
      <c r="B1" s="6"/>
      <c r="C1" s="6"/>
      <c r="D1" s="6"/>
      <c r="E1" s="6"/>
      <c r="F1" s="6"/>
      <c r="G1" s="6"/>
      <c r="H1" s="6"/>
      <c r="I1" s="6"/>
      <c r="J1" s="6"/>
    </row>
    <row r="2" spans="1:30" x14ac:dyDescent="0.25">
      <c r="A2" s="6"/>
      <c r="B2" s="6"/>
      <c r="C2" s="6"/>
      <c r="D2" s="6"/>
      <c r="E2" s="6"/>
      <c r="F2" s="6"/>
      <c r="G2" s="6"/>
      <c r="H2" s="6"/>
      <c r="I2" s="6"/>
      <c r="J2" s="6"/>
    </row>
    <row r="3" spans="1:30" x14ac:dyDescent="0.25">
      <c r="A3" s="119" t="s">
        <v>2</v>
      </c>
      <c r="B3" s="119"/>
      <c r="C3" s="119"/>
      <c r="D3" s="119"/>
      <c r="E3" s="6"/>
      <c r="F3" s="119" t="s">
        <v>5</v>
      </c>
      <c r="G3" s="119"/>
      <c r="H3" s="119"/>
      <c r="I3" s="119"/>
      <c r="J3" s="39"/>
      <c r="M3" s="120" t="s">
        <v>26</v>
      </c>
      <c r="N3" s="120"/>
      <c r="O3" s="120"/>
      <c r="P3" s="120"/>
      <c r="Q3" s="120"/>
      <c r="R3" s="120"/>
      <c r="S3" s="120"/>
      <c r="T3" s="120"/>
      <c r="U3" s="120"/>
      <c r="V3" s="120"/>
      <c r="W3" s="120"/>
      <c r="Y3" s="120" t="s">
        <v>34</v>
      </c>
      <c r="Z3" s="120"/>
      <c r="AA3" s="120"/>
      <c r="AB3" s="120"/>
      <c r="AC3" s="120"/>
      <c r="AD3" s="120"/>
    </row>
    <row r="4" spans="1:30" x14ac:dyDescent="0.25">
      <c r="A4" s="6"/>
      <c r="B4" s="4" t="s">
        <v>4</v>
      </c>
      <c r="C4" s="1" t="s">
        <v>0</v>
      </c>
      <c r="D4" s="1" t="s">
        <v>1</v>
      </c>
      <c r="E4" s="6"/>
      <c r="F4" s="6"/>
      <c r="G4" s="4" t="s">
        <v>4</v>
      </c>
      <c r="H4" s="1" t="s">
        <v>0</v>
      </c>
      <c r="I4" s="1" t="s">
        <v>1</v>
      </c>
      <c r="J4" s="40"/>
      <c r="M4" s="4" t="s">
        <v>15</v>
      </c>
      <c r="N4" s="4" t="s">
        <v>16</v>
      </c>
      <c r="O4" s="4" t="s">
        <v>17</v>
      </c>
      <c r="P4" s="4" t="s">
        <v>18</v>
      </c>
      <c r="Q4" s="4" t="s">
        <v>19</v>
      </c>
      <c r="R4" s="4" t="s">
        <v>20</v>
      </c>
      <c r="S4" s="4" t="s">
        <v>21</v>
      </c>
      <c r="T4" s="4" t="s">
        <v>22</v>
      </c>
      <c r="U4" s="4" t="s">
        <v>23</v>
      </c>
      <c r="V4" s="4" t="s">
        <v>24</v>
      </c>
      <c r="W4" s="4" t="s">
        <v>25</v>
      </c>
      <c r="Y4" s="4" t="s">
        <v>35</v>
      </c>
      <c r="Z4" s="4" t="s">
        <v>36</v>
      </c>
      <c r="AA4" s="4" t="s">
        <v>37</v>
      </c>
      <c r="AB4" s="4" t="s">
        <v>38</v>
      </c>
      <c r="AC4" s="4" t="s">
        <v>39</v>
      </c>
      <c r="AD4" s="4" t="s">
        <v>40</v>
      </c>
    </row>
    <row r="5" spans="1:30" x14ac:dyDescent="0.25">
      <c r="A5" s="7">
        <v>2000</v>
      </c>
      <c r="B5" s="2">
        <v>0</v>
      </c>
      <c r="C5" s="13" t="e">
        <f>(D5*10)/B5</f>
        <v>#DIV/0!</v>
      </c>
      <c r="D5" s="2">
        <v>0</v>
      </c>
      <c r="F5" s="7">
        <v>2000</v>
      </c>
      <c r="G5" s="2">
        <v>0</v>
      </c>
      <c r="H5" s="13" t="e">
        <f>(I5*10)/G5</f>
        <v>#DIV/0!</v>
      </c>
      <c r="I5" s="2">
        <v>0</v>
      </c>
      <c r="J5" s="2">
        <f>B5+G5</f>
        <v>0</v>
      </c>
      <c r="L5" s="7">
        <v>2000</v>
      </c>
      <c r="M5" s="5">
        <v>10887</v>
      </c>
      <c r="N5" s="9">
        <v>0</v>
      </c>
      <c r="O5" s="5">
        <v>2307</v>
      </c>
      <c r="P5" s="5">
        <v>12715</v>
      </c>
      <c r="Q5" s="9">
        <v>0</v>
      </c>
      <c r="R5" s="5">
        <v>84416</v>
      </c>
      <c r="S5" s="5"/>
      <c r="T5" s="5">
        <v>490200</v>
      </c>
      <c r="U5" s="5">
        <v>70700</v>
      </c>
      <c r="V5" s="5">
        <v>8700</v>
      </c>
      <c r="W5" s="5">
        <v>47900</v>
      </c>
    </row>
    <row r="6" spans="1:30" x14ac:dyDescent="0.25">
      <c r="A6" s="7">
        <v>2001</v>
      </c>
      <c r="B6" s="2">
        <v>1835</v>
      </c>
      <c r="C6" s="14">
        <f t="shared" ref="C6:C19" si="0">(D6*10)/B6</f>
        <v>33.062670299727522</v>
      </c>
      <c r="D6" s="2">
        <v>6067</v>
      </c>
      <c r="F6" s="7">
        <v>2001</v>
      </c>
      <c r="G6" s="2">
        <v>11503</v>
      </c>
      <c r="H6" s="14">
        <f t="shared" ref="H6:H19" si="1">(I6*10)/G6</f>
        <v>22.244631835173433</v>
      </c>
      <c r="I6" s="2">
        <v>25588</v>
      </c>
      <c r="J6" s="2">
        <f t="shared" ref="J6:J17" si="2">B6+G6</f>
        <v>13338</v>
      </c>
      <c r="K6" s="38">
        <f>G6/J6</f>
        <v>0.86242315189683616</v>
      </c>
      <c r="L6" s="7">
        <v>2001</v>
      </c>
      <c r="M6" s="5">
        <v>12034</v>
      </c>
      <c r="N6" s="9">
        <v>0</v>
      </c>
      <c r="O6" s="5">
        <v>2460</v>
      </c>
      <c r="P6" s="5">
        <v>14018</v>
      </c>
      <c r="Q6" s="9">
        <v>0</v>
      </c>
      <c r="R6" s="5">
        <v>101038</v>
      </c>
      <c r="S6" s="9">
        <v>0</v>
      </c>
      <c r="T6" s="5">
        <v>548400</v>
      </c>
      <c r="U6" s="5">
        <v>125700</v>
      </c>
      <c r="V6" s="5">
        <v>8500</v>
      </c>
      <c r="W6" s="5">
        <v>49600</v>
      </c>
    </row>
    <row r="7" spans="1:30" x14ac:dyDescent="0.25">
      <c r="A7" s="7">
        <v>2002</v>
      </c>
      <c r="B7" s="2">
        <v>2798</v>
      </c>
      <c r="C7" s="14">
        <f t="shared" si="0"/>
        <v>30.293066476054324</v>
      </c>
      <c r="D7" s="2">
        <v>8476</v>
      </c>
      <c r="F7" s="7">
        <v>2002</v>
      </c>
      <c r="G7" s="2">
        <v>14090</v>
      </c>
      <c r="H7" s="14">
        <f t="shared" si="1"/>
        <v>22.284599006387509</v>
      </c>
      <c r="I7" s="2">
        <v>31399</v>
      </c>
      <c r="J7" s="2">
        <f t="shared" si="2"/>
        <v>16888</v>
      </c>
      <c r="K7" s="38">
        <f t="shared" ref="K7:K19" si="3">G7/J7</f>
        <v>0.83432022738038847</v>
      </c>
      <c r="L7" s="7">
        <v>2002</v>
      </c>
      <c r="M7" s="5">
        <v>12284</v>
      </c>
      <c r="N7" s="9">
        <v>0</v>
      </c>
      <c r="O7" s="5">
        <v>2588</v>
      </c>
      <c r="P7" s="5">
        <v>14298</v>
      </c>
      <c r="Q7" s="9">
        <v>0</v>
      </c>
      <c r="R7" s="5">
        <v>104640</v>
      </c>
      <c r="S7" s="9">
        <v>0</v>
      </c>
      <c r="T7" s="5">
        <v>559200</v>
      </c>
      <c r="U7" s="5">
        <v>129000</v>
      </c>
      <c r="V7" s="5">
        <v>8500</v>
      </c>
      <c r="W7" s="5">
        <v>51800</v>
      </c>
    </row>
    <row r="8" spans="1:30" x14ac:dyDescent="0.25">
      <c r="A8" s="7">
        <v>2003</v>
      </c>
      <c r="B8" s="2">
        <v>1982</v>
      </c>
      <c r="C8" s="14">
        <f t="shared" si="0"/>
        <v>37.588294651866804</v>
      </c>
      <c r="D8" s="2">
        <v>7450</v>
      </c>
      <c r="F8" s="7">
        <v>2003</v>
      </c>
      <c r="G8" s="2">
        <v>12435</v>
      </c>
      <c r="H8" s="14">
        <f t="shared" si="1"/>
        <v>20.179332529151587</v>
      </c>
      <c r="I8" s="2">
        <v>25093</v>
      </c>
      <c r="J8" s="2">
        <f t="shared" si="2"/>
        <v>14417</v>
      </c>
      <c r="K8" s="38">
        <f t="shared" si="3"/>
        <v>0.86252340986335574</v>
      </c>
      <c r="L8" s="7">
        <v>2003</v>
      </c>
      <c r="M8" s="5">
        <v>4706</v>
      </c>
      <c r="N8" s="9">
        <v>0</v>
      </c>
      <c r="O8" s="5">
        <v>261</v>
      </c>
      <c r="P8" s="5">
        <v>2129</v>
      </c>
      <c r="Q8" s="9">
        <v>0</v>
      </c>
      <c r="R8" s="5">
        <v>19860</v>
      </c>
      <c r="S8" s="5">
        <v>5</v>
      </c>
      <c r="T8" s="5">
        <v>101700</v>
      </c>
      <c r="U8" s="5">
        <v>58700</v>
      </c>
      <c r="V8" s="5">
        <v>4000</v>
      </c>
      <c r="W8" s="5">
        <v>4600</v>
      </c>
    </row>
    <row r="9" spans="1:30" x14ac:dyDescent="0.25">
      <c r="A9" s="7">
        <v>2004</v>
      </c>
      <c r="B9" s="2">
        <v>1547</v>
      </c>
      <c r="C9" s="14">
        <f t="shared" si="0"/>
        <v>29.172592113768584</v>
      </c>
      <c r="D9" s="2">
        <v>4513</v>
      </c>
      <c r="F9" s="7">
        <v>2004</v>
      </c>
      <c r="G9" s="2">
        <v>10977</v>
      </c>
      <c r="H9" s="14">
        <f t="shared" si="1"/>
        <v>23.810695089733077</v>
      </c>
      <c r="I9" s="2">
        <v>26137</v>
      </c>
      <c r="J9" s="2">
        <f t="shared" si="2"/>
        <v>12524</v>
      </c>
      <c r="K9" s="38">
        <f t="shared" si="3"/>
        <v>0.87647716384541685</v>
      </c>
      <c r="L9" s="7">
        <v>2004</v>
      </c>
      <c r="M9" s="5">
        <v>5565</v>
      </c>
      <c r="N9" s="9">
        <v>0</v>
      </c>
      <c r="O9" s="5">
        <v>2057</v>
      </c>
      <c r="P9" s="5">
        <v>8345</v>
      </c>
      <c r="Q9" s="9">
        <v>0</v>
      </c>
      <c r="R9" s="5">
        <v>90169</v>
      </c>
      <c r="S9" s="5">
        <v>1</v>
      </c>
      <c r="T9" s="3">
        <v>442000</v>
      </c>
      <c r="U9" s="3">
        <v>58700</v>
      </c>
      <c r="V9" s="9">
        <v>0</v>
      </c>
      <c r="W9" s="3">
        <v>6200</v>
      </c>
    </row>
    <row r="10" spans="1:30" x14ac:dyDescent="0.25">
      <c r="A10" s="7">
        <v>2005</v>
      </c>
      <c r="B10" s="2">
        <v>2597</v>
      </c>
      <c r="C10" s="14">
        <f t="shared" si="0"/>
        <v>31.75972275702734</v>
      </c>
      <c r="D10" s="2">
        <v>8248</v>
      </c>
      <c r="F10" s="7">
        <v>2005</v>
      </c>
      <c r="G10" s="2">
        <v>14508</v>
      </c>
      <c r="H10" s="14">
        <f t="shared" si="1"/>
        <v>24.680865729252826</v>
      </c>
      <c r="I10" s="2">
        <v>35807</v>
      </c>
      <c r="J10" s="2">
        <f t="shared" si="2"/>
        <v>17105</v>
      </c>
      <c r="K10" s="38">
        <f t="shared" si="3"/>
        <v>0.84817304881613564</v>
      </c>
      <c r="L10" s="7">
        <v>2005</v>
      </c>
      <c r="M10" s="2">
        <v>5594</v>
      </c>
      <c r="N10" s="9">
        <v>0</v>
      </c>
      <c r="O10" s="2">
        <v>245</v>
      </c>
      <c r="P10" s="2">
        <v>2509</v>
      </c>
      <c r="Q10" s="9">
        <v>0</v>
      </c>
      <c r="R10" s="2">
        <v>25152</v>
      </c>
      <c r="S10" s="2">
        <v>3</v>
      </c>
      <c r="T10" s="2">
        <v>139900</v>
      </c>
      <c r="U10" s="2">
        <v>84500</v>
      </c>
      <c r="V10" s="9">
        <v>0</v>
      </c>
      <c r="W10" s="2">
        <v>6600</v>
      </c>
    </row>
    <row r="11" spans="1:30" x14ac:dyDescent="0.25">
      <c r="A11" s="7">
        <v>2006</v>
      </c>
      <c r="B11" s="2">
        <v>1590</v>
      </c>
      <c r="C11" s="14">
        <f t="shared" si="0"/>
        <v>32.559748427672957</v>
      </c>
      <c r="D11" s="2">
        <v>5177</v>
      </c>
      <c r="F11" s="7">
        <v>2006</v>
      </c>
      <c r="G11" s="2">
        <v>13506</v>
      </c>
      <c r="H11" s="14">
        <f t="shared" si="1"/>
        <v>25.988449577965348</v>
      </c>
      <c r="I11" s="2">
        <v>35100</v>
      </c>
      <c r="J11" s="2">
        <f t="shared" si="2"/>
        <v>15096</v>
      </c>
      <c r="K11" s="38">
        <f t="shared" si="3"/>
        <v>0.89467408585055641</v>
      </c>
      <c r="L11" s="7">
        <v>2006</v>
      </c>
      <c r="M11" s="2">
        <v>5666</v>
      </c>
      <c r="N11" s="9">
        <v>0</v>
      </c>
      <c r="O11" s="2">
        <v>296</v>
      </c>
      <c r="P11" s="2">
        <v>3169</v>
      </c>
      <c r="Q11" s="9">
        <v>0</v>
      </c>
      <c r="R11" s="2">
        <v>27144</v>
      </c>
      <c r="S11" s="2">
        <v>3</v>
      </c>
      <c r="T11" s="2">
        <v>157500</v>
      </c>
      <c r="U11" s="2">
        <v>115900</v>
      </c>
      <c r="V11" s="9">
        <v>0</v>
      </c>
      <c r="W11" s="2">
        <v>7800</v>
      </c>
    </row>
    <row r="12" spans="1:30" x14ac:dyDescent="0.25">
      <c r="A12" s="7">
        <v>2007</v>
      </c>
      <c r="B12" s="2">
        <v>1322</v>
      </c>
      <c r="C12" s="14">
        <f t="shared" si="0"/>
        <v>32.745839636913765</v>
      </c>
      <c r="D12" s="2">
        <v>4329</v>
      </c>
      <c r="F12" s="7">
        <v>2007</v>
      </c>
      <c r="G12" s="2">
        <v>13972</v>
      </c>
      <c r="H12" s="14">
        <f t="shared" si="1"/>
        <v>26.080017177211566</v>
      </c>
      <c r="I12" s="2">
        <v>36439</v>
      </c>
      <c r="J12" s="2">
        <f t="shared" si="2"/>
        <v>15294</v>
      </c>
      <c r="K12" s="38">
        <f t="shared" si="3"/>
        <v>0.91356087354518112</v>
      </c>
      <c r="L12" s="7">
        <v>2007</v>
      </c>
      <c r="M12" s="2">
        <v>6134</v>
      </c>
      <c r="N12" s="9">
        <v>0</v>
      </c>
      <c r="O12" s="2">
        <v>461</v>
      </c>
      <c r="P12" s="2">
        <v>3402</v>
      </c>
      <c r="Q12" s="9">
        <v>0</v>
      </c>
      <c r="R12" s="2">
        <v>29607</v>
      </c>
      <c r="S12" s="9">
        <v>0</v>
      </c>
      <c r="T12" s="2">
        <v>196100</v>
      </c>
      <c r="U12" s="2">
        <v>136300</v>
      </c>
      <c r="V12" s="9">
        <v>0</v>
      </c>
      <c r="W12" s="2">
        <v>8900</v>
      </c>
    </row>
    <row r="13" spans="1:30" x14ac:dyDescent="0.25">
      <c r="A13" s="7">
        <v>2008</v>
      </c>
      <c r="B13" s="2">
        <v>1138</v>
      </c>
      <c r="C13" s="14">
        <f t="shared" si="0"/>
        <v>32.729999999999997</v>
      </c>
      <c r="D13" s="2">
        <v>3724.674</v>
      </c>
      <c r="F13" s="7">
        <v>2008</v>
      </c>
      <c r="G13" s="2">
        <v>11135</v>
      </c>
      <c r="H13" s="14">
        <f t="shared" si="1"/>
        <v>26.079928154467893</v>
      </c>
      <c r="I13" s="2">
        <v>29040</v>
      </c>
      <c r="J13" s="2">
        <f t="shared" si="2"/>
        <v>12273</v>
      </c>
      <c r="K13" s="38">
        <f t="shared" si="3"/>
        <v>0.90727613460441625</v>
      </c>
      <c r="L13" s="7">
        <v>2008</v>
      </c>
      <c r="M13" s="2">
        <v>6749</v>
      </c>
      <c r="N13" s="9">
        <v>0</v>
      </c>
      <c r="O13" s="2">
        <v>476</v>
      </c>
      <c r="P13" s="2">
        <v>3712</v>
      </c>
      <c r="Q13" s="9">
        <v>0</v>
      </c>
      <c r="R13" s="2">
        <v>31539</v>
      </c>
      <c r="S13" s="9">
        <v>0</v>
      </c>
      <c r="T13" s="2">
        <v>213700</v>
      </c>
      <c r="U13" s="2">
        <v>139500</v>
      </c>
      <c r="V13" s="9">
        <v>0</v>
      </c>
      <c r="W13" s="2">
        <v>9900</v>
      </c>
    </row>
    <row r="14" spans="1:30" x14ac:dyDescent="0.25">
      <c r="A14" s="7">
        <v>2009</v>
      </c>
      <c r="B14" s="2">
        <v>1017</v>
      </c>
      <c r="C14" s="14">
        <f t="shared" si="0"/>
        <v>38.869223205506394</v>
      </c>
      <c r="D14" s="2">
        <v>3953</v>
      </c>
      <c r="F14" s="7">
        <v>2009</v>
      </c>
      <c r="G14" s="2">
        <v>10152</v>
      </c>
      <c r="H14" s="14">
        <f t="shared" si="1"/>
        <v>28.629826635145783</v>
      </c>
      <c r="I14" s="2">
        <v>29065</v>
      </c>
      <c r="J14" s="2">
        <f t="shared" si="2"/>
        <v>11169</v>
      </c>
      <c r="K14" s="38">
        <f t="shared" si="3"/>
        <v>0.90894439967767926</v>
      </c>
      <c r="L14" s="7">
        <v>2009</v>
      </c>
      <c r="M14" s="2">
        <v>7179</v>
      </c>
      <c r="N14" s="9">
        <v>0</v>
      </c>
      <c r="O14" s="2">
        <v>489</v>
      </c>
      <c r="P14" s="2">
        <v>4079</v>
      </c>
      <c r="Q14" s="9">
        <v>0</v>
      </c>
      <c r="R14" s="2">
        <v>32366</v>
      </c>
      <c r="S14" s="9">
        <v>0</v>
      </c>
      <c r="T14" s="2">
        <v>226900</v>
      </c>
      <c r="U14" s="2">
        <v>145400</v>
      </c>
      <c r="V14" s="9">
        <v>0</v>
      </c>
      <c r="W14" s="2">
        <v>10000</v>
      </c>
      <c r="X14" s="48">
        <v>1</v>
      </c>
      <c r="Y14" s="2">
        <v>267</v>
      </c>
      <c r="Z14" s="2">
        <v>1002</v>
      </c>
      <c r="AA14" s="2">
        <v>204</v>
      </c>
      <c r="AB14" s="2">
        <v>112</v>
      </c>
      <c r="AC14" s="2">
        <v>12</v>
      </c>
      <c r="AD14" s="2">
        <v>74</v>
      </c>
    </row>
    <row r="15" spans="1:30" x14ac:dyDescent="0.25">
      <c r="A15" s="7">
        <v>2010</v>
      </c>
      <c r="B15" s="2">
        <v>1172</v>
      </c>
      <c r="C15" s="14">
        <f t="shared" si="0"/>
        <v>39.761092150170647</v>
      </c>
      <c r="D15" s="2">
        <v>4660</v>
      </c>
      <c r="F15" s="7">
        <v>2010</v>
      </c>
      <c r="G15" s="2">
        <v>9437</v>
      </c>
      <c r="H15" s="14">
        <f t="shared" si="1"/>
        <v>28.629861184698527</v>
      </c>
      <c r="I15" s="2">
        <v>27018</v>
      </c>
      <c r="J15" s="2">
        <f t="shared" si="2"/>
        <v>10609</v>
      </c>
      <c r="K15" s="38">
        <f t="shared" si="3"/>
        <v>0.889527759449524</v>
      </c>
      <c r="L15" s="7">
        <v>2010</v>
      </c>
      <c r="M15" s="9">
        <v>7608</v>
      </c>
      <c r="N15" s="9">
        <v>0</v>
      </c>
      <c r="O15" s="9">
        <v>503</v>
      </c>
      <c r="P15" s="9">
        <v>4463</v>
      </c>
      <c r="Q15" s="9">
        <v>0</v>
      </c>
      <c r="R15" s="9">
        <v>33084</v>
      </c>
      <c r="S15" s="9">
        <v>0</v>
      </c>
      <c r="T15" s="10">
        <v>231879</v>
      </c>
      <c r="U15" s="10">
        <v>148000</v>
      </c>
      <c r="V15" s="9">
        <v>0</v>
      </c>
      <c r="W15" s="10">
        <v>10129</v>
      </c>
      <c r="X15" s="47">
        <v>2</v>
      </c>
      <c r="Y15" s="10">
        <v>185</v>
      </c>
      <c r="Z15" s="10">
        <v>888</v>
      </c>
      <c r="AA15" s="10">
        <v>165</v>
      </c>
      <c r="AB15" s="10">
        <v>71</v>
      </c>
      <c r="AC15" s="10">
        <v>0</v>
      </c>
      <c r="AD15" s="10">
        <v>23</v>
      </c>
    </row>
    <row r="16" spans="1:30" x14ac:dyDescent="0.25">
      <c r="A16" s="7">
        <v>2011</v>
      </c>
      <c r="B16" s="2">
        <v>1367</v>
      </c>
      <c r="C16" s="14">
        <f t="shared" si="0"/>
        <v>39.670811997073884</v>
      </c>
      <c r="D16" s="2">
        <v>5423</v>
      </c>
      <c r="F16" s="7">
        <v>2011</v>
      </c>
      <c r="G16" s="2">
        <v>9205</v>
      </c>
      <c r="H16" s="14">
        <f t="shared" si="1"/>
        <v>28.597501357957633</v>
      </c>
      <c r="I16" s="2">
        <v>26324</v>
      </c>
      <c r="J16" s="2">
        <f t="shared" si="2"/>
        <v>10572</v>
      </c>
      <c r="K16" s="38">
        <f t="shared" si="3"/>
        <v>0.8706961785849413</v>
      </c>
      <c r="L16" s="7">
        <v>2011</v>
      </c>
      <c r="M16" s="9">
        <v>6236</v>
      </c>
      <c r="N16" s="9">
        <v>0</v>
      </c>
      <c r="O16" s="9">
        <v>378</v>
      </c>
      <c r="P16" s="9">
        <v>5462</v>
      </c>
      <c r="Q16" s="9">
        <v>0</v>
      </c>
      <c r="R16" s="9">
        <v>33106</v>
      </c>
      <c r="S16" s="9">
        <v>0</v>
      </c>
      <c r="T16" s="10">
        <v>251413</v>
      </c>
      <c r="U16" s="10">
        <v>153348</v>
      </c>
      <c r="V16" s="9">
        <v>0</v>
      </c>
      <c r="W16" s="10">
        <v>10375</v>
      </c>
      <c r="X16" s="47">
        <v>3</v>
      </c>
      <c r="Y16" s="10">
        <v>181</v>
      </c>
      <c r="Z16" s="10">
        <v>791</v>
      </c>
      <c r="AA16" s="10">
        <v>237</v>
      </c>
      <c r="AB16">
        <v>86</v>
      </c>
      <c r="AC16">
        <v>26</v>
      </c>
      <c r="AD16">
        <v>52</v>
      </c>
    </row>
    <row r="17" spans="1:30" x14ac:dyDescent="0.25">
      <c r="A17" s="7">
        <v>2012</v>
      </c>
      <c r="B17" s="2">
        <v>742</v>
      </c>
      <c r="C17" s="14">
        <f t="shared" si="0"/>
        <v>41.226415094339622</v>
      </c>
      <c r="D17" s="2">
        <v>3059</v>
      </c>
      <c r="F17" s="7">
        <v>2012</v>
      </c>
      <c r="G17" s="2">
        <v>9612</v>
      </c>
      <c r="H17" s="14">
        <f t="shared" si="1"/>
        <v>29.440282979608821</v>
      </c>
      <c r="I17" s="2">
        <v>28298</v>
      </c>
      <c r="J17" s="2">
        <f t="shared" si="2"/>
        <v>10354</v>
      </c>
      <c r="K17" s="38">
        <f t="shared" si="3"/>
        <v>0.92833687463782111</v>
      </c>
      <c r="L17" s="7">
        <v>2012</v>
      </c>
      <c r="M17" s="9">
        <v>6999</v>
      </c>
      <c r="N17" s="9">
        <v>0</v>
      </c>
      <c r="O17" s="9">
        <v>451</v>
      </c>
      <c r="P17" s="9">
        <v>5635</v>
      </c>
      <c r="Q17" s="9">
        <v>0</v>
      </c>
      <c r="R17" s="9">
        <v>33459</v>
      </c>
      <c r="S17" s="9">
        <v>0</v>
      </c>
      <c r="T17" s="10">
        <v>219717</v>
      </c>
      <c r="U17" s="10">
        <v>153631</v>
      </c>
      <c r="V17" s="9">
        <v>0</v>
      </c>
      <c r="W17" s="10">
        <v>10674</v>
      </c>
      <c r="X17" s="47">
        <v>4</v>
      </c>
      <c r="Y17" s="10">
        <v>289</v>
      </c>
      <c r="Z17" s="10">
        <v>681</v>
      </c>
      <c r="AA17" s="10">
        <v>189</v>
      </c>
      <c r="AB17">
        <v>92</v>
      </c>
      <c r="AC17">
        <v>1</v>
      </c>
      <c r="AD17">
        <v>59</v>
      </c>
    </row>
    <row r="18" spans="1:30" x14ac:dyDescent="0.25">
      <c r="A18" s="7">
        <v>2013</v>
      </c>
      <c r="B18" s="2">
        <v>1346</v>
      </c>
      <c r="C18" s="14">
        <f>(D18*10)/B18</f>
        <v>42.481426448736997</v>
      </c>
      <c r="D18" s="2">
        <v>5718</v>
      </c>
      <c r="F18" s="7">
        <v>2013</v>
      </c>
      <c r="G18" s="2">
        <v>6366</v>
      </c>
      <c r="H18" s="14">
        <f t="shared" si="1"/>
        <v>31.278667923342759</v>
      </c>
      <c r="I18" s="2">
        <v>19912</v>
      </c>
      <c r="J18" s="2">
        <f>J17*1.029</f>
        <v>10654.266</v>
      </c>
      <c r="K18" s="38">
        <f t="shared" si="3"/>
        <v>0.59750713939374145</v>
      </c>
      <c r="L18" s="7">
        <v>2013</v>
      </c>
      <c r="M18" s="9">
        <v>7582</v>
      </c>
      <c r="N18" s="9">
        <v>0</v>
      </c>
      <c r="O18" s="9">
        <v>586</v>
      </c>
      <c r="P18" s="9">
        <v>6125</v>
      </c>
      <c r="Q18" s="9">
        <v>0</v>
      </c>
      <c r="R18" s="9">
        <v>33554</v>
      </c>
      <c r="S18" s="9">
        <v>0</v>
      </c>
      <c r="T18" s="10">
        <v>219742</v>
      </c>
      <c r="U18" s="10">
        <v>149987</v>
      </c>
      <c r="V18" s="9">
        <v>0</v>
      </c>
      <c r="W18" s="10">
        <v>12445</v>
      </c>
      <c r="X18" s="47">
        <v>5</v>
      </c>
      <c r="Y18" s="10">
        <v>60</v>
      </c>
      <c r="Z18" s="10">
        <v>486</v>
      </c>
      <c r="AA18" s="10">
        <v>123</v>
      </c>
      <c r="AB18">
        <v>36</v>
      </c>
      <c r="AC18">
        <v>5</v>
      </c>
      <c r="AD18">
        <v>24</v>
      </c>
    </row>
    <row r="19" spans="1:30" x14ac:dyDescent="0.25">
      <c r="A19" s="7">
        <v>2014</v>
      </c>
      <c r="B19" s="2">
        <v>1067</v>
      </c>
      <c r="C19" s="14">
        <f t="shared" si="0"/>
        <v>42.652296157450799</v>
      </c>
      <c r="D19" s="2">
        <v>4551</v>
      </c>
      <c r="F19" s="7">
        <v>2014</v>
      </c>
      <c r="G19" s="2">
        <v>2817</v>
      </c>
      <c r="H19" s="14">
        <f t="shared" si="1"/>
        <v>31.888533901313455</v>
      </c>
      <c r="I19" s="2">
        <v>8983</v>
      </c>
      <c r="J19" s="2">
        <f t="shared" ref="J19:J34" si="4">J18*1.029</f>
        <v>10963.239713999999</v>
      </c>
      <c r="K19" s="38">
        <f t="shared" si="3"/>
        <v>0.25694959459863909</v>
      </c>
      <c r="L19" s="7">
        <v>2014</v>
      </c>
      <c r="M19" s="9">
        <v>6942</v>
      </c>
      <c r="N19" s="9">
        <v>0</v>
      </c>
      <c r="O19" s="9">
        <v>659</v>
      </c>
      <c r="P19" s="9">
        <v>5706</v>
      </c>
      <c r="Q19" s="9">
        <v>0</v>
      </c>
      <c r="R19" s="9">
        <v>28939</v>
      </c>
      <c r="S19" s="9">
        <v>0</v>
      </c>
      <c r="T19" s="10">
        <v>182284</v>
      </c>
      <c r="U19" s="8">
        <v>1341667</v>
      </c>
      <c r="V19" s="9">
        <v>0</v>
      </c>
      <c r="W19" s="10">
        <v>14390</v>
      </c>
      <c r="X19" s="47">
        <v>6</v>
      </c>
      <c r="Y19" s="10">
        <v>106</v>
      </c>
      <c r="Z19" s="10">
        <v>418</v>
      </c>
      <c r="AA19" s="10">
        <v>118</v>
      </c>
      <c r="AB19" s="10">
        <v>49</v>
      </c>
      <c r="AC19" s="10">
        <v>18</v>
      </c>
      <c r="AD19" s="10">
        <v>22</v>
      </c>
    </row>
    <row r="20" spans="1:30" x14ac:dyDescent="0.25">
      <c r="A20" s="7">
        <v>2015</v>
      </c>
      <c r="B20" s="2">
        <v>1042</v>
      </c>
      <c r="C20" s="14">
        <f>C19*1.0585</f>
        <v>45.14745548266167</v>
      </c>
      <c r="D20" s="30">
        <v>4470</v>
      </c>
      <c r="F20" s="7">
        <v>2015</v>
      </c>
      <c r="G20" s="2">
        <v>2668</v>
      </c>
      <c r="H20" s="14">
        <f>H19*1.0323</f>
        <v>32.918533546325882</v>
      </c>
      <c r="I20" s="30">
        <v>8508</v>
      </c>
      <c r="J20" s="2">
        <f t="shared" si="4"/>
        <v>11281.173665705999</v>
      </c>
      <c r="L20" s="7">
        <v>2015</v>
      </c>
      <c r="M20" s="9">
        <v>7297</v>
      </c>
      <c r="N20" s="9"/>
      <c r="O20" s="9">
        <v>880</v>
      </c>
      <c r="P20" s="9">
        <v>5914</v>
      </c>
      <c r="Q20" s="9"/>
      <c r="R20" s="9">
        <v>29410</v>
      </c>
      <c r="S20" s="9">
        <v>0</v>
      </c>
      <c r="T20" s="9">
        <v>183004</v>
      </c>
      <c r="U20" s="9">
        <v>2061427</v>
      </c>
      <c r="V20" s="9">
        <v>0</v>
      </c>
      <c r="W20" s="9">
        <v>16075</v>
      </c>
      <c r="X20" s="47">
        <v>7</v>
      </c>
      <c r="Y20" s="10">
        <v>123</v>
      </c>
      <c r="Z20" s="10">
        <v>325</v>
      </c>
      <c r="AA20" s="10">
        <v>81</v>
      </c>
      <c r="AB20">
        <v>52</v>
      </c>
      <c r="AC20">
        <v>68</v>
      </c>
      <c r="AD20">
        <v>2</v>
      </c>
    </row>
    <row r="21" spans="1:30" x14ac:dyDescent="0.25">
      <c r="A21" s="21">
        <v>2016</v>
      </c>
      <c r="B21" s="28">
        <f>[2]PERTANIAN!$T$11</f>
        <v>1287</v>
      </c>
      <c r="C21" s="32">
        <f t="shared" ref="C21:C34" si="5">C20*1.0585</f>
        <v>47.788581628397374</v>
      </c>
      <c r="D21" s="31"/>
      <c r="E21" s="33"/>
      <c r="F21" s="21">
        <v>2016</v>
      </c>
      <c r="G21" s="28">
        <f>[2]PERTANIAN!$T$12</f>
        <v>1995</v>
      </c>
      <c r="H21" s="32">
        <f t="shared" ref="H21:H34" si="6">H20*1.0323</f>
        <v>33.981802179872211</v>
      </c>
      <c r="I21" s="31"/>
      <c r="J21" s="2">
        <f t="shared" si="4"/>
        <v>11608.327702011473</v>
      </c>
      <c r="L21" s="21">
        <v>2016</v>
      </c>
      <c r="M21" s="54">
        <v>8797</v>
      </c>
      <c r="N21" s="36"/>
      <c r="O21" s="91">
        <f>O20+(O20*2%)</f>
        <v>897.6</v>
      </c>
      <c r="P21" s="36">
        <f t="shared" ref="P21:P35" si="7">P20+(P20*2%)</f>
        <v>6032.28</v>
      </c>
      <c r="Q21" s="36"/>
      <c r="R21" s="36">
        <f t="shared" ref="R21:R35" si="8">R20+(R20*2%)</f>
        <v>29998.2</v>
      </c>
      <c r="S21" s="36"/>
      <c r="T21" s="36">
        <f t="shared" ref="T21:T35" si="9">T20+(T20*2%)</f>
        <v>186664.08</v>
      </c>
      <c r="U21" s="36">
        <f t="shared" ref="U21:U35" si="10">U20+(U20*2%)</f>
        <v>2102655.54</v>
      </c>
      <c r="V21" s="23"/>
      <c r="W21" s="36">
        <f t="shared" ref="W21:W35" si="11">W20+(W20*2%)</f>
        <v>16396.5</v>
      </c>
      <c r="X21" s="48">
        <v>8</v>
      </c>
      <c r="Y21" s="97"/>
      <c r="Z21" s="97"/>
      <c r="AA21" s="97"/>
      <c r="AB21" s="97"/>
      <c r="AC21" s="98"/>
      <c r="AD21" s="96"/>
    </row>
    <row r="22" spans="1:30" x14ac:dyDescent="0.25">
      <c r="A22" s="7">
        <v>2017</v>
      </c>
      <c r="B22" s="28">
        <f>[2]PERTANIAN!$U$11</f>
        <v>1287</v>
      </c>
      <c r="C22" s="14">
        <f t="shared" si="5"/>
        <v>50.584213653658622</v>
      </c>
      <c r="D22" s="30"/>
      <c r="F22" s="7">
        <v>2017</v>
      </c>
      <c r="G22" s="28">
        <f>[2]PERTANIAN!$U$12</f>
        <v>1995</v>
      </c>
      <c r="H22" s="14">
        <f t="shared" si="6"/>
        <v>35.079414390282082</v>
      </c>
      <c r="I22" s="30"/>
      <c r="J22" s="2">
        <f t="shared" si="4"/>
        <v>11944.969205369805</v>
      </c>
      <c r="L22" s="7">
        <v>2017</v>
      </c>
      <c r="M22" s="54">
        <v>7893.3882729382312</v>
      </c>
      <c r="N22" s="9"/>
      <c r="O22" s="36">
        <f t="shared" ref="O22:O35" si="12">O21+(O21*2%)</f>
        <v>915.55200000000002</v>
      </c>
      <c r="P22" s="36">
        <f t="shared" si="7"/>
        <v>6152.9255999999996</v>
      </c>
      <c r="Q22" s="36"/>
      <c r="R22" s="36">
        <f t="shared" si="8"/>
        <v>30598.164000000001</v>
      </c>
      <c r="S22" s="36"/>
      <c r="T22" s="36">
        <f t="shared" si="9"/>
        <v>190397.36159999997</v>
      </c>
      <c r="U22" s="36">
        <f t="shared" si="10"/>
        <v>2144708.6507999999</v>
      </c>
      <c r="V22" s="23"/>
      <c r="W22" s="36">
        <f t="shared" si="11"/>
        <v>16724.43</v>
      </c>
      <c r="X22" s="47">
        <v>9</v>
      </c>
      <c r="Y22" s="97"/>
      <c r="Z22" s="97"/>
      <c r="AA22" s="97"/>
      <c r="AB22" s="97"/>
      <c r="AC22" s="98"/>
      <c r="AD22" s="96"/>
    </row>
    <row r="23" spans="1:30" x14ac:dyDescent="0.25">
      <c r="A23" s="7">
        <v>2018</v>
      </c>
      <c r="B23" s="28">
        <f>[2]PERTANIAN!$V$11</f>
        <v>1387</v>
      </c>
      <c r="C23" s="14">
        <f t="shared" si="5"/>
        <v>53.543390152397649</v>
      </c>
      <c r="D23" s="30"/>
      <c r="F23" s="7">
        <v>2018</v>
      </c>
      <c r="G23" s="28">
        <f>[2]PERTANIAN!$V$12</f>
        <v>1995</v>
      </c>
      <c r="H23" s="14">
        <f t="shared" si="6"/>
        <v>36.212479475088195</v>
      </c>
      <c r="I23" s="30"/>
      <c r="J23" s="2">
        <f t="shared" si="4"/>
        <v>12291.373312325528</v>
      </c>
      <c r="L23" s="7">
        <v>2018</v>
      </c>
      <c r="M23" s="54">
        <v>8209.6194466682155</v>
      </c>
      <c r="N23" s="9"/>
      <c r="O23" s="36">
        <f t="shared" si="12"/>
        <v>933.86304000000007</v>
      </c>
      <c r="P23" s="36">
        <f t="shared" si="7"/>
        <v>6275.9841119999992</v>
      </c>
      <c r="Q23" s="36"/>
      <c r="R23" s="36">
        <f t="shared" si="8"/>
        <v>31210.127280000001</v>
      </c>
      <c r="S23" s="36"/>
      <c r="T23" s="36">
        <f t="shared" si="9"/>
        <v>194205.30883199998</v>
      </c>
      <c r="U23" s="36">
        <f t="shared" si="10"/>
        <v>2187602.823816</v>
      </c>
      <c r="V23" s="23"/>
      <c r="W23" s="36">
        <f t="shared" si="11"/>
        <v>17058.918600000001</v>
      </c>
      <c r="X23" s="47">
        <v>10</v>
      </c>
      <c r="Y23" s="97"/>
      <c r="Z23" s="97"/>
      <c r="AA23" s="97"/>
      <c r="AB23" s="97"/>
      <c r="AC23" s="98"/>
      <c r="AD23" s="96"/>
    </row>
    <row r="24" spans="1:30" x14ac:dyDescent="0.25">
      <c r="A24" s="7">
        <v>2019</v>
      </c>
      <c r="B24" s="28">
        <f>[2]PERTANIAN!$W$11</f>
        <v>1487</v>
      </c>
      <c r="C24" s="14">
        <f t="shared" si="5"/>
        <v>56.67567847631291</v>
      </c>
      <c r="D24" s="30"/>
      <c r="F24" s="7">
        <v>2019</v>
      </c>
      <c r="G24" s="28">
        <f>[2]PERTANIAN!$W$12</f>
        <v>1995</v>
      </c>
      <c r="H24" s="14">
        <f t="shared" si="6"/>
        <v>37.382142562133545</v>
      </c>
      <c r="I24" s="30"/>
      <c r="J24" s="2">
        <f t="shared" si="4"/>
        <v>12647.823138382968</v>
      </c>
      <c r="L24" s="7">
        <v>2019</v>
      </c>
      <c r="M24" s="54">
        <v>8538.5197241823753</v>
      </c>
      <c r="O24" s="36">
        <f t="shared" si="12"/>
        <v>952.54030080000007</v>
      </c>
      <c r="P24" s="36">
        <f t="shared" si="7"/>
        <v>6401.5037942399995</v>
      </c>
      <c r="Q24" s="33"/>
      <c r="R24" s="36">
        <f t="shared" si="8"/>
        <v>31834.329825600002</v>
      </c>
      <c r="S24" s="33"/>
      <c r="T24" s="36">
        <f t="shared" si="9"/>
        <v>198089.41500863997</v>
      </c>
      <c r="U24" s="36">
        <f t="shared" si="10"/>
        <v>2231354.8802923202</v>
      </c>
      <c r="V24" s="33"/>
      <c r="W24" s="36">
        <f t="shared" si="11"/>
        <v>17400.096971999999</v>
      </c>
      <c r="X24" s="47">
        <v>11</v>
      </c>
      <c r="Y24" s="97"/>
      <c r="Z24" s="97"/>
      <c r="AA24" s="97"/>
      <c r="AB24" s="97"/>
      <c r="AC24" s="98"/>
      <c r="AD24" s="96"/>
    </row>
    <row r="25" spans="1:30" x14ac:dyDescent="0.25">
      <c r="A25" s="7">
        <v>2020</v>
      </c>
      <c r="B25" s="28">
        <f>[2]PERTANIAN!$X$11</f>
        <v>1587</v>
      </c>
      <c r="C25" s="14">
        <f t="shared" si="5"/>
        <v>59.991205667177212</v>
      </c>
      <c r="D25" s="30"/>
      <c r="F25" s="7">
        <v>2020</v>
      </c>
      <c r="G25" s="28">
        <f>[2]PERTANIAN!$X$12</f>
        <v>1995</v>
      </c>
      <c r="H25" s="14">
        <f t="shared" si="6"/>
        <v>38.589585766890458</v>
      </c>
      <c r="I25" s="30"/>
      <c r="J25" s="2">
        <f t="shared" si="4"/>
        <v>13014.610009396072</v>
      </c>
      <c r="L25" s="7">
        <v>2020</v>
      </c>
      <c r="M25" s="54">
        <v>8867.4200016965406</v>
      </c>
      <c r="O25" s="36">
        <f t="shared" si="12"/>
        <v>971.59110681600009</v>
      </c>
      <c r="P25" s="36">
        <f t="shared" si="7"/>
        <v>6529.5338701247993</v>
      </c>
      <c r="Q25" s="33"/>
      <c r="R25" s="36">
        <f t="shared" si="8"/>
        <v>32471.016422112003</v>
      </c>
      <c r="S25" s="33"/>
      <c r="T25" s="36">
        <f t="shared" si="9"/>
        <v>202051.20330881278</v>
      </c>
      <c r="U25" s="36">
        <f t="shared" si="10"/>
        <v>2275981.9778981665</v>
      </c>
      <c r="V25" s="33"/>
      <c r="W25" s="36">
        <f t="shared" si="11"/>
        <v>17748.09891144</v>
      </c>
      <c r="X25" s="47">
        <v>12</v>
      </c>
      <c r="Y25" s="97"/>
      <c r="Z25" s="97"/>
      <c r="AA25" s="97"/>
      <c r="AB25" s="97"/>
      <c r="AC25" s="98"/>
      <c r="AD25" s="96"/>
    </row>
    <row r="26" spans="1:30" s="72" customFormat="1" x14ac:dyDescent="0.25">
      <c r="A26" s="66">
        <v>2021</v>
      </c>
      <c r="B26" s="28">
        <f>[2]PERTANIAN!$Y$11</f>
        <v>1687</v>
      </c>
      <c r="C26" s="70">
        <f t="shared" si="5"/>
        <v>63.500691198707081</v>
      </c>
      <c r="D26" s="71"/>
      <c r="F26" s="66">
        <v>2021</v>
      </c>
      <c r="G26" s="28">
        <f>[2]PERTANIAN!$Y$12</f>
        <v>1995</v>
      </c>
      <c r="H26" s="70">
        <f t="shared" si="6"/>
        <v>39.83602938716102</v>
      </c>
      <c r="I26" s="71"/>
      <c r="J26" s="42">
        <f t="shared" si="4"/>
        <v>13392.033699668556</v>
      </c>
      <c r="L26" s="66">
        <v>2021</v>
      </c>
      <c r="M26" s="54">
        <v>9196.3202792106895</v>
      </c>
      <c r="O26" s="36">
        <f t="shared" si="12"/>
        <v>991.02292895232006</v>
      </c>
      <c r="P26" s="36">
        <f t="shared" si="7"/>
        <v>6660.1245475272954</v>
      </c>
      <c r="Q26" s="33"/>
      <c r="R26" s="36">
        <f t="shared" si="8"/>
        <v>33120.43675055424</v>
      </c>
      <c r="S26" s="33"/>
      <c r="T26" s="36">
        <f t="shared" si="9"/>
        <v>206092.22737498904</v>
      </c>
      <c r="U26" s="36">
        <f t="shared" si="10"/>
        <v>2321501.6174561298</v>
      </c>
      <c r="V26" s="33"/>
      <c r="W26" s="36">
        <f t="shared" si="11"/>
        <v>18103.060889668799</v>
      </c>
      <c r="X26" s="73">
        <v>13</v>
      </c>
      <c r="Y26" s="97"/>
      <c r="Z26" s="97"/>
      <c r="AA26" s="97"/>
      <c r="AB26" s="97"/>
      <c r="AC26" s="98"/>
      <c r="AD26" s="96"/>
    </row>
    <row r="27" spans="1:30" x14ac:dyDescent="0.25">
      <c r="A27" s="7">
        <v>2022</v>
      </c>
      <c r="B27" s="28">
        <f>[2]PERTANIAN!$Z$11</f>
        <v>1737</v>
      </c>
      <c r="C27" s="14">
        <f t="shared" si="5"/>
        <v>67.215481633831445</v>
      </c>
      <c r="D27" s="30"/>
      <c r="F27" s="7">
        <v>2022</v>
      </c>
      <c r="G27" s="28">
        <f>[2]PERTANIAN!$Z$12</f>
        <v>1995</v>
      </c>
      <c r="H27" s="14">
        <f t="shared" si="6"/>
        <v>41.122733136366321</v>
      </c>
      <c r="I27" s="30"/>
      <c r="J27" s="2">
        <f t="shared" si="4"/>
        <v>13780.402676958944</v>
      </c>
      <c r="L27" s="7">
        <v>2022</v>
      </c>
      <c r="M27" s="54">
        <v>9525.2205567248493</v>
      </c>
      <c r="O27" s="36">
        <f t="shared" si="12"/>
        <v>1010.8433875313665</v>
      </c>
      <c r="P27" s="36">
        <f t="shared" si="7"/>
        <v>6793.3270384778416</v>
      </c>
      <c r="Q27" s="33"/>
      <c r="R27" s="36">
        <f t="shared" si="8"/>
        <v>33782.845485565325</v>
      </c>
      <c r="S27" s="33"/>
      <c r="T27" s="36">
        <f t="shared" si="9"/>
        <v>210214.07192248883</v>
      </c>
      <c r="U27" s="36">
        <f t="shared" si="10"/>
        <v>2367931.6498052524</v>
      </c>
      <c r="V27" s="33"/>
      <c r="W27" s="36">
        <f t="shared" si="11"/>
        <v>18465.122107462175</v>
      </c>
      <c r="X27" s="47">
        <v>14</v>
      </c>
      <c r="Y27" s="97"/>
      <c r="Z27" s="97"/>
      <c r="AA27" s="97"/>
      <c r="AB27" s="97"/>
      <c r="AC27" s="98"/>
      <c r="AD27" s="96"/>
    </row>
    <row r="28" spans="1:30" x14ac:dyDescent="0.25">
      <c r="A28" s="7">
        <v>2023</v>
      </c>
      <c r="B28" s="28">
        <f>[2]PERTANIAN!$AA$11</f>
        <v>1787</v>
      </c>
      <c r="C28" s="14">
        <f t="shared" si="5"/>
        <v>71.147587309410582</v>
      </c>
      <c r="D28" s="30"/>
      <c r="F28" s="7">
        <v>2023</v>
      </c>
      <c r="G28" s="28">
        <f>[2]PERTANIAN!$AA$12</f>
        <v>1995</v>
      </c>
      <c r="H28" s="14">
        <f t="shared" si="6"/>
        <v>42.450997416670951</v>
      </c>
      <c r="I28" s="30"/>
      <c r="J28" s="2">
        <f t="shared" si="4"/>
        <v>14180.034354590753</v>
      </c>
      <c r="L28" s="7">
        <v>2023</v>
      </c>
      <c r="M28" s="54">
        <v>9854.12083423902</v>
      </c>
      <c r="O28" s="36">
        <f t="shared" si="12"/>
        <v>1031.0602552819937</v>
      </c>
      <c r="P28" s="36">
        <f t="shared" si="7"/>
        <v>6929.1935792473987</v>
      </c>
      <c r="Q28" s="33"/>
      <c r="R28" s="36">
        <f t="shared" si="8"/>
        <v>34458.502395276635</v>
      </c>
      <c r="S28" s="33"/>
      <c r="T28" s="36">
        <f t="shared" si="9"/>
        <v>214418.35336093861</v>
      </c>
      <c r="U28" s="36">
        <f t="shared" si="10"/>
        <v>2415290.2828013576</v>
      </c>
      <c r="V28" s="33"/>
      <c r="W28" s="36">
        <f t="shared" si="11"/>
        <v>18834.42454961142</v>
      </c>
      <c r="X28" s="48">
        <v>15</v>
      </c>
      <c r="Y28" s="97"/>
      <c r="Z28" s="97"/>
      <c r="AA28" s="97"/>
      <c r="AB28" s="97"/>
      <c r="AC28" s="98"/>
      <c r="AD28" s="96"/>
    </row>
    <row r="29" spans="1:30" x14ac:dyDescent="0.25">
      <c r="A29" s="7">
        <v>2024</v>
      </c>
      <c r="B29" s="28">
        <f>[2]PERTANIAN!$AB$11</f>
        <v>1837</v>
      </c>
      <c r="C29" s="14">
        <f t="shared" si="5"/>
        <v>75.309721167011105</v>
      </c>
      <c r="D29" s="30"/>
      <c r="F29" s="7">
        <v>2024</v>
      </c>
      <c r="G29" s="28">
        <f>[2]PERTANIAN!$AB$12</f>
        <v>1995</v>
      </c>
      <c r="H29" s="14">
        <f t="shared" si="6"/>
        <v>43.82216463322942</v>
      </c>
      <c r="I29" s="30"/>
      <c r="J29" s="2">
        <f t="shared" si="4"/>
        <v>14591.255350873884</v>
      </c>
      <c r="L29" s="7">
        <v>2024</v>
      </c>
      <c r="M29" s="54">
        <v>10183.0211117532</v>
      </c>
      <c r="O29" s="36">
        <f t="shared" si="12"/>
        <v>1051.6814603876335</v>
      </c>
      <c r="P29" s="36">
        <f t="shared" si="7"/>
        <v>7067.7774508323464</v>
      </c>
      <c r="Q29" s="33"/>
      <c r="R29" s="36">
        <f t="shared" si="8"/>
        <v>35147.672443182171</v>
      </c>
      <c r="S29" s="33"/>
      <c r="T29" s="36">
        <f t="shared" si="9"/>
        <v>218706.72042815736</v>
      </c>
      <c r="U29" s="36">
        <f t="shared" si="10"/>
        <v>2463596.0884573846</v>
      </c>
      <c r="V29" s="33"/>
      <c r="W29" s="36">
        <f t="shared" si="11"/>
        <v>19211.11304060365</v>
      </c>
      <c r="X29" s="47">
        <v>16</v>
      </c>
      <c r="Y29" s="97"/>
      <c r="Z29" s="97"/>
      <c r="AA29" s="97"/>
      <c r="AB29" s="97"/>
      <c r="AC29" s="98"/>
      <c r="AD29" s="96"/>
    </row>
    <row r="30" spans="1:30" x14ac:dyDescent="0.25">
      <c r="A30" s="7">
        <v>2025</v>
      </c>
      <c r="B30" s="28">
        <f>[2]PERTANIAN!$AC$11</f>
        <v>1887</v>
      </c>
      <c r="C30" s="14">
        <f t="shared" si="5"/>
        <v>79.715339855281258</v>
      </c>
      <c r="D30" s="30"/>
      <c r="F30" s="7">
        <v>2025</v>
      </c>
      <c r="G30" s="28">
        <f>[2]PERTANIAN!$AC$12</f>
        <v>1995</v>
      </c>
      <c r="H30" s="14">
        <f t="shared" si="6"/>
        <v>45.237620550882731</v>
      </c>
      <c r="I30" s="30"/>
      <c r="J30" s="2">
        <f t="shared" si="4"/>
        <v>15014.401756049225</v>
      </c>
      <c r="L30" s="7">
        <v>2025</v>
      </c>
      <c r="M30" s="54">
        <v>10511.9213892673</v>
      </c>
      <c r="O30" s="36">
        <f t="shared" si="12"/>
        <v>1072.7150895953862</v>
      </c>
      <c r="P30" s="36">
        <f t="shared" si="7"/>
        <v>7209.1329998489937</v>
      </c>
      <c r="Q30" s="33"/>
      <c r="R30" s="36">
        <f t="shared" si="8"/>
        <v>35850.625892045813</v>
      </c>
      <c r="S30" s="33"/>
      <c r="T30" s="36">
        <f t="shared" si="9"/>
        <v>223080.85483672051</v>
      </c>
      <c r="U30" s="36">
        <f t="shared" si="10"/>
        <v>2512868.0102265324</v>
      </c>
      <c r="V30" s="33"/>
      <c r="W30" s="36">
        <f t="shared" si="11"/>
        <v>19595.335301415722</v>
      </c>
      <c r="X30" s="47">
        <v>17</v>
      </c>
      <c r="Y30" s="97"/>
      <c r="Z30" s="97"/>
      <c r="AA30" s="97"/>
      <c r="AB30" s="97"/>
      <c r="AC30" s="98"/>
      <c r="AD30" s="96"/>
    </row>
    <row r="31" spans="1:30" x14ac:dyDescent="0.25">
      <c r="A31" s="7">
        <v>2026</v>
      </c>
      <c r="B31" s="28">
        <f>[2]PERTANIAN!$AD$11</f>
        <v>1937</v>
      </c>
      <c r="C31" s="14">
        <f t="shared" si="5"/>
        <v>84.37868723681521</v>
      </c>
      <c r="D31" s="30"/>
      <c r="F31" s="7">
        <v>2026</v>
      </c>
      <c r="G31" s="28">
        <f>[2]PERTANIAN!$AD$12</f>
        <v>1995</v>
      </c>
      <c r="H31" s="14">
        <f t="shared" si="6"/>
        <v>46.698795694676242</v>
      </c>
      <c r="I31" s="30"/>
      <c r="J31" s="2">
        <f t="shared" si="4"/>
        <v>15449.819406974651</v>
      </c>
      <c r="L31" s="7">
        <v>2026</v>
      </c>
      <c r="M31" s="54">
        <v>10840.8216667815</v>
      </c>
      <c r="O31" s="36">
        <f t="shared" si="12"/>
        <v>1094.1693913872939</v>
      </c>
      <c r="P31" s="36">
        <f t="shared" si="7"/>
        <v>7353.3156598459736</v>
      </c>
      <c r="Q31" s="33"/>
      <c r="R31" s="36">
        <f t="shared" si="8"/>
        <v>36567.638409886727</v>
      </c>
      <c r="S31" s="33"/>
      <c r="T31" s="36">
        <f t="shared" si="9"/>
        <v>227542.47193345492</v>
      </c>
      <c r="U31" s="36">
        <f t="shared" si="10"/>
        <v>2563125.3704310628</v>
      </c>
      <c r="V31" s="33"/>
      <c r="W31" s="36">
        <f t="shared" si="11"/>
        <v>19987.242007444038</v>
      </c>
      <c r="X31" s="47">
        <v>18</v>
      </c>
      <c r="Y31" s="97"/>
      <c r="Z31" s="97"/>
      <c r="AA31" s="97"/>
      <c r="AB31" s="97"/>
      <c r="AC31" s="98"/>
      <c r="AD31" s="96"/>
    </row>
    <row r="32" spans="1:30" x14ac:dyDescent="0.25">
      <c r="A32" s="7">
        <v>2027</v>
      </c>
      <c r="B32" s="28">
        <f>[2]PERTANIAN!$AE$11</f>
        <v>1987</v>
      </c>
      <c r="C32" s="14">
        <f t="shared" si="5"/>
        <v>89.314840440168894</v>
      </c>
      <c r="D32" s="30"/>
      <c r="F32" s="7">
        <v>2027</v>
      </c>
      <c r="G32" s="28">
        <f>[2]PERTANIAN!$AE$12</f>
        <v>1995</v>
      </c>
      <c r="H32" s="14">
        <f t="shared" si="6"/>
        <v>48.207166795614285</v>
      </c>
      <c r="I32" s="30"/>
      <c r="J32" s="2">
        <f t="shared" si="4"/>
        <v>15897.864169776914</v>
      </c>
      <c r="L32" s="7">
        <v>2027</v>
      </c>
      <c r="M32" s="54">
        <v>11169.721944295699</v>
      </c>
      <c r="O32" s="36">
        <f t="shared" si="12"/>
        <v>1116.0527792150397</v>
      </c>
      <c r="P32" s="36">
        <f t="shared" si="7"/>
        <v>7500.3819730428932</v>
      </c>
      <c r="Q32" s="33"/>
      <c r="R32" s="36">
        <f t="shared" si="8"/>
        <v>37298.991178084463</v>
      </c>
      <c r="S32" s="33"/>
      <c r="T32" s="36">
        <f t="shared" si="9"/>
        <v>232093.32137212402</v>
      </c>
      <c r="U32" s="36">
        <f t="shared" si="10"/>
        <v>2614387.877839684</v>
      </c>
      <c r="V32" s="33"/>
      <c r="W32" s="36">
        <f t="shared" si="11"/>
        <v>20386.986847592918</v>
      </c>
      <c r="X32" s="47">
        <v>19</v>
      </c>
      <c r="Y32" s="97"/>
      <c r="Z32" s="97"/>
      <c r="AA32" s="97"/>
      <c r="AB32" s="97"/>
      <c r="AC32" s="98"/>
      <c r="AD32" s="96"/>
    </row>
    <row r="33" spans="1:30" x14ac:dyDescent="0.25">
      <c r="A33" s="7">
        <v>2028</v>
      </c>
      <c r="B33" s="28">
        <f>[2]PERTANIAN!$AF$11</f>
        <v>2037</v>
      </c>
      <c r="C33" s="14">
        <f t="shared" si="5"/>
        <v>94.539758605918777</v>
      </c>
      <c r="D33" s="30"/>
      <c r="F33" s="7">
        <v>2028</v>
      </c>
      <c r="G33" s="28">
        <f>[2]PERTANIAN!$AF$12</f>
        <v>1995</v>
      </c>
      <c r="H33" s="14">
        <f t="shared" si="6"/>
        <v>49.764258283112625</v>
      </c>
      <c r="I33" s="30"/>
      <c r="J33" s="2">
        <f t="shared" si="4"/>
        <v>16358.902230700443</v>
      </c>
      <c r="L33" s="7">
        <v>2028</v>
      </c>
      <c r="M33" s="54">
        <v>11498.622221809799</v>
      </c>
      <c r="O33" s="36">
        <f t="shared" si="12"/>
        <v>1138.3738347993406</v>
      </c>
      <c r="P33" s="36">
        <f t="shared" si="7"/>
        <v>7650.3896125037509</v>
      </c>
      <c r="Q33" s="33"/>
      <c r="R33" s="36">
        <f t="shared" si="8"/>
        <v>38044.971001646154</v>
      </c>
      <c r="S33" s="33"/>
      <c r="T33" s="36">
        <f t="shared" si="9"/>
        <v>236735.18779956648</v>
      </c>
      <c r="U33" s="36">
        <f t="shared" si="10"/>
        <v>2666675.6353964778</v>
      </c>
      <c r="V33" s="33"/>
      <c r="W33" s="36">
        <f t="shared" si="11"/>
        <v>20794.726584544776</v>
      </c>
      <c r="X33" s="47">
        <v>20</v>
      </c>
      <c r="Y33" s="97"/>
      <c r="Z33" s="97"/>
      <c r="AA33" s="97"/>
      <c r="AB33" s="97"/>
      <c r="AC33" s="98"/>
      <c r="AD33" s="96"/>
    </row>
    <row r="34" spans="1:30" x14ac:dyDescent="0.25">
      <c r="A34" s="7">
        <v>2029</v>
      </c>
      <c r="B34" s="28">
        <f>[2]PERTANIAN!$AG$11</f>
        <v>2037</v>
      </c>
      <c r="C34" s="14">
        <f t="shared" si="5"/>
        <v>100.07033448436502</v>
      </c>
      <c r="D34" s="30"/>
      <c r="F34" s="7">
        <v>2029</v>
      </c>
      <c r="G34" s="28">
        <f>[2]PERTANIAN!$AG$12</f>
        <v>1995</v>
      </c>
      <c r="H34" s="14">
        <f t="shared" si="6"/>
        <v>51.371643825657159</v>
      </c>
      <c r="I34" s="30"/>
      <c r="J34" s="2">
        <f t="shared" si="4"/>
        <v>16833.310395390756</v>
      </c>
      <c r="L34" s="7">
        <v>2029</v>
      </c>
      <c r="M34" s="54">
        <v>11827.522499324001</v>
      </c>
      <c r="O34" s="36">
        <f t="shared" si="12"/>
        <v>1161.1413114953273</v>
      </c>
      <c r="P34" s="36">
        <f t="shared" si="7"/>
        <v>7803.3974047538259</v>
      </c>
      <c r="Q34" s="33"/>
      <c r="R34" s="36">
        <f t="shared" si="8"/>
        <v>38805.870421679079</v>
      </c>
      <c r="S34" s="33"/>
      <c r="T34" s="36">
        <f t="shared" si="9"/>
        <v>241469.89155555781</v>
      </c>
      <c r="U34" s="36">
        <f t="shared" si="10"/>
        <v>2720009.1481044074</v>
      </c>
      <c r="V34" s="33"/>
      <c r="W34" s="36">
        <f t="shared" si="11"/>
        <v>21210.62111623567</v>
      </c>
      <c r="X34" s="47">
        <v>21</v>
      </c>
      <c r="Y34" s="97"/>
      <c r="Z34" s="97"/>
      <c r="AA34" s="97"/>
      <c r="AB34" s="97"/>
      <c r="AC34" s="98"/>
      <c r="AD34" s="96"/>
    </row>
    <row r="35" spans="1:30" x14ac:dyDescent="0.25">
      <c r="A35" s="24">
        <v>2030</v>
      </c>
      <c r="B35" s="28">
        <f>[2]PERTANIAN!$AH$11</f>
        <v>2037</v>
      </c>
      <c r="C35" s="34">
        <v>106</v>
      </c>
      <c r="D35" s="35">
        <f t="shared" ref="D35" si="13">(C35/10)*B35</f>
        <v>21592.2</v>
      </c>
      <c r="E35" s="34"/>
      <c r="F35" s="24">
        <v>2030</v>
      </c>
      <c r="G35" s="28">
        <f>[2]PERTANIAN!$AH$12</f>
        <v>1995</v>
      </c>
      <c r="H35" s="34">
        <f>C35/2</f>
        <v>53</v>
      </c>
      <c r="I35" s="35">
        <f t="shared" ref="I35" si="14">(H35/10)*G35</f>
        <v>10573.5</v>
      </c>
      <c r="J35" s="35">
        <v>17320</v>
      </c>
      <c r="L35" s="24">
        <v>2030</v>
      </c>
      <c r="M35" s="54">
        <v>12156.422776838101</v>
      </c>
      <c r="N35" s="34"/>
      <c r="O35" s="36">
        <f t="shared" si="12"/>
        <v>1184.3641377252338</v>
      </c>
      <c r="P35" s="36">
        <f t="shared" si="7"/>
        <v>7959.4653528489025</v>
      </c>
      <c r="Q35" s="33"/>
      <c r="R35" s="36">
        <f t="shared" si="8"/>
        <v>39581.987830112659</v>
      </c>
      <c r="S35" s="33"/>
      <c r="T35" s="36">
        <f t="shared" si="9"/>
        <v>246299.28938666897</v>
      </c>
      <c r="U35" s="36">
        <f t="shared" si="10"/>
        <v>2774409.3310664957</v>
      </c>
      <c r="V35" s="33"/>
      <c r="W35" s="36">
        <f t="shared" si="11"/>
        <v>21634.833538560382</v>
      </c>
      <c r="X35" s="48">
        <v>22</v>
      </c>
      <c r="Y35" s="97"/>
      <c r="Z35" s="97"/>
      <c r="AA35" s="97"/>
      <c r="AB35" s="97"/>
      <c r="AC35" s="98"/>
      <c r="AD35" s="96"/>
    </row>
    <row r="36" spans="1:30" x14ac:dyDescent="0.25">
      <c r="D36" s="19">
        <f>(B35/B19)^(1/16)-1</f>
        <v>4.1241965026394212E-2</v>
      </c>
      <c r="I36" s="19">
        <f>(G35/G19)^(1/16)-1</f>
        <v>-2.1333430704481571E-2</v>
      </c>
      <c r="J36" s="19">
        <f>(J35/J17)^(1/18)-1</f>
        <v>2.8995127200339699E-2</v>
      </c>
      <c r="K36" s="29">
        <f>AVERAGE(K6:K19)</f>
        <v>0.81795643158175946</v>
      </c>
      <c r="Y36" s="15"/>
    </row>
    <row r="37" spans="1:30" x14ac:dyDescent="0.25">
      <c r="D37" s="19">
        <f>(C35/C19)^(1/16)-1</f>
        <v>5.8547170385714997E-2</v>
      </c>
      <c r="I37" s="19">
        <f>(H35/H19)^(1/16)-1</f>
        <v>3.226233769735809E-2</v>
      </c>
      <c r="J37" s="19"/>
      <c r="Y37" s="15"/>
    </row>
    <row r="39" spans="1:30" x14ac:dyDescent="0.25">
      <c r="A39" s="121" t="s">
        <v>59</v>
      </c>
      <c r="B39" s="121"/>
      <c r="C39" s="61">
        <v>1.3</v>
      </c>
      <c r="D39" s="6"/>
      <c r="E39" s="6"/>
      <c r="F39" s="6"/>
      <c r="G39" s="6"/>
      <c r="H39" s="6"/>
      <c r="I39" s="6"/>
    </row>
    <row r="40" spans="1:30" x14ac:dyDescent="0.25">
      <c r="A40" s="6"/>
      <c r="B40" s="6"/>
      <c r="C40" s="6"/>
      <c r="D40" s="6"/>
      <c r="E40" s="6"/>
      <c r="F40" s="6"/>
      <c r="G40" s="6"/>
      <c r="H40" s="6"/>
      <c r="I40" s="6"/>
    </row>
    <row r="41" spans="1:30" x14ac:dyDescent="0.25">
      <c r="A41" s="6"/>
      <c r="B41" s="7" t="s">
        <v>57</v>
      </c>
      <c r="C41" s="6"/>
      <c r="D41" s="6"/>
      <c r="E41" s="6"/>
      <c r="F41" s="6"/>
      <c r="G41" s="6" t="s">
        <v>58</v>
      </c>
      <c r="H41" s="6" t="s">
        <v>60</v>
      </c>
      <c r="I41" s="6"/>
    </row>
    <row r="42" spans="1:30" x14ac:dyDescent="0.25">
      <c r="A42">
        <f>A5</f>
        <v>2000</v>
      </c>
      <c r="B42" s="30">
        <f>B5/$C$39</f>
        <v>0</v>
      </c>
      <c r="E42">
        <v>1</v>
      </c>
      <c r="G42" s="30">
        <f>G6</f>
        <v>11503</v>
      </c>
      <c r="H42" s="30">
        <f>B42+G42</f>
        <v>11503</v>
      </c>
      <c r="I42" s="18">
        <f>B42/H42</f>
        <v>0</v>
      </c>
    </row>
    <row r="43" spans="1:30" x14ac:dyDescent="0.25">
      <c r="A43">
        <f t="shared" ref="A43:A72" si="15">A6</f>
        <v>2001</v>
      </c>
      <c r="B43" s="30">
        <f t="shared" ref="B43:B55" si="16">B6/$C$39</f>
        <v>1411.5384615384614</v>
      </c>
      <c r="E43">
        <v>2</v>
      </c>
      <c r="G43" s="30">
        <f t="shared" ref="G43:G55" si="17">G7</f>
        <v>14090</v>
      </c>
      <c r="H43" s="30">
        <f t="shared" ref="H43:H55" si="18">B43+G43</f>
        <v>15501.538461538461</v>
      </c>
      <c r="I43" s="18">
        <f t="shared" ref="I43:I55" si="19">B43/H43</f>
        <v>9.1057959507741162E-2</v>
      </c>
    </row>
    <row r="44" spans="1:30" x14ac:dyDescent="0.25">
      <c r="A44">
        <f t="shared" si="15"/>
        <v>2002</v>
      </c>
      <c r="B44" s="30">
        <f t="shared" si="16"/>
        <v>2152.3076923076924</v>
      </c>
      <c r="E44">
        <v>3</v>
      </c>
      <c r="G44" s="30">
        <f t="shared" si="17"/>
        <v>12435</v>
      </c>
      <c r="H44" s="30">
        <f t="shared" si="18"/>
        <v>14587.307692307691</v>
      </c>
      <c r="I44" s="18">
        <f t="shared" si="19"/>
        <v>0.14754660268410369</v>
      </c>
    </row>
    <row r="45" spans="1:30" x14ac:dyDescent="0.25">
      <c r="A45">
        <f t="shared" si="15"/>
        <v>2003</v>
      </c>
      <c r="B45" s="30">
        <f t="shared" si="16"/>
        <v>1524.6153846153845</v>
      </c>
      <c r="E45">
        <v>4</v>
      </c>
      <c r="G45" s="30">
        <f t="shared" si="17"/>
        <v>10977</v>
      </c>
      <c r="H45" s="30">
        <f t="shared" si="18"/>
        <v>12501.615384615385</v>
      </c>
      <c r="I45" s="18">
        <f t="shared" si="19"/>
        <v>0.1219534706284111</v>
      </c>
    </row>
    <row r="46" spans="1:30" x14ac:dyDescent="0.25">
      <c r="A46">
        <f t="shared" si="15"/>
        <v>2004</v>
      </c>
      <c r="B46" s="30">
        <f t="shared" si="16"/>
        <v>1190</v>
      </c>
      <c r="E46">
        <v>5</v>
      </c>
      <c r="G46" s="30">
        <f t="shared" si="17"/>
        <v>14508</v>
      </c>
      <c r="H46" s="30">
        <f t="shared" si="18"/>
        <v>15698</v>
      </c>
      <c r="I46" s="18">
        <f t="shared" si="19"/>
        <v>7.5805835138234176E-2</v>
      </c>
    </row>
    <row r="47" spans="1:30" x14ac:dyDescent="0.25">
      <c r="A47">
        <f t="shared" si="15"/>
        <v>2005</v>
      </c>
      <c r="B47" s="30">
        <f t="shared" si="16"/>
        <v>1997.6923076923076</v>
      </c>
      <c r="E47">
        <v>6</v>
      </c>
      <c r="G47" s="30">
        <f t="shared" si="17"/>
        <v>13506</v>
      </c>
      <c r="H47" s="30">
        <f t="shared" si="18"/>
        <v>15503.692307692309</v>
      </c>
      <c r="I47" s="18">
        <f t="shared" si="19"/>
        <v>0.12885268025482763</v>
      </c>
    </row>
    <row r="48" spans="1:30" x14ac:dyDescent="0.25">
      <c r="A48">
        <f t="shared" si="15"/>
        <v>2006</v>
      </c>
      <c r="B48" s="30">
        <f t="shared" si="16"/>
        <v>1223.0769230769231</v>
      </c>
      <c r="E48">
        <v>7</v>
      </c>
      <c r="G48" s="30">
        <f t="shared" si="17"/>
        <v>13972</v>
      </c>
      <c r="H48" s="30">
        <f t="shared" si="18"/>
        <v>15195.076923076924</v>
      </c>
      <c r="I48" s="18">
        <f t="shared" si="19"/>
        <v>8.0491657216912357E-2</v>
      </c>
    </row>
    <row r="49" spans="1:9" x14ac:dyDescent="0.25">
      <c r="A49">
        <f t="shared" si="15"/>
        <v>2007</v>
      </c>
      <c r="B49" s="30">
        <f t="shared" si="16"/>
        <v>1016.9230769230769</v>
      </c>
      <c r="E49">
        <v>8</v>
      </c>
      <c r="G49" s="30">
        <f t="shared" si="17"/>
        <v>11135</v>
      </c>
      <c r="H49" s="30">
        <f t="shared" si="18"/>
        <v>12151.923076923076</v>
      </c>
      <c r="I49" s="18">
        <f t="shared" si="19"/>
        <v>8.3684127235322051E-2</v>
      </c>
    </row>
    <row r="50" spans="1:9" x14ac:dyDescent="0.25">
      <c r="A50">
        <f t="shared" si="15"/>
        <v>2008</v>
      </c>
      <c r="B50" s="30">
        <f t="shared" si="16"/>
        <v>875.38461538461536</v>
      </c>
      <c r="E50">
        <v>9</v>
      </c>
      <c r="G50" s="30">
        <f t="shared" si="17"/>
        <v>10152</v>
      </c>
      <c r="H50" s="30">
        <f t="shared" si="18"/>
        <v>11027.384615384615</v>
      </c>
      <c r="I50" s="18">
        <f t="shared" si="19"/>
        <v>7.9382795278886129E-2</v>
      </c>
    </row>
    <row r="51" spans="1:9" x14ac:dyDescent="0.25">
      <c r="A51">
        <f t="shared" si="15"/>
        <v>2009</v>
      </c>
      <c r="B51" s="30">
        <f t="shared" si="16"/>
        <v>782.30769230769226</v>
      </c>
      <c r="E51">
        <v>10</v>
      </c>
      <c r="G51" s="30">
        <f t="shared" si="17"/>
        <v>9437</v>
      </c>
      <c r="H51" s="30">
        <f t="shared" si="18"/>
        <v>10219.307692307691</v>
      </c>
      <c r="I51" s="18">
        <f t="shared" si="19"/>
        <v>7.6551926594455449E-2</v>
      </c>
    </row>
    <row r="52" spans="1:9" x14ac:dyDescent="0.25">
      <c r="A52">
        <f t="shared" si="15"/>
        <v>2010</v>
      </c>
      <c r="B52" s="30">
        <f t="shared" si="16"/>
        <v>901.53846153846155</v>
      </c>
      <c r="E52">
        <v>11</v>
      </c>
      <c r="G52" s="30">
        <f t="shared" si="17"/>
        <v>9205</v>
      </c>
      <c r="H52" s="30">
        <f t="shared" si="18"/>
        <v>10106.538461538461</v>
      </c>
      <c r="I52" s="18">
        <f t="shared" si="19"/>
        <v>8.9203485938273014E-2</v>
      </c>
    </row>
    <row r="53" spans="1:9" x14ac:dyDescent="0.25">
      <c r="A53">
        <f t="shared" si="15"/>
        <v>2011</v>
      </c>
      <c r="B53" s="30">
        <f t="shared" si="16"/>
        <v>1051.5384615384614</v>
      </c>
      <c r="E53">
        <v>12</v>
      </c>
      <c r="G53" s="30">
        <f t="shared" si="17"/>
        <v>9612</v>
      </c>
      <c r="H53" s="30">
        <f t="shared" si="18"/>
        <v>10663.538461538461</v>
      </c>
      <c r="I53" s="18">
        <f t="shared" si="19"/>
        <v>9.8610650238771941E-2</v>
      </c>
    </row>
    <row r="54" spans="1:9" x14ac:dyDescent="0.25">
      <c r="A54">
        <f t="shared" si="15"/>
        <v>2012</v>
      </c>
      <c r="B54" s="30">
        <f t="shared" si="16"/>
        <v>570.76923076923072</v>
      </c>
      <c r="E54">
        <v>13</v>
      </c>
      <c r="G54" s="30">
        <f t="shared" si="17"/>
        <v>6366</v>
      </c>
      <c r="H54" s="30">
        <f t="shared" si="18"/>
        <v>6936.7692307692305</v>
      </c>
      <c r="I54" s="18">
        <f t="shared" si="19"/>
        <v>8.2281709507862219E-2</v>
      </c>
    </row>
    <row r="55" spans="1:9" x14ac:dyDescent="0.25">
      <c r="A55">
        <f t="shared" si="15"/>
        <v>2013</v>
      </c>
      <c r="B55" s="30">
        <f t="shared" si="16"/>
        <v>1035.3846153846152</v>
      </c>
      <c r="E55">
        <v>14</v>
      </c>
      <c r="G55" s="30">
        <f t="shared" si="17"/>
        <v>2817</v>
      </c>
      <c r="H55" s="30">
        <f t="shared" si="18"/>
        <v>3852.3846153846152</v>
      </c>
      <c r="I55" s="18">
        <f t="shared" si="19"/>
        <v>0.26876460134581975</v>
      </c>
    </row>
    <row r="56" spans="1:9" x14ac:dyDescent="0.25">
      <c r="A56">
        <f t="shared" si="15"/>
        <v>2014</v>
      </c>
      <c r="B56" s="30">
        <f>H56*$I$56</f>
        <v>668.75267328168638</v>
      </c>
      <c r="E56">
        <v>15</v>
      </c>
      <c r="H56" s="30">
        <f>-59.066*E56^2+438.72*E56+13283</f>
        <v>6573.95</v>
      </c>
      <c r="I56" s="62">
        <f>AVERAGE(I42:I55)</f>
        <v>0.10172767868354435</v>
      </c>
    </row>
    <row r="57" spans="1:9" x14ac:dyDescent="0.25">
      <c r="A57">
        <f t="shared" si="15"/>
        <v>2015</v>
      </c>
      <c r="B57" s="30">
        <f t="shared" ref="B57:B72" si="20">H57*$I$56</f>
        <v>527.11458133094175</v>
      </c>
      <c r="E57">
        <v>16</v>
      </c>
      <c r="H57" s="30">
        <f t="shared" ref="H57:H71" si="21">-59.066*E57^2+438.72*E57+13283</f>
        <v>5181.6239999999998</v>
      </c>
    </row>
    <row r="58" spans="1:9" x14ac:dyDescent="0.25">
      <c r="A58">
        <f t="shared" si="15"/>
        <v>2016</v>
      </c>
      <c r="B58" s="30">
        <f t="shared" si="20"/>
        <v>373.4591952419529</v>
      </c>
      <c r="E58">
        <v>17</v>
      </c>
      <c r="H58" s="30">
        <f t="shared" si="21"/>
        <v>3671.1660000000011</v>
      </c>
    </row>
    <row r="59" spans="1:9" x14ac:dyDescent="0.25">
      <c r="A59">
        <f t="shared" si="15"/>
        <v>2017</v>
      </c>
      <c r="B59" s="30">
        <f t="shared" si="20"/>
        <v>207.78651501471919</v>
      </c>
      <c r="E59">
        <v>18</v>
      </c>
      <c r="H59" s="30">
        <f t="shared" si="21"/>
        <v>2042.5759999999991</v>
      </c>
    </row>
    <row r="60" spans="1:9" x14ac:dyDescent="0.25">
      <c r="A60">
        <f t="shared" si="15"/>
        <v>2018</v>
      </c>
      <c r="B60" s="30">
        <f t="shared" si="20"/>
        <v>30.096540649241266</v>
      </c>
      <c r="E60">
        <v>19</v>
      </c>
      <c r="H60" s="30">
        <f t="shared" si="21"/>
        <v>295.85399999999936</v>
      </c>
    </row>
    <row r="61" spans="1:9" x14ac:dyDescent="0.25">
      <c r="A61">
        <f t="shared" si="15"/>
        <v>2019</v>
      </c>
      <c r="B61" s="30">
        <f t="shared" si="20"/>
        <v>-159.61072785448107</v>
      </c>
      <c r="E61">
        <v>20</v>
      </c>
      <c r="H61" s="30">
        <f t="shared" si="21"/>
        <v>-1569</v>
      </c>
    </row>
    <row r="62" spans="1:9" x14ac:dyDescent="0.25">
      <c r="A62">
        <f t="shared" si="15"/>
        <v>2020</v>
      </c>
      <c r="B62" s="30">
        <f t="shared" si="20"/>
        <v>-361.33529049644767</v>
      </c>
      <c r="E62">
        <v>21</v>
      </c>
      <c r="H62" s="30">
        <f t="shared" si="21"/>
        <v>-3551.9859999999971</v>
      </c>
    </row>
    <row r="63" spans="1:9" x14ac:dyDescent="0.25">
      <c r="A63">
        <f t="shared" si="15"/>
        <v>2021</v>
      </c>
      <c r="B63" s="30">
        <f t="shared" si="20"/>
        <v>-575.07714727665928</v>
      </c>
      <c r="E63">
        <v>22</v>
      </c>
      <c r="H63" s="30">
        <f t="shared" si="21"/>
        <v>-5653.1039999999994</v>
      </c>
    </row>
    <row r="64" spans="1:9" x14ac:dyDescent="0.25">
      <c r="A64">
        <f t="shared" si="15"/>
        <v>2022</v>
      </c>
      <c r="B64" s="30">
        <f t="shared" si="20"/>
        <v>-800.83629819511498</v>
      </c>
      <c r="E64">
        <v>23</v>
      </c>
      <c r="H64" s="30">
        <f t="shared" si="21"/>
        <v>-7872.3539999999994</v>
      </c>
    </row>
    <row r="65" spans="1:8" x14ac:dyDescent="0.25">
      <c r="A65">
        <f t="shared" si="15"/>
        <v>2023</v>
      </c>
      <c r="B65" s="30">
        <f t="shared" si="20"/>
        <v>-1038.6127432518158</v>
      </c>
      <c r="E65">
        <v>24</v>
      </c>
      <c r="H65" s="30">
        <f t="shared" si="21"/>
        <v>-10209.736000000004</v>
      </c>
    </row>
    <row r="66" spans="1:8" x14ac:dyDescent="0.25">
      <c r="A66">
        <f t="shared" si="15"/>
        <v>2024</v>
      </c>
      <c r="B66" s="30">
        <f t="shared" si="20"/>
        <v>-1288.40648244676</v>
      </c>
      <c r="E66">
        <v>25</v>
      </c>
      <c r="H66" s="30">
        <f t="shared" si="21"/>
        <v>-12665.25</v>
      </c>
    </row>
    <row r="67" spans="1:8" x14ac:dyDescent="0.25">
      <c r="A67">
        <f t="shared" si="15"/>
        <v>2025</v>
      </c>
      <c r="B67" s="30">
        <f t="shared" si="20"/>
        <v>-1550.2175157799493</v>
      </c>
      <c r="E67">
        <v>26</v>
      </c>
      <c r="H67" s="30">
        <f t="shared" si="21"/>
        <v>-15238.896000000001</v>
      </c>
    </row>
    <row r="68" spans="1:8" x14ac:dyDescent="0.25">
      <c r="A68">
        <f t="shared" si="15"/>
        <v>2026</v>
      </c>
      <c r="B68" s="30">
        <f t="shared" si="20"/>
        <v>-1824.0458432513828</v>
      </c>
      <c r="E68">
        <v>27</v>
      </c>
      <c r="H68" s="30">
        <f t="shared" si="21"/>
        <v>-17930.673999999999</v>
      </c>
    </row>
    <row r="69" spans="1:8" x14ac:dyDescent="0.25">
      <c r="A69">
        <f t="shared" si="15"/>
        <v>2027</v>
      </c>
      <c r="B69" s="30">
        <f t="shared" si="20"/>
        <v>-2109.8914648610612</v>
      </c>
      <c r="E69">
        <v>28</v>
      </c>
      <c r="H69" s="30">
        <f t="shared" si="21"/>
        <v>-20740.584000000003</v>
      </c>
    </row>
    <row r="70" spans="1:8" x14ac:dyDescent="0.25">
      <c r="A70">
        <f t="shared" si="15"/>
        <v>2028</v>
      </c>
      <c r="B70" s="30">
        <f t="shared" si="20"/>
        <v>-2407.7543806089839</v>
      </c>
      <c r="E70">
        <v>29</v>
      </c>
      <c r="H70" s="30">
        <f t="shared" si="21"/>
        <v>-23668.626000000004</v>
      </c>
    </row>
    <row r="71" spans="1:8" x14ac:dyDescent="0.25">
      <c r="A71">
        <f>A34</f>
        <v>2029</v>
      </c>
      <c r="B71" s="30">
        <f t="shared" si="20"/>
        <v>-2717.6345904951509</v>
      </c>
      <c r="E71">
        <v>30</v>
      </c>
      <c r="H71" s="30">
        <f t="shared" si="21"/>
        <v>-26714.800000000003</v>
      </c>
    </row>
    <row r="72" spans="1:8" x14ac:dyDescent="0.25">
      <c r="A72">
        <f t="shared" si="15"/>
        <v>2030</v>
      </c>
      <c r="B72" s="30">
        <f t="shared" si="20"/>
        <v>5758.6004349180785</v>
      </c>
      <c r="E72">
        <v>31</v>
      </c>
      <c r="H72" s="2">
        <f>'Luas Alokasi Pertanian'!C7</f>
        <v>56608</v>
      </c>
    </row>
  </sheetData>
  <mergeCells count="5">
    <mergeCell ref="A3:D3"/>
    <mergeCell ref="F3:I3"/>
    <mergeCell ref="M3:W3"/>
    <mergeCell ref="Y3:AD3"/>
    <mergeCell ref="A39:B39"/>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8"/>
  <sheetViews>
    <sheetView zoomScale="85" zoomScaleNormal="85" workbookViewId="0">
      <pane xSplit="1" ySplit="4" topLeftCell="B5" activePane="bottomRight" state="frozen"/>
      <selection pane="topRight" activeCell="B1" sqref="B1"/>
      <selection pane="bottomLeft" activeCell="A5" sqref="A5"/>
      <selection pane="bottomRight" activeCell="G5" sqref="G5"/>
    </sheetView>
  </sheetViews>
  <sheetFormatPr defaultRowHeight="15" x14ac:dyDescent="0.25"/>
  <cols>
    <col min="2" max="2" width="15" bestFit="1" customWidth="1"/>
    <col min="3" max="3" width="16.140625" bestFit="1" customWidth="1"/>
    <col min="4" max="4" width="14" bestFit="1" customWidth="1"/>
    <col min="5" max="5" width="2.140625" customWidth="1"/>
    <col min="7" max="7" width="15" bestFit="1" customWidth="1"/>
    <col min="8" max="8" width="16.140625" bestFit="1" customWidth="1"/>
    <col min="9" max="9" width="14" bestFit="1" customWidth="1"/>
    <col min="10" max="10" width="20.28515625" bestFit="1" customWidth="1"/>
    <col min="11" max="11" width="8.140625" customWidth="1"/>
    <col min="14" max="14" width="11.5703125" bestFit="1" customWidth="1"/>
    <col min="15" max="15" width="10.42578125" bestFit="1" customWidth="1"/>
    <col min="16" max="16" width="10.7109375" bestFit="1" customWidth="1"/>
    <col min="17" max="17" width="10.5703125" bestFit="1" customWidth="1"/>
    <col min="18" max="18" width="9.28515625" bestFit="1" customWidth="1"/>
    <col min="19" max="19" width="9.5703125" bestFit="1" customWidth="1"/>
    <col min="20" max="20" width="9.28515625" bestFit="1" customWidth="1"/>
    <col min="21" max="21" width="15" bestFit="1" customWidth="1"/>
    <col min="22" max="22" width="18.42578125" bestFit="1" customWidth="1"/>
    <col min="23" max="23" width="16.7109375" bestFit="1" customWidth="1"/>
    <col min="24" max="24" width="9.7109375" customWidth="1"/>
    <col min="25" max="25" width="5.140625" style="52" customWidth="1"/>
    <col min="26" max="27" width="9.5703125" bestFit="1" customWidth="1"/>
    <col min="29" max="29" width="13.28515625" customWidth="1"/>
    <col min="31" max="31" width="12.28515625" customWidth="1"/>
  </cols>
  <sheetData>
    <row r="1" spans="1:31" x14ac:dyDescent="0.25">
      <c r="A1" s="6" t="s">
        <v>7</v>
      </c>
      <c r="B1" s="6"/>
      <c r="C1" s="6"/>
      <c r="D1" s="6"/>
      <c r="E1" s="6"/>
      <c r="F1" s="6"/>
      <c r="G1" s="6"/>
      <c r="H1" s="6"/>
      <c r="I1" s="6"/>
      <c r="J1" s="6"/>
    </row>
    <row r="2" spans="1:31" x14ac:dyDescent="0.25">
      <c r="A2" s="6"/>
      <c r="B2" s="6"/>
      <c r="C2" s="6"/>
      <c r="D2" s="6"/>
      <c r="E2" s="6"/>
      <c r="F2" s="6"/>
      <c r="G2" s="6"/>
      <c r="H2" s="6"/>
      <c r="I2" s="6"/>
      <c r="J2" s="6"/>
    </row>
    <row r="3" spans="1:31" x14ac:dyDescent="0.25">
      <c r="A3" s="119" t="s">
        <v>2</v>
      </c>
      <c r="B3" s="119"/>
      <c r="C3" s="119"/>
      <c r="D3" s="119"/>
      <c r="E3" s="6"/>
      <c r="F3" s="119" t="s">
        <v>5</v>
      </c>
      <c r="G3" s="119"/>
      <c r="H3" s="119"/>
      <c r="I3" s="119"/>
      <c r="J3" s="39" t="s">
        <v>31</v>
      </c>
      <c r="N3" s="120" t="s">
        <v>26</v>
      </c>
      <c r="O3" s="120"/>
      <c r="P3" s="120"/>
      <c r="Q3" s="120"/>
      <c r="R3" s="120"/>
      <c r="S3" s="120"/>
      <c r="T3" s="120"/>
      <c r="U3" s="120"/>
      <c r="V3" s="120"/>
      <c r="W3" s="120"/>
      <c r="X3" s="120"/>
      <c r="Z3" s="120" t="s">
        <v>34</v>
      </c>
      <c r="AA3" s="120"/>
      <c r="AB3" s="120"/>
      <c r="AC3" s="120"/>
      <c r="AD3" s="120"/>
      <c r="AE3" s="120"/>
    </row>
    <row r="4" spans="1:31" x14ac:dyDescent="0.25">
      <c r="A4" s="6"/>
      <c r="B4" s="4" t="s">
        <v>4</v>
      </c>
      <c r="C4" s="1" t="s">
        <v>0</v>
      </c>
      <c r="D4" s="1" t="s">
        <v>1</v>
      </c>
      <c r="E4" s="6"/>
      <c r="F4" s="6"/>
      <c r="G4" s="4" t="s">
        <v>4</v>
      </c>
      <c r="H4" s="1" t="s">
        <v>0</v>
      </c>
      <c r="I4" s="1" t="s">
        <v>1</v>
      </c>
      <c r="J4" s="40"/>
      <c r="N4" s="4" t="s">
        <v>15</v>
      </c>
      <c r="O4" s="4" t="s">
        <v>16</v>
      </c>
      <c r="P4" s="4" t="s">
        <v>17</v>
      </c>
      <c r="Q4" s="4" t="s">
        <v>18</v>
      </c>
      <c r="R4" s="4" t="s">
        <v>19</v>
      </c>
      <c r="S4" s="4" t="s">
        <v>20</v>
      </c>
      <c r="T4" s="4" t="s">
        <v>21</v>
      </c>
      <c r="U4" s="4" t="s">
        <v>22</v>
      </c>
      <c r="V4" s="4" t="s">
        <v>23</v>
      </c>
      <c r="W4" s="4" t="s">
        <v>24</v>
      </c>
      <c r="X4" s="4" t="s">
        <v>25</v>
      </c>
      <c r="Z4" s="4" t="s">
        <v>35</v>
      </c>
      <c r="AA4" s="4" t="s">
        <v>36</v>
      </c>
      <c r="AB4" s="4" t="s">
        <v>37</v>
      </c>
      <c r="AC4" s="4" t="s">
        <v>38</v>
      </c>
      <c r="AD4" s="4" t="s">
        <v>39</v>
      </c>
      <c r="AE4" s="4" t="s">
        <v>40</v>
      </c>
    </row>
    <row r="5" spans="1:31" x14ac:dyDescent="0.25">
      <c r="A5" s="7">
        <v>2000</v>
      </c>
      <c r="B5" s="2">
        <v>44341</v>
      </c>
      <c r="C5" s="15">
        <f>(D5*10)/B5</f>
        <v>34.019981506957443</v>
      </c>
      <c r="D5" s="2">
        <v>150848</v>
      </c>
      <c r="F5" s="7">
        <v>2000</v>
      </c>
      <c r="G5" s="2">
        <v>28771</v>
      </c>
      <c r="H5" s="99">
        <f>(I5*10)/G5</f>
        <v>22.160161273504571</v>
      </c>
      <c r="I5" s="2">
        <v>63757</v>
      </c>
      <c r="J5" s="2">
        <f>B5+G5</f>
        <v>73112</v>
      </c>
      <c r="K5" s="17">
        <f>G5/J5</f>
        <v>0.39351953167742643</v>
      </c>
      <c r="L5" s="7">
        <v>2000</v>
      </c>
      <c r="M5" s="7">
        <v>1</v>
      </c>
      <c r="N5" s="5">
        <v>8462</v>
      </c>
      <c r="O5" s="81"/>
      <c r="P5" s="81">
        <v>4196</v>
      </c>
      <c r="Q5" s="81">
        <v>21101</v>
      </c>
      <c r="R5" s="81">
        <v>420</v>
      </c>
      <c r="S5" s="81">
        <v>8534</v>
      </c>
      <c r="T5" s="81">
        <v>4</v>
      </c>
      <c r="U5" s="81">
        <v>804200</v>
      </c>
      <c r="V5" s="81">
        <v>468700</v>
      </c>
      <c r="W5" s="81">
        <v>87300</v>
      </c>
      <c r="X5" s="81">
        <v>111400</v>
      </c>
    </row>
    <row r="6" spans="1:31" x14ac:dyDescent="0.25">
      <c r="A6" s="7">
        <v>2001</v>
      </c>
      <c r="B6" s="2">
        <v>33554</v>
      </c>
      <c r="C6" s="15">
        <f t="shared" ref="C6:C20" si="0">(D6*10)/B6</f>
        <v>34.464445371639748</v>
      </c>
      <c r="D6" s="2">
        <v>115642</v>
      </c>
      <c r="F6" s="7">
        <v>2001</v>
      </c>
      <c r="G6" s="2">
        <v>8253</v>
      </c>
      <c r="H6" s="99">
        <f t="shared" ref="H6:H19" si="1">(I6*10)/G6</f>
        <v>23.095843935538593</v>
      </c>
      <c r="I6" s="2">
        <v>19061</v>
      </c>
      <c r="J6" s="2">
        <f t="shared" ref="J6:J18" si="2">B6+G6</f>
        <v>41807</v>
      </c>
      <c r="K6" s="17">
        <f t="shared" ref="K6:K20" si="3">G6/J6</f>
        <v>0.19740713277680771</v>
      </c>
      <c r="L6" s="7">
        <v>2001</v>
      </c>
      <c r="M6" s="7">
        <v>2</v>
      </c>
      <c r="N6" s="5">
        <v>8756</v>
      </c>
      <c r="O6" s="83">
        <v>0</v>
      </c>
      <c r="P6" s="81">
        <v>4285</v>
      </c>
      <c r="Q6" s="81">
        <v>21933</v>
      </c>
      <c r="R6" s="81">
        <v>397</v>
      </c>
      <c r="S6" s="81">
        <v>8668</v>
      </c>
      <c r="T6" s="81">
        <v>4</v>
      </c>
      <c r="U6" s="81">
        <v>764600</v>
      </c>
      <c r="V6" s="81">
        <v>492900</v>
      </c>
      <c r="W6" s="81">
        <v>83300</v>
      </c>
      <c r="X6" s="81">
        <v>125800</v>
      </c>
    </row>
    <row r="7" spans="1:31" x14ac:dyDescent="0.25">
      <c r="A7" s="7">
        <v>2002</v>
      </c>
      <c r="B7" s="2">
        <v>41071</v>
      </c>
      <c r="C7" s="15">
        <f t="shared" si="0"/>
        <v>36.344135764894936</v>
      </c>
      <c r="D7" s="2">
        <v>149269</v>
      </c>
      <c r="F7" s="7">
        <v>2002</v>
      </c>
      <c r="G7" s="2">
        <v>9036</v>
      </c>
      <c r="H7" s="99">
        <f t="shared" si="1"/>
        <v>24.705621956617971</v>
      </c>
      <c r="I7" s="2">
        <v>22324</v>
      </c>
      <c r="J7" s="2">
        <f t="shared" si="2"/>
        <v>50107</v>
      </c>
      <c r="K7" s="17">
        <f t="shared" si="3"/>
        <v>0.18033408505797593</v>
      </c>
      <c r="L7" s="7">
        <v>2002</v>
      </c>
      <c r="M7" s="7">
        <v>3</v>
      </c>
      <c r="N7" s="5">
        <v>9049</v>
      </c>
      <c r="O7" s="83">
        <v>0</v>
      </c>
      <c r="P7" s="81">
        <v>4371</v>
      </c>
      <c r="Q7" s="81">
        <v>23511</v>
      </c>
      <c r="R7" s="81">
        <v>405</v>
      </c>
      <c r="S7" s="81">
        <v>8763</v>
      </c>
      <c r="T7" s="81">
        <v>4</v>
      </c>
      <c r="U7" s="81">
        <v>815800</v>
      </c>
      <c r="V7" s="81">
        <v>1239300</v>
      </c>
      <c r="W7" s="81">
        <v>88800</v>
      </c>
      <c r="X7" s="81">
        <v>130900</v>
      </c>
    </row>
    <row r="8" spans="1:31" x14ac:dyDescent="0.25">
      <c r="A8" s="7">
        <v>2003</v>
      </c>
      <c r="B8" s="2">
        <v>36154</v>
      </c>
      <c r="C8" s="15">
        <f t="shared" si="0"/>
        <v>41.901311058250819</v>
      </c>
      <c r="D8" s="2">
        <v>151490</v>
      </c>
      <c r="F8" s="7">
        <v>2003</v>
      </c>
      <c r="G8" s="2">
        <v>8036</v>
      </c>
      <c r="H8" s="99">
        <f t="shared" si="1"/>
        <v>26.62643106022897</v>
      </c>
      <c r="I8" s="2">
        <v>21397</v>
      </c>
      <c r="J8" s="2">
        <f t="shared" si="2"/>
        <v>44190</v>
      </c>
      <c r="K8" s="17">
        <f t="shared" si="3"/>
        <v>0.18185109753337858</v>
      </c>
      <c r="L8" s="7">
        <v>2003</v>
      </c>
      <c r="M8" s="7">
        <v>4</v>
      </c>
      <c r="N8" s="5">
        <v>9680</v>
      </c>
      <c r="O8" s="83">
        <v>0</v>
      </c>
      <c r="P8" s="81">
        <v>4549</v>
      </c>
      <c r="Q8" s="81">
        <v>24061</v>
      </c>
      <c r="R8" s="83">
        <v>0</v>
      </c>
      <c r="S8" s="81">
        <v>8505</v>
      </c>
      <c r="T8" s="83">
        <v>0</v>
      </c>
      <c r="U8" s="81">
        <v>928100</v>
      </c>
      <c r="V8" s="81">
        <v>1838900</v>
      </c>
      <c r="W8" s="81">
        <v>86800</v>
      </c>
      <c r="X8" s="81">
        <v>136700</v>
      </c>
    </row>
    <row r="9" spans="1:31" x14ac:dyDescent="0.25">
      <c r="A9" s="7">
        <v>2004</v>
      </c>
      <c r="B9" s="2">
        <v>41400</v>
      </c>
      <c r="C9" s="15">
        <f t="shared" si="0"/>
        <v>44.407004830917877</v>
      </c>
      <c r="D9" s="2">
        <v>183845</v>
      </c>
      <c r="F9" s="7">
        <v>2004</v>
      </c>
      <c r="G9" s="2">
        <v>5908</v>
      </c>
      <c r="H9" s="99">
        <f t="shared" si="1"/>
        <v>25.714285714285715</v>
      </c>
      <c r="I9" s="2">
        <v>15192</v>
      </c>
      <c r="J9" s="2">
        <f t="shared" si="2"/>
        <v>47308</v>
      </c>
      <c r="K9" s="17">
        <f t="shared" si="3"/>
        <v>0.12488374059355711</v>
      </c>
      <c r="L9" s="7">
        <v>2004</v>
      </c>
      <c r="M9" s="7">
        <v>5</v>
      </c>
      <c r="N9" s="5">
        <v>9195</v>
      </c>
      <c r="O9" s="83">
        <v>0</v>
      </c>
      <c r="P9" s="81">
        <v>4515</v>
      </c>
      <c r="Q9" s="81">
        <v>24715</v>
      </c>
      <c r="R9" s="83">
        <v>0</v>
      </c>
      <c r="S9" s="81">
        <v>8717</v>
      </c>
      <c r="T9" s="83">
        <v>0</v>
      </c>
      <c r="U9" s="82">
        <v>885200</v>
      </c>
      <c r="V9" s="82">
        <v>1500000</v>
      </c>
      <c r="W9" s="82">
        <v>57800</v>
      </c>
      <c r="X9" s="82">
        <v>146500</v>
      </c>
    </row>
    <row r="10" spans="1:31" x14ac:dyDescent="0.25">
      <c r="A10" s="7">
        <v>2005</v>
      </c>
      <c r="B10" s="2">
        <v>36644</v>
      </c>
      <c r="C10" s="15">
        <f t="shared" si="0"/>
        <v>48.020958410653861</v>
      </c>
      <c r="D10" s="2">
        <v>175968</v>
      </c>
      <c r="F10" s="7">
        <v>2005</v>
      </c>
      <c r="G10" s="2">
        <v>6815</v>
      </c>
      <c r="H10" s="99">
        <f t="shared" si="1"/>
        <v>27.914893617021278</v>
      </c>
      <c r="I10" s="2">
        <v>19024</v>
      </c>
      <c r="J10" s="2">
        <f t="shared" si="2"/>
        <v>43459</v>
      </c>
      <c r="K10" s="17">
        <f t="shared" si="3"/>
        <v>0.15681446880968269</v>
      </c>
      <c r="L10" s="7">
        <v>2005</v>
      </c>
      <c r="M10" s="7">
        <v>6</v>
      </c>
      <c r="N10" s="2">
        <v>11725</v>
      </c>
      <c r="O10" s="83">
        <v>0</v>
      </c>
      <c r="P10" s="83">
        <v>2799</v>
      </c>
      <c r="Q10" s="83">
        <v>15323</v>
      </c>
      <c r="R10" s="83">
        <v>0</v>
      </c>
      <c r="S10" s="83">
        <v>5116</v>
      </c>
      <c r="T10" s="83">
        <v>0</v>
      </c>
      <c r="U10" s="83">
        <v>464800</v>
      </c>
      <c r="V10" s="83">
        <v>2531700</v>
      </c>
      <c r="W10" s="83">
        <v>113200</v>
      </c>
      <c r="X10" s="83">
        <v>70800</v>
      </c>
    </row>
    <row r="11" spans="1:31" x14ac:dyDescent="0.25">
      <c r="A11" s="7">
        <v>2006</v>
      </c>
      <c r="B11" s="2">
        <v>35775</v>
      </c>
      <c r="C11" s="15">
        <f t="shared" si="0"/>
        <v>47.635499650593992</v>
      </c>
      <c r="D11" s="2">
        <v>170416</v>
      </c>
      <c r="F11" s="7">
        <v>2006</v>
      </c>
      <c r="G11" s="2">
        <v>7189</v>
      </c>
      <c r="H11" s="99">
        <f t="shared" si="1"/>
        <v>29.371261649742664</v>
      </c>
      <c r="I11" s="2">
        <v>21115</v>
      </c>
      <c r="J11" s="2">
        <f t="shared" si="2"/>
        <v>42964</v>
      </c>
      <c r="K11" s="17">
        <f t="shared" si="3"/>
        <v>0.16732613350712225</v>
      </c>
      <c r="L11" s="7">
        <v>2006</v>
      </c>
      <c r="M11" s="7">
        <v>7</v>
      </c>
      <c r="N11" s="2">
        <v>11551</v>
      </c>
      <c r="O11" s="83">
        <v>0</v>
      </c>
      <c r="P11" s="83">
        <v>2043</v>
      </c>
      <c r="Q11" s="83">
        <v>9714</v>
      </c>
      <c r="R11" s="83">
        <v>0</v>
      </c>
      <c r="S11" s="83">
        <v>4809</v>
      </c>
      <c r="T11" s="83">
        <v>0</v>
      </c>
      <c r="U11" s="83">
        <v>223800</v>
      </c>
      <c r="V11" s="83">
        <v>2642500</v>
      </c>
      <c r="W11" s="83">
        <v>90600</v>
      </c>
      <c r="X11" s="83">
        <v>48400</v>
      </c>
    </row>
    <row r="12" spans="1:31" x14ac:dyDescent="0.25">
      <c r="A12" s="7">
        <v>2007</v>
      </c>
      <c r="B12" s="2">
        <v>34657</v>
      </c>
      <c r="C12" s="15">
        <f t="shared" si="0"/>
        <v>49.295380442623426</v>
      </c>
      <c r="D12" s="2">
        <v>170843</v>
      </c>
      <c r="F12" s="7">
        <v>2007</v>
      </c>
      <c r="G12" s="2">
        <v>6383</v>
      </c>
      <c r="H12" s="99">
        <f t="shared" si="1"/>
        <v>29.293435688547707</v>
      </c>
      <c r="I12" s="2">
        <v>18698</v>
      </c>
      <c r="J12" s="2">
        <f t="shared" si="2"/>
        <v>41040</v>
      </c>
      <c r="K12" s="17">
        <f t="shared" si="3"/>
        <v>0.15553118908382066</v>
      </c>
      <c r="L12" s="7">
        <v>2007</v>
      </c>
      <c r="M12" s="7">
        <v>8</v>
      </c>
      <c r="N12" s="2">
        <v>12470</v>
      </c>
      <c r="O12" s="83">
        <v>0</v>
      </c>
      <c r="P12" s="83">
        <v>2147</v>
      </c>
      <c r="Q12" s="83">
        <v>9908</v>
      </c>
      <c r="R12" s="83">
        <v>0</v>
      </c>
      <c r="S12" s="83">
        <v>3160</v>
      </c>
      <c r="T12" s="83">
        <v>0</v>
      </c>
      <c r="U12" s="83">
        <v>251700</v>
      </c>
      <c r="V12" s="83">
        <v>2748900</v>
      </c>
      <c r="W12" s="83">
        <v>196900</v>
      </c>
      <c r="X12" s="83">
        <v>32800</v>
      </c>
    </row>
    <row r="13" spans="1:31" x14ac:dyDescent="0.25">
      <c r="A13" s="7">
        <v>2008</v>
      </c>
      <c r="B13" s="2">
        <v>39699</v>
      </c>
      <c r="C13" s="15">
        <f t="shared" si="0"/>
        <v>48.74</v>
      </c>
      <c r="D13" s="2">
        <v>193492.92600000001</v>
      </c>
      <c r="F13" s="7">
        <v>2008</v>
      </c>
      <c r="G13" s="2">
        <v>6100</v>
      </c>
      <c r="H13" s="99">
        <f t="shared" si="1"/>
        <v>30.331147540983608</v>
      </c>
      <c r="I13" s="2">
        <v>18502</v>
      </c>
      <c r="J13" s="2">
        <f t="shared" si="2"/>
        <v>45799</v>
      </c>
      <c r="K13" s="17">
        <f t="shared" si="3"/>
        <v>0.13319068101923623</v>
      </c>
      <c r="L13" s="7">
        <v>2008</v>
      </c>
      <c r="M13" s="7">
        <v>9</v>
      </c>
      <c r="N13" s="2">
        <v>15161</v>
      </c>
      <c r="O13" s="83">
        <v>0</v>
      </c>
      <c r="P13" s="83">
        <v>2276</v>
      </c>
      <c r="Q13" s="83">
        <v>5806</v>
      </c>
      <c r="R13" s="83">
        <v>0</v>
      </c>
      <c r="S13" s="83">
        <v>3001</v>
      </c>
      <c r="T13" s="83">
        <v>0</v>
      </c>
      <c r="U13" s="83">
        <v>277762</v>
      </c>
      <c r="V13" s="83">
        <v>2710362</v>
      </c>
      <c r="W13" s="83">
        <v>338370</v>
      </c>
      <c r="X13" s="83">
        <v>24593</v>
      </c>
    </row>
    <row r="14" spans="1:31" x14ac:dyDescent="0.25">
      <c r="A14" s="7">
        <v>2009</v>
      </c>
      <c r="B14" s="2">
        <v>37446</v>
      </c>
      <c r="C14" s="15">
        <f t="shared" si="0"/>
        <v>50.428617208780643</v>
      </c>
      <c r="D14" s="2">
        <v>188835</v>
      </c>
      <c r="F14" s="7">
        <v>2009</v>
      </c>
      <c r="G14" s="2">
        <v>5385</v>
      </c>
      <c r="H14" s="99">
        <f t="shared" si="1"/>
        <v>30.323119777158773</v>
      </c>
      <c r="I14" s="2">
        <v>16329</v>
      </c>
      <c r="J14" s="2">
        <f t="shared" si="2"/>
        <v>42831</v>
      </c>
      <c r="K14" s="17">
        <f t="shared" si="3"/>
        <v>0.12572669328290256</v>
      </c>
      <c r="L14" s="7">
        <v>2009</v>
      </c>
      <c r="M14" s="7">
        <v>10</v>
      </c>
      <c r="N14" s="2">
        <v>18875</v>
      </c>
      <c r="O14" s="83">
        <v>0</v>
      </c>
      <c r="P14" s="83">
        <v>2987</v>
      </c>
      <c r="Q14" s="83">
        <v>6693</v>
      </c>
      <c r="R14" s="83">
        <v>0</v>
      </c>
      <c r="S14" s="83">
        <v>3030</v>
      </c>
      <c r="T14" s="83">
        <v>0</v>
      </c>
      <c r="U14" s="83">
        <v>699961</v>
      </c>
      <c r="V14" s="83">
        <v>6719909</v>
      </c>
      <c r="W14" s="83">
        <v>662742</v>
      </c>
      <c r="X14" s="83">
        <v>27543</v>
      </c>
      <c r="Y14" s="50">
        <v>1</v>
      </c>
      <c r="Z14" s="2">
        <v>1425</v>
      </c>
      <c r="AA14" s="2">
        <v>1632</v>
      </c>
      <c r="AB14" s="2">
        <v>842</v>
      </c>
      <c r="AC14" s="2">
        <v>691</v>
      </c>
      <c r="AD14" s="2">
        <v>355</v>
      </c>
      <c r="AE14" s="2">
        <v>353</v>
      </c>
    </row>
    <row r="15" spans="1:31" x14ac:dyDescent="0.25">
      <c r="A15" s="7">
        <v>2010</v>
      </c>
      <c r="B15" s="2">
        <v>38137</v>
      </c>
      <c r="C15" s="15">
        <f t="shared" si="0"/>
        <v>51.021580092823243</v>
      </c>
      <c r="D15" s="2">
        <v>194581</v>
      </c>
      <c r="F15" s="7">
        <v>2010</v>
      </c>
      <c r="G15" s="2">
        <v>5043</v>
      </c>
      <c r="H15" s="99">
        <f t="shared" si="1"/>
        <v>30.979575649415033</v>
      </c>
      <c r="I15" s="2">
        <v>15623</v>
      </c>
      <c r="J15" s="2">
        <f t="shared" si="2"/>
        <v>43180</v>
      </c>
      <c r="K15" s="17">
        <f t="shared" si="3"/>
        <v>0.11679018063918481</v>
      </c>
      <c r="L15" s="7">
        <v>2010</v>
      </c>
      <c r="M15" s="7">
        <v>11</v>
      </c>
      <c r="N15" s="9">
        <v>20857</v>
      </c>
      <c r="O15" s="83">
        <v>0</v>
      </c>
      <c r="P15" s="90">
        <v>3351</v>
      </c>
      <c r="Q15" s="90">
        <v>6760</v>
      </c>
      <c r="R15" s="83">
        <v>0</v>
      </c>
      <c r="S15" s="90">
        <v>3219</v>
      </c>
      <c r="T15" s="83">
        <v>0</v>
      </c>
      <c r="U15" s="47">
        <v>1266930</v>
      </c>
      <c r="V15" s="47">
        <v>9675105</v>
      </c>
      <c r="W15" s="47">
        <v>801321</v>
      </c>
      <c r="X15" s="47">
        <v>29195</v>
      </c>
      <c r="Y15" s="51">
        <v>2</v>
      </c>
      <c r="Z15" s="10">
        <v>1137</v>
      </c>
      <c r="AA15" s="10">
        <v>1459</v>
      </c>
      <c r="AB15" s="10">
        <v>810</v>
      </c>
      <c r="AC15" s="10">
        <v>609</v>
      </c>
      <c r="AD15" s="10">
        <v>327</v>
      </c>
      <c r="AE15" s="10">
        <v>317</v>
      </c>
    </row>
    <row r="16" spans="1:31" x14ac:dyDescent="0.25">
      <c r="A16" s="7">
        <v>2011</v>
      </c>
      <c r="B16" s="2">
        <v>38823</v>
      </c>
      <c r="C16" s="15">
        <f t="shared" si="0"/>
        <v>51.006619787239522</v>
      </c>
      <c r="D16" s="2">
        <v>198023</v>
      </c>
      <c r="F16" s="7">
        <v>2011</v>
      </c>
      <c r="G16" s="2">
        <v>4780</v>
      </c>
      <c r="H16" s="99">
        <f t="shared" si="1"/>
        <v>31.820083682008367</v>
      </c>
      <c r="I16" s="2">
        <v>15210</v>
      </c>
      <c r="J16" s="2">
        <f t="shared" si="2"/>
        <v>43603</v>
      </c>
      <c r="K16" s="17">
        <f t="shared" si="3"/>
        <v>0.1096254844850125</v>
      </c>
      <c r="L16" s="7">
        <v>2011</v>
      </c>
      <c r="M16" s="7">
        <v>12</v>
      </c>
      <c r="N16" s="9">
        <v>23464</v>
      </c>
      <c r="O16" s="83">
        <v>0</v>
      </c>
      <c r="P16" s="90">
        <v>3425</v>
      </c>
      <c r="Q16" s="90">
        <v>6828</v>
      </c>
      <c r="R16" s="83">
        <v>0</v>
      </c>
      <c r="S16" s="90">
        <v>4893</v>
      </c>
      <c r="T16" s="83">
        <v>0</v>
      </c>
      <c r="U16" s="47">
        <v>2280474</v>
      </c>
      <c r="V16" s="47">
        <v>9548925</v>
      </c>
      <c r="W16" s="47">
        <v>968878</v>
      </c>
      <c r="X16" s="47">
        <v>32407</v>
      </c>
      <c r="Y16" s="51">
        <v>3</v>
      </c>
      <c r="Z16" s="10">
        <v>630</v>
      </c>
      <c r="AA16" s="10">
        <v>1237</v>
      </c>
      <c r="AB16" s="10">
        <v>659</v>
      </c>
      <c r="AC16" s="10">
        <v>515</v>
      </c>
      <c r="AD16" s="10">
        <v>366</v>
      </c>
      <c r="AE16" s="10">
        <v>285</v>
      </c>
    </row>
    <row r="17" spans="1:31" x14ac:dyDescent="0.25">
      <c r="A17" s="7">
        <v>2012</v>
      </c>
      <c r="B17" s="2">
        <v>37013</v>
      </c>
      <c r="C17" s="15">
        <f t="shared" si="0"/>
        <v>51.009915435117392</v>
      </c>
      <c r="D17" s="2">
        <v>188803</v>
      </c>
      <c r="F17" s="7">
        <v>2012</v>
      </c>
      <c r="G17" s="2">
        <v>4234</v>
      </c>
      <c r="H17" s="99">
        <f t="shared" si="1"/>
        <v>29.605573925366084</v>
      </c>
      <c r="I17" s="2">
        <v>12535</v>
      </c>
      <c r="J17" s="2">
        <f t="shared" si="2"/>
        <v>41247</v>
      </c>
      <c r="K17" s="17">
        <f t="shared" si="3"/>
        <v>0.10264988968894707</v>
      </c>
      <c r="L17" s="7">
        <v>2012</v>
      </c>
      <c r="M17" s="7">
        <v>13</v>
      </c>
      <c r="N17" s="9">
        <v>25467</v>
      </c>
      <c r="O17" s="83">
        <v>0</v>
      </c>
      <c r="P17" s="90">
        <v>4129</v>
      </c>
      <c r="Q17" s="90">
        <v>6888</v>
      </c>
      <c r="R17" s="83">
        <v>0</v>
      </c>
      <c r="S17" s="90">
        <v>3695</v>
      </c>
      <c r="T17" s="83">
        <v>0</v>
      </c>
      <c r="U17" s="47">
        <v>2479621</v>
      </c>
      <c r="V17" s="47">
        <v>10670925</v>
      </c>
      <c r="W17" s="47">
        <v>1171469</v>
      </c>
      <c r="X17" s="47">
        <v>32802</v>
      </c>
      <c r="Y17" s="51">
        <v>4</v>
      </c>
      <c r="Z17" s="10">
        <v>581</v>
      </c>
      <c r="AA17" s="10">
        <v>904</v>
      </c>
      <c r="AB17" s="10">
        <v>569</v>
      </c>
      <c r="AC17" s="10">
        <v>467</v>
      </c>
      <c r="AD17" s="10">
        <v>288</v>
      </c>
      <c r="AE17" s="10">
        <v>209</v>
      </c>
    </row>
    <row r="18" spans="1:31" x14ac:dyDescent="0.25">
      <c r="A18" s="7">
        <v>2013</v>
      </c>
      <c r="B18" s="2">
        <v>37113</v>
      </c>
      <c r="C18" s="15">
        <f t="shared" si="0"/>
        <v>51.031444507315499</v>
      </c>
      <c r="D18" s="2">
        <v>189393</v>
      </c>
      <c r="F18" s="7">
        <v>2013</v>
      </c>
      <c r="G18" s="2">
        <v>4461</v>
      </c>
      <c r="H18" s="99">
        <f t="shared" si="1"/>
        <v>32.174400358663974</v>
      </c>
      <c r="I18" s="2">
        <v>14353</v>
      </c>
      <c r="J18" s="2">
        <f t="shared" si="2"/>
        <v>41574</v>
      </c>
      <c r="K18" s="17">
        <f t="shared" si="3"/>
        <v>0.10730264107374801</v>
      </c>
      <c r="L18" s="7">
        <v>2013</v>
      </c>
      <c r="M18" s="7">
        <v>14</v>
      </c>
      <c r="N18" s="9">
        <v>25640</v>
      </c>
      <c r="O18" s="83">
        <v>0</v>
      </c>
      <c r="P18" s="90">
        <v>2858</v>
      </c>
      <c r="Q18" s="90">
        <v>6468</v>
      </c>
      <c r="R18" s="83">
        <v>0</v>
      </c>
      <c r="S18" s="90">
        <v>3928</v>
      </c>
      <c r="T18" s="90">
        <v>2</v>
      </c>
      <c r="U18" s="47">
        <v>2888557</v>
      </c>
      <c r="V18" s="47">
        <v>1831500</v>
      </c>
      <c r="W18" s="47">
        <v>750000</v>
      </c>
      <c r="X18" s="47">
        <v>32646</v>
      </c>
      <c r="Y18" s="51">
        <v>5</v>
      </c>
      <c r="Z18" s="10">
        <v>413</v>
      </c>
      <c r="AA18" s="10">
        <v>1152</v>
      </c>
      <c r="AB18" s="10">
        <v>642</v>
      </c>
      <c r="AC18" s="10">
        <v>491</v>
      </c>
      <c r="AD18" s="10">
        <v>369</v>
      </c>
      <c r="AE18" s="10">
        <v>192</v>
      </c>
    </row>
    <row r="19" spans="1:31" x14ac:dyDescent="0.25">
      <c r="A19" s="7">
        <v>2014</v>
      </c>
      <c r="B19" s="2">
        <v>35433</v>
      </c>
      <c r="C19" s="15">
        <f t="shared" si="0"/>
        <v>51.028984280190784</v>
      </c>
      <c r="D19" s="2">
        <v>180811</v>
      </c>
      <c r="F19" s="7">
        <v>2014</v>
      </c>
      <c r="G19" s="2">
        <v>4246</v>
      </c>
      <c r="H19" s="99">
        <f t="shared" si="1"/>
        <v>32.242110221384834</v>
      </c>
      <c r="I19" s="2">
        <v>13690</v>
      </c>
      <c r="J19" s="2">
        <f>B19+G19</f>
        <v>39679</v>
      </c>
      <c r="K19" s="17">
        <f t="shared" si="3"/>
        <v>0.10700874518007006</v>
      </c>
      <c r="L19" s="7">
        <v>2014</v>
      </c>
      <c r="M19" s="7">
        <v>15</v>
      </c>
      <c r="N19" s="9">
        <v>26198</v>
      </c>
      <c r="O19" s="83">
        <v>0</v>
      </c>
      <c r="P19" s="90">
        <v>3061</v>
      </c>
      <c r="Q19" s="90">
        <v>7682</v>
      </c>
      <c r="R19" s="83">
        <v>0</v>
      </c>
      <c r="S19" s="90">
        <v>4367</v>
      </c>
      <c r="T19" s="90">
        <v>2</v>
      </c>
      <c r="U19" s="47">
        <v>1167300</v>
      </c>
      <c r="V19" s="47">
        <v>8492031</v>
      </c>
      <c r="W19" s="47">
        <v>232000</v>
      </c>
      <c r="X19" s="47">
        <v>37588</v>
      </c>
      <c r="Y19" s="51">
        <v>6</v>
      </c>
      <c r="Z19" s="10">
        <v>249</v>
      </c>
      <c r="AA19" s="10">
        <v>1161</v>
      </c>
      <c r="AB19" s="10">
        <v>626</v>
      </c>
      <c r="AC19" s="10">
        <v>496</v>
      </c>
      <c r="AD19" s="10">
        <v>155</v>
      </c>
      <c r="AE19" s="10">
        <v>167</v>
      </c>
    </row>
    <row r="20" spans="1:31" x14ac:dyDescent="0.25">
      <c r="A20" s="7">
        <v>2015</v>
      </c>
      <c r="B20" s="2">
        <v>34002</v>
      </c>
      <c r="C20" s="15">
        <f t="shared" si="0"/>
        <v>51.128463031586378</v>
      </c>
      <c r="D20" s="2">
        <v>173847</v>
      </c>
      <c r="F20" s="7">
        <v>2015</v>
      </c>
      <c r="G20" s="30">
        <v>4000</v>
      </c>
      <c r="H20" s="99">
        <f>H19*1.0367</f>
        <v>33.425395666509658</v>
      </c>
      <c r="I20" s="42">
        <v>12982</v>
      </c>
      <c r="J20" s="2">
        <f>B20+G20</f>
        <v>38002</v>
      </c>
      <c r="K20" s="17">
        <f t="shared" si="3"/>
        <v>0.10525761802010421</v>
      </c>
      <c r="L20" s="7">
        <v>2015</v>
      </c>
      <c r="M20" s="7">
        <v>16</v>
      </c>
      <c r="N20" s="9">
        <v>27508</v>
      </c>
      <c r="O20" s="90"/>
      <c r="P20" s="90">
        <v>3214</v>
      </c>
      <c r="Q20" s="90">
        <v>8006</v>
      </c>
      <c r="R20" s="83">
        <v>0</v>
      </c>
      <c r="S20" s="90">
        <v>4585</v>
      </c>
      <c r="T20" s="90">
        <v>0</v>
      </c>
      <c r="U20" s="73">
        <v>1225665</v>
      </c>
      <c r="V20" s="73">
        <v>7597898</v>
      </c>
      <c r="W20" s="73">
        <v>310432</v>
      </c>
      <c r="X20" s="73">
        <v>41347</v>
      </c>
      <c r="Y20" s="75">
        <v>7</v>
      </c>
      <c r="Z20" s="10">
        <v>420</v>
      </c>
      <c r="AA20" s="10">
        <v>958</v>
      </c>
      <c r="AB20" s="10">
        <v>509</v>
      </c>
      <c r="AC20" s="10">
        <v>356</v>
      </c>
      <c r="AD20" s="10">
        <v>107</v>
      </c>
      <c r="AE20" s="10">
        <v>59</v>
      </c>
    </row>
    <row r="21" spans="1:31" s="72" customFormat="1" x14ac:dyDescent="0.25">
      <c r="A21" s="66">
        <v>2016</v>
      </c>
      <c r="B21" s="97">
        <f>J21-G21</f>
        <v>33824.858730752734</v>
      </c>
      <c r="C21" s="74">
        <v>51.13</v>
      </c>
      <c r="D21" s="71">
        <f t="shared" ref="D21:D26" si="4">(C21/10)*B21</f>
        <v>172946.50269033873</v>
      </c>
      <c r="F21" s="66">
        <v>2016</v>
      </c>
      <c r="G21" s="97">
        <f>J21*$K$36</f>
        <v>6160.845669247271</v>
      </c>
      <c r="H21" s="100">
        <v>32.450000000000003</v>
      </c>
      <c r="I21" s="71">
        <f>(H21/10)*G21</f>
        <v>19991.944196707394</v>
      </c>
      <c r="J21" s="42">
        <f>J20*1.0522</f>
        <v>39985.704400000002</v>
      </c>
      <c r="L21" s="66">
        <v>2016</v>
      </c>
      <c r="M21" s="66">
        <v>17</v>
      </c>
      <c r="N21" s="54">
        <v>28969</v>
      </c>
      <c r="O21" s="9"/>
      <c r="P21" s="101">
        <f>20.63*M21^2-428.61*M21+5102.2</f>
        <v>3777.8999999999996</v>
      </c>
      <c r="Q21" s="101">
        <f>109.01*M21^2-3183.9*M21+29708</f>
        <v>7085.59</v>
      </c>
      <c r="R21" s="9"/>
      <c r="S21" s="101">
        <f>54.11*M21^2-1292.5*M21+11364</f>
        <v>5029.2899999999991</v>
      </c>
      <c r="T21" s="9"/>
      <c r="U21" s="102">
        <f>10226*M21^2-80377*M21+816128</f>
        <v>2405033</v>
      </c>
      <c r="V21" s="102">
        <f>589974*M21-595431</f>
        <v>9434127</v>
      </c>
      <c r="W21" s="102">
        <f>49987*M21-47397</f>
        <v>802382</v>
      </c>
      <c r="X21" s="102">
        <f>756.56*M21^2-20642*M21+171059</f>
        <v>38790.839999999997</v>
      </c>
      <c r="Y21" s="75">
        <v>8</v>
      </c>
      <c r="Z21" s="96">
        <f>44.905*Y21^2-538.1*Y21+1947.9</f>
        <v>517.02</v>
      </c>
      <c r="AA21" s="96">
        <f>25.798*Y21^2-302.92*Y21+1910.4</f>
        <v>1138.1119999999999</v>
      </c>
      <c r="AB21" s="96">
        <f>6.8571*Y21^2-104.29*Y21+945.29</f>
        <v>549.82439999999997</v>
      </c>
      <c r="AC21" s="96">
        <f>4.1548*Y21^2-78.06*Y21+747</f>
        <v>388.42719999999997</v>
      </c>
      <c r="AD21" s="96"/>
      <c r="AE21" s="96"/>
    </row>
    <row r="22" spans="1:31" s="72" customFormat="1" x14ac:dyDescent="0.25">
      <c r="A22" s="66">
        <v>2017</v>
      </c>
      <c r="B22" s="97">
        <f t="shared" ref="B22:B34" si="5">J22-G22</f>
        <v>35590.516356498025</v>
      </c>
      <c r="C22" s="74">
        <f>C21*1.0278</f>
        <v>52.551414000000008</v>
      </c>
      <c r="D22" s="71">
        <f t="shared" si="4"/>
        <v>187033.19595240997</v>
      </c>
      <c r="F22" s="66">
        <v>2017</v>
      </c>
      <c r="G22" s="97">
        <f t="shared" ref="G22:G34" si="6">J22*$K$36</f>
        <v>6482.4418131819784</v>
      </c>
      <c r="H22" s="100">
        <f>H21*1.0367</f>
        <v>33.640915</v>
      </c>
      <c r="I22" s="71">
        <f t="shared" ref="I22:I33" si="7">(H22/10)*G22</f>
        <v>21807.527402970081</v>
      </c>
      <c r="J22" s="42">
        <f t="shared" ref="J22:J34" si="8">J21*1.0522</f>
        <v>42072.958169680001</v>
      </c>
      <c r="L22" s="66">
        <v>2017</v>
      </c>
      <c r="M22" s="66">
        <v>18</v>
      </c>
      <c r="N22" s="54">
        <v>29784.306919101364</v>
      </c>
      <c r="P22" s="101">
        <f t="shared" ref="P22:P35" si="9">20.63*M22^2-428.61*M22+5102.2</f>
        <v>4071.3399999999992</v>
      </c>
      <c r="Q22" s="101">
        <f t="shared" ref="Q22:Q35" si="10">109.01*M22^2-3183.9*M22+29708</f>
        <v>7717.0400000000009</v>
      </c>
      <c r="S22" s="101">
        <f t="shared" ref="S22:S35" si="11">54.11*M22^2-1292.5*M22+11364</f>
        <v>5630.6399999999994</v>
      </c>
      <c r="U22" s="102">
        <f t="shared" ref="U22:U35" si="12">10226*M22^2-80377*M22+816128</f>
        <v>2682566</v>
      </c>
      <c r="V22" s="102">
        <f t="shared" ref="V22:V34" si="13">589974*M22-595431</f>
        <v>10024101</v>
      </c>
      <c r="W22" s="102">
        <f t="shared" ref="W22:W35" si="14">49987*M22-47397</f>
        <v>852369</v>
      </c>
      <c r="X22" s="102">
        <f t="shared" ref="X22:X35" si="15">756.56*M22^2-20642*M22+171059</f>
        <v>44628.439999999973</v>
      </c>
      <c r="Y22" s="75">
        <v>9</v>
      </c>
      <c r="Z22" s="96">
        <f t="shared" ref="Z22:Z35" si="16">44.905*Y22^2-538.1*Y22+1947.9</f>
        <v>742.30499999999984</v>
      </c>
      <c r="AA22" s="96">
        <f t="shared" ref="AA22:AA35" si="17">25.798*Y22^2-302.92*Y22+1910.4</f>
        <v>1273.7579999999998</v>
      </c>
      <c r="AB22" s="96">
        <f t="shared" ref="AB22:AB35" si="18">6.8571*Y22^2-104.29*Y22+945.29</f>
        <v>562.10509999999999</v>
      </c>
      <c r="AC22" s="96">
        <f t="shared" ref="AC22:AC35" si="19">4.1548*Y22^2-78.06*Y22+747</f>
        <v>380.99880000000002</v>
      </c>
      <c r="AD22" s="96"/>
      <c r="AE22" s="96"/>
    </row>
    <row r="23" spans="1:31" s="72" customFormat="1" x14ac:dyDescent="0.25">
      <c r="A23" s="66">
        <v>2018</v>
      </c>
      <c r="B23" s="97">
        <f t="shared" si="5"/>
        <v>37448.341310307216</v>
      </c>
      <c r="C23" s="74">
        <f>C22*1.0278</f>
        <v>54.012343309200013</v>
      </c>
      <c r="D23" s="71">
        <f t="shared" si="4"/>
        <v>202267.26672124103</v>
      </c>
      <c r="F23" s="66">
        <v>2018</v>
      </c>
      <c r="G23" s="97">
        <f t="shared" si="6"/>
        <v>6820.8252758300778</v>
      </c>
      <c r="H23" s="100">
        <f>H22*1.0367</f>
        <v>34.875536580499997</v>
      </c>
      <c r="I23" s="71">
        <f t="shared" si="7"/>
        <v>23787.994141641084</v>
      </c>
      <c r="J23" s="42">
        <f t="shared" si="8"/>
        <v>44269.166586137297</v>
      </c>
      <c r="L23" s="66">
        <v>2018</v>
      </c>
      <c r="M23" s="66">
        <v>19</v>
      </c>
      <c r="N23" s="54">
        <v>30992.15246954167</v>
      </c>
      <c r="P23" s="101">
        <f t="shared" si="9"/>
        <v>4406.0399999999991</v>
      </c>
      <c r="Q23" s="101">
        <f t="shared" si="10"/>
        <v>8566.510000000002</v>
      </c>
      <c r="S23" s="101">
        <f t="shared" si="11"/>
        <v>6340.2099999999991</v>
      </c>
      <c r="U23" s="102">
        <f t="shared" si="12"/>
        <v>2980551</v>
      </c>
      <c r="V23" s="102">
        <f t="shared" si="13"/>
        <v>10614075</v>
      </c>
      <c r="W23" s="102">
        <f t="shared" si="14"/>
        <v>902356</v>
      </c>
      <c r="X23" s="102">
        <f t="shared" si="15"/>
        <v>51979.159999999974</v>
      </c>
      <c r="Y23" s="75">
        <v>10</v>
      </c>
      <c r="Z23" s="96">
        <f t="shared" si="16"/>
        <v>1057.4000000000001</v>
      </c>
      <c r="AA23" s="96">
        <f t="shared" si="17"/>
        <v>1460.9999999999995</v>
      </c>
      <c r="AB23" s="96">
        <f t="shared" si="18"/>
        <v>588.09999999999991</v>
      </c>
      <c r="AC23" s="96">
        <f t="shared" si="19"/>
        <v>381.87999999999994</v>
      </c>
      <c r="AD23" s="96"/>
      <c r="AE23" s="96"/>
    </row>
    <row r="24" spans="1:31" s="72" customFormat="1" x14ac:dyDescent="0.25">
      <c r="A24" s="66">
        <v>2019</v>
      </c>
      <c r="B24" s="97">
        <f t="shared" si="5"/>
        <v>39403.144726705257</v>
      </c>
      <c r="C24" s="74">
        <f>C23*1.0278</f>
        <v>55.513886453195774</v>
      </c>
      <c r="D24" s="71">
        <f t="shared" si="4"/>
        <v>218742.17022571556</v>
      </c>
      <c r="F24" s="66">
        <v>2019</v>
      </c>
      <c r="G24" s="97">
        <f t="shared" si="6"/>
        <v>7176.8723552284073</v>
      </c>
      <c r="H24" s="100">
        <f>H23*1.0367</f>
        <v>36.155468773004344</v>
      </c>
      <c r="I24" s="71">
        <f t="shared" si="7"/>
        <v>25948.31843272988</v>
      </c>
      <c r="J24" s="42">
        <f t="shared" si="8"/>
        <v>46580.017081933664</v>
      </c>
      <c r="L24" s="66">
        <v>2019</v>
      </c>
      <c r="M24" s="66">
        <v>20</v>
      </c>
      <c r="N24" s="54">
        <v>32248.979884078428</v>
      </c>
      <c r="P24" s="101">
        <f t="shared" si="9"/>
        <v>4781.9999999999991</v>
      </c>
      <c r="Q24" s="101">
        <f t="shared" si="10"/>
        <v>9634</v>
      </c>
      <c r="S24" s="101">
        <f t="shared" si="11"/>
        <v>7158</v>
      </c>
      <c r="U24" s="102">
        <f t="shared" si="12"/>
        <v>3298988</v>
      </c>
      <c r="V24" s="102">
        <f t="shared" si="13"/>
        <v>11204049</v>
      </c>
      <c r="W24" s="102">
        <f t="shared" si="14"/>
        <v>952343</v>
      </c>
      <c r="X24" s="102">
        <f t="shared" si="15"/>
        <v>60843</v>
      </c>
      <c r="Y24" s="75">
        <v>11</v>
      </c>
      <c r="Z24" s="96">
        <f t="shared" si="16"/>
        <v>1462.3049999999998</v>
      </c>
      <c r="AA24" s="96">
        <f t="shared" si="17"/>
        <v>1699.8379999999997</v>
      </c>
      <c r="AB24" s="96">
        <f t="shared" si="18"/>
        <v>627.80909999999994</v>
      </c>
      <c r="AC24" s="96">
        <f t="shared" si="19"/>
        <v>391.07079999999991</v>
      </c>
      <c r="AD24" s="96"/>
      <c r="AE24" s="96"/>
    </row>
    <row r="25" spans="1:31" s="72" customFormat="1" x14ac:dyDescent="0.25">
      <c r="A25" s="66">
        <v>2020</v>
      </c>
      <c r="B25" s="97">
        <f t="shared" si="5"/>
        <v>41459.988881439269</v>
      </c>
      <c r="C25" s="74">
        <f>C24*1.0278</f>
        <v>57.057172496594617</v>
      </c>
      <c r="D25" s="71">
        <f t="shared" si="4"/>
        <v>236558.97373151753</v>
      </c>
      <c r="F25" s="66">
        <v>2020</v>
      </c>
      <c r="G25" s="97">
        <f t="shared" si="6"/>
        <v>7551.5050921713309</v>
      </c>
      <c r="H25" s="100">
        <f>H24*1.0367</f>
        <v>37.482374476973604</v>
      </c>
      <c r="I25" s="71">
        <f t="shared" si="7"/>
        <v>28304.834172953892</v>
      </c>
      <c r="J25" s="42">
        <f t="shared" si="8"/>
        <v>49011.493973610603</v>
      </c>
      <c r="L25" s="66">
        <v>2020</v>
      </c>
      <c r="M25" s="66">
        <v>21</v>
      </c>
      <c r="N25" s="54">
        <v>33505.807298615196</v>
      </c>
      <c r="P25" s="101">
        <f t="shared" si="9"/>
        <v>5199.22</v>
      </c>
      <c r="Q25" s="101">
        <f t="shared" si="10"/>
        <v>10919.509999999995</v>
      </c>
      <c r="S25" s="101">
        <f t="shared" si="11"/>
        <v>8084.0099999999984</v>
      </c>
      <c r="U25" s="102">
        <f t="shared" si="12"/>
        <v>3637877</v>
      </c>
      <c r="V25" s="102">
        <f t="shared" si="13"/>
        <v>11794023</v>
      </c>
      <c r="W25" s="102">
        <f t="shared" si="14"/>
        <v>1002330</v>
      </c>
      <c r="X25" s="102">
        <f t="shared" si="15"/>
        <v>71219.959999999963</v>
      </c>
      <c r="Y25" s="75">
        <v>12</v>
      </c>
      <c r="Z25" s="96">
        <f t="shared" si="16"/>
        <v>1957.0199999999991</v>
      </c>
      <c r="AA25" s="96">
        <f t="shared" si="17"/>
        <v>1990.2719999999999</v>
      </c>
      <c r="AB25" s="96">
        <f t="shared" si="18"/>
        <v>681.23239999999998</v>
      </c>
      <c r="AC25" s="96">
        <f t="shared" si="19"/>
        <v>408.57119999999998</v>
      </c>
      <c r="AD25" s="96"/>
      <c r="AE25" s="96"/>
    </row>
    <row r="26" spans="1:31" s="72" customFormat="1" x14ac:dyDescent="0.25">
      <c r="A26" s="66">
        <v>2021</v>
      </c>
      <c r="B26" s="97">
        <f t="shared" si="5"/>
        <v>43624.200301050405</v>
      </c>
      <c r="C26" s="74">
        <v>58.63</v>
      </c>
      <c r="D26" s="71">
        <f t="shared" si="4"/>
        <v>255768.68636505853</v>
      </c>
      <c r="F26" s="66">
        <v>2021</v>
      </c>
      <c r="G26" s="97">
        <f t="shared" si="6"/>
        <v>7945.6936579826743</v>
      </c>
      <c r="H26" s="100">
        <v>38.869999999999997</v>
      </c>
      <c r="I26" s="71">
        <f t="shared" si="7"/>
        <v>30884.91124857865</v>
      </c>
      <c r="J26" s="42">
        <f t="shared" si="8"/>
        <v>51569.893959033077</v>
      </c>
      <c r="L26" s="66">
        <v>2021</v>
      </c>
      <c r="M26" s="66">
        <v>22</v>
      </c>
      <c r="N26" s="53">
        <v>34762.6347131519</v>
      </c>
      <c r="P26" s="101">
        <f t="shared" si="9"/>
        <v>5657.7</v>
      </c>
      <c r="Q26" s="101">
        <f t="shared" si="10"/>
        <v>12423.04</v>
      </c>
      <c r="R26" s="72">
        <v>0</v>
      </c>
      <c r="S26" s="101">
        <f t="shared" si="11"/>
        <v>9118.239999999998</v>
      </c>
      <c r="U26" s="102">
        <f t="shared" si="12"/>
        <v>3997218</v>
      </c>
      <c r="V26" s="102">
        <f t="shared" si="13"/>
        <v>12383997</v>
      </c>
      <c r="W26" s="102">
        <f t="shared" si="14"/>
        <v>1052317</v>
      </c>
      <c r="X26" s="102">
        <f t="shared" si="15"/>
        <v>83110.039999999979</v>
      </c>
      <c r="Y26" s="75">
        <v>13</v>
      </c>
      <c r="Z26" s="96">
        <f t="shared" si="16"/>
        <v>2541.5450000000005</v>
      </c>
      <c r="AA26" s="96">
        <f t="shared" si="17"/>
        <v>2332.3020000000001</v>
      </c>
      <c r="AB26" s="96">
        <f t="shared" si="18"/>
        <v>748.36989999999992</v>
      </c>
      <c r="AC26" s="96">
        <f t="shared" si="19"/>
        <v>434.38120000000004</v>
      </c>
      <c r="AD26" s="96"/>
      <c r="AE26" s="96"/>
    </row>
    <row r="27" spans="1:31" x14ac:dyDescent="0.25">
      <c r="A27" s="7">
        <v>2022</v>
      </c>
      <c r="B27" s="97">
        <f t="shared" si="5"/>
        <v>45901.383556765242</v>
      </c>
      <c r="C27" s="20">
        <f>C26*1.068</f>
        <v>62.616840000000003</v>
      </c>
      <c r="D27" s="30">
        <f t="shared" ref="D27:D35" si="20">(C27/10)*B27</f>
        <v>287419.95899526007</v>
      </c>
      <c r="F27" s="7">
        <v>2022</v>
      </c>
      <c r="G27" s="97">
        <f t="shared" si="6"/>
        <v>8360.4588669293698</v>
      </c>
      <c r="H27" s="99">
        <f>H26*1.0351</f>
        <v>40.234336999999996</v>
      </c>
      <c r="I27" s="71">
        <f t="shared" si="7"/>
        <v>33637.751952667444</v>
      </c>
      <c r="J27" s="42">
        <f t="shared" si="8"/>
        <v>54261.842423694608</v>
      </c>
      <c r="L27" s="7">
        <v>2022</v>
      </c>
      <c r="M27" s="7">
        <v>23</v>
      </c>
      <c r="N27" s="53">
        <v>36019.462127688697</v>
      </c>
      <c r="P27" s="101">
        <f t="shared" si="9"/>
        <v>6157.4399999999978</v>
      </c>
      <c r="Q27" s="101">
        <f t="shared" si="10"/>
        <v>14144.590000000004</v>
      </c>
      <c r="S27" s="101">
        <f t="shared" si="11"/>
        <v>10260.689999999999</v>
      </c>
      <c r="U27" s="102">
        <f t="shared" si="12"/>
        <v>4377011</v>
      </c>
      <c r="V27" s="102">
        <f t="shared" si="13"/>
        <v>12973971</v>
      </c>
      <c r="W27" s="102">
        <f t="shared" si="14"/>
        <v>1102304</v>
      </c>
      <c r="X27" s="102">
        <f t="shared" si="15"/>
        <v>96513.239999999991</v>
      </c>
      <c r="Y27" s="51">
        <v>14</v>
      </c>
      <c r="Z27" s="96">
        <f t="shared" si="16"/>
        <v>3215.8800000000006</v>
      </c>
      <c r="AA27" s="96">
        <f t="shared" si="17"/>
        <v>2725.9279999999994</v>
      </c>
      <c r="AB27" s="96">
        <f t="shared" si="18"/>
        <v>829.22159999999985</v>
      </c>
      <c r="AC27" s="96">
        <f t="shared" si="19"/>
        <v>468.5007999999998</v>
      </c>
      <c r="AD27" s="96"/>
      <c r="AE27" s="96"/>
    </row>
    <row r="28" spans="1:31" x14ac:dyDescent="0.25">
      <c r="A28" s="7">
        <v>2023</v>
      </c>
      <c r="B28" s="97">
        <f t="shared" si="5"/>
        <v>48297.435778428378</v>
      </c>
      <c r="C28" s="20">
        <f t="shared" ref="C28:C34" si="21">C27*1.068</f>
        <v>66.874785120000013</v>
      </c>
      <c r="D28" s="30">
        <f t="shared" si="20"/>
        <v>322988.06395293982</v>
      </c>
      <c r="F28" s="7">
        <v>2023</v>
      </c>
      <c r="G28" s="97">
        <f t="shared" si="6"/>
        <v>8796.8748197830828</v>
      </c>
      <c r="H28" s="99">
        <f t="shared" ref="H28:H34" si="22">H27*1.0351</f>
        <v>41.646562228699992</v>
      </c>
      <c r="I28" s="71">
        <f t="shared" si="7"/>
        <v>36635.959460018013</v>
      </c>
      <c r="J28" s="42">
        <f t="shared" si="8"/>
        <v>57094.310598211465</v>
      </c>
      <c r="L28" s="7">
        <v>2023</v>
      </c>
      <c r="M28" s="7">
        <v>24</v>
      </c>
      <c r="N28" s="53">
        <v>37276.289542225502</v>
      </c>
      <c r="P28" s="101">
        <f t="shared" si="9"/>
        <v>6698.44</v>
      </c>
      <c r="Q28" s="101">
        <f t="shared" si="10"/>
        <v>16084.159999999996</v>
      </c>
      <c r="S28" s="101">
        <f t="shared" si="11"/>
        <v>11511.36</v>
      </c>
      <c r="U28" s="102">
        <f t="shared" si="12"/>
        <v>4777256</v>
      </c>
      <c r="V28" s="102">
        <f t="shared" si="13"/>
        <v>13563945</v>
      </c>
      <c r="W28" s="102">
        <f t="shared" si="14"/>
        <v>1152291</v>
      </c>
      <c r="X28" s="102">
        <f t="shared" si="15"/>
        <v>111429.55999999994</v>
      </c>
      <c r="Y28" s="51">
        <v>15</v>
      </c>
      <c r="Z28" s="96">
        <f t="shared" si="16"/>
        <v>3980.0250000000001</v>
      </c>
      <c r="AA28" s="96">
        <f t="shared" si="17"/>
        <v>3171.1499999999992</v>
      </c>
      <c r="AB28" s="96">
        <f t="shared" si="18"/>
        <v>923.78749999999991</v>
      </c>
      <c r="AC28" s="96">
        <f t="shared" si="19"/>
        <v>510.92999999999984</v>
      </c>
      <c r="AD28" s="96"/>
      <c r="AE28" s="96"/>
    </row>
    <row r="29" spans="1:31" x14ac:dyDescent="0.25">
      <c r="A29" s="7">
        <v>2024</v>
      </c>
      <c r="B29" s="97">
        <f t="shared" si="5"/>
        <v>50818.561926062343</v>
      </c>
      <c r="C29" s="20">
        <f t="shared" si="21"/>
        <v>71.422270508160011</v>
      </c>
      <c r="D29" s="30">
        <f t="shared" si="20"/>
        <v>362957.70767189056</v>
      </c>
      <c r="F29" s="7">
        <v>2024</v>
      </c>
      <c r="G29" s="97">
        <f t="shared" si="6"/>
        <v>9256.0716853757604</v>
      </c>
      <c r="H29" s="99">
        <f t="shared" si="22"/>
        <v>43.108356562927355</v>
      </c>
      <c r="I29" s="71">
        <f t="shared" si="7"/>
        <v>39901.403858519421</v>
      </c>
      <c r="J29" s="42">
        <f t="shared" si="8"/>
        <v>60074.633611438105</v>
      </c>
      <c r="L29" s="7">
        <v>2024</v>
      </c>
      <c r="M29" s="7">
        <v>25</v>
      </c>
      <c r="N29" s="53">
        <v>38533.116956762198</v>
      </c>
      <c r="P29" s="101">
        <f t="shared" si="9"/>
        <v>7280.7</v>
      </c>
      <c r="Q29" s="101">
        <f t="shared" si="10"/>
        <v>18241.75</v>
      </c>
      <c r="S29" s="101">
        <f t="shared" si="11"/>
        <v>12870.25</v>
      </c>
      <c r="U29" s="102">
        <f t="shared" si="12"/>
        <v>5197953</v>
      </c>
      <c r="V29" s="102">
        <f t="shared" si="13"/>
        <v>14153919</v>
      </c>
      <c r="W29" s="102">
        <f t="shared" si="14"/>
        <v>1202278</v>
      </c>
      <c r="X29" s="102">
        <f t="shared" si="15"/>
        <v>127858.99999999994</v>
      </c>
      <c r="Y29" s="51">
        <v>16</v>
      </c>
      <c r="Z29" s="96">
        <f t="shared" si="16"/>
        <v>4833.9799999999996</v>
      </c>
      <c r="AA29" s="96">
        <f t="shared" si="17"/>
        <v>3667.9679999999994</v>
      </c>
      <c r="AB29" s="96">
        <f t="shared" si="18"/>
        <v>1032.0675999999999</v>
      </c>
      <c r="AC29" s="96">
        <f t="shared" si="19"/>
        <v>561.66879999999992</v>
      </c>
      <c r="AD29" s="96"/>
      <c r="AE29" s="96"/>
    </row>
    <row r="30" spans="1:31" x14ac:dyDescent="0.25">
      <c r="A30" s="7">
        <v>2025</v>
      </c>
      <c r="B30" s="97">
        <f t="shared" si="5"/>
        <v>53471.290858602799</v>
      </c>
      <c r="C30" s="20">
        <f t="shared" si="21"/>
        <v>76.278984902714896</v>
      </c>
      <c r="D30" s="30">
        <f t="shared" si="20"/>
        <v>407873.57881320396</v>
      </c>
      <c r="F30" s="7">
        <v>2025</v>
      </c>
      <c r="G30" s="97">
        <f t="shared" si="6"/>
        <v>9739.2386273523753</v>
      </c>
      <c r="H30" s="99">
        <f t="shared" si="22"/>
        <v>44.621459878286103</v>
      </c>
      <c r="I30" s="71">
        <f t="shared" si="7"/>
        <v>43457.904565545825</v>
      </c>
      <c r="J30" s="42">
        <f t="shared" si="8"/>
        <v>63210.529485955172</v>
      </c>
      <c r="L30" s="7">
        <v>2025</v>
      </c>
      <c r="M30" s="7">
        <v>26</v>
      </c>
      <c r="N30" s="53">
        <v>39789.944371299003</v>
      </c>
      <c r="P30" s="101">
        <f t="shared" si="9"/>
        <v>7904.2199999999984</v>
      </c>
      <c r="Q30" s="101">
        <f t="shared" si="10"/>
        <v>20617.36</v>
      </c>
      <c r="S30" s="101">
        <f t="shared" si="11"/>
        <v>14337.36</v>
      </c>
      <c r="U30" s="102">
        <f t="shared" si="12"/>
        <v>5639102</v>
      </c>
      <c r="V30" s="102">
        <f t="shared" si="13"/>
        <v>14743893</v>
      </c>
      <c r="W30" s="102">
        <f t="shared" si="14"/>
        <v>1252265</v>
      </c>
      <c r="X30" s="102">
        <f t="shared" si="15"/>
        <v>145801.55999999994</v>
      </c>
      <c r="Y30" s="51">
        <v>17</v>
      </c>
      <c r="Z30" s="96">
        <f t="shared" si="16"/>
        <v>5777.744999999999</v>
      </c>
      <c r="AA30" s="96">
        <f t="shared" si="17"/>
        <v>4216.3819999999996</v>
      </c>
      <c r="AB30" s="96">
        <f t="shared" si="18"/>
        <v>1154.0618999999999</v>
      </c>
      <c r="AC30" s="96">
        <f t="shared" si="19"/>
        <v>620.71720000000005</v>
      </c>
      <c r="AD30" s="96"/>
      <c r="AE30" s="96"/>
    </row>
    <row r="31" spans="1:31" x14ac:dyDescent="0.25">
      <c r="A31" s="7">
        <v>2026</v>
      </c>
      <c r="B31" s="97">
        <f t="shared" si="5"/>
        <v>56262.49224142186</v>
      </c>
      <c r="C31" s="20">
        <f t="shared" si="21"/>
        <v>81.465955876099514</v>
      </c>
      <c r="D31" s="30">
        <f t="shared" si="20"/>
        <v>458347.77104190644</v>
      </c>
      <c r="F31" s="7">
        <v>2026</v>
      </c>
      <c r="G31" s="97">
        <f t="shared" si="6"/>
        <v>10247.626883700168</v>
      </c>
      <c r="H31" s="99">
        <f t="shared" si="22"/>
        <v>46.18767312001394</v>
      </c>
      <c r="I31" s="71">
        <f t="shared" si="7"/>
        <v>47331.404076021041</v>
      </c>
      <c r="J31" s="42">
        <f t="shared" si="8"/>
        <v>66510.11912512203</v>
      </c>
      <c r="L31" s="7">
        <v>2026</v>
      </c>
      <c r="M31" s="7">
        <v>27</v>
      </c>
      <c r="N31" s="53">
        <v>41046.771785835801</v>
      </c>
      <c r="P31" s="101">
        <f t="shared" si="9"/>
        <v>8568.9999999999964</v>
      </c>
      <c r="Q31" s="101">
        <f t="shared" si="10"/>
        <v>23210.990000000005</v>
      </c>
      <c r="S31" s="101">
        <f t="shared" si="11"/>
        <v>15912.690000000002</v>
      </c>
      <c r="U31" s="102">
        <f t="shared" si="12"/>
        <v>6100703</v>
      </c>
      <c r="V31" s="102">
        <f t="shared" si="13"/>
        <v>15333867</v>
      </c>
      <c r="W31" s="102">
        <f t="shared" si="14"/>
        <v>1302252</v>
      </c>
      <c r="X31" s="102">
        <f t="shared" si="15"/>
        <v>165257.24</v>
      </c>
      <c r="Y31" s="51">
        <v>18</v>
      </c>
      <c r="Z31" s="96">
        <f t="shared" si="16"/>
        <v>6811.32</v>
      </c>
      <c r="AA31" s="96">
        <f t="shared" si="17"/>
        <v>4816.3919999999998</v>
      </c>
      <c r="AB31" s="96">
        <f t="shared" si="18"/>
        <v>1289.7704000000001</v>
      </c>
      <c r="AC31" s="96">
        <f t="shared" si="19"/>
        <v>688.0752</v>
      </c>
      <c r="AD31" s="96"/>
      <c r="AE31" s="96"/>
    </row>
    <row r="32" spans="1:31" x14ac:dyDescent="0.25">
      <c r="A32" s="7">
        <v>2027</v>
      </c>
      <c r="B32" s="97">
        <f t="shared" si="5"/>
        <v>59199.394336424084</v>
      </c>
      <c r="C32" s="20">
        <f t="shared" si="21"/>
        <v>87.005640875674288</v>
      </c>
      <c r="D32" s="30">
        <f t="shared" si="20"/>
        <v>515068.12436923402</v>
      </c>
      <c r="F32" s="7">
        <v>2027</v>
      </c>
      <c r="G32" s="97">
        <f t="shared" si="6"/>
        <v>10782.553007029317</v>
      </c>
      <c r="H32" s="99">
        <f t="shared" si="22"/>
        <v>47.808860446526424</v>
      </c>
      <c r="I32" s="71">
        <f t="shared" si="7"/>
        <v>51550.157197033848</v>
      </c>
      <c r="J32" s="42">
        <f t="shared" si="8"/>
        <v>69981.947343453401</v>
      </c>
      <c r="L32" s="7">
        <v>2027</v>
      </c>
      <c r="M32" s="7">
        <v>28</v>
      </c>
      <c r="N32" s="53">
        <v>42303.599200372497</v>
      </c>
      <c r="P32" s="101">
        <f t="shared" si="9"/>
        <v>9275.0400000000009</v>
      </c>
      <c r="Q32" s="101">
        <f t="shared" si="10"/>
        <v>26022.640000000014</v>
      </c>
      <c r="S32" s="101">
        <f t="shared" si="11"/>
        <v>17596.239999999998</v>
      </c>
      <c r="U32" s="102">
        <f t="shared" si="12"/>
        <v>6582756</v>
      </c>
      <c r="V32" s="102">
        <f t="shared" si="13"/>
        <v>15923841</v>
      </c>
      <c r="W32" s="102">
        <f t="shared" si="14"/>
        <v>1352239</v>
      </c>
      <c r="X32" s="102">
        <f t="shared" si="15"/>
        <v>186226.03999999992</v>
      </c>
      <c r="Y32" s="51">
        <v>19</v>
      </c>
      <c r="Z32" s="96">
        <f t="shared" si="16"/>
        <v>7934.7049999999999</v>
      </c>
      <c r="AA32" s="96">
        <f t="shared" si="17"/>
        <v>5467.9979999999996</v>
      </c>
      <c r="AB32" s="96">
        <f t="shared" si="18"/>
        <v>1439.1931</v>
      </c>
      <c r="AC32" s="96">
        <f t="shared" si="19"/>
        <v>763.74279999999976</v>
      </c>
      <c r="AD32" s="96"/>
      <c r="AE32" s="96"/>
    </row>
    <row r="33" spans="1:31" x14ac:dyDescent="0.25">
      <c r="A33" s="7">
        <v>2028</v>
      </c>
      <c r="B33" s="97">
        <f t="shared" si="5"/>
        <v>62289.60272078542</v>
      </c>
      <c r="C33" s="20">
        <f t="shared" si="21"/>
        <v>92.922024455220139</v>
      </c>
      <c r="D33" s="30">
        <f t="shared" si="20"/>
        <v>578807.59873267694</v>
      </c>
      <c r="F33" s="7">
        <v>2028</v>
      </c>
      <c r="G33" s="97">
        <f t="shared" si="6"/>
        <v>11345.402273996249</v>
      </c>
      <c r="H33" s="99">
        <f t="shared" si="22"/>
        <v>49.486951448199498</v>
      </c>
      <c r="I33" s="71">
        <f t="shared" si="7"/>
        <v>56144.937149354453</v>
      </c>
      <c r="J33" s="42">
        <f t="shared" si="8"/>
        <v>73635.004994781673</v>
      </c>
      <c r="L33" s="7">
        <v>2028</v>
      </c>
      <c r="M33" s="7">
        <v>29</v>
      </c>
      <c r="N33" s="53">
        <v>43560.426614909302</v>
      </c>
      <c r="P33" s="101">
        <f t="shared" si="9"/>
        <v>10022.339999999997</v>
      </c>
      <c r="Q33" s="101">
        <f t="shared" si="10"/>
        <v>29052.309999999998</v>
      </c>
      <c r="S33" s="101">
        <f t="shared" si="11"/>
        <v>19388.010000000002</v>
      </c>
      <c r="U33" s="102">
        <f t="shared" si="12"/>
        <v>7085261</v>
      </c>
      <c r="V33" s="102">
        <f t="shared" si="13"/>
        <v>16513815</v>
      </c>
      <c r="W33" s="102">
        <f t="shared" si="14"/>
        <v>1402226</v>
      </c>
      <c r="X33" s="102">
        <f t="shared" si="15"/>
        <v>208707.95999999996</v>
      </c>
      <c r="Y33" s="51">
        <v>20</v>
      </c>
      <c r="Z33" s="96">
        <f t="shared" si="16"/>
        <v>9147.9</v>
      </c>
      <c r="AA33" s="96">
        <f t="shared" si="17"/>
        <v>6171.1999999999989</v>
      </c>
      <c r="AB33" s="96">
        <f t="shared" si="18"/>
        <v>1602.33</v>
      </c>
      <c r="AC33" s="96">
        <f t="shared" si="19"/>
        <v>847.7199999999998</v>
      </c>
      <c r="AD33" s="96"/>
      <c r="AE33" s="96"/>
    </row>
    <row r="34" spans="1:31" x14ac:dyDescent="0.25">
      <c r="A34" s="7">
        <v>2029</v>
      </c>
      <c r="B34" s="97">
        <f t="shared" si="5"/>
        <v>65541.119982810415</v>
      </c>
      <c r="C34" s="20">
        <f t="shared" si="21"/>
        <v>99.240722118175114</v>
      </c>
      <c r="D34" s="30">
        <f t="shared" si="20"/>
        <v>650434.80755280622</v>
      </c>
      <c r="F34" s="7">
        <v>2029</v>
      </c>
      <c r="G34" s="97">
        <f t="shared" si="6"/>
        <v>11937.632272698853</v>
      </c>
      <c r="H34" s="99">
        <f t="shared" si="22"/>
        <v>51.223943444031299</v>
      </c>
      <c r="I34" s="71">
        <f>(H34/10)*G34</f>
        <v>61149.260039236884</v>
      </c>
      <c r="J34" s="42">
        <f t="shared" si="8"/>
        <v>77478.752255509273</v>
      </c>
      <c r="L34" s="7">
        <v>2029</v>
      </c>
      <c r="M34" s="7">
        <v>30</v>
      </c>
      <c r="N34" s="53">
        <v>44817.254029445998</v>
      </c>
      <c r="P34" s="101">
        <f t="shared" si="9"/>
        <v>10810.899999999998</v>
      </c>
      <c r="Q34" s="101">
        <f t="shared" si="10"/>
        <v>32300</v>
      </c>
      <c r="S34" s="101">
        <f t="shared" si="11"/>
        <v>21288</v>
      </c>
      <c r="U34" s="102">
        <f t="shared" si="12"/>
        <v>7608218</v>
      </c>
      <c r="V34" s="102">
        <f t="shared" si="13"/>
        <v>17103789</v>
      </c>
      <c r="W34" s="102">
        <f t="shared" si="14"/>
        <v>1452213</v>
      </c>
      <c r="X34" s="102">
        <f t="shared" si="15"/>
        <v>232703</v>
      </c>
      <c r="Y34" s="51">
        <v>21</v>
      </c>
      <c r="Z34" s="96">
        <f t="shared" si="16"/>
        <v>10450.904999999999</v>
      </c>
      <c r="AA34" s="96">
        <f t="shared" si="17"/>
        <v>6925.9979999999996</v>
      </c>
      <c r="AB34" s="96">
        <f t="shared" si="18"/>
        <v>1779.1810999999998</v>
      </c>
      <c r="AC34" s="96">
        <f t="shared" si="19"/>
        <v>940.00679999999988</v>
      </c>
      <c r="AD34" s="96"/>
      <c r="AE34" s="96"/>
    </row>
    <row r="35" spans="1:31" x14ac:dyDescent="0.25">
      <c r="A35" s="7">
        <v>2030</v>
      </c>
      <c r="B35" s="97">
        <f>J35-G35</f>
        <v>68991.852707307349</v>
      </c>
      <c r="C35" s="37">
        <v>106</v>
      </c>
      <c r="D35" s="30">
        <f t="shared" si="20"/>
        <v>731313.63869745785</v>
      </c>
      <c r="F35" s="7">
        <v>2030</v>
      </c>
      <c r="G35" s="97">
        <f>J35*$K$36</f>
        <v>12566.147292692658</v>
      </c>
      <c r="H35" s="99">
        <f>C35/2</f>
        <v>53</v>
      </c>
      <c r="I35" s="42">
        <f>(H35/10)*G35</f>
        <v>66600.580651271084</v>
      </c>
      <c r="J35" s="41">
        <v>81558</v>
      </c>
      <c r="L35" s="7">
        <v>2030</v>
      </c>
      <c r="M35" s="7">
        <v>31</v>
      </c>
      <c r="N35" s="53">
        <v>46074.081443982803</v>
      </c>
      <c r="P35" s="101">
        <f t="shared" si="9"/>
        <v>11640.720000000001</v>
      </c>
      <c r="Q35" s="101">
        <f t="shared" si="10"/>
        <v>35765.709999999992</v>
      </c>
      <c r="S35" s="101">
        <f t="shared" si="11"/>
        <v>23296.21</v>
      </c>
      <c r="U35" s="102">
        <f t="shared" si="12"/>
        <v>8151627</v>
      </c>
      <c r="V35" s="102">
        <f>589974*M35-595431</f>
        <v>17693763</v>
      </c>
      <c r="W35" s="102">
        <f t="shared" si="14"/>
        <v>1502200</v>
      </c>
      <c r="X35" s="102">
        <f t="shared" si="15"/>
        <v>258211.15999999992</v>
      </c>
      <c r="Y35" s="51">
        <v>22</v>
      </c>
      <c r="Z35" s="96">
        <f t="shared" si="16"/>
        <v>11843.72</v>
      </c>
      <c r="AA35" s="96">
        <f t="shared" si="17"/>
        <v>7732.3919999999998</v>
      </c>
      <c r="AB35" s="96">
        <f t="shared" si="18"/>
        <v>1969.7464</v>
      </c>
      <c r="AC35" s="96">
        <f t="shared" si="19"/>
        <v>1040.6031999999998</v>
      </c>
      <c r="AD35" s="96"/>
      <c r="AE35" s="96"/>
    </row>
    <row r="36" spans="1:31" x14ac:dyDescent="0.25">
      <c r="D36" s="19"/>
      <c r="I36" s="19"/>
      <c r="J36" s="19">
        <f>(J35/J20)^(1/15)-1</f>
        <v>5.2229986650157656E-2</v>
      </c>
      <c r="K36" s="43">
        <f>AVERAGE(K5:K20)</f>
        <v>0.15407620702681107</v>
      </c>
      <c r="N36" s="19">
        <f>(N26/N19)^(1/7)-1</f>
        <v>4.123611001521521E-2</v>
      </c>
      <c r="P36" s="19">
        <f>(P26/P19)^(1/7)-1</f>
        <v>9.1719181199078958E-2</v>
      </c>
      <c r="AC36" s="42"/>
      <c r="AE36" s="42"/>
    </row>
    <row r="37" spans="1:31" x14ac:dyDescent="0.25">
      <c r="C37" s="19">
        <f>(C35/C26)^(1/9)-1</f>
        <v>6.8012213040708147E-2</v>
      </c>
      <c r="D37" s="19">
        <f>(C26/C21)^(1/5)-1</f>
        <v>2.7753158877719564E-2</v>
      </c>
      <c r="I37" s="19">
        <f>(H26/H21)^(1/5)-1</f>
        <v>3.6764141572192655E-2</v>
      </c>
      <c r="J37" s="19"/>
      <c r="AC37" s="42"/>
      <c r="AE37" s="42"/>
    </row>
    <row r="38" spans="1:31" x14ac:dyDescent="0.25">
      <c r="I38" s="19">
        <f>(H35/H26)^(1/9)-1</f>
        <v>3.5052479077095411E-2</v>
      </c>
      <c r="J38" s="19"/>
      <c r="AC38" s="42"/>
      <c r="AE38" s="42"/>
    </row>
  </sheetData>
  <mergeCells count="4">
    <mergeCell ref="A3:D3"/>
    <mergeCell ref="F3:I3"/>
    <mergeCell ref="N3:X3"/>
    <mergeCell ref="Z3:AE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6"/>
  <sheetViews>
    <sheetView zoomScale="85" zoomScaleNormal="85" workbookViewId="0">
      <pane xSplit="1" ySplit="4" topLeftCell="B20" activePane="bottomRight" state="frozen"/>
      <selection pane="topRight" activeCell="B1" sqref="B1"/>
      <selection pane="bottomLeft" activeCell="A5" sqref="A5"/>
      <selection pane="bottomRight" activeCell="J36" sqref="J36"/>
    </sheetView>
  </sheetViews>
  <sheetFormatPr defaultRowHeight="15" x14ac:dyDescent="0.25"/>
  <cols>
    <col min="2" max="2" width="15" bestFit="1" customWidth="1"/>
    <col min="3" max="3" width="16.140625" bestFit="1" customWidth="1"/>
    <col min="4" max="4" width="14" bestFit="1" customWidth="1"/>
    <col min="5" max="5" width="10.5703125" bestFit="1" customWidth="1"/>
    <col min="7" max="7" width="15" bestFit="1" customWidth="1"/>
    <col min="8" max="8" width="16.140625" bestFit="1" customWidth="1"/>
    <col min="9" max="9" width="14" bestFit="1" customWidth="1"/>
    <col min="10" max="10" width="21.7109375" bestFit="1" customWidth="1"/>
    <col min="14" max="14" width="10.5703125" bestFit="1" customWidth="1"/>
    <col min="16" max="16" width="9.5703125" bestFit="1" customWidth="1"/>
    <col min="17" max="17" width="10.5703125" bestFit="1" customWidth="1"/>
    <col min="19" max="19" width="10.5703125" bestFit="1" customWidth="1"/>
    <col min="21" max="21" width="16.42578125" customWidth="1"/>
    <col min="22" max="22" width="18.28515625" bestFit="1" customWidth="1"/>
    <col min="23" max="23" width="16.5703125" bestFit="1" customWidth="1"/>
    <col min="24" max="24" width="10.5703125" bestFit="1" customWidth="1"/>
    <col min="25" max="25" width="4.5703125" bestFit="1" customWidth="1"/>
    <col min="29" max="29" width="12.85546875" customWidth="1"/>
    <col min="31" max="31" width="12.140625" bestFit="1" customWidth="1"/>
  </cols>
  <sheetData>
    <row r="1" spans="1:31" x14ac:dyDescent="0.25">
      <c r="A1" s="6" t="s">
        <v>8</v>
      </c>
      <c r="B1" s="6"/>
      <c r="C1" s="6"/>
      <c r="D1" s="6"/>
      <c r="E1" s="6"/>
      <c r="F1" s="6"/>
      <c r="G1" s="6"/>
      <c r="H1" s="6"/>
      <c r="I1" s="6"/>
      <c r="J1" s="6"/>
    </row>
    <row r="2" spans="1:31" x14ac:dyDescent="0.25">
      <c r="A2" s="6"/>
      <c r="B2" s="6"/>
      <c r="C2" s="6"/>
      <c r="D2" s="6"/>
      <c r="E2" s="6"/>
      <c r="F2" s="6"/>
      <c r="G2" s="6"/>
      <c r="H2" s="6"/>
      <c r="I2" s="6"/>
      <c r="J2" s="6"/>
    </row>
    <row r="3" spans="1:31" x14ac:dyDescent="0.25">
      <c r="A3" s="119" t="s">
        <v>2</v>
      </c>
      <c r="B3" s="119"/>
      <c r="C3" s="119"/>
      <c r="D3" s="119"/>
      <c r="E3" s="6"/>
      <c r="F3" s="119" t="s">
        <v>5</v>
      </c>
      <c r="G3" s="119"/>
      <c r="H3" s="119"/>
      <c r="I3" s="119"/>
      <c r="J3" s="39" t="s">
        <v>29</v>
      </c>
      <c r="N3" s="120" t="s">
        <v>26</v>
      </c>
      <c r="O3" s="120"/>
      <c r="P3" s="120"/>
      <c r="Q3" s="120"/>
      <c r="R3" s="120"/>
      <c r="S3" s="120"/>
      <c r="T3" s="120"/>
      <c r="U3" s="120"/>
      <c r="V3" s="120"/>
      <c r="W3" s="120"/>
      <c r="X3" s="120"/>
      <c r="Z3" s="120" t="s">
        <v>34</v>
      </c>
      <c r="AA3" s="120"/>
      <c r="AB3" s="120"/>
      <c r="AC3" s="120"/>
      <c r="AD3" s="120"/>
      <c r="AE3" s="120"/>
    </row>
    <row r="4" spans="1:31" x14ac:dyDescent="0.25">
      <c r="A4" s="6"/>
      <c r="B4" s="4" t="s">
        <v>4</v>
      </c>
      <c r="C4" s="1" t="s">
        <v>0</v>
      </c>
      <c r="D4" s="1" t="s">
        <v>1</v>
      </c>
      <c r="E4" s="6"/>
      <c r="F4" s="6"/>
      <c r="G4" s="4" t="s">
        <v>4</v>
      </c>
      <c r="H4" s="1" t="s">
        <v>0</v>
      </c>
      <c r="I4" s="1" t="s">
        <v>1</v>
      </c>
      <c r="J4" s="40" t="s">
        <v>30</v>
      </c>
      <c r="N4" s="4" t="s">
        <v>15</v>
      </c>
      <c r="O4" s="4" t="s">
        <v>16</v>
      </c>
      <c r="P4" s="4" t="s">
        <v>17</v>
      </c>
      <c r="Q4" s="4" t="s">
        <v>18</v>
      </c>
      <c r="R4" s="4" t="s">
        <v>19</v>
      </c>
      <c r="S4" s="4" t="s">
        <v>20</v>
      </c>
      <c r="T4" s="4" t="s">
        <v>21</v>
      </c>
      <c r="U4" s="4" t="s">
        <v>22</v>
      </c>
      <c r="V4" s="4" t="s">
        <v>23</v>
      </c>
      <c r="W4" s="4" t="s">
        <v>24</v>
      </c>
      <c r="X4" s="4" t="s">
        <v>25</v>
      </c>
      <c r="Z4" s="4" t="s">
        <v>35</v>
      </c>
      <c r="AA4" s="4" t="s">
        <v>36</v>
      </c>
      <c r="AB4" s="4" t="s">
        <v>37</v>
      </c>
      <c r="AC4" s="4" t="s">
        <v>38</v>
      </c>
      <c r="AD4" s="4" t="s">
        <v>39</v>
      </c>
      <c r="AE4" s="4" t="s">
        <v>40</v>
      </c>
    </row>
    <row r="5" spans="1:31" x14ac:dyDescent="0.25">
      <c r="A5" s="7">
        <v>2000</v>
      </c>
      <c r="B5" s="2">
        <v>0</v>
      </c>
      <c r="C5" s="15" t="e">
        <f>(D5*10)/B5</f>
        <v>#DIV/0!</v>
      </c>
      <c r="D5" s="2">
        <v>0</v>
      </c>
      <c r="F5" s="7">
        <v>2000</v>
      </c>
      <c r="G5" s="2">
        <v>0</v>
      </c>
      <c r="H5" s="15" t="e">
        <f>(I5*10)/G5</f>
        <v>#DIV/0!</v>
      </c>
      <c r="I5" s="2">
        <v>0</v>
      </c>
      <c r="J5" s="2"/>
      <c r="L5" s="7">
        <v>2000</v>
      </c>
      <c r="M5" s="7">
        <v>1</v>
      </c>
      <c r="N5" s="5">
        <v>8752</v>
      </c>
      <c r="O5" s="2">
        <v>0</v>
      </c>
      <c r="P5" s="5">
        <v>88</v>
      </c>
      <c r="Q5" s="5">
        <v>2593</v>
      </c>
      <c r="R5" s="5">
        <v>129</v>
      </c>
      <c r="S5" s="5">
        <v>4199</v>
      </c>
      <c r="T5" s="5"/>
      <c r="U5" s="5">
        <v>132400</v>
      </c>
      <c r="V5" s="5">
        <v>82700</v>
      </c>
      <c r="W5" s="5">
        <v>100</v>
      </c>
      <c r="X5" s="5">
        <v>6800</v>
      </c>
    </row>
    <row r="6" spans="1:31" x14ac:dyDescent="0.25">
      <c r="A6" s="7">
        <v>2001</v>
      </c>
      <c r="B6" s="2">
        <v>2140</v>
      </c>
      <c r="C6" s="15">
        <f t="shared" ref="C6:C20" si="0">(D6*10)/B6</f>
        <v>33.107476635514018</v>
      </c>
      <c r="D6" s="2">
        <v>7085</v>
      </c>
      <c r="E6" s="17">
        <f>D6/(D6+I6)</f>
        <v>0.61283625983911427</v>
      </c>
      <c r="F6" s="7">
        <v>2001</v>
      </c>
      <c r="G6" s="2">
        <v>2021</v>
      </c>
      <c r="H6" s="15">
        <f t="shared" ref="H6:H20" si="1">(I6*10)/G6</f>
        <v>22.147451756556162</v>
      </c>
      <c r="I6" s="2">
        <v>4476</v>
      </c>
      <c r="J6" s="2">
        <f>B6+G6</f>
        <v>4161</v>
      </c>
      <c r="K6" s="17">
        <f>G6/J6</f>
        <v>0.48570055275174234</v>
      </c>
      <c r="L6" s="7">
        <v>2001</v>
      </c>
      <c r="M6" s="7">
        <v>2</v>
      </c>
      <c r="N6" s="5">
        <v>7629</v>
      </c>
      <c r="O6" s="2">
        <v>0</v>
      </c>
      <c r="P6" s="5">
        <v>198</v>
      </c>
      <c r="Q6" s="5">
        <v>3730</v>
      </c>
      <c r="R6" s="5">
        <v>17</v>
      </c>
      <c r="S6" s="5">
        <v>2280</v>
      </c>
      <c r="T6" s="2">
        <v>0</v>
      </c>
      <c r="U6" s="5">
        <v>149500</v>
      </c>
      <c r="V6" s="5">
        <v>129000</v>
      </c>
      <c r="W6" s="5">
        <v>13100</v>
      </c>
      <c r="X6" s="5">
        <v>10600</v>
      </c>
    </row>
    <row r="7" spans="1:31" x14ac:dyDescent="0.25">
      <c r="A7" s="7">
        <v>2002</v>
      </c>
      <c r="B7" s="2">
        <v>2501</v>
      </c>
      <c r="C7" s="15">
        <f t="shared" si="0"/>
        <v>31.955217912834865</v>
      </c>
      <c r="D7" s="2">
        <v>7992</v>
      </c>
      <c r="E7" s="17">
        <f>D7/(D7+I7)</f>
        <v>0.26125330979699912</v>
      </c>
      <c r="F7" s="7">
        <v>2002</v>
      </c>
      <c r="G7" s="2">
        <v>10212</v>
      </c>
      <c r="H7" s="15">
        <f t="shared" si="1"/>
        <v>22.12984723854289</v>
      </c>
      <c r="I7" s="2">
        <v>22599</v>
      </c>
      <c r="J7" s="2">
        <f t="shared" ref="J7:J20" si="2">B7+G7</f>
        <v>12713</v>
      </c>
      <c r="K7" s="17">
        <f t="shared" ref="K7:K20" si="3">G7/J7</f>
        <v>0.80327224101313621</v>
      </c>
      <c r="L7" s="7">
        <v>2002</v>
      </c>
      <c r="M7" s="7">
        <v>3</v>
      </c>
      <c r="N7" s="5">
        <v>8731</v>
      </c>
      <c r="O7" s="2">
        <v>0</v>
      </c>
      <c r="P7" s="5">
        <v>352</v>
      </c>
      <c r="Q7" s="5">
        <v>4725</v>
      </c>
      <c r="R7" s="5">
        <v>18</v>
      </c>
      <c r="S7" s="5">
        <v>2945</v>
      </c>
      <c r="T7" s="2">
        <v>0</v>
      </c>
      <c r="U7" s="5">
        <v>155200</v>
      </c>
      <c r="V7" s="5">
        <v>21900</v>
      </c>
      <c r="W7" s="5">
        <v>13300</v>
      </c>
      <c r="X7" s="5">
        <v>146400</v>
      </c>
    </row>
    <row r="8" spans="1:31" x14ac:dyDescent="0.25">
      <c r="A8" s="7">
        <v>2003</v>
      </c>
      <c r="B8" s="2">
        <v>4487</v>
      </c>
      <c r="C8" s="15">
        <f t="shared" si="0"/>
        <v>32.863828838867839</v>
      </c>
      <c r="D8" s="2">
        <v>14746</v>
      </c>
      <c r="E8" s="17">
        <f>D8/(D8+I8)</f>
        <v>0.65686667557574951</v>
      </c>
      <c r="F8" s="7">
        <v>2003</v>
      </c>
      <c r="G8" s="2">
        <v>3455</v>
      </c>
      <c r="H8" s="15">
        <f t="shared" si="1"/>
        <v>22.295224312590449</v>
      </c>
      <c r="I8" s="2">
        <v>7703</v>
      </c>
      <c r="J8" s="2">
        <f t="shared" si="2"/>
        <v>7942</v>
      </c>
      <c r="K8" s="17">
        <f t="shared" si="3"/>
        <v>0.43502895995970786</v>
      </c>
      <c r="L8" s="7">
        <v>2003</v>
      </c>
      <c r="M8" s="7">
        <v>4</v>
      </c>
      <c r="N8" s="5">
        <v>12628</v>
      </c>
      <c r="O8" s="2">
        <v>0</v>
      </c>
      <c r="P8" s="5">
        <v>1022</v>
      </c>
      <c r="Q8" s="5">
        <v>4918</v>
      </c>
      <c r="R8" s="5">
        <v>22</v>
      </c>
      <c r="S8" s="5">
        <v>3284</v>
      </c>
      <c r="T8" s="2">
        <v>0</v>
      </c>
      <c r="U8" s="5">
        <v>206400</v>
      </c>
      <c r="V8" s="5">
        <v>200000</v>
      </c>
      <c r="W8" s="5">
        <v>5000</v>
      </c>
      <c r="X8" s="5">
        <v>146900</v>
      </c>
    </row>
    <row r="9" spans="1:31" x14ac:dyDescent="0.25">
      <c r="A9" s="7">
        <v>2004</v>
      </c>
      <c r="B9" s="2">
        <v>3586</v>
      </c>
      <c r="C9" s="15">
        <f t="shared" si="0"/>
        <v>39.963747908533186</v>
      </c>
      <c r="D9" s="2">
        <v>14331</v>
      </c>
      <c r="E9" s="17">
        <f t="shared" ref="E9:E19" si="4">D9/(D9+I9)</f>
        <v>0.35560794044665012</v>
      </c>
      <c r="F9" s="7">
        <v>2004</v>
      </c>
      <c r="G9" s="2">
        <v>11501</v>
      </c>
      <c r="H9" s="15">
        <f t="shared" si="1"/>
        <v>22.579775671680725</v>
      </c>
      <c r="I9" s="2">
        <v>25969</v>
      </c>
      <c r="J9" s="2">
        <f t="shared" si="2"/>
        <v>15087</v>
      </c>
      <c r="K9" s="17">
        <f t="shared" si="3"/>
        <v>0.76231192417312921</v>
      </c>
      <c r="L9" s="7">
        <v>2004</v>
      </c>
      <c r="M9" s="7">
        <v>5</v>
      </c>
      <c r="N9" s="5">
        <v>13721</v>
      </c>
      <c r="O9" s="2">
        <v>0</v>
      </c>
      <c r="P9" s="5">
        <v>481</v>
      </c>
      <c r="Q9" s="5">
        <v>5562</v>
      </c>
      <c r="R9" s="5">
        <v>39</v>
      </c>
      <c r="S9" s="5">
        <v>4322</v>
      </c>
      <c r="T9" s="5">
        <v>4</v>
      </c>
      <c r="U9" s="3">
        <v>208400</v>
      </c>
      <c r="V9" s="3">
        <v>205000</v>
      </c>
      <c r="W9" s="3">
        <v>25000</v>
      </c>
      <c r="X9" s="3">
        <v>40000</v>
      </c>
    </row>
    <row r="10" spans="1:31" x14ac:dyDescent="0.25">
      <c r="A10" s="7">
        <v>2005</v>
      </c>
      <c r="B10" s="2">
        <v>3304</v>
      </c>
      <c r="C10" s="15">
        <f t="shared" si="0"/>
        <v>39.573244552058114</v>
      </c>
      <c r="D10" s="2">
        <v>13075</v>
      </c>
      <c r="E10" s="17">
        <f t="shared" si="4"/>
        <v>0.31787902363123605</v>
      </c>
      <c r="F10" s="7">
        <v>2005</v>
      </c>
      <c r="G10" s="2">
        <v>12411</v>
      </c>
      <c r="H10" s="15">
        <f t="shared" si="1"/>
        <v>22.606558697929255</v>
      </c>
      <c r="I10" s="2">
        <v>28057</v>
      </c>
      <c r="J10" s="2">
        <f t="shared" si="2"/>
        <v>15715</v>
      </c>
      <c r="K10" s="17">
        <f t="shared" si="3"/>
        <v>0.78975501113585744</v>
      </c>
      <c r="L10" s="7">
        <v>2005</v>
      </c>
      <c r="M10" s="7">
        <v>6</v>
      </c>
      <c r="N10" s="2">
        <v>15780</v>
      </c>
      <c r="O10" s="2">
        <v>0</v>
      </c>
      <c r="P10" s="2">
        <v>529</v>
      </c>
      <c r="Q10" s="2">
        <v>6398</v>
      </c>
      <c r="R10" s="2">
        <v>44</v>
      </c>
      <c r="S10" s="2">
        <v>4573</v>
      </c>
      <c r="T10" s="2">
        <v>4</v>
      </c>
      <c r="U10" s="2">
        <v>218700</v>
      </c>
      <c r="V10" s="2">
        <v>205000</v>
      </c>
      <c r="W10" s="2">
        <v>25000</v>
      </c>
      <c r="X10" s="2">
        <v>6200</v>
      </c>
    </row>
    <row r="11" spans="1:31" x14ac:dyDescent="0.25">
      <c r="A11" s="7">
        <v>2006</v>
      </c>
      <c r="B11" s="2">
        <v>3226</v>
      </c>
      <c r="C11" s="15">
        <f t="shared" si="0"/>
        <v>40.142591444513329</v>
      </c>
      <c r="D11" s="2">
        <v>12950</v>
      </c>
      <c r="E11" s="17">
        <f t="shared" si="4"/>
        <v>0.28552530040789331</v>
      </c>
      <c r="F11" s="7">
        <v>2006</v>
      </c>
      <c r="G11" s="2">
        <v>13688</v>
      </c>
      <c r="H11" s="15">
        <f t="shared" si="1"/>
        <v>23.674021040327293</v>
      </c>
      <c r="I11" s="2">
        <v>32405</v>
      </c>
      <c r="J11" s="2">
        <f t="shared" si="2"/>
        <v>16914</v>
      </c>
      <c r="K11" s="17">
        <f t="shared" si="3"/>
        <v>0.80927042686531869</v>
      </c>
      <c r="L11" s="7">
        <v>2006</v>
      </c>
      <c r="M11" s="7">
        <v>7</v>
      </c>
      <c r="N11" s="2">
        <v>18248</v>
      </c>
      <c r="O11" s="2">
        <v>0</v>
      </c>
      <c r="P11" s="2">
        <v>535</v>
      </c>
      <c r="Q11" s="2">
        <v>6212</v>
      </c>
      <c r="R11" s="2">
        <v>59</v>
      </c>
      <c r="S11" s="2">
        <v>3523</v>
      </c>
      <c r="T11" s="2">
        <v>6</v>
      </c>
      <c r="U11" s="2">
        <v>349200</v>
      </c>
      <c r="V11" s="2">
        <v>205000</v>
      </c>
      <c r="W11" s="2">
        <v>25000</v>
      </c>
      <c r="X11" s="2">
        <v>8900</v>
      </c>
    </row>
    <row r="12" spans="1:31" x14ac:dyDescent="0.25">
      <c r="A12" s="7">
        <v>2007</v>
      </c>
      <c r="B12" s="2">
        <v>2225</v>
      </c>
      <c r="C12" s="15">
        <f t="shared" si="0"/>
        <v>39.703370786516857</v>
      </c>
      <c r="D12" s="2">
        <v>8834</v>
      </c>
      <c r="E12" s="17">
        <f t="shared" si="4"/>
        <v>0.21372753006072628</v>
      </c>
      <c r="F12" s="7">
        <v>2007</v>
      </c>
      <c r="G12" s="2">
        <v>13436</v>
      </c>
      <c r="H12" s="15">
        <f t="shared" si="1"/>
        <v>24.18800238166121</v>
      </c>
      <c r="I12" s="2">
        <v>32499</v>
      </c>
      <c r="J12" s="2">
        <f t="shared" si="2"/>
        <v>15661</v>
      </c>
      <c r="K12" s="17">
        <f t="shared" si="3"/>
        <v>0.85792733541919419</v>
      </c>
      <c r="L12" s="7">
        <v>2007</v>
      </c>
      <c r="M12" s="7">
        <v>8</v>
      </c>
      <c r="N12" s="2">
        <v>18336</v>
      </c>
      <c r="O12" s="2">
        <v>0</v>
      </c>
      <c r="P12" s="2">
        <v>541</v>
      </c>
      <c r="Q12" s="2">
        <v>8743</v>
      </c>
      <c r="R12" s="2">
        <v>0</v>
      </c>
      <c r="S12" s="2">
        <v>4933</v>
      </c>
      <c r="T12" s="2">
        <v>0</v>
      </c>
      <c r="U12" s="2">
        <v>340500</v>
      </c>
      <c r="V12" s="2">
        <v>234800</v>
      </c>
      <c r="W12" s="2">
        <v>33900</v>
      </c>
      <c r="X12" s="2">
        <v>9500</v>
      </c>
    </row>
    <row r="13" spans="1:31" x14ac:dyDescent="0.25">
      <c r="A13" s="7">
        <v>2008</v>
      </c>
      <c r="B13" s="2">
        <v>5177</v>
      </c>
      <c r="C13" s="15">
        <f t="shared" si="0"/>
        <v>36.479999999999997</v>
      </c>
      <c r="D13" s="2">
        <v>18885.696</v>
      </c>
      <c r="E13" s="17">
        <f t="shared" si="4"/>
        <v>0.49288425077151748</v>
      </c>
      <c r="F13" s="7">
        <v>2008</v>
      </c>
      <c r="G13" s="2">
        <v>9463</v>
      </c>
      <c r="H13" s="15">
        <f t="shared" si="1"/>
        <v>20.533657402515058</v>
      </c>
      <c r="I13" s="2">
        <v>19431</v>
      </c>
      <c r="J13" s="2">
        <f t="shared" si="2"/>
        <v>14640</v>
      </c>
      <c r="K13" s="17">
        <f t="shared" si="3"/>
        <v>0.64637978142076502</v>
      </c>
      <c r="L13" s="7">
        <v>2008</v>
      </c>
      <c r="M13" s="7">
        <v>9</v>
      </c>
      <c r="N13" s="2">
        <v>18678</v>
      </c>
      <c r="O13" s="2">
        <v>0</v>
      </c>
      <c r="P13" s="2">
        <v>727</v>
      </c>
      <c r="Q13" s="2">
        <v>6578</v>
      </c>
      <c r="R13" s="2">
        <v>0</v>
      </c>
      <c r="S13" s="2">
        <v>4930</v>
      </c>
      <c r="T13" s="2">
        <v>0</v>
      </c>
      <c r="U13" s="2">
        <v>282911</v>
      </c>
      <c r="V13" s="2">
        <v>2205948</v>
      </c>
      <c r="W13" s="2">
        <v>24530</v>
      </c>
      <c r="X13" s="2">
        <v>13108</v>
      </c>
    </row>
    <row r="14" spans="1:31" x14ac:dyDescent="0.25">
      <c r="A14" s="7">
        <v>2009</v>
      </c>
      <c r="B14" s="2">
        <v>3999</v>
      </c>
      <c r="C14" s="15">
        <f t="shared" si="0"/>
        <v>37.14678669667417</v>
      </c>
      <c r="D14" s="2">
        <v>14855</v>
      </c>
      <c r="E14" s="17">
        <f t="shared" si="4"/>
        <v>0.47301385129756407</v>
      </c>
      <c r="F14" s="7">
        <v>2009</v>
      </c>
      <c r="G14" s="2">
        <v>7996</v>
      </c>
      <c r="H14" s="15">
        <f t="shared" si="1"/>
        <v>20.697848924462232</v>
      </c>
      <c r="I14" s="2">
        <v>16550</v>
      </c>
      <c r="J14" s="2">
        <f t="shared" si="2"/>
        <v>11995</v>
      </c>
      <c r="K14" s="17">
        <f t="shared" si="3"/>
        <v>0.66661108795331392</v>
      </c>
      <c r="L14" s="7">
        <v>2009</v>
      </c>
      <c r="M14" s="7">
        <v>10</v>
      </c>
      <c r="N14" s="2">
        <v>16676</v>
      </c>
      <c r="O14" s="2">
        <v>0</v>
      </c>
      <c r="P14" s="2">
        <v>873</v>
      </c>
      <c r="Q14" s="2">
        <v>6634</v>
      </c>
      <c r="R14" s="2">
        <v>0</v>
      </c>
      <c r="S14" s="2">
        <v>5228</v>
      </c>
      <c r="T14" s="2">
        <v>0</v>
      </c>
      <c r="U14" s="2">
        <v>544195</v>
      </c>
      <c r="V14" s="2">
        <v>324117</v>
      </c>
      <c r="W14" s="2">
        <v>0</v>
      </c>
      <c r="X14" s="2">
        <v>10453</v>
      </c>
      <c r="Y14" s="2">
        <v>1</v>
      </c>
      <c r="Z14" s="2">
        <v>590</v>
      </c>
      <c r="AA14" s="2">
        <v>492</v>
      </c>
      <c r="AB14" s="2">
        <v>356</v>
      </c>
      <c r="AC14" s="2">
        <v>319</v>
      </c>
      <c r="AD14" s="2">
        <v>512</v>
      </c>
      <c r="AE14" s="2">
        <v>152</v>
      </c>
    </row>
    <row r="15" spans="1:31" x14ac:dyDescent="0.25">
      <c r="A15" s="7">
        <v>2010</v>
      </c>
      <c r="B15" s="2">
        <v>3963</v>
      </c>
      <c r="C15" s="15">
        <f t="shared" si="0"/>
        <v>41.188493565480698</v>
      </c>
      <c r="D15" s="2">
        <v>16323</v>
      </c>
      <c r="E15" s="17">
        <f t="shared" si="4"/>
        <v>0.5561688643565369</v>
      </c>
      <c r="F15" s="7">
        <v>2010</v>
      </c>
      <c r="G15" s="2">
        <v>5352</v>
      </c>
      <c r="H15" s="15">
        <f t="shared" si="1"/>
        <v>24.338565022421523</v>
      </c>
      <c r="I15" s="2">
        <v>13026</v>
      </c>
      <c r="J15" s="2">
        <f t="shared" si="2"/>
        <v>9315</v>
      </c>
      <c r="K15" s="17">
        <f t="shared" si="3"/>
        <v>0.57455716586151373</v>
      </c>
      <c r="L15" s="7">
        <v>2010</v>
      </c>
      <c r="M15" s="7">
        <v>11</v>
      </c>
      <c r="N15" s="9">
        <v>18312</v>
      </c>
      <c r="O15" s="9">
        <v>2</v>
      </c>
      <c r="P15" s="9">
        <v>864</v>
      </c>
      <c r="Q15" s="9">
        <v>8196</v>
      </c>
      <c r="R15" s="2">
        <v>0</v>
      </c>
      <c r="S15" s="9">
        <v>6366</v>
      </c>
      <c r="T15" s="2">
        <v>0</v>
      </c>
      <c r="U15" s="10">
        <v>642150</v>
      </c>
      <c r="V15" s="10">
        <v>408393</v>
      </c>
      <c r="W15" s="10">
        <v>0</v>
      </c>
      <c r="X15" s="10">
        <v>21103</v>
      </c>
      <c r="Y15" s="10">
        <v>2</v>
      </c>
      <c r="Z15" s="10">
        <v>768</v>
      </c>
      <c r="AA15" s="10">
        <v>310</v>
      </c>
      <c r="AB15" s="10">
        <v>186</v>
      </c>
      <c r="AC15" s="10">
        <v>258</v>
      </c>
      <c r="AD15" s="10">
        <v>374</v>
      </c>
      <c r="AE15" s="10">
        <v>108</v>
      </c>
    </row>
    <row r="16" spans="1:31" x14ac:dyDescent="0.25">
      <c r="A16" s="7">
        <v>2011</v>
      </c>
      <c r="B16" s="2">
        <v>4819</v>
      </c>
      <c r="C16" s="15">
        <f t="shared" si="0"/>
        <v>41.199418966590578</v>
      </c>
      <c r="D16" s="2">
        <v>19854</v>
      </c>
      <c r="E16" s="17">
        <f t="shared" si="4"/>
        <v>0.59050621616798527</v>
      </c>
      <c r="F16" s="7">
        <v>2011</v>
      </c>
      <c r="G16" s="2">
        <v>5650</v>
      </c>
      <c r="H16" s="15">
        <f t="shared" si="1"/>
        <v>24.368141592920352</v>
      </c>
      <c r="I16" s="2">
        <v>13768</v>
      </c>
      <c r="J16" s="2">
        <f t="shared" si="2"/>
        <v>10469</v>
      </c>
      <c r="K16" s="17">
        <f t="shared" si="3"/>
        <v>0.53968860445123701</v>
      </c>
      <c r="L16" s="7">
        <v>2011</v>
      </c>
      <c r="M16" s="7">
        <v>12</v>
      </c>
      <c r="N16" s="9">
        <v>15022</v>
      </c>
      <c r="O16" s="9">
        <v>5</v>
      </c>
      <c r="P16" s="9">
        <v>787</v>
      </c>
      <c r="Q16" s="9">
        <v>6977</v>
      </c>
      <c r="R16" s="2">
        <v>0</v>
      </c>
      <c r="S16" s="9">
        <v>5800</v>
      </c>
      <c r="T16" s="2">
        <v>0</v>
      </c>
      <c r="U16" s="10">
        <v>557800</v>
      </c>
      <c r="V16" s="10">
        <v>1821500</v>
      </c>
      <c r="W16" s="10">
        <v>15000</v>
      </c>
      <c r="X16" s="10">
        <v>11213</v>
      </c>
      <c r="Y16" s="10">
        <v>3</v>
      </c>
      <c r="Z16" s="10">
        <v>538</v>
      </c>
      <c r="AA16" s="10">
        <v>299</v>
      </c>
      <c r="AB16" s="10">
        <v>191</v>
      </c>
      <c r="AC16">
        <v>200</v>
      </c>
      <c r="AD16">
        <v>257</v>
      </c>
      <c r="AE16">
        <v>67</v>
      </c>
    </row>
    <row r="17" spans="1:31" x14ac:dyDescent="0.25">
      <c r="A17" s="7">
        <v>2012</v>
      </c>
      <c r="B17" s="2">
        <v>5069</v>
      </c>
      <c r="C17" s="15">
        <f t="shared" si="0"/>
        <v>41.696587098046955</v>
      </c>
      <c r="D17" s="2">
        <v>21136</v>
      </c>
      <c r="E17" s="17">
        <f t="shared" si="4"/>
        <v>0.58740481351786999</v>
      </c>
      <c r="F17" s="7">
        <v>2012</v>
      </c>
      <c r="G17" s="2">
        <v>5910</v>
      </c>
      <c r="H17" s="15">
        <f t="shared" si="1"/>
        <v>25.120135363790187</v>
      </c>
      <c r="I17" s="2">
        <v>14846</v>
      </c>
      <c r="J17" s="2">
        <f t="shared" si="2"/>
        <v>10979</v>
      </c>
      <c r="K17" s="17">
        <f t="shared" si="3"/>
        <v>0.53830039165679933</v>
      </c>
      <c r="L17" s="7">
        <v>2012</v>
      </c>
      <c r="M17" s="7">
        <v>13</v>
      </c>
      <c r="N17" s="9">
        <v>15983</v>
      </c>
      <c r="O17" s="9">
        <v>12</v>
      </c>
      <c r="P17" s="9">
        <v>779</v>
      </c>
      <c r="Q17" s="9">
        <v>7633</v>
      </c>
      <c r="R17" s="2">
        <v>0</v>
      </c>
      <c r="S17" s="9">
        <v>6591</v>
      </c>
      <c r="T17" s="2">
        <v>0</v>
      </c>
      <c r="U17" s="10">
        <v>625168</v>
      </c>
      <c r="V17" s="10">
        <v>1903693</v>
      </c>
      <c r="W17" s="10">
        <v>29293</v>
      </c>
      <c r="X17" s="10">
        <v>16588</v>
      </c>
      <c r="Y17" s="10">
        <v>4</v>
      </c>
      <c r="Z17" s="10">
        <v>275</v>
      </c>
      <c r="AA17" s="10">
        <v>288</v>
      </c>
      <c r="AB17" s="10">
        <v>190</v>
      </c>
      <c r="AC17">
        <v>195</v>
      </c>
      <c r="AD17">
        <v>70</v>
      </c>
      <c r="AE17">
        <v>44</v>
      </c>
    </row>
    <row r="18" spans="1:31" x14ac:dyDescent="0.25">
      <c r="A18" s="7">
        <v>2013</v>
      </c>
      <c r="B18" s="2">
        <v>5072</v>
      </c>
      <c r="C18" s="15">
        <f t="shared" si="0"/>
        <v>44.489353312302839</v>
      </c>
      <c r="D18" s="2">
        <v>22565</v>
      </c>
      <c r="E18" s="17">
        <f t="shared" si="4"/>
        <v>0.6395249971658542</v>
      </c>
      <c r="F18" s="7">
        <v>2013</v>
      </c>
      <c r="G18" s="2">
        <v>5047</v>
      </c>
      <c r="H18" s="15">
        <f t="shared" si="1"/>
        <v>25.201109570041609</v>
      </c>
      <c r="I18" s="2">
        <v>12719</v>
      </c>
      <c r="J18" s="2">
        <f t="shared" si="2"/>
        <v>10119</v>
      </c>
      <c r="K18" s="17">
        <f t="shared" si="3"/>
        <v>0.49876470006917678</v>
      </c>
      <c r="L18" s="7">
        <v>2013</v>
      </c>
      <c r="M18" s="7">
        <v>14</v>
      </c>
      <c r="N18" s="9">
        <v>17177</v>
      </c>
      <c r="O18" s="9">
        <v>24</v>
      </c>
      <c r="P18" s="9">
        <v>682</v>
      </c>
      <c r="Q18" s="9">
        <v>8320</v>
      </c>
      <c r="R18" s="2">
        <v>0</v>
      </c>
      <c r="S18" s="9">
        <v>5933</v>
      </c>
      <c r="T18" s="2">
        <v>0</v>
      </c>
      <c r="U18" s="10">
        <v>626591</v>
      </c>
      <c r="V18" s="10">
        <v>1825000</v>
      </c>
      <c r="W18" s="10">
        <v>29293</v>
      </c>
      <c r="X18" s="10">
        <v>17199</v>
      </c>
      <c r="Y18" s="10">
        <v>5</v>
      </c>
      <c r="Z18" s="10">
        <v>299</v>
      </c>
      <c r="AA18" s="10">
        <v>204</v>
      </c>
      <c r="AB18" s="10">
        <v>93</v>
      </c>
      <c r="AC18">
        <v>144</v>
      </c>
      <c r="AD18">
        <v>49</v>
      </c>
      <c r="AE18">
        <v>44</v>
      </c>
    </row>
    <row r="19" spans="1:31" x14ac:dyDescent="0.25">
      <c r="A19" s="7">
        <v>2014</v>
      </c>
      <c r="B19" s="2">
        <v>6071</v>
      </c>
      <c r="C19" s="15">
        <f t="shared" si="0"/>
        <v>45.188601548344586</v>
      </c>
      <c r="D19" s="2">
        <v>27434</v>
      </c>
      <c r="E19" s="17">
        <f t="shared" si="4"/>
        <v>0.63472305770209614</v>
      </c>
      <c r="F19" s="7">
        <v>2014</v>
      </c>
      <c r="G19" s="2">
        <v>6343</v>
      </c>
      <c r="H19" s="15">
        <f t="shared" si="1"/>
        <v>24.890430395711807</v>
      </c>
      <c r="I19" s="2">
        <v>15788</v>
      </c>
      <c r="J19" s="2">
        <f t="shared" si="2"/>
        <v>12414</v>
      </c>
      <c r="K19" s="17">
        <f t="shared" si="3"/>
        <v>0.51095537296600613</v>
      </c>
      <c r="L19" s="7">
        <v>2014</v>
      </c>
      <c r="M19" s="7">
        <v>15</v>
      </c>
      <c r="N19" s="9">
        <v>17406</v>
      </c>
      <c r="O19" s="9">
        <v>51</v>
      </c>
      <c r="P19" s="9">
        <v>617</v>
      </c>
      <c r="Q19" s="9">
        <v>9953</v>
      </c>
      <c r="R19" s="9">
        <v>33</v>
      </c>
      <c r="S19" s="9">
        <v>6528</v>
      </c>
      <c r="T19" s="9">
        <v>10</v>
      </c>
      <c r="U19" s="10">
        <v>633398</v>
      </c>
      <c r="V19" s="10">
        <v>2192083</v>
      </c>
      <c r="W19" s="10">
        <v>28166</v>
      </c>
      <c r="X19" s="10">
        <v>29446</v>
      </c>
      <c r="Y19" s="10">
        <v>6</v>
      </c>
      <c r="Z19" s="10">
        <v>452</v>
      </c>
      <c r="AA19" s="10">
        <v>279</v>
      </c>
      <c r="AB19" s="10">
        <v>115</v>
      </c>
      <c r="AC19" s="10">
        <v>192</v>
      </c>
      <c r="AD19" s="10">
        <v>90</v>
      </c>
      <c r="AE19" s="10">
        <v>57</v>
      </c>
    </row>
    <row r="20" spans="1:31" x14ac:dyDescent="0.25">
      <c r="A20" s="7">
        <v>2015</v>
      </c>
      <c r="B20" s="2">
        <v>5572</v>
      </c>
      <c r="C20" s="15">
        <f t="shared" si="0"/>
        <v>49.563890882986364</v>
      </c>
      <c r="D20" s="2">
        <v>27617</v>
      </c>
      <c r="E20" s="17">
        <f>D20/(D20+I20)</f>
        <v>0.63478600652783523</v>
      </c>
      <c r="F20" s="7">
        <v>2015</v>
      </c>
      <c r="G20" s="2">
        <v>6270</v>
      </c>
      <c r="H20" s="15">
        <f t="shared" si="1"/>
        <v>25.341307814992025</v>
      </c>
      <c r="I20" s="2">
        <v>15889</v>
      </c>
      <c r="J20" s="2">
        <f t="shared" si="2"/>
        <v>11842</v>
      </c>
      <c r="K20" s="17">
        <f t="shared" si="3"/>
        <v>0.52947137307887182</v>
      </c>
      <c r="L20" s="7">
        <v>2015</v>
      </c>
      <c r="M20" s="7">
        <v>16</v>
      </c>
      <c r="N20" s="42">
        <v>17977</v>
      </c>
      <c r="O20" s="72">
        <v>48</v>
      </c>
      <c r="P20" s="9">
        <v>715</v>
      </c>
      <c r="Q20" s="9">
        <v>10799</v>
      </c>
      <c r="R20">
        <v>37</v>
      </c>
      <c r="S20" s="9">
        <v>8445</v>
      </c>
      <c r="T20">
        <v>60</v>
      </c>
      <c r="U20" s="10">
        <v>465533</v>
      </c>
      <c r="V20" s="10">
        <v>3705919</v>
      </c>
      <c r="W20" s="10">
        <v>40570</v>
      </c>
      <c r="X20" s="10">
        <v>21273</v>
      </c>
      <c r="Y20" s="10">
        <v>7</v>
      </c>
      <c r="Z20" s="10">
        <v>160</v>
      </c>
      <c r="AA20" s="10">
        <v>226</v>
      </c>
      <c r="AB20" s="10">
        <v>98</v>
      </c>
      <c r="AC20">
        <v>94</v>
      </c>
      <c r="AD20">
        <v>39</v>
      </c>
      <c r="AE20">
        <v>28</v>
      </c>
    </row>
    <row r="21" spans="1:31" x14ac:dyDescent="0.25">
      <c r="A21" s="21">
        <v>2016</v>
      </c>
      <c r="B21" s="28">
        <f>[3]Pertanian!$T$11</f>
        <v>3011</v>
      </c>
      <c r="C21" s="72">
        <v>36.74</v>
      </c>
      <c r="D21" s="71">
        <f>(C21/10)*B21</f>
        <v>11062.414000000001</v>
      </c>
      <c r="E21" s="42">
        <v>45888</v>
      </c>
      <c r="F21" s="7">
        <v>2016</v>
      </c>
      <c r="G21" s="31">
        <f>[3]Pertanian!$T$12</f>
        <v>5027</v>
      </c>
      <c r="I21" s="30"/>
      <c r="J21" s="30">
        <f>J20*1.1703</f>
        <v>13858.692599999998</v>
      </c>
      <c r="L21" s="66">
        <v>2016</v>
      </c>
      <c r="M21" s="7">
        <v>17</v>
      </c>
      <c r="N21" s="53">
        <v>19118</v>
      </c>
      <c r="O21" s="33">
        <f>[3]Peternakan!$T$13</f>
        <v>62</v>
      </c>
      <c r="P21" s="28">
        <f>[3]Peternakan!$T$14</f>
        <v>777</v>
      </c>
      <c r="Q21" s="28">
        <f>[3]Peternakan!$T$18</f>
        <v>11000</v>
      </c>
      <c r="S21" s="28">
        <f>[3]Peternakan!$T$17</f>
        <v>8906</v>
      </c>
      <c r="U21" s="28">
        <f>[3]Peternakan!$T$22</f>
        <v>470495</v>
      </c>
      <c r="V21" s="28">
        <f>[3]Peternakan!$T$21</f>
        <v>1648162</v>
      </c>
      <c r="W21" s="2"/>
      <c r="X21" s="28">
        <f>[3]Peternakan!$T$23</f>
        <v>5343</v>
      </c>
      <c r="Y21" s="10">
        <v>8</v>
      </c>
      <c r="Z21" s="31">
        <f>[3]Pertanian!$T$14</f>
        <v>628</v>
      </c>
      <c r="AA21" s="28">
        <f>[3]Pertanian!$T$18</f>
        <v>403</v>
      </c>
      <c r="AB21" s="28">
        <f>[3]Pertanian!$T$19</f>
        <v>59</v>
      </c>
      <c r="AC21" s="28">
        <f>[3]Pertanian!$T$17</f>
        <v>16</v>
      </c>
      <c r="AD21" s="28">
        <f>[3]Pertanian!$T$15</f>
        <v>55</v>
      </c>
      <c r="AE21" s="28">
        <f>[3]Pertanian!$T$16</f>
        <v>82</v>
      </c>
    </row>
    <row r="22" spans="1:31" x14ac:dyDescent="0.25">
      <c r="A22" s="7">
        <v>2017</v>
      </c>
      <c r="B22" s="28">
        <f>[3]Pertanian!$U$11</f>
        <v>6339</v>
      </c>
      <c r="C22" s="74">
        <v>37</v>
      </c>
      <c r="D22" s="71">
        <f t="shared" ref="D22:D27" si="5">(C22/10)*B22</f>
        <v>23454.300000000003</v>
      </c>
      <c r="E22" s="42">
        <v>47710</v>
      </c>
      <c r="F22" s="7">
        <v>2017</v>
      </c>
      <c r="G22" s="31">
        <f>[3]Pertanian!$U$12</f>
        <v>6667</v>
      </c>
      <c r="I22" s="30"/>
      <c r="J22" s="30">
        <f t="shared" ref="J22:J34" si="6">J21*1.1703</f>
        <v>16218.827949779998</v>
      </c>
      <c r="L22" s="66">
        <v>2017</v>
      </c>
      <c r="M22" s="7">
        <v>18</v>
      </c>
      <c r="N22" s="53">
        <v>19665.814975404744</v>
      </c>
      <c r="O22" s="33">
        <f>[3]Peternakan!$U$13</f>
        <v>72</v>
      </c>
      <c r="P22" s="28">
        <f>[3]Peternakan!$U$14</f>
        <v>870</v>
      </c>
      <c r="Q22" s="28">
        <f>[3]Peternakan!$U$18</f>
        <v>11639</v>
      </c>
      <c r="S22" s="28">
        <f>[3]Peternakan!$U$17</f>
        <v>9150</v>
      </c>
      <c r="U22" s="28">
        <f>[3]Peternakan!$U$22</f>
        <v>470745</v>
      </c>
      <c r="V22" s="28">
        <f>[3]Peternakan!$U$21</f>
        <v>1748805</v>
      </c>
      <c r="W22" s="2"/>
      <c r="X22" s="28">
        <f>[3]Peternakan!$U$23</f>
        <v>5450</v>
      </c>
      <c r="Y22" s="2">
        <v>9</v>
      </c>
      <c r="Z22" s="31">
        <f>[3]Pertanian!$U$14</f>
        <v>200</v>
      </c>
      <c r="AA22" s="28">
        <f>[3]Pertanian!$U$18</f>
        <v>255</v>
      </c>
      <c r="AB22" s="28">
        <f>[3]Pertanian!$U$19</f>
        <v>105</v>
      </c>
      <c r="AC22" s="28">
        <f>[3]Pertanian!$U$17</f>
        <v>125</v>
      </c>
      <c r="AD22" s="28">
        <f>[3]Pertanian!$U$15</f>
        <v>50</v>
      </c>
      <c r="AE22" s="28">
        <f>[3]Pertanian!$U$16</f>
        <v>50</v>
      </c>
    </row>
    <row r="23" spans="1:31" x14ac:dyDescent="0.25">
      <c r="A23" s="7">
        <v>2018</v>
      </c>
      <c r="B23" s="28">
        <f>[3]Pertanian!$V$11</f>
        <v>6576</v>
      </c>
      <c r="C23" s="74">
        <v>37.15</v>
      </c>
      <c r="D23" s="71">
        <f t="shared" si="5"/>
        <v>24429.84</v>
      </c>
      <c r="E23" s="42">
        <v>49064</v>
      </c>
      <c r="F23" s="7">
        <v>2018</v>
      </c>
      <c r="G23" s="31">
        <f>[3]Pertanian!$V$12</f>
        <v>6660</v>
      </c>
      <c r="I23" s="30"/>
      <c r="J23" s="30">
        <f t="shared" si="6"/>
        <v>18980.894349627528</v>
      </c>
      <c r="L23" s="66">
        <v>2018</v>
      </c>
      <c r="M23" s="7">
        <v>19</v>
      </c>
      <c r="N23" s="53">
        <v>20568.816986462403</v>
      </c>
      <c r="O23" s="33">
        <f>[3]Peternakan!$V$13</f>
        <v>82</v>
      </c>
      <c r="P23" s="28">
        <f>[3]Peternakan!$V$14</f>
        <v>899</v>
      </c>
      <c r="Q23" s="28">
        <f>[3]Peternakan!$V$18</f>
        <v>12125</v>
      </c>
      <c r="S23" s="28">
        <f>[3]Peternakan!$V$17</f>
        <v>9636</v>
      </c>
      <c r="U23" s="28">
        <f>[3]Peternakan!$V$22</f>
        <v>471245</v>
      </c>
      <c r="V23" s="28">
        <f>[3]Peternakan!$V$21</f>
        <v>1859196</v>
      </c>
      <c r="W23" s="2"/>
      <c r="X23" s="28">
        <f>[3]Peternakan!$V$23</f>
        <v>5559</v>
      </c>
      <c r="Y23" s="10">
        <v>10</v>
      </c>
      <c r="Z23" s="31">
        <f>[3]Pertanian!$V$14</f>
        <v>200</v>
      </c>
      <c r="AA23" s="28">
        <f>[3]Pertanian!$V$18</f>
        <v>260</v>
      </c>
      <c r="AB23" s="28">
        <f>[3]Pertanian!$V$19</f>
        <v>110</v>
      </c>
      <c r="AC23" s="28">
        <f>[3]Pertanian!$V$17</f>
        <v>130</v>
      </c>
      <c r="AD23" s="28">
        <f>[3]Pertanian!$V$15</f>
        <v>50</v>
      </c>
      <c r="AE23" s="28">
        <f>[3]Pertanian!$V$16</f>
        <v>50</v>
      </c>
    </row>
    <row r="24" spans="1:31" x14ac:dyDescent="0.25">
      <c r="A24" s="7">
        <v>2019</v>
      </c>
      <c r="B24" s="28">
        <f>[3]Pertanian!$W$11</f>
        <v>7253</v>
      </c>
      <c r="C24" s="74">
        <v>37.25</v>
      </c>
      <c r="D24" s="71">
        <f t="shared" si="5"/>
        <v>27017.424999999999</v>
      </c>
      <c r="E24" s="42">
        <v>52558</v>
      </c>
      <c r="F24" s="7">
        <v>2019</v>
      </c>
      <c r="G24" s="31">
        <f>[3]Pertanian!$W$12</f>
        <v>6653</v>
      </c>
      <c r="I24" s="30"/>
      <c r="J24" s="30">
        <f t="shared" si="6"/>
        <v>22213.340657369095</v>
      </c>
      <c r="L24" s="66">
        <v>2019</v>
      </c>
      <c r="M24" s="7">
        <v>20</v>
      </c>
      <c r="N24" s="53">
        <v>21513.282452403269</v>
      </c>
      <c r="O24" s="33">
        <f>[3]Peternakan!$W$13</f>
        <v>92</v>
      </c>
      <c r="P24" s="28">
        <f>[3]Peternakan!$W$14</f>
        <v>1016</v>
      </c>
      <c r="Q24" s="28">
        <f>[3]Peternakan!$W$18</f>
        <v>12225</v>
      </c>
      <c r="S24" s="28">
        <f>[3]Peternakan!$W$17</f>
        <v>10243</v>
      </c>
      <c r="U24" s="28">
        <f>[3]Peternakan!$W$22</f>
        <v>471495</v>
      </c>
      <c r="V24" s="28">
        <f>[3]Peternakan!$W$21</f>
        <v>1938835</v>
      </c>
      <c r="W24" s="2"/>
      <c r="X24" s="28">
        <f>[3]Peternakan!$W$23</f>
        <v>5670</v>
      </c>
      <c r="Y24" s="10">
        <v>11</v>
      </c>
      <c r="Z24" s="31">
        <f>[3]Pertanian!$W$14</f>
        <v>200</v>
      </c>
      <c r="AA24" s="28">
        <f>[3]Pertanian!$W$18</f>
        <v>270</v>
      </c>
      <c r="AB24" s="28">
        <f>[3]Pertanian!$W$19</f>
        <v>115</v>
      </c>
      <c r="AC24" s="28">
        <f>[3]Pertanian!$W$17</f>
        <v>140</v>
      </c>
      <c r="AD24" s="28">
        <f>[3]Pertanian!$W$15</f>
        <v>50</v>
      </c>
      <c r="AE24" s="28">
        <f>[3]Pertanian!$W$16</f>
        <v>50</v>
      </c>
    </row>
    <row r="25" spans="1:31" x14ac:dyDescent="0.25">
      <c r="A25" s="7">
        <v>2020</v>
      </c>
      <c r="B25" s="28">
        <f>[3]Pertanian!$X$11</f>
        <v>7620</v>
      </c>
      <c r="C25" s="74">
        <v>37.5</v>
      </c>
      <c r="D25" s="71">
        <f t="shared" si="5"/>
        <v>28575</v>
      </c>
      <c r="E25" s="42">
        <v>55099</v>
      </c>
      <c r="F25" s="7">
        <v>2020</v>
      </c>
      <c r="G25" s="31">
        <f>[3]Pertanian!$X$12</f>
        <v>6800</v>
      </c>
      <c r="I25" s="30"/>
      <c r="J25" s="30">
        <f t="shared" si="6"/>
        <v>25996.272571319048</v>
      </c>
      <c r="L25" s="66">
        <v>2020</v>
      </c>
      <c r="M25" s="7">
        <v>21</v>
      </c>
      <c r="N25" s="53">
        <v>22457.747918344099</v>
      </c>
      <c r="O25" s="33">
        <f>[3]Peternakan!$X$13</f>
        <v>110</v>
      </c>
      <c r="P25" s="28">
        <f>[3]Peternakan!$X$14</f>
        <v>1117</v>
      </c>
      <c r="Q25" s="28">
        <f>[3]Peternakan!$X$18</f>
        <v>12424</v>
      </c>
      <c r="S25" s="28">
        <f>[3]Peternakan!$X$17</f>
        <v>10706</v>
      </c>
      <c r="U25" s="28">
        <f>[3]Peternakan!$X$22</f>
        <v>472495</v>
      </c>
      <c r="V25" s="28">
        <f>[3]Peternakan!$X$21</f>
        <v>2013722</v>
      </c>
      <c r="W25" s="2"/>
      <c r="X25" s="28">
        <f>[3]Peternakan!$X$23</f>
        <v>5783</v>
      </c>
      <c r="Y25" s="10">
        <v>12</v>
      </c>
      <c r="Z25" s="31">
        <f>[3]Pertanian!$X$14</f>
        <v>200</v>
      </c>
      <c r="AA25" s="28">
        <f>[3]Pertanian!$X$18</f>
        <v>300</v>
      </c>
      <c r="AB25" s="28">
        <f>[3]Pertanian!$X$19</f>
        <v>120</v>
      </c>
      <c r="AC25" s="28">
        <f>[3]Pertanian!$X$17</f>
        <v>150</v>
      </c>
      <c r="AD25" s="28">
        <f>[3]Pertanian!$X$15</f>
        <v>50</v>
      </c>
      <c r="AE25" s="28">
        <f>[3]Pertanian!$X$16</f>
        <v>50</v>
      </c>
    </row>
    <row r="26" spans="1:31" x14ac:dyDescent="0.25">
      <c r="A26" s="21">
        <v>2021</v>
      </c>
      <c r="B26" s="28">
        <f>[3]Pertanian!$Y$11</f>
        <v>8000</v>
      </c>
      <c r="C26" s="72">
        <v>37.85</v>
      </c>
      <c r="D26" s="71">
        <f t="shared" si="5"/>
        <v>30280</v>
      </c>
      <c r="E26" s="42">
        <v>57482</v>
      </c>
      <c r="F26" s="7">
        <v>2021</v>
      </c>
      <c r="G26" s="31">
        <f>[3]Pertanian!$Y$12</f>
        <v>6772</v>
      </c>
      <c r="I26" s="30"/>
      <c r="J26" s="30">
        <f t="shared" si="6"/>
        <v>30423.437790214681</v>
      </c>
      <c r="L26" s="66">
        <v>2021</v>
      </c>
      <c r="M26" s="7">
        <v>22</v>
      </c>
      <c r="N26" s="53">
        <v>23402.213384285002</v>
      </c>
      <c r="O26" s="33">
        <f>[3]Peternakan!$Y$13</f>
        <v>125</v>
      </c>
      <c r="P26" s="28">
        <f>[3]Peternakan!$Y$14</f>
        <v>1228</v>
      </c>
      <c r="Q26" s="28">
        <f>[3]Peternakan!$Y$18</f>
        <v>12705</v>
      </c>
      <c r="S26" s="28">
        <f>[3]Peternakan!$Y$17</f>
        <v>10956</v>
      </c>
      <c r="U26" s="28">
        <f>[3]Peternakan!$Y$22</f>
        <v>473495</v>
      </c>
      <c r="V26" s="28">
        <f>[3]Peternakan!$Y$21</f>
        <v>2073606</v>
      </c>
      <c r="W26" s="2"/>
      <c r="X26" s="28">
        <f>[3]Peternakan!$Y$23</f>
        <v>5899</v>
      </c>
      <c r="Y26" s="10">
        <v>13</v>
      </c>
      <c r="Z26" s="31">
        <f>[3]Pertanian!$Y$14</f>
        <v>200</v>
      </c>
      <c r="AA26" s="28">
        <f>[3]Pertanian!$Y$18</f>
        <v>310</v>
      </c>
      <c r="AB26" s="28">
        <f>[3]Pertanian!$Y$19</f>
        <v>125</v>
      </c>
      <c r="AC26" s="28">
        <f>[3]Pertanian!$Y$17</f>
        <v>160</v>
      </c>
      <c r="AD26" s="28">
        <f>[3]Pertanian!$Y$15</f>
        <v>50</v>
      </c>
      <c r="AE26" s="28">
        <f>[3]Pertanian!$Y$16</f>
        <v>50</v>
      </c>
    </row>
    <row r="27" spans="1:31" x14ac:dyDescent="0.25">
      <c r="A27" s="7">
        <v>2022</v>
      </c>
      <c r="B27" s="28">
        <f>[3]Pertanian!$Z$11</f>
        <v>8160</v>
      </c>
      <c r="C27" s="74">
        <f>C26*1.1212</f>
        <v>42.437420000000003</v>
      </c>
      <c r="D27" s="42">
        <f t="shared" si="5"/>
        <v>34628.934719999997</v>
      </c>
      <c r="E27" s="72"/>
      <c r="F27" s="7">
        <v>2022</v>
      </c>
      <c r="G27" s="31">
        <f>[3]Pertanian!$Z$12</f>
        <v>6907</v>
      </c>
      <c r="J27" s="30">
        <f t="shared" si="6"/>
        <v>35604.549245888236</v>
      </c>
      <c r="L27" s="7">
        <v>2022</v>
      </c>
      <c r="M27" s="7">
        <v>23</v>
      </c>
      <c r="N27" s="53">
        <v>24346.678850225901</v>
      </c>
      <c r="O27" s="33">
        <f>[3]Peternakan!$Z$13</f>
        <v>128</v>
      </c>
      <c r="P27" s="28">
        <f>[3]Peternakan!$Z$14</f>
        <v>1253</v>
      </c>
      <c r="Q27" s="28">
        <f>[3]Peternakan!$Z$18</f>
        <v>12959</v>
      </c>
      <c r="S27" s="28">
        <f>[3]Peternakan!$Z$17</f>
        <v>11175</v>
      </c>
      <c r="U27" s="28">
        <f>[3]Peternakan!$Z$22</f>
        <v>482965</v>
      </c>
      <c r="V27" s="28">
        <f>[3]Peternakan!$Z$21</f>
        <v>2115078</v>
      </c>
      <c r="W27" s="2"/>
      <c r="X27" s="28">
        <f>[3]Peternakan!$Z$23</f>
        <v>6017</v>
      </c>
      <c r="Y27" s="10">
        <v>14</v>
      </c>
      <c r="Z27" s="31">
        <f>[3]Pertanian!$Z$14</f>
        <v>204</v>
      </c>
      <c r="AA27" s="28">
        <f>[3]Pertanian!$Z$18</f>
        <v>316</v>
      </c>
      <c r="AB27" s="28">
        <f>[3]Pertanian!$Z$19</f>
        <v>128</v>
      </c>
      <c r="AC27" s="28">
        <f>[3]Pertanian!$Z$17</f>
        <v>163</v>
      </c>
      <c r="AD27" s="28">
        <f>[3]Pertanian!$Z$15</f>
        <v>51</v>
      </c>
      <c r="AE27" s="28">
        <f>[3]Pertanian!$Z$16</f>
        <v>51</v>
      </c>
    </row>
    <row r="28" spans="1:31" x14ac:dyDescent="0.25">
      <c r="A28" s="7">
        <v>2023</v>
      </c>
      <c r="B28" s="28">
        <f>[3]Pertanian!$AA$11</f>
        <v>8323</v>
      </c>
      <c r="C28" s="74">
        <f t="shared" ref="C28:C34" si="7">C27*1.1212</f>
        <v>47.580835304000004</v>
      </c>
      <c r="D28" s="42">
        <f t="shared" ref="D28:D35" si="8">(C28/10)*B28</f>
        <v>39601.529223519203</v>
      </c>
      <c r="E28" s="72"/>
      <c r="F28" s="7">
        <v>2023</v>
      </c>
      <c r="G28" s="31">
        <f>[3]Pertanian!$AA$12</f>
        <v>7046</v>
      </c>
      <c r="J28" s="30">
        <f t="shared" si="6"/>
        <v>41668.003982463</v>
      </c>
      <c r="L28" s="7">
        <v>2023</v>
      </c>
      <c r="M28" s="7">
        <v>24</v>
      </c>
      <c r="N28" s="53">
        <v>25291.144316166701</v>
      </c>
      <c r="O28" s="33">
        <f>[3]Peternakan!$AA$13</f>
        <v>130</v>
      </c>
      <c r="P28" s="28">
        <f>[3]Peternakan!$AA$14</f>
        <v>1278</v>
      </c>
      <c r="Q28" s="28">
        <f>[3]Peternakan!$AA$18</f>
        <v>13218</v>
      </c>
      <c r="S28" s="28">
        <f>[3]Peternakan!$AA$17</f>
        <v>11399</v>
      </c>
      <c r="U28" s="28">
        <f>[3]Peternakan!$AA$22</f>
        <v>492624</v>
      </c>
      <c r="V28" s="28">
        <f>[3]Peternakan!$AA$21</f>
        <v>2157380</v>
      </c>
      <c r="W28" s="2"/>
      <c r="X28" s="28">
        <f>[3]Peternakan!$AA$23</f>
        <v>6137</v>
      </c>
      <c r="Y28" s="10">
        <v>15</v>
      </c>
      <c r="Z28" s="31">
        <f>[3]Pertanian!$AA$14</f>
        <v>208</v>
      </c>
      <c r="AA28" s="28">
        <f>[3]Pertanian!$AA$18</f>
        <v>323</v>
      </c>
      <c r="AB28" s="28">
        <f>[3]Pertanian!$AA$19</f>
        <v>130</v>
      </c>
      <c r="AC28" s="28">
        <f>[3]Pertanian!$AA$17</f>
        <v>166</v>
      </c>
      <c r="AD28" s="28">
        <f>[3]Pertanian!$AA$15</f>
        <v>52</v>
      </c>
      <c r="AE28" s="28">
        <f>[3]Pertanian!$AA$16</f>
        <v>52</v>
      </c>
    </row>
    <row r="29" spans="1:31" x14ac:dyDescent="0.25">
      <c r="A29" s="7">
        <v>2024</v>
      </c>
      <c r="B29" s="28">
        <f>[3]Pertanian!$AB$11</f>
        <v>8490</v>
      </c>
      <c r="C29" s="74">
        <f t="shared" si="7"/>
        <v>53.347632542844806</v>
      </c>
      <c r="D29" s="42">
        <f t="shared" si="8"/>
        <v>45292.140028875241</v>
      </c>
      <c r="E29" s="72"/>
      <c r="F29" s="7">
        <v>2024</v>
      </c>
      <c r="G29" s="31">
        <f>[3]Pertanian!$AB$12</f>
        <v>7187</v>
      </c>
      <c r="J29" s="30">
        <f t="shared" si="6"/>
        <v>48764.065060676447</v>
      </c>
      <c r="L29" s="7">
        <v>2024</v>
      </c>
      <c r="M29" s="7">
        <v>25</v>
      </c>
      <c r="N29" s="53">
        <v>26235.6097821076</v>
      </c>
      <c r="O29" s="33">
        <f>[3]Peternakan!$AB$13</f>
        <v>133</v>
      </c>
      <c r="P29" s="28">
        <f>[3]Peternakan!$AB$14</f>
        <v>1303</v>
      </c>
      <c r="Q29" s="28">
        <f>[3]Peternakan!$AB$18</f>
        <v>13483</v>
      </c>
      <c r="S29" s="28">
        <f>[3]Peternakan!$AB$17</f>
        <v>11627</v>
      </c>
      <c r="U29" s="28">
        <f>[3]Peternakan!$AB$22</f>
        <v>502477</v>
      </c>
      <c r="V29" s="28">
        <f>[3]Peternakan!$AB$21</f>
        <v>2200527</v>
      </c>
      <c r="W29" s="2"/>
      <c r="X29" s="28">
        <f>[3]Peternakan!$AB$23</f>
        <v>6260</v>
      </c>
      <c r="Y29" s="10">
        <v>16</v>
      </c>
      <c r="Z29" s="31">
        <f>[3]Pertanian!$AB$14</f>
        <v>212</v>
      </c>
      <c r="AA29" s="28">
        <f>[3]Pertanian!$AB$18</f>
        <v>329</v>
      </c>
      <c r="AB29" s="28">
        <f>[3]Pertanian!$AB$19</f>
        <v>133</v>
      </c>
      <c r="AC29" s="28">
        <f>[3]Pertanian!$AB$17</f>
        <v>170</v>
      </c>
      <c r="AD29" s="28">
        <f>[3]Pertanian!$AB$15</f>
        <v>53</v>
      </c>
      <c r="AE29" s="28">
        <f>[3]Pertanian!$AB$16</f>
        <v>53</v>
      </c>
    </row>
    <row r="30" spans="1:31" x14ac:dyDescent="0.25">
      <c r="A30" s="7">
        <v>2025</v>
      </c>
      <c r="B30" s="28">
        <f>[3]Pertanian!$AC$11</f>
        <v>8659</v>
      </c>
      <c r="C30" s="74">
        <f t="shared" si="7"/>
        <v>59.813365607037596</v>
      </c>
      <c r="D30" s="42">
        <f t="shared" si="8"/>
        <v>51792.393279133852</v>
      </c>
      <c r="E30" s="72"/>
      <c r="F30" s="7">
        <v>2025</v>
      </c>
      <c r="G30" s="31">
        <f>[3]Pertanian!$AC$12</f>
        <v>7330</v>
      </c>
      <c r="J30" s="30">
        <f t="shared" si="6"/>
        <v>57068.585340509642</v>
      </c>
      <c r="L30" s="7">
        <v>2025</v>
      </c>
      <c r="M30" s="7">
        <v>26</v>
      </c>
      <c r="N30" s="53">
        <v>27180.075248048499</v>
      </c>
      <c r="O30" s="33">
        <f>[3]Peternakan!$AC$13</f>
        <v>135</v>
      </c>
      <c r="P30" s="28">
        <f>[3]Peternakan!$AC$14</f>
        <v>1329</v>
      </c>
      <c r="Q30" s="28">
        <f>[3]Peternakan!$AC$18</f>
        <v>13752</v>
      </c>
      <c r="S30" s="28">
        <f>[3]Peternakan!$AC$17</f>
        <v>11859</v>
      </c>
      <c r="U30" s="28">
        <f>[3]Peternakan!$AC$22</f>
        <v>512526</v>
      </c>
      <c r="V30" s="28">
        <f>[3]Peternakan!$AC$21</f>
        <v>2244538</v>
      </c>
      <c r="W30" s="2"/>
      <c r="X30" s="28">
        <f>[3]Peternakan!$AC$23</f>
        <v>6385</v>
      </c>
      <c r="Y30" s="2">
        <v>17</v>
      </c>
      <c r="Z30" s="31">
        <f>[3]Pertanian!$AC$14</f>
        <v>216</v>
      </c>
      <c r="AA30" s="28">
        <f>[3]Pertanian!$AC$18</f>
        <v>336</v>
      </c>
      <c r="AB30" s="28">
        <f>[3]Pertanian!$AC$19</f>
        <v>135</v>
      </c>
      <c r="AC30" s="28">
        <f>[3]Pertanian!$AC$17</f>
        <v>173</v>
      </c>
      <c r="AD30" s="28">
        <f>[3]Pertanian!$AC$15</f>
        <v>54</v>
      </c>
      <c r="AE30" s="28">
        <f>[3]Pertanian!$AC$16</f>
        <v>54</v>
      </c>
    </row>
    <row r="31" spans="1:31" x14ac:dyDescent="0.25">
      <c r="A31" s="7">
        <v>2026</v>
      </c>
      <c r="B31" s="28">
        <f>[3]Pertanian!$AD$11</f>
        <v>8833</v>
      </c>
      <c r="C31" s="74">
        <f t="shared" si="7"/>
        <v>67.062745518610555</v>
      </c>
      <c r="D31" s="42">
        <f t="shared" si="8"/>
        <v>59236.523116588702</v>
      </c>
      <c r="E31" s="72"/>
      <c r="F31" s="7">
        <v>2026</v>
      </c>
      <c r="G31" s="31">
        <f>[3]Pertanian!$AD$12</f>
        <v>7477</v>
      </c>
      <c r="J31" s="30">
        <f t="shared" si="6"/>
        <v>66787.365423998432</v>
      </c>
      <c r="L31" s="7">
        <v>2026</v>
      </c>
      <c r="M31" s="7">
        <v>27</v>
      </c>
      <c r="N31" s="53">
        <v>28124.5407139893</v>
      </c>
      <c r="O31" s="33">
        <f>[3]Peternakan!$AD$13</f>
        <v>138</v>
      </c>
      <c r="P31" s="28">
        <f>[3]Peternakan!$AD$14</f>
        <v>1356</v>
      </c>
      <c r="Q31" s="28">
        <f>[3]Peternakan!$AD$18</f>
        <v>14027</v>
      </c>
      <c r="S31" s="28">
        <f>[3]Peternakan!$AD$17</f>
        <v>12096</v>
      </c>
      <c r="U31" s="28">
        <f>[3]Peternakan!$AD$22</f>
        <v>522777</v>
      </c>
      <c r="V31" s="28">
        <f>[3]Peternakan!$AD$21</f>
        <v>2289429</v>
      </c>
      <c r="W31" s="2"/>
      <c r="X31" s="28">
        <f>[3]Peternakan!$AD$23</f>
        <v>6513</v>
      </c>
      <c r="Y31" s="10">
        <v>18</v>
      </c>
      <c r="Z31" s="31">
        <f>[3]Pertanian!$AD$14</f>
        <v>221</v>
      </c>
      <c r="AA31" s="28">
        <f>[3]Pertanian!$AD$18</f>
        <v>342</v>
      </c>
      <c r="AB31" s="28">
        <f>[3]Pertanian!$AD$19</f>
        <v>138</v>
      </c>
      <c r="AC31" s="28">
        <f>[3]Pertanian!$AD$17</f>
        <v>177</v>
      </c>
      <c r="AD31" s="28">
        <f>[3]Pertanian!$AD$15</f>
        <v>55</v>
      </c>
      <c r="AE31" s="28">
        <f>[3]Pertanian!$AD$16</f>
        <v>55</v>
      </c>
    </row>
    <row r="32" spans="1:31" x14ac:dyDescent="0.25">
      <c r="A32" s="7">
        <v>2027</v>
      </c>
      <c r="B32" s="28">
        <f>[3]Pertanian!$AE$11</f>
        <v>9009</v>
      </c>
      <c r="C32" s="74">
        <f t="shared" si="7"/>
        <v>75.190750275466158</v>
      </c>
      <c r="D32" s="42">
        <f t="shared" si="8"/>
        <v>67739.346923167453</v>
      </c>
      <c r="E32" s="72"/>
      <c r="F32" s="7">
        <v>2027</v>
      </c>
      <c r="G32" s="31">
        <f>[3]Pertanian!$AE$12</f>
        <v>7626</v>
      </c>
      <c r="J32" s="30">
        <f t="shared" si="6"/>
        <v>78161.253755705358</v>
      </c>
      <c r="L32" s="7">
        <v>2027</v>
      </c>
      <c r="M32" s="7">
        <v>28</v>
      </c>
      <c r="N32" s="53">
        <v>29069.006179930198</v>
      </c>
      <c r="O32" s="33">
        <f>[3]Peternakan!$AE$13</f>
        <v>141</v>
      </c>
      <c r="P32" s="28">
        <f>[3]Peternakan!$AE$14</f>
        <v>1383</v>
      </c>
      <c r="Q32" s="28">
        <f>[3]Peternakan!$AE$18</f>
        <v>14308</v>
      </c>
      <c r="S32" s="28">
        <f>[3]Peternakan!$AE$17</f>
        <v>12338</v>
      </c>
      <c r="U32" s="28">
        <f>[3]Peternakan!$AE$22</f>
        <v>533232</v>
      </c>
      <c r="V32" s="28">
        <f>[3]Peternakan!$AE$21</f>
        <v>2335217</v>
      </c>
      <c r="W32" s="2"/>
      <c r="X32" s="28">
        <f>[3]Peternakan!$AE$23</f>
        <v>6643</v>
      </c>
      <c r="Y32" s="10">
        <v>19</v>
      </c>
      <c r="Z32" s="31">
        <f>[3]Pertanian!$AE$14</f>
        <v>225</v>
      </c>
      <c r="AA32" s="28">
        <f>[3]Pertanian!$AE$18</f>
        <v>349</v>
      </c>
      <c r="AB32" s="28">
        <f>[3]Pertanian!$AE$19</f>
        <v>141</v>
      </c>
      <c r="AC32" s="28">
        <f>[3]Pertanian!$AE$17</f>
        <v>180</v>
      </c>
      <c r="AD32" s="28">
        <f>[3]Pertanian!$AE$15</f>
        <v>56</v>
      </c>
      <c r="AE32" s="28">
        <f>[3]Pertanian!$AE$16</f>
        <v>56</v>
      </c>
    </row>
    <row r="33" spans="1:31" x14ac:dyDescent="0.25">
      <c r="A33" s="7">
        <v>2028</v>
      </c>
      <c r="B33" s="28">
        <f>[3]Pertanian!$AF$11</f>
        <v>9189</v>
      </c>
      <c r="C33" s="74">
        <f t="shared" si="7"/>
        <v>84.30386920885266</v>
      </c>
      <c r="D33" s="42">
        <f t="shared" si="8"/>
        <v>77466.825416014704</v>
      </c>
      <c r="E33" s="72"/>
      <c r="F33" s="7">
        <v>2028</v>
      </c>
      <c r="G33" s="31">
        <f>[3]Pertanian!$AF$12</f>
        <v>7779</v>
      </c>
      <c r="J33" s="30">
        <f t="shared" si="6"/>
        <v>91472.115270301976</v>
      </c>
      <c r="L33" s="7">
        <v>2028</v>
      </c>
      <c r="M33" s="7">
        <v>29</v>
      </c>
      <c r="N33" s="53">
        <v>30013.471645871101</v>
      </c>
      <c r="O33" s="33">
        <f>[3]Peternakan!$AF$13</f>
        <v>144</v>
      </c>
      <c r="P33" s="28">
        <f>[3]Peternakan!$AF$14</f>
        <v>1411</v>
      </c>
      <c r="Q33" s="28">
        <f>[3]Peternakan!$AF$18</f>
        <v>14594</v>
      </c>
      <c r="S33" s="28">
        <f>[3]Peternakan!$AF$17</f>
        <v>12585</v>
      </c>
      <c r="U33" s="28">
        <f>[3]Peternakan!$AF$22</f>
        <v>543897</v>
      </c>
      <c r="V33" s="28">
        <f>[3]Peternakan!$AF$21</f>
        <v>2381921</v>
      </c>
      <c r="W33" s="2"/>
      <c r="X33" s="28">
        <f>[3]Peternakan!$AF$23</f>
        <v>6776</v>
      </c>
      <c r="Y33" s="10">
        <v>20</v>
      </c>
      <c r="Z33" s="31">
        <f>[3]Pertanian!$AF$14</f>
        <v>230</v>
      </c>
      <c r="AA33" s="28">
        <f>[3]Pertanian!$AF$18</f>
        <v>356</v>
      </c>
      <c r="AB33" s="28">
        <f>[3]Pertanian!$AF$19</f>
        <v>144</v>
      </c>
      <c r="AC33" s="28">
        <f>[3]Pertanian!$AF$17</f>
        <v>184</v>
      </c>
      <c r="AD33" s="28">
        <f>[3]Pertanian!$AF$15</f>
        <v>57</v>
      </c>
      <c r="AE33" s="28">
        <f>[3]Pertanian!$AF$16</f>
        <v>57</v>
      </c>
    </row>
    <row r="34" spans="1:31" x14ac:dyDescent="0.25">
      <c r="A34" s="7">
        <v>2029</v>
      </c>
      <c r="B34" s="28">
        <f>[3]Pertanian!$AG$11</f>
        <v>9373</v>
      </c>
      <c r="C34" s="74">
        <f t="shared" si="7"/>
        <v>94.521498156965606</v>
      </c>
      <c r="D34" s="42">
        <f t="shared" si="8"/>
        <v>88595.000222523871</v>
      </c>
      <c r="E34" s="72"/>
      <c r="F34" s="7">
        <v>2029</v>
      </c>
      <c r="G34" s="31">
        <f>[3]Pertanian!$AG$12</f>
        <v>7934</v>
      </c>
      <c r="J34" s="30">
        <f t="shared" si="6"/>
        <v>107049.81650083439</v>
      </c>
      <c r="L34" s="7">
        <v>2029</v>
      </c>
      <c r="M34" s="7">
        <v>30</v>
      </c>
      <c r="N34" s="53">
        <v>30957.937111811902</v>
      </c>
      <c r="O34" s="33">
        <f>[3]Peternakan!$AG$13</f>
        <v>146</v>
      </c>
      <c r="P34" s="28">
        <f>[3]Peternakan!$AG$14</f>
        <v>1439</v>
      </c>
      <c r="Q34" s="28">
        <f>[3]Peternakan!$AG$18</f>
        <v>14886</v>
      </c>
      <c r="S34" s="28">
        <f>[3]Peternakan!$AG$17</f>
        <v>12837</v>
      </c>
      <c r="U34" s="28">
        <f>[3]Peternakan!$AG$22</f>
        <v>554775</v>
      </c>
      <c r="V34" s="28">
        <f>[3]Peternakan!$AG$21</f>
        <v>2429560</v>
      </c>
      <c r="W34" s="2"/>
      <c r="X34" s="28">
        <f>[3]Peternakan!$AG$23</f>
        <v>6912</v>
      </c>
      <c r="Y34" s="10">
        <v>21</v>
      </c>
      <c r="Z34" s="31">
        <f>[3]Pertanian!$AG$14</f>
        <v>234</v>
      </c>
      <c r="AA34" s="28">
        <f>[3]Pertanian!$AG$18</f>
        <v>363</v>
      </c>
      <c r="AB34" s="28">
        <f>[3]Pertanian!$AG$19</f>
        <v>146</v>
      </c>
      <c r="AC34" s="28">
        <f>[3]Pertanian!$AG$17</f>
        <v>187</v>
      </c>
      <c r="AD34" s="28">
        <f>[3]Pertanian!$AG$15</f>
        <v>59</v>
      </c>
      <c r="AE34" s="28">
        <f>[3]Pertanian!$AG$16</f>
        <v>59</v>
      </c>
    </row>
    <row r="35" spans="1:31" x14ac:dyDescent="0.25">
      <c r="A35" s="7">
        <v>2030</v>
      </c>
      <c r="B35" s="28">
        <f>[3]Pertanian!$AH$11</f>
        <v>9561</v>
      </c>
      <c r="C35" s="72">
        <v>106</v>
      </c>
      <c r="D35" s="42">
        <f t="shared" si="8"/>
        <v>101346.59999999999</v>
      </c>
      <c r="E35" s="72"/>
      <c r="F35" s="7">
        <v>2030</v>
      </c>
      <c r="G35" s="31">
        <f>[3]Pertanian!$AH$12</f>
        <v>8093</v>
      </c>
      <c r="J35" s="41">
        <v>125263</v>
      </c>
      <c r="L35" s="7">
        <v>2030</v>
      </c>
      <c r="M35" s="7">
        <v>31</v>
      </c>
      <c r="N35" s="53">
        <v>31902.4025777528</v>
      </c>
      <c r="O35" s="33">
        <f>[3]Peternakan!$AH$13</f>
        <v>149</v>
      </c>
      <c r="P35" s="28">
        <f>[3]Peternakan!$AH$14</f>
        <v>1468</v>
      </c>
      <c r="Q35" s="28">
        <f>[3]Peternakan!$AH$18</f>
        <v>15184</v>
      </c>
      <c r="S35" s="28">
        <f>[3]Peternakan!$AH$17</f>
        <v>13093</v>
      </c>
      <c r="U35" s="28">
        <f>[3]Peternakan!$AH$22</f>
        <v>565870</v>
      </c>
      <c r="V35" s="28">
        <f>[3]Peternakan!$AH$21</f>
        <v>2478151</v>
      </c>
      <c r="W35" s="2"/>
      <c r="X35" s="28">
        <f>[3]Peternakan!$AH$23</f>
        <v>7050</v>
      </c>
      <c r="Y35" s="10">
        <v>22</v>
      </c>
      <c r="Z35" s="31">
        <f>[3]Pertanian!$AH$14</f>
        <v>239</v>
      </c>
      <c r="AA35" s="28">
        <f>[3]Pertanian!$AH$18</f>
        <v>370</v>
      </c>
      <c r="AB35" s="28">
        <f>[3]Pertanian!$AH$19</f>
        <v>149</v>
      </c>
      <c r="AC35" s="28">
        <f>[3]Pertanian!$AH$17</f>
        <v>191</v>
      </c>
      <c r="AD35" s="28">
        <f>[3]Pertanian!$AH$15</f>
        <v>60</v>
      </c>
      <c r="AE35" s="28">
        <f>[3]Pertanian!$AH$16</f>
        <v>60</v>
      </c>
    </row>
    <row r="36" spans="1:31" x14ac:dyDescent="0.25">
      <c r="B36" s="19"/>
      <c r="C36" s="19">
        <f>(C35/C26)^(1/9)-1</f>
        <v>0.12122644212603584</v>
      </c>
      <c r="E36" s="29">
        <f>AVERAGE(E6:E20)</f>
        <v>0.48751387315104189</v>
      </c>
      <c r="J36" s="19">
        <f>(J35/J20)^(1/15)-1</f>
        <v>0.17028916306482156</v>
      </c>
      <c r="K36" s="43">
        <f>AVERAGE(K6:K20)</f>
        <v>0.62986632858505121</v>
      </c>
      <c r="P36" s="72"/>
    </row>
  </sheetData>
  <mergeCells count="4">
    <mergeCell ref="A3:D3"/>
    <mergeCell ref="F3:I3"/>
    <mergeCell ref="N3:X3"/>
    <mergeCell ref="Z3:AE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7"/>
  <sheetViews>
    <sheetView zoomScale="85" zoomScaleNormal="85" workbookViewId="0">
      <pane xSplit="1" ySplit="4" topLeftCell="W5" activePane="bottomRight" state="frozen"/>
      <selection pane="topRight" activeCell="B1" sqref="B1"/>
      <selection pane="bottomLeft" activeCell="A5" sqref="A5"/>
      <selection pane="bottomRight" activeCell="AF29" sqref="AF29"/>
    </sheetView>
  </sheetViews>
  <sheetFormatPr defaultRowHeight="15" x14ac:dyDescent="0.25"/>
  <cols>
    <col min="2" max="2" width="15" bestFit="1" customWidth="1"/>
    <col min="3" max="3" width="16.140625" bestFit="1" customWidth="1"/>
    <col min="4" max="4" width="14" bestFit="1" customWidth="1"/>
    <col min="5" max="5" width="9.5703125" bestFit="1" customWidth="1"/>
    <col min="7" max="7" width="15" bestFit="1" customWidth="1"/>
    <col min="8" max="8" width="16.140625" bestFit="1" customWidth="1"/>
    <col min="9" max="9" width="14" bestFit="1" customWidth="1"/>
    <col min="10" max="10" width="14" customWidth="1"/>
    <col min="11" max="11" width="10.5703125" bestFit="1" customWidth="1"/>
    <col min="14" max="14" width="10.5703125" bestFit="1" customWidth="1"/>
    <col min="15" max="15" width="10.140625" customWidth="1"/>
    <col min="17" max="17" width="10.5703125" bestFit="1" customWidth="1"/>
    <col min="19" max="19" width="9.5703125" bestFit="1" customWidth="1"/>
    <col min="21" max="21" width="14.85546875" bestFit="1" customWidth="1"/>
    <col min="22" max="22" width="18.28515625" bestFit="1" customWidth="1"/>
    <col min="23" max="23" width="16.5703125" bestFit="1" customWidth="1"/>
    <col min="24" max="24" width="10.5703125" bestFit="1" customWidth="1"/>
    <col min="25" max="25" width="4.42578125" bestFit="1" customWidth="1"/>
    <col min="26" max="26" width="9.5703125" bestFit="1" customWidth="1"/>
    <col min="29" max="29" width="12.42578125" customWidth="1"/>
    <col min="31" max="31" width="12.140625" bestFit="1" customWidth="1"/>
  </cols>
  <sheetData>
    <row r="1" spans="1:31" x14ac:dyDescent="0.25">
      <c r="A1" s="6" t="s">
        <v>9</v>
      </c>
      <c r="B1" s="6"/>
      <c r="C1" s="6"/>
      <c r="D1" s="6"/>
      <c r="E1" s="6"/>
      <c r="F1" s="6"/>
      <c r="G1" s="6"/>
      <c r="H1" s="6"/>
      <c r="I1" s="6"/>
      <c r="J1" s="6"/>
    </row>
    <row r="2" spans="1:31" x14ac:dyDescent="0.25">
      <c r="A2" s="6"/>
      <c r="B2" s="6"/>
      <c r="C2" s="6"/>
      <c r="D2" s="6"/>
      <c r="E2" s="6"/>
      <c r="F2" s="6"/>
      <c r="G2" s="6"/>
      <c r="H2" s="6"/>
      <c r="I2" s="6"/>
      <c r="J2" s="6"/>
    </row>
    <row r="3" spans="1:31" x14ac:dyDescent="0.25">
      <c r="A3" s="119" t="s">
        <v>2</v>
      </c>
      <c r="B3" s="119"/>
      <c r="C3" s="119"/>
      <c r="D3" s="119"/>
      <c r="E3" s="6"/>
      <c r="F3" s="119" t="s">
        <v>5</v>
      </c>
      <c r="G3" s="119"/>
      <c r="H3" s="119"/>
      <c r="I3" s="119"/>
      <c r="J3" s="39"/>
      <c r="N3" s="120" t="s">
        <v>26</v>
      </c>
      <c r="O3" s="120"/>
      <c r="P3" s="120"/>
      <c r="Q3" s="120"/>
      <c r="R3" s="120"/>
      <c r="S3" s="120"/>
      <c r="T3" s="120"/>
      <c r="U3" s="120"/>
      <c r="V3" s="120"/>
      <c r="W3" s="120"/>
      <c r="X3" s="120"/>
      <c r="Z3" s="120" t="s">
        <v>34</v>
      </c>
      <c r="AA3" s="120"/>
      <c r="AB3" s="120"/>
      <c r="AC3" s="120"/>
      <c r="AD3" s="120"/>
      <c r="AE3" s="120"/>
    </row>
    <row r="4" spans="1:31" x14ac:dyDescent="0.25">
      <c r="A4" s="6"/>
      <c r="B4" s="4" t="s">
        <v>4</v>
      </c>
      <c r="C4" s="1" t="s">
        <v>0</v>
      </c>
      <c r="D4" s="1" t="s">
        <v>1</v>
      </c>
      <c r="E4" s="6"/>
      <c r="F4" s="6"/>
      <c r="G4" s="4" t="s">
        <v>4</v>
      </c>
      <c r="H4" s="1" t="s">
        <v>0</v>
      </c>
      <c r="I4" s="1" t="s">
        <v>1</v>
      </c>
      <c r="J4" s="40"/>
      <c r="N4" s="4" t="s">
        <v>15</v>
      </c>
      <c r="O4" s="4" t="s">
        <v>16</v>
      </c>
      <c r="P4" s="4" t="s">
        <v>17</v>
      </c>
      <c r="Q4" s="4" t="s">
        <v>18</v>
      </c>
      <c r="R4" s="4" t="s">
        <v>19</v>
      </c>
      <c r="S4" s="4" t="s">
        <v>20</v>
      </c>
      <c r="T4" s="4" t="s">
        <v>21</v>
      </c>
      <c r="U4" s="4" t="s">
        <v>22</v>
      </c>
      <c r="V4" s="4" t="s">
        <v>23</v>
      </c>
      <c r="W4" s="4" t="s">
        <v>24</v>
      </c>
      <c r="X4" s="4" t="s">
        <v>25</v>
      </c>
      <c r="Z4" s="4" t="s">
        <v>35</v>
      </c>
      <c r="AA4" s="4" t="s">
        <v>36</v>
      </c>
      <c r="AB4" s="4" t="s">
        <v>37</v>
      </c>
      <c r="AC4" s="4" t="s">
        <v>38</v>
      </c>
      <c r="AD4" s="4" t="s">
        <v>39</v>
      </c>
      <c r="AE4" s="4" t="s">
        <v>40</v>
      </c>
    </row>
    <row r="5" spans="1:31" x14ac:dyDescent="0.25">
      <c r="A5" s="7">
        <v>2000</v>
      </c>
      <c r="B5" s="2">
        <v>3501</v>
      </c>
      <c r="C5" s="15">
        <f>(D5*10)/B5</f>
        <v>33.758926021136816</v>
      </c>
      <c r="D5" s="2">
        <v>11819</v>
      </c>
      <c r="F5" s="7">
        <v>2000</v>
      </c>
      <c r="G5" s="2">
        <v>4968</v>
      </c>
      <c r="H5" s="15">
        <f>(I5*10)/G5</f>
        <v>21.280193236714975</v>
      </c>
      <c r="I5" s="2">
        <v>10572</v>
      </c>
      <c r="J5" s="2">
        <f>B5+G5</f>
        <v>8469</v>
      </c>
      <c r="K5" s="17">
        <f>G5/J5</f>
        <v>0.58660998937300746</v>
      </c>
      <c r="L5" s="7">
        <v>2000</v>
      </c>
      <c r="M5" s="7">
        <v>1</v>
      </c>
      <c r="N5" s="81">
        <v>5747</v>
      </c>
      <c r="O5" s="81">
        <v>25</v>
      </c>
      <c r="P5" s="81">
        <v>126</v>
      </c>
      <c r="Q5" s="81">
        <v>3638</v>
      </c>
      <c r="R5" s="81"/>
      <c r="S5" s="81">
        <v>1695</v>
      </c>
      <c r="T5" s="81">
        <v>69</v>
      </c>
      <c r="U5" s="81">
        <v>159900</v>
      </c>
      <c r="V5" s="81">
        <v>320000</v>
      </c>
      <c r="W5" s="81">
        <v>5500</v>
      </c>
      <c r="X5" s="81">
        <v>6400</v>
      </c>
    </row>
    <row r="6" spans="1:31" x14ac:dyDescent="0.25">
      <c r="A6" s="7">
        <v>2001</v>
      </c>
      <c r="B6" s="2">
        <v>2528</v>
      </c>
      <c r="C6" s="15">
        <f t="shared" ref="C6:C19" si="0">(D6*10)/B6</f>
        <v>33.393987341772153</v>
      </c>
      <c r="D6" s="2">
        <v>8442</v>
      </c>
      <c r="F6" s="7">
        <v>2001</v>
      </c>
      <c r="G6" s="2">
        <v>5234</v>
      </c>
      <c r="H6" s="15">
        <f t="shared" ref="H6:H19" si="1">(I6*10)/G6</f>
        <v>21.352693924340848</v>
      </c>
      <c r="I6" s="2">
        <v>11176</v>
      </c>
      <c r="J6" s="2">
        <f t="shared" ref="J6:J19" si="2">B6+G6</f>
        <v>7762</v>
      </c>
      <c r="K6" s="17">
        <f>G6/J6</f>
        <v>0.67431074465343988</v>
      </c>
      <c r="L6" s="7">
        <v>2001</v>
      </c>
      <c r="M6" s="7">
        <v>2</v>
      </c>
      <c r="N6" s="81">
        <v>5808</v>
      </c>
      <c r="O6" s="81">
        <v>23</v>
      </c>
      <c r="P6" s="81">
        <v>128</v>
      </c>
      <c r="Q6" s="81">
        <v>3675</v>
      </c>
      <c r="R6" s="83">
        <v>0</v>
      </c>
      <c r="S6" s="81">
        <v>1799</v>
      </c>
      <c r="T6" s="81">
        <v>71</v>
      </c>
      <c r="U6" s="81">
        <v>115100</v>
      </c>
      <c r="V6" s="81">
        <v>350100</v>
      </c>
      <c r="W6" s="81">
        <v>3500</v>
      </c>
      <c r="X6" s="81">
        <v>7200</v>
      </c>
    </row>
    <row r="7" spans="1:31" x14ac:dyDescent="0.25">
      <c r="A7" s="7">
        <v>2002</v>
      </c>
      <c r="B7" s="2">
        <v>2387</v>
      </c>
      <c r="C7" s="15">
        <f t="shared" si="0"/>
        <v>31.981566820276498</v>
      </c>
      <c r="D7" s="2">
        <v>7634</v>
      </c>
      <c r="F7" s="7">
        <v>2002</v>
      </c>
      <c r="G7" s="2">
        <v>6243</v>
      </c>
      <c r="H7" s="15">
        <f t="shared" si="1"/>
        <v>21.877302578888354</v>
      </c>
      <c r="I7" s="2">
        <v>13658</v>
      </c>
      <c r="J7" s="2">
        <f t="shared" si="2"/>
        <v>8630</v>
      </c>
      <c r="K7" s="17">
        <f t="shared" ref="K7:K19" si="3">G7/J7</f>
        <v>0.72340672074159906</v>
      </c>
      <c r="L7" s="7">
        <v>2002</v>
      </c>
      <c r="M7" s="7">
        <v>3</v>
      </c>
      <c r="N7" s="81">
        <v>6113</v>
      </c>
      <c r="O7" s="81">
        <v>24</v>
      </c>
      <c r="P7" s="81">
        <v>135</v>
      </c>
      <c r="Q7" s="81">
        <v>3828</v>
      </c>
      <c r="R7" s="83">
        <v>0</v>
      </c>
      <c r="S7" s="81">
        <v>2071</v>
      </c>
      <c r="T7" s="81">
        <v>74</v>
      </c>
      <c r="U7" s="81">
        <v>118300</v>
      </c>
      <c r="V7" s="81">
        <v>50100</v>
      </c>
      <c r="W7" s="81">
        <v>2500</v>
      </c>
      <c r="X7" s="81">
        <v>7200</v>
      </c>
    </row>
    <row r="8" spans="1:31" x14ac:dyDescent="0.25">
      <c r="A8" s="7">
        <v>2003</v>
      </c>
      <c r="B8" s="2">
        <v>3032</v>
      </c>
      <c r="C8" s="15">
        <f t="shared" si="0"/>
        <v>32.371372031662268</v>
      </c>
      <c r="D8" s="2">
        <v>9815</v>
      </c>
      <c r="F8" s="7">
        <v>2003</v>
      </c>
      <c r="G8" s="2">
        <v>6375</v>
      </c>
      <c r="H8" s="15">
        <f t="shared" si="1"/>
        <v>21.802352941176469</v>
      </c>
      <c r="I8" s="2">
        <v>13899</v>
      </c>
      <c r="J8" s="2">
        <f t="shared" si="2"/>
        <v>9407</v>
      </c>
      <c r="K8" s="17">
        <f t="shared" si="3"/>
        <v>0.67768682895715959</v>
      </c>
      <c r="L8" s="7">
        <v>2003</v>
      </c>
      <c r="M8" s="7">
        <v>4</v>
      </c>
      <c r="N8" s="81">
        <v>6235</v>
      </c>
      <c r="O8" s="83">
        <v>0</v>
      </c>
      <c r="P8" s="81">
        <v>135</v>
      </c>
      <c r="Q8" s="81">
        <v>3866</v>
      </c>
      <c r="R8" s="83">
        <v>0</v>
      </c>
      <c r="S8" s="81">
        <v>2112</v>
      </c>
      <c r="T8" s="81">
        <v>74</v>
      </c>
      <c r="U8" s="81">
        <v>120700</v>
      </c>
      <c r="V8" s="81">
        <v>67600</v>
      </c>
      <c r="W8" s="81">
        <v>8200</v>
      </c>
      <c r="X8" s="81">
        <v>7900</v>
      </c>
    </row>
    <row r="9" spans="1:31" x14ac:dyDescent="0.25">
      <c r="A9" s="7">
        <v>2004</v>
      </c>
      <c r="B9" s="2">
        <v>3102</v>
      </c>
      <c r="C9" s="15">
        <f t="shared" si="0"/>
        <v>32.411347517730498</v>
      </c>
      <c r="D9" s="2">
        <v>10054</v>
      </c>
      <c r="F9" s="7">
        <v>2004</v>
      </c>
      <c r="G9" s="2">
        <v>7610</v>
      </c>
      <c r="H9" s="15">
        <f t="shared" si="1"/>
        <v>22.532194480946124</v>
      </c>
      <c r="I9" s="2">
        <v>17147</v>
      </c>
      <c r="J9" s="2">
        <f t="shared" si="2"/>
        <v>10712</v>
      </c>
      <c r="K9" s="17">
        <f t="shared" si="3"/>
        <v>0.71041822255414488</v>
      </c>
      <c r="L9" s="7">
        <v>2004</v>
      </c>
      <c r="M9" s="7">
        <v>5</v>
      </c>
      <c r="N9" s="81">
        <v>6499</v>
      </c>
      <c r="O9" s="83">
        <v>0</v>
      </c>
      <c r="P9" s="81">
        <v>140</v>
      </c>
      <c r="Q9" s="81">
        <v>4309</v>
      </c>
      <c r="R9" s="83">
        <v>0</v>
      </c>
      <c r="S9" s="81">
        <v>2282</v>
      </c>
      <c r="T9" s="81">
        <v>74</v>
      </c>
      <c r="U9" s="82">
        <v>138400</v>
      </c>
      <c r="V9" s="82">
        <v>522000</v>
      </c>
      <c r="W9" s="82">
        <v>9800</v>
      </c>
      <c r="X9" s="82">
        <v>10200</v>
      </c>
    </row>
    <row r="10" spans="1:31" x14ac:dyDescent="0.25">
      <c r="A10" s="7">
        <v>2005</v>
      </c>
      <c r="B10" s="2">
        <v>3414</v>
      </c>
      <c r="C10" s="15">
        <f t="shared" si="0"/>
        <v>31.959578207381369</v>
      </c>
      <c r="D10" s="2">
        <v>10911</v>
      </c>
      <c r="F10" s="7">
        <v>2005</v>
      </c>
      <c r="G10" s="2">
        <v>7362</v>
      </c>
      <c r="H10" s="15">
        <f t="shared" si="1"/>
        <v>22.95300190165716</v>
      </c>
      <c r="I10" s="2">
        <v>16898</v>
      </c>
      <c r="J10" s="2">
        <f t="shared" si="2"/>
        <v>10776</v>
      </c>
      <c r="K10" s="17">
        <f t="shared" si="3"/>
        <v>0.68318485523385297</v>
      </c>
      <c r="L10" s="7">
        <v>2005</v>
      </c>
      <c r="M10" s="7">
        <v>6</v>
      </c>
      <c r="N10" s="83">
        <v>6532</v>
      </c>
      <c r="O10" s="83">
        <v>0</v>
      </c>
      <c r="P10" s="83">
        <v>108</v>
      </c>
      <c r="Q10" s="83">
        <v>4331</v>
      </c>
      <c r="R10" s="83">
        <v>0</v>
      </c>
      <c r="S10" s="83">
        <v>2230</v>
      </c>
      <c r="T10" s="83">
        <v>42</v>
      </c>
      <c r="U10" s="83">
        <v>207700</v>
      </c>
      <c r="V10" s="83">
        <v>620400</v>
      </c>
      <c r="W10" s="83">
        <v>3100</v>
      </c>
      <c r="X10" s="83">
        <v>10500</v>
      </c>
    </row>
    <row r="11" spans="1:31" x14ac:dyDescent="0.25">
      <c r="A11" s="7">
        <v>2006</v>
      </c>
      <c r="B11" s="2">
        <v>3394</v>
      </c>
      <c r="C11" s="15">
        <f t="shared" si="0"/>
        <v>30.291691219799645</v>
      </c>
      <c r="D11" s="2">
        <v>10281</v>
      </c>
      <c r="F11" s="7">
        <v>2006</v>
      </c>
      <c r="G11" s="2">
        <v>7414</v>
      </c>
      <c r="H11" s="15">
        <f t="shared" si="1"/>
        <v>24.711356892365796</v>
      </c>
      <c r="I11" s="2">
        <v>18321</v>
      </c>
      <c r="J11" s="2">
        <f t="shared" si="2"/>
        <v>10808</v>
      </c>
      <c r="K11" s="17">
        <f t="shared" si="3"/>
        <v>0.68597335307179863</v>
      </c>
      <c r="L11" s="7">
        <v>2006</v>
      </c>
      <c r="M11" s="7">
        <v>7</v>
      </c>
      <c r="N11" s="83">
        <v>6700</v>
      </c>
      <c r="O11" s="83">
        <v>0</v>
      </c>
      <c r="P11" s="83">
        <v>115</v>
      </c>
      <c r="Q11" s="83">
        <v>4472</v>
      </c>
      <c r="R11" s="83">
        <v>0</v>
      </c>
      <c r="S11" s="83">
        <v>2245</v>
      </c>
      <c r="T11" s="83">
        <v>42</v>
      </c>
      <c r="U11" s="83">
        <v>218200</v>
      </c>
      <c r="V11" s="83">
        <v>620400</v>
      </c>
      <c r="W11" s="83">
        <v>3100</v>
      </c>
      <c r="X11" s="83">
        <v>10300</v>
      </c>
    </row>
    <row r="12" spans="1:31" x14ac:dyDescent="0.25">
      <c r="A12" s="7">
        <v>2007</v>
      </c>
      <c r="B12" s="2">
        <v>4135</v>
      </c>
      <c r="C12" s="15">
        <f t="shared" si="0"/>
        <v>33.881499395405079</v>
      </c>
      <c r="D12" s="2">
        <v>14010</v>
      </c>
      <c r="F12" s="7">
        <v>2007</v>
      </c>
      <c r="G12" s="2">
        <v>7106</v>
      </c>
      <c r="H12" s="15">
        <f t="shared" si="1"/>
        <v>24.069800168871378</v>
      </c>
      <c r="I12" s="2">
        <v>17104</v>
      </c>
      <c r="J12" s="2">
        <f t="shared" si="2"/>
        <v>11241</v>
      </c>
      <c r="K12" s="17">
        <f t="shared" si="3"/>
        <v>0.63215016457610529</v>
      </c>
      <c r="L12" s="7">
        <v>2007</v>
      </c>
      <c r="M12" s="7">
        <v>8</v>
      </c>
      <c r="N12" s="83">
        <v>7847</v>
      </c>
      <c r="O12" s="83">
        <v>0</v>
      </c>
      <c r="P12" s="83">
        <v>107</v>
      </c>
      <c r="Q12" s="83">
        <v>5297</v>
      </c>
      <c r="R12" s="83">
        <v>0</v>
      </c>
      <c r="S12" s="83">
        <v>2618</v>
      </c>
      <c r="T12" s="83">
        <v>42</v>
      </c>
      <c r="U12" s="83">
        <v>251900</v>
      </c>
      <c r="V12" s="83">
        <v>682800</v>
      </c>
      <c r="W12" s="83">
        <v>5200</v>
      </c>
      <c r="X12" s="83">
        <v>10900</v>
      </c>
    </row>
    <row r="13" spans="1:31" x14ac:dyDescent="0.25">
      <c r="A13" s="7">
        <v>2008</v>
      </c>
      <c r="B13" s="2">
        <v>4291</v>
      </c>
      <c r="C13" s="15">
        <f t="shared" si="0"/>
        <v>34.270000000000003</v>
      </c>
      <c r="D13" s="2">
        <v>14705.257000000001</v>
      </c>
      <c r="F13" s="7">
        <v>2008</v>
      </c>
      <c r="G13" s="2">
        <v>6033</v>
      </c>
      <c r="H13" s="15">
        <f t="shared" si="1"/>
        <v>24.699154649428145</v>
      </c>
      <c r="I13" s="2">
        <v>14901</v>
      </c>
      <c r="J13" s="2">
        <f t="shared" si="2"/>
        <v>10324</v>
      </c>
      <c r="K13" s="17">
        <f t="shared" si="3"/>
        <v>0.58436652460286709</v>
      </c>
      <c r="L13" s="7">
        <v>2008</v>
      </c>
      <c r="M13" s="7">
        <v>9</v>
      </c>
      <c r="N13" s="83">
        <v>9171</v>
      </c>
      <c r="O13" s="83">
        <v>0</v>
      </c>
      <c r="P13" s="83">
        <v>107</v>
      </c>
      <c r="Q13" s="83">
        <v>5297</v>
      </c>
      <c r="R13" s="83">
        <v>0</v>
      </c>
      <c r="S13" s="83">
        <v>2618</v>
      </c>
      <c r="T13" s="83">
        <v>42</v>
      </c>
      <c r="U13" s="83">
        <v>251992</v>
      </c>
      <c r="V13" s="83">
        <v>682800</v>
      </c>
      <c r="W13" s="83">
        <v>15250</v>
      </c>
      <c r="X13" s="83">
        <v>10972</v>
      </c>
    </row>
    <row r="14" spans="1:31" x14ac:dyDescent="0.25">
      <c r="A14" s="7">
        <v>2009</v>
      </c>
      <c r="B14" s="2">
        <v>3522</v>
      </c>
      <c r="C14" s="15">
        <f t="shared" si="0"/>
        <v>34.437819420783647</v>
      </c>
      <c r="D14" s="2">
        <v>12129</v>
      </c>
      <c r="F14" s="7">
        <v>2009</v>
      </c>
      <c r="G14" s="2">
        <v>5127</v>
      </c>
      <c r="H14" s="15">
        <f t="shared" si="1"/>
        <v>24.757167934464601</v>
      </c>
      <c r="I14" s="2">
        <v>12693</v>
      </c>
      <c r="J14" s="2">
        <f t="shared" si="2"/>
        <v>8649</v>
      </c>
      <c r="K14" s="17">
        <f t="shared" si="3"/>
        <v>0.59278529309746797</v>
      </c>
      <c r="L14" s="7">
        <v>2009</v>
      </c>
      <c r="M14" s="7">
        <v>10</v>
      </c>
      <c r="N14" s="83">
        <v>9869</v>
      </c>
      <c r="O14" s="83">
        <v>0</v>
      </c>
      <c r="P14" s="83">
        <v>125</v>
      </c>
      <c r="Q14" s="83">
        <v>7607</v>
      </c>
      <c r="R14" s="83">
        <v>0</v>
      </c>
      <c r="S14" s="83">
        <v>1618</v>
      </c>
      <c r="T14" s="83">
        <v>48</v>
      </c>
      <c r="U14" s="83">
        <v>243090</v>
      </c>
      <c r="V14" s="83">
        <v>1611388</v>
      </c>
      <c r="W14" s="83">
        <v>24000</v>
      </c>
      <c r="X14" s="83">
        <v>23042</v>
      </c>
      <c r="Y14" s="2">
        <v>1</v>
      </c>
      <c r="Z14" s="2">
        <v>305</v>
      </c>
      <c r="AA14" s="2">
        <v>276</v>
      </c>
      <c r="AB14" s="2">
        <v>177</v>
      </c>
      <c r="AC14" s="2">
        <v>397</v>
      </c>
      <c r="AD14" s="2">
        <v>449</v>
      </c>
      <c r="AE14" s="2">
        <v>97</v>
      </c>
    </row>
    <row r="15" spans="1:31" x14ac:dyDescent="0.25">
      <c r="A15" s="7">
        <v>2010</v>
      </c>
      <c r="B15" s="2">
        <v>5059</v>
      </c>
      <c r="C15" s="15">
        <f t="shared" si="0"/>
        <v>35.516900573235816</v>
      </c>
      <c r="D15" s="2">
        <v>17968</v>
      </c>
      <c r="F15" s="7">
        <v>2010</v>
      </c>
      <c r="G15" s="2">
        <v>8330</v>
      </c>
      <c r="H15" s="15">
        <f t="shared" si="1"/>
        <v>24.887154861944779</v>
      </c>
      <c r="I15" s="2">
        <v>20731</v>
      </c>
      <c r="J15" s="2">
        <f t="shared" si="2"/>
        <v>13389</v>
      </c>
      <c r="K15" s="17">
        <f t="shared" si="3"/>
        <v>0.62215251325715137</v>
      </c>
      <c r="L15" s="7">
        <v>2010</v>
      </c>
      <c r="M15" s="7">
        <v>11</v>
      </c>
      <c r="N15" s="90">
        <v>10972</v>
      </c>
      <c r="O15" s="83">
        <v>0</v>
      </c>
      <c r="P15" s="90">
        <v>171</v>
      </c>
      <c r="Q15" s="90">
        <v>5830</v>
      </c>
      <c r="R15" s="83">
        <v>0</v>
      </c>
      <c r="S15" s="90">
        <v>1968</v>
      </c>
      <c r="T15" s="90">
        <v>48</v>
      </c>
      <c r="U15" s="47">
        <v>396341</v>
      </c>
      <c r="V15" s="47">
        <v>1509575</v>
      </c>
      <c r="W15" s="47">
        <v>13451</v>
      </c>
      <c r="X15" s="47">
        <v>37347</v>
      </c>
      <c r="Y15" s="10">
        <v>2</v>
      </c>
      <c r="Z15" s="10">
        <v>646</v>
      </c>
      <c r="AA15" s="10">
        <v>316</v>
      </c>
      <c r="AB15" s="10">
        <v>188</v>
      </c>
      <c r="AC15" s="10">
        <v>418</v>
      </c>
      <c r="AD15" s="10">
        <v>472</v>
      </c>
      <c r="AE15" s="10">
        <v>121</v>
      </c>
    </row>
    <row r="16" spans="1:31" x14ac:dyDescent="0.25">
      <c r="A16" s="7">
        <v>2011</v>
      </c>
      <c r="B16" s="2">
        <v>4456</v>
      </c>
      <c r="C16" s="15">
        <f t="shared" si="0"/>
        <v>37.16113105924596</v>
      </c>
      <c r="D16" s="2">
        <v>16559</v>
      </c>
      <c r="F16" s="7">
        <v>2011</v>
      </c>
      <c r="G16" s="2">
        <v>5446</v>
      </c>
      <c r="H16" s="15">
        <f t="shared" si="1"/>
        <v>24.32611090708777</v>
      </c>
      <c r="I16" s="2">
        <v>13248</v>
      </c>
      <c r="J16" s="2">
        <f t="shared" si="2"/>
        <v>9902</v>
      </c>
      <c r="K16" s="17">
        <f t="shared" si="3"/>
        <v>0.54998990103009493</v>
      </c>
      <c r="L16" s="7">
        <v>2011</v>
      </c>
      <c r="M16" s="7">
        <v>12</v>
      </c>
      <c r="N16" s="90">
        <v>8426</v>
      </c>
      <c r="O16" s="83">
        <v>0</v>
      </c>
      <c r="P16" s="90">
        <v>141</v>
      </c>
      <c r="Q16" s="90">
        <v>7163</v>
      </c>
      <c r="R16" s="90">
        <v>13</v>
      </c>
      <c r="S16" s="90">
        <v>2063</v>
      </c>
      <c r="T16" s="90">
        <v>46</v>
      </c>
      <c r="U16" s="47">
        <v>173405</v>
      </c>
      <c r="V16" s="47">
        <v>1748238</v>
      </c>
      <c r="W16" s="47">
        <v>30225</v>
      </c>
      <c r="X16" s="47">
        <v>16415</v>
      </c>
      <c r="Y16" s="10">
        <v>3</v>
      </c>
      <c r="Z16" s="10">
        <v>607</v>
      </c>
      <c r="AA16" s="10">
        <v>267</v>
      </c>
      <c r="AB16" s="10">
        <v>170</v>
      </c>
      <c r="AC16" s="10">
        <v>304</v>
      </c>
      <c r="AD16" s="10">
        <v>384</v>
      </c>
      <c r="AE16" s="10">
        <v>102</v>
      </c>
    </row>
    <row r="17" spans="1:31" x14ac:dyDescent="0.25">
      <c r="A17" s="7">
        <v>2012</v>
      </c>
      <c r="B17" s="2">
        <v>4343</v>
      </c>
      <c r="C17" s="15">
        <f t="shared" si="0"/>
        <v>38.765830071379234</v>
      </c>
      <c r="D17" s="2">
        <v>16836</v>
      </c>
      <c r="F17" s="7">
        <v>2012</v>
      </c>
      <c r="G17" s="2">
        <v>7508</v>
      </c>
      <c r="H17" s="15">
        <f t="shared" si="1"/>
        <v>24.700319659030367</v>
      </c>
      <c r="I17" s="2">
        <v>18545</v>
      </c>
      <c r="J17" s="2">
        <f t="shared" si="2"/>
        <v>11851</v>
      </c>
      <c r="K17" s="17">
        <f t="shared" si="3"/>
        <v>0.63353303518690407</v>
      </c>
      <c r="L17" s="7">
        <v>2012</v>
      </c>
      <c r="M17" s="7">
        <v>13</v>
      </c>
      <c r="N17" s="90">
        <v>9763</v>
      </c>
      <c r="O17" s="83">
        <v>0</v>
      </c>
      <c r="P17" s="90">
        <v>161</v>
      </c>
      <c r="Q17" s="90">
        <v>5757</v>
      </c>
      <c r="R17" s="90">
        <v>23</v>
      </c>
      <c r="S17" s="90">
        <v>1911</v>
      </c>
      <c r="T17" s="90">
        <v>42</v>
      </c>
      <c r="U17" s="47">
        <v>133647</v>
      </c>
      <c r="V17" s="47">
        <v>2335500</v>
      </c>
      <c r="W17" s="47">
        <v>28951</v>
      </c>
      <c r="X17" s="47">
        <v>10197</v>
      </c>
      <c r="Y17" s="10">
        <v>4</v>
      </c>
      <c r="Z17" s="10">
        <v>1037</v>
      </c>
      <c r="AA17" s="10">
        <v>267</v>
      </c>
      <c r="AB17" s="10">
        <v>157</v>
      </c>
      <c r="AC17" s="10">
        <v>313</v>
      </c>
      <c r="AD17" s="10">
        <v>278</v>
      </c>
      <c r="AE17" s="10">
        <v>92</v>
      </c>
    </row>
    <row r="18" spans="1:31" x14ac:dyDescent="0.25">
      <c r="A18" s="7">
        <v>2013</v>
      </c>
      <c r="B18" s="2">
        <v>5911</v>
      </c>
      <c r="C18" s="15">
        <f t="shared" si="0"/>
        <v>40.752833699881577</v>
      </c>
      <c r="D18" s="2">
        <v>24089</v>
      </c>
      <c r="F18" s="7">
        <v>2013</v>
      </c>
      <c r="G18" s="2">
        <v>8371</v>
      </c>
      <c r="H18" s="15">
        <f t="shared" si="1"/>
        <v>24.712698602317523</v>
      </c>
      <c r="I18" s="2">
        <v>20687</v>
      </c>
      <c r="J18" s="2">
        <f t="shared" si="2"/>
        <v>14282</v>
      </c>
      <c r="K18" s="17">
        <f t="shared" si="3"/>
        <v>0.58612239182187365</v>
      </c>
      <c r="L18" s="7">
        <v>2013</v>
      </c>
      <c r="M18" s="7">
        <v>14</v>
      </c>
      <c r="N18" s="83">
        <v>11573</v>
      </c>
      <c r="O18" s="83">
        <v>0</v>
      </c>
      <c r="P18" s="83">
        <v>212</v>
      </c>
      <c r="Q18" s="83">
        <v>5744</v>
      </c>
      <c r="R18" s="83">
        <v>0</v>
      </c>
      <c r="S18" s="83">
        <v>2609</v>
      </c>
      <c r="T18" s="83">
        <v>13</v>
      </c>
      <c r="U18" s="83">
        <v>148411</v>
      </c>
      <c r="V18" s="83">
        <v>1721658</v>
      </c>
      <c r="W18" s="83">
        <v>30358</v>
      </c>
      <c r="X18" s="83">
        <v>18880</v>
      </c>
      <c r="Y18" s="10">
        <v>5</v>
      </c>
      <c r="Z18" s="2">
        <v>630</v>
      </c>
      <c r="AA18" s="2">
        <v>295</v>
      </c>
      <c r="AB18" s="2">
        <v>141</v>
      </c>
      <c r="AC18" s="2">
        <v>287</v>
      </c>
      <c r="AD18" s="2">
        <v>376</v>
      </c>
      <c r="AE18" s="2">
        <v>93</v>
      </c>
    </row>
    <row r="19" spans="1:31" x14ac:dyDescent="0.25">
      <c r="A19" s="7">
        <v>2014</v>
      </c>
      <c r="B19" s="2">
        <v>5225</v>
      </c>
      <c r="C19" s="15">
        <f t="shared" si="0"/>
        <v>42.323444976076559</v>
      </c>
      <c r="D19" s="2">
        <v>22114</v>
      </c>
      <c r="F19" s="7">
        <v>2014</v>
      </c>
      <c r="G19" s="2">
        <v>8523</v>
      </c>
      <c r="H19" s="15">
        <f t="shared" si="1"/>
        <v>24.707262700926904</v>
      </c>
      <c r="I19" s="2">
        <v>21058</v>
      </c>
      <c r="J19" s="2">
        <f t="shared" si="2"/>
        <v>13748</v>
      </c>
      <c r="K19" s="17">
        <f t="shared" si="3"/>
        <v>0.61994471923188832</v>
      </c>
      <c r="L19" s="7">
        <v>2014</v>
      </c>
      <c r="M19" s="7">
        <v>15</v>
      </c>
      <c r="N19" s="83">
        <v>12580</v>
      </c>
      <c r="O19" s="83">
        <v>0</v>
      </c>
      <c r="P19" s="83">
        <v>289</v>
      </c>
      <c r="Q19" s="83">
        <v>7766</v>
      </c>
      <c r="R19" s="90">
        <v>5</v>
      </c>
      <c r="S19" s="83">
        <v>2659</v>
      </c>
      <c r="T19" s="83">
        <v>16</v>
      </c>
      <c r="U19" s="83">
        <v>256414</v>
      </c>
      <c r="V19" s="83">
        <v>1452032</v>
      </c>
      <c r="W19" s="83">
        <v>64036</v>
      </c>
      <c r="X19" s="83">
        <v>43395</v>
      </c>
      <c r="Y19" s="10">
        <v>6</v>
      </c>
      <c r="Z19" s="2">
        <v>1545</v>
      </c>
      <c r="AA19" s="2">
        <v>302</v>
      </c>
      <c r="AB19" s="2">
        <v>131</v>
      </c>
      <c r="AC19" s="2">
        <v>330</v>
      </c>
      <c r="AD19" s="2">
        <v>401</v>
      </c>
      <c r="AE19" s="2">
        <v>87</v>
      </c>
    </row>
    <row r="20" spans="1:31" x14ac:dyDescent="0.25">
      <c r="A20" s="21">
        <v>2015</v>
      </c>
      <c r="B20" s="2">
        <v>4944</v>
      </c>
      <c r="C20" s="15">
        <f>(D20*10)/B20</f>
        <v>42.326051779935277</v>
      </c>
      <c r="D20" s="28">
        <v>20926</v>
      </c>
      <c r="F20" s="7">
        <v>2015</v>
      </c>
      <c r="G20" s="2">
        <v>7912</v>
      </c>
      <c r="I20" s="30">
        <v>16515</v>
      </c>
      <c r="J20" s="2">
        <f>J19*1.0229</f>
        <v>14062.829199999998</v>
      </c>
      <c r="K20" s="15"/>
      <c r="L20" s="7">
        <v>2015</v>
      </c>
      <c r="M20" s="7">
        <v>16</v>
      </c>
      <c r="N20" s="83">
        <v>13120</v>
      </c>
      <c r="O20" s="83">
        <v>0</v>
      </c>
      <c r="P20" s="83">
        <v>377</v>
      </c>
      <c r="Q20" s="83">
        <v>8968</v>
      </c>
      <c r="R20" s="83">
        <v>6</v>
      </c>
      <c r="S20" s="83">
        <v>2783</v>
      </c>
      <c r="T20" s="83">
        <v>16</v>
      </c>
      <c r="U20" s="83">
        <v>276362</v>
      </c>
      <c r="V20" s="83">
        <v>2210788</v>
      </c>
      <c r="W20" s="83">
        <v>47700</v>
      </c>
      <c r="X20" s="83">
        <v>32463</v>
      </c>
      <c r="Y20" s="10">
        <v>7</v>
      </c>
      <c r="Z20" s="10">
        <v>1072</v>
      </c>
      <c r="AA20" s="10">
        <v>249</v>
      </c>
      <c r="AB20" s="10">
        <v>95</v>
      </c>
      <c r="AC20" s="10">
        <v>262</v>
      </c>
      <c r="AD20" s="10">
        <v>574</v>
      </c>
      <c r="AE20" s="10">
        <v>60</v>
      </c>
    </row>
    <row r="21" spans="1:31" x14ac:dyDescent="0.25">
      <c r="A21" s="7">
        <v>2016</v>
      </c>
      <c r="B21" s="96">
        <f>J21-G21</f>
        <v>5214.3849352504731</v>
      </c>
      <c r="C21" s="15">
        <f>(D21*10)/B21</f>
        <v>0</v>
      </c>
      <c r="E21" s="2"/>
      <c r="F21" s="7">
        <v>2016</v>
      </c>
      <c r="G21" s="96">
        <f>J21*$K$36</f>
        <v>9170.4830534295234</v>
      </c>
      <c r="I21" s="15"/>
      <c r="J21" s="2">
        <f>J20*1.0229</f>
        <v>14384.867988679996</v>
      </c>
      <c r="K21" s="2"/>
      <c r="L21" s="7">
        <v>2016</v>
      </c>
      <c r="M21" s="7">
        <v>17</v>
      </c>
      <c r="N21" s="103">
        <v>14306</v>
      </c>
      <c r="P21" s="96">
        <f>10.722*M21+69.925</f>
        <v>252.19900000000001</v>
      </c>
      <c r="Q21" s="96">
        <f>306.04*M21+2870.4</f>
        <v>8073.08</v>
      </c>
      <c r="S21" s="96">
        <f>39.537*M21+1869</f>
        <v>2541.1289999999999</v>
      </c>
      <c r="T21" s="2"/>
      <c r="U21" s="96">
        <f>7786.4*M21+134432</f>
        <v>266800.8</v>
      </c>
      <c r="V21" s="96">
        <f>143364*M21+187010</f>
        <v>2624198</v>
      </c>
      <c r="W21" s="96">
        <f>3206.8*M21-8828.6</f>
        <v>45687.000000000007</v>
      </c>
      <c r="X21" s="96">
        <f>1803.9*M21+1123.6</f>
        <v>31789.9</v>
      </c>
      <c r="Y21" s="10">
        <v>8</v>
      </c>
      <c r="Z21" s="2"/>
      <c r="AA21" s="2"/>
      <c r="AB21" s="2"/>
      <c r="AC21" s="2"/>
      <c r="AD21" s="96">
        <f>20.512*Y21^2-156.06*Y21+633.14</f>
        <v>697.428</v>
      </c>
      <c r="AE21" s="30"/>
    </row>
    <row r="22" spans="1:31" x14ac:dyDescent="0.25">
      <c r="A22" s="7">
        <v>2017</v>
      </c>
      <c r="B22" s="96">
        <f t="shared" ref="B22:B34" si="4">J22-G22</f>
        <v>5333.7943502677081</v>
      </c>
      <c r="C22" s="15">
        <f t="shared" ref="C22:C25" si="5">(D22*10)/B22</f>
        <v>0</v>
      </c>
      <c r="E22" s="2"/>
      <c r="F22" s="7">
        <v>2017</v>
      </c>
      <c r="G22" s="96">
        <f t="shared" ref="G22:G35" si="6">J22*$K$36</f>
        <v>9380.4871153530585</v>
      </c>
      <c r="I22" s="15"/>
      <c r="J22" s="2">
        <f t="shared" ref="J22:J34" si="7">J21*1.0229</f>
        <v>14714.281465620767</v>
      </c>
      <c r="K22" s="2"/>
      <c r="L22" s="7">
        <v>2017</v>
      </c>
      <c r="M22" s="7">
        <v>18</v>
      </c>
      <c r="N22" s="103">
        <v>16371.558532770023</v>
      </c>
      <c r="P22" s="96">
        <f t="shared" ref="P22:P35" si="8">10.722*M22+69.925</f>
        <v>262.92099999999999</v>
      </c>
      <c r="Q22" s="96">
        <f t="shared" ref="Q22:Q35" si="9">306.04*M22+2870.4</f>
        <v>8379.1200000000008</v>
      </c>
      <c r="S22" s="96">
        <f t="shared" ref="S22:S35" si="10">39.537*M22+1869</f>
        <v>2580.6660000000002</v>
      </c>
      <c r="T22" s="2"/>
      <c r="U22" s="96">
        <f t="shared" ref="U22:U35" si="11">7786.4*M22+134432</f>
        <v>274587.19999999995</v>
      </c>
      <c r="V22" s="96">
        <f t="shared" ref="V22:V35" si="12">143364*M22+187010</f>
        <v>2767562</v>
      </c>
      <c r="W22" s="96">
        <f t="shared" ref="W22:W35" si="13">3206.8*M22-8828.6</f>
        <v>48893.8</v>
      </c>
      <c r="X22" s="96">
        <f t="shared" ref="X22:X35" si="14">1803.9*M22+1123.6</f>
        <v>33593.800000000003</v>
      </c>
      <c r="Y22" s="10">
        <v>9</v>
      </c>
      <c r="Z22" s="2"/>
      <c r="AA22" s="2"/>
      <c r="AB22" s="2"/>
      <c r="AC22" s="2"/>
      <c r="AD22" s="96">
        <f t="shared" ref="AD22:AD35" si="15">20.512*Y22^2-156.06*Y22+633.14</f>
        <v>890.072</v>
      </c>
      <c r="AE22" s="30"/>
    </row>
    <row r="23" spans="1:31" x14ac:dyDescent="0.25">
      <c r="A23" s="7">
        <v>2018</v>
      </c>
      <c r="B23" s="96">
        <f t="shared" si="4"/>
        <v>5455.9382408888378</v>
      </c>
      <c r="C23" s="15">
        <f t="shared" si="5"/>
        <v>0</v>
      </c>
      <c r="E23" s="2"/>
      <c r="F23" s="7">
        <v>2018</v>
      </c>
      <c r="G23" s="96">
        <f t="shared" si="6"/>
        <v>9595.3002702946433</v>
      </c>
      <c r="I23" s="15"/>
      <c r="J23" s="2">
        <f t="shared" si="7"/>
        <v>15051.238511183481</v>
      </c>
      <c r="K23" s="2"/>
      <c r="L23" s="7">
        <v>2018</v>
      </c>
      <c r="M23" s="7">
        <v>19</v>
      </c>
      <c r="N23" s="103">
        <v>18288.080310703976</v>
      </c>
      <c r="P23" s="96">
        <f t="shared" si="8"/>
        <v>273.64299999999997</v>
      </c>
      <c r="Q23" s="96">
        <f t="shared" si="9"/>
        <v>8685.16</v>
      </c>
      <c r="S23" s="96">
        <f t="shared" si="10"/>
        <v>2620.203</v>
      </c>
      <c r="T23" s="2"/>
      <c r="U23" s="96">
        <f t="shared" si="11"/>
        <v>282373.59999999998</v>
      </c>
      <c r="V23" s="96">
        <f t="shared" si="12"/>
        <v>2910926</v>
      </c>
      <c r="W23" s="96">
        <f t="shared" si="13"/>
        <v>52100.600000000006</v>
      </c>
      <c r="X23" s="96">
        <f t="shared" si="14"/>
        <v>35397.699999999997</v>
      </c>
      <c r="Y23" s="10">
        <v>10</v>
      </c>
      <c r="Z23" s="2"/>
      <c r="AA23" s="2"/>
      <c r="AB23" s="2"/>
      <c r="AC23" s="2"/>
      <c r="AD23" s="96">
        <f t="shared" si="15"/>
        <v>1123.7399999999998</v>
      </c>
      <c r="AE23" s="30"/>
    </row>
    <row r="24" spans="1:31" x14ac:dyDescent="0.25">
      <c r="A24" s="7">
        <v>2019</v>
      </c>
      <c r="B24" s="96">
        <f t="shared" si="4"/>
        <v>5580.8792266051914</v>
      </c>
      <c r="C24" s="15">
        <f t="shared" si="5"/>
        <v>0</v>
      </c>
      <c r="E24" s="2"/>
      <c r="F24" s="7">
        <v>2019</v>
      </c>
      <c r="G24" s="96">
        <f t="shared" si="6"/>
        <v>9815.0326464843893</v>
      </c>
      <c r="I24" s="15"/>
      <c r="J24" s="2">
        <f t="shared" si="7"/>
        <v>15395.911873089581</v>
      </c>
      <c r="K24" s="2"/>
      <c r="L24" s="7">
        <v>2019</v>
      </c>
      <c r="M24" s="7">
        <v>20</v>
      </c>
      <c r="N24" s="103">
        <v>20428.957987188638</v>
      </c>
      <c r="P24" s="96">
        <f t="shared" si="8"/>
        <v>284.36500000000001</v>
      </c>
      <c r="Q24" s="96">
        <f t="shared" si="9"/>
        <v>8991.2000000000007</v>
      </c>
      <c r="S24" s="96">
        <f t="shared" si="10"/>
        <v>2659.74</v>
      </c>
      <c r="T24" s="2"/>
      <c r="U24" s="96">
        <f t="shared" si="11"/>
        <v>290160</v>
      </c>
      <c r="V24" s="96">
        <f t="shared" si="12"/>
        <v>3054290</v>
      </c>
      <c r="W24" s="96">
        <f t="shared" si="13"/>
        <v>55307.4</v>
      </c>
      <c r="X24" s="96">
        <f t="shared" si="14"/>
        <v>37201.599999999999</v>
      </c>
      <c r="Y24" s="10">
        <v>11</v>
      </c>
      <c r="Z24" s="2"/>
      <c r="AA24" s="2"/>
      <c r="AB24" s="2"/>
      <c r="AC24" s="2"/>
      <c r="AD24" s="96">
        <f t="shared" si="15"/>
        <v>1398.4320000000002</v>
      </c>
      <c r="AE24" s="30"/>
    </row>
    <row r="25" spans="1:31" x14ac:dyDescent="0.25">
      <c r="A25" s="7">
        <v>2020</v>
      </c>
      <c r="B25" s="96">
        <f t="shared" si="4"/>
        <v>5708.6813608944503</v>
      </c>
      <c r="C25" s="15">
        <f t="shared" si="5"/>
        <v>0</v>
      </c>
      <c r="E25" s="2"/>
      <c r="F25" s="7">
        <v>2020</v>
      </c>
      <c r="G25" s="96">
        <f t="shared" si="6"/>
        <v>10039.79689408888</v>
      </c>
      <c r="I25" s="15"/>
      <c r="J25" s="2">
        <f t="shared" si="7"/>
        <v>15748.478254983331</v>
      </c>
      <c r="K25" s="2"/>
      <c r="L25" s="7">
        <v>2020</v>
      </c>
      <c r="M25" s="7">
        <v>21</v>
      </c>
      <c r="N25" s="103">
        <v>22569.835663673301</v>
      </c>
      <c r="P25" s="96">
        <f t="shared" si="8"/>
        <v>295.08699999999999</v>
      </c>
      <c r="Q25" s="96">
        <f t="shared" si="9"/>
        <v>9297.24</v>
      </c>
      <c r="S25" s="96">
        <f t="shared" si="10"/>
        <v>2699.277</v>
      </c>
      <c r="T25" s="2"/>
      <c r="U25" s="96">
        <f t="shared" si="11"/>
        <v>297946.40000000002</v>
      </c>
      <c r="V25" s="96">
        <f t="shared" si="12"/>
        <v>3197654</v>
      </c>
      <c r="W25" s="96">
        <f t="shared" si="13"/>
        <v>58514.200000000004</v>
      </c>
      <c r="X25" s="96">
        <f t="shared" si="14"/>
        <v>39005.5</v>
      </c>
      <c r="Y25" s="10">
        <v>12</v>
      </c>
      <c r="Z25" s="2"/>
      <c r="AA25" s="2"/>
      <c r="AB25" s="2"/>
      <c r="AC25" s="2"/>
      <c r="AD25" s="96">
        <f t="shared" si="15"/>
        <v>1714.1480000000001</v>
      </c>
      <c r="AE25" s="30"/>
    </row>
    <row r="26" spans="1:31" x14ac:dyDescent="0.25">
      <c r="A26" s="21">
        <v>2021</v>
      </c>
      <c r="B26" s="96">
        <f t="shared" si="4"/>
        <v>5839.4101640589324</v>
      </c>
      <c r="C26" s="15">
        <f>(D26*10)/B26</f>
        <v>87.419788241963289</v>
      </c>
      <c r="D26" s="28">
        <v>51048</v>
      </c>
      <c r="E26" s="2"/>
      <c r="F26" s="7">
        <v>2021</v>
      </c>
      <c r="G26" s="96">
        <f t="shared" si="6"/>
        <v>10269.708242963516</v>
      </c>
      <c r="H26" s="15">
        <f>J26-G26</f>
        <v>5839.4101640589324</v>
      </c>
      <c r="I26" s="15"/>
      <c r="J26" s="2">
        <f t="shared" si="7"/>
        <v>16109.118407022448</v>
      </c>
      <c r="K26" s="2"/>
      <c r="L26" s="7">
        <v>2021</v>
      </c>
      <c r="M26" s="7">
        <v>22</v>
      </c>
      <c r="N26" s="103">
        <v>24710.713340157999</v>
      </c>
      <c r="P26" s="96">
        <f t="shared" si="8"/>
        <v>305.80899999999997</v>
      </c>
      <c r="Q26" s="96">
        <f t="shared" si="9"/>
        <v>9603.2800000000007</v>
      </c>
      <c r="S26" s="96">
        <f t="shared" si="10"/>
        <v>2738.8139999999999</v>
      </c>
      <c r="T26" s="2"/>
      <c r="U26" s="96">
        <f t="shared" si="11"/>
        <v>305732.8</v>
      </c>
      <c r="V26" s="96">
        <f t="shared" si="12"/>
        <v>3341018</v>
      </c>
      <c r="W26" s="96">
        <f t="shared" si="13"/>
        <v>61721.000000000007</v>
      </c>
      <c r="X26" s="96">
        <f t="shared" si="14"/>
        <v>40809.4</v>
      </c>
      <c r="Y26" s="10">
        <v>13</v>
      </c>
      <c r="Z26" s="2"/>
      <c r="AA26" s="2"/>
      <c r="AB26" s="2"/>
      <c r="AC26" s="2"/>
      <c r="AD26" s="96">
        <f t="shared" si="15"/>
        <v>2070.8880000000004</v>
      </c>
      <c r="AE26" s="30"/>
    </row>
    <row r="27" spans="1:31" x14ac:dyDescent="0.25">
      <c r="A27" s="7">
        <v>2022</v>
      </c>
      <c r="B27" s="96">
        <f t="shared" si="4"/>
        <v>5973.132656815882</v>
      </c>
      <c r="E27" s="2"/>
      <c r="F27" s="7">
        <v>2022</v>
      </c>
      <c r="G27" s="96">
        <f t="shared" si="6"/>
        <v>10504.884561727378</v>
      </c>
      <c r="I27" s="15"/>
      <c r="J27" s="2">
        <f t="shared" si="7"/>
        <v>16478.01721854326</v>
      </c>
      <c r="K27" s="2"/>
      <c r="L27" s="7">
        <v>2022</v>
      </c>
      <c r="M27" s="7">
        <v>23</v>
      </c>
      <c r="N27" s="103">
        <v>26851.5910166426</v>
      </c>
      <c r="P27" s="96">
        <f t="shared" si="8"/>
        <v>316.53100000000001</v>
      </c>
      <c r="Q27" s="96">
        <f t="shared" si="9"/>
        <v>9909.32</v>
      </c>
      <c r="S27" s="96">
        <f t="shared" si="10"/>
        <v>2778.3510000000001</v>
      </c>
      <c r="T27" s="2"/>
      <c r="U27" s="96">
        <f t="shared" si="11"/>
        <v>313519.19999999995</v>
      </c>
      <c r="V27" s="96">
        <f t="shared" si="12"/>
        <v>3484382</v>
      </c>
      <c r="W27" s="96">
        <f t="shared" si="13"/>
        <v>64927.80000000001</v>
      </c>
      <c r="X27" s="96">
        <f t="shared" si="14"/>
        <v>42613.3</v>
      </c>
      <c r="Y27" s="10">
        <v>14</v>
      </c>
      <c r="Z27" s="2"/>
      <c r="AA27" s="2"/>
      <c r="AB27" s="2"/>
      <c r="AC27" s="2"/>
      <c r="AD27" s="96">
        <f t="shared" si="15"/>
        <v>2468.6519999999996</v>
      </c>
      <c r="AE27" s="30"/>
    </row>
    <row r="28" spans="1:31" x14ac:dyDescent="0.25">
      <c r="A28" s="7">
        <v>2023</v>
      </c>
      <c r="B28" s="96">
        <f t="shared" si="4"/>
        <v>6109.9173946569645</v>
      </c>
      <c r="E28" s="2"/>
      <c r="F28" s="7">
        <v>2023</v>
      </c>
      <c r="G28" s="96">
        <f t="shared" si="6"/>
        <v>10745.446418190935</v>
      </c>
      <c r="I28" s="15"/>
      <c r="J28" s="2">
        <f t="shared" si="7"/>
        <v>16855.3638128479</v>
      </c>
      <c r="K28" s="2"/>
      <c r="L28" s="7">
        <v>2023</v>
      </c>
      <c r="M28" s="7">
        <v>24</v>
      </c>
      <c r="N28" s="103">
        <v>28992.468693127299</v>
      </c>
      <c r="P28" s="96">
        <f t="shared" si="8"/>
        <v>327.25299999999999</v>
      </c>
      <c r="Q28" s="96">
        <f t="shared" si="9"/>
        <v>10215.36</v>
      </c>
      <c r="S28" s="96">
        <f t="shared" si="10"/>
        <v>2817.8879999999999</v>
      </c>
      <c r="T28" s="2"/>
      <c r="U28" s="96">
        <f t="shared" si="11"/>
        <v>321305.59999999998</v>
      </c>
      <c r="V28" s="96">
        <f t="shared" si="12"/>
        <v>3627746</v>
      </c>
      <c r="W28" s="96">
        <f t="shared" si="13"/>
        <v>68134.600000000006</v>
      </c>
      <c r="X28" s="96">
        <f t="shared" si="14"/>
        <v>44417.200000000004</v>
      </c>
      <c r="Y28" s="10">
        <v>15</v>
      </c>
      <c r="Z28" s="2"/>
      <c r="AA28" s="2"/>
      <c r="AB28" s="2"/>
      <c r="AC28" s="2"/>
      <c r="AD28" s="96">
        <f t="shared" si="15"/>
        <v>2907.4399999999996</v>
      </c>
      <c r="AE28" s="30"/>
    </row>
    <row r="29" spans="1:31" x14ac:dyDescent="0.25">
      <c r="A29" s="7">
        <v>2024</v>
      </c>
      <c r="B29" s="96">
        <f t="shared" si="4"/>
        <v>6249.8345029946086</v>
      </c>
      <c r="E29" s="2"/>
      <c r="F29" s="7">
        <v>2024</v>
      </c>
      <c r="G29" s="96">
        <f t="shared" si="6"/>
        <v>10991.517141167506</v>
      </c>
      <c r="I29" s="15"/>
      <c r="J29" s="2">
        <f t="shared" si="7"/>
        <v>17241.351644162114</v>
      </c>
      <c r="K29" s="2"/>
      <c r="L29" s="7">
        <v>2024</v>
      </c>
      <c r="M29" s="7">
        <v>25</v>
      </c>
      <c r="N29" s="103">
        <v>31133.346369612002</v>
      </c>
      <c r="P29" s="96">
        <f t="shared" si="8"/>
        <v>337.97500000000002</v>
      </c>
      <c r="Q29" s="96">
        <f t="shared" si="9"/>
        <v>10521.400000000001</v>
      </c>
      <c r="S29" s="96">
        <f t="shared" si="10"/>
        <v>2857.4250000000002</v>
      </c>
      <c r="T29" s="2"/>
      <c r="U29" s="96">
        <f t="shared" si="11"/>
        <v>329092</v>
      </c>
      <c r="V29" s="96">
        <f t="shared" si="12"/>
        <v>3771110</v>
      </c>
      <c r="W29" s="96">
        <f t="shared" si="13"/>
        <v>71341.399999999994</v>
      </c>
      <c r="X29" s="96">
        <f t="shared" si="14"/>
        <v>46221.1</v>
      </c>
      <c r="Y29" s="10">
        <v>16</v>
      </c>
      <c r="Z29" s="2"/>
      <c r="AA29" s="2"/>
      <c r="AB29" s="2"/>
      <c r="AC29" s="2"/>
      <c r="AD29" s="96">
        <f t="shared" si="15"/>
        <v>3387.252</v>
      </c>
      <c r="AE29" s="30"/>
    </row>
    <row r="30" spans="1:31" x14ac:dyDescent="0.25">
      <c r="A30" s="7">
        <v>2025</v>
      </c>
      <c r="B30" s="96">
        <f t="shared" si="4"/>
        <v>6392.9557131131842</v>
      </c>
      <c r="E30" s="2"/>
      <c r="F30" s="7">
        <v>2025</v>
      </c>
      <c r="G30" s="96">
        <f t="shared" si="6"/>
        <v>11243.22288370024</v>
      </c>
      <c r="I30" s="15"/>
      <c r="J30" s="2">
        <f t="shared" si="7"/>
        <v>17636.178596813425</v>
      </c>
      <c r="K30" s="2"/>
      <c r="L30" s="7">
        <v>2025</v>
      </c>
      <c r="M30" s="7">
        <v>26</v>
      </c>
      <c r="N30" s="103">
        <v>33274.224046096599</v>
      </c>
      <c r="P30" s="96">
        <f t="shared" si="8"/>
        <v>348.697</v>
      </c>
      <c r="Q30" s="96">
        <f t="shared" si="9"/>
        <v>10827.44</v>
      </c>
      <c r="S30" s="96">
        <f t="shared" si="10"/>
        <v>2896.962</v>
      </c>
      <c r="T30" s="2"/>
      <c r="U30" s="96">
        <f t="shared" si="11"/>
        <v>336878.4</v>
      </c>
      <c r="V30" s="96">
        <f t="shared" si="12"/>
        <v>3914474</v>
      </c>
      <c r="W30" s="96">
        <f t="shared" si="13"/>
        <v>74548.2</v>
      </c>
      <c r="X30" s="96">
        <f t="shared" si="14"/>
        <v>48025</v>
      </c>
      <c r="Y30" s="10">
        <v>17</v>
      </c>
      <c r="Z30" s="2"/>
      <c r="AA30" s="2"/>
      <c r="AB30" s="2"/>
      <c r="AC30" s="2"/>
      <c r="AD30" s="96">
        <f t="shared" si="15"/>
        <v>3908.0879999999997</v>
      </c>
      <c r="AE30" s="30"/>
    </row>
    <row r="31" spans="1:31" x14ac:dyDescent="0.25">
      <c r="A31" s="7">
        <v>2026</v>
      </c>
      <c r="B31" s="96">
        <f t="shared" si="4"/>
        <v>6539.3543989434766</v>
      </c>
      <c r="E31" s="2"/>
      <c r="F31" s="7">
        <v>2026</v>
      </c>
      <c r="G31" s="96">
        <f t="shared" si="6"/>
        <v>11500.692687736973</v>
      </c>
      <c r="I31" s="15"/>
      <c r="J31" s="2">
        <f t="shared" si="7"/>
        <v>18040.04708668045</v>
      </c>
      <c r="K31" s="2"/>
      <c r="L31" s="7">
        <v>2026</v>
      </c>
      <c r="M31" s="7">
        <v>27</v>
      </c>
      <c r="N31" s="103">
        <v>35415.101722581298</v>
      </c>
      <c r="P31" s="96">
        <f t="shared" si="8"/>
        <v>359.41899999999998</v>
      </c>
      <c r="Q31" s="96">
        <f t="shared" si="9"/>
        <v>11133.48</v>
      </c>
      <c r="S31" s="96">
        <f t="shared" si="10"/>
        <v>2936.4989999999998</v>
      </c>
      <c r="T31" s="2"/>
      <c r="U31" s="96">
        <f t="shared" si="11"/>
        <v>344664.8</v>
      </c>
      <c r="V31" s="96">
        <f t="shared" si="12"/>
        <v>4057838</v>
      </c>
      <c r="W31" s="96">
        <f t="shared" si="13"/>
        <v>77755</v>
      </c>
      <c r="X31" s="96">
        <f t="shared" si="14"/>
        <v>49828.9</v>
      </c>
      <c r="Y31" s="10">
        <v>18</v>
      </c>
      <c r="Z31" s="2"/>
      <c r="AA31" s="2"/>
      <c r="AB31" s="2"/>
      <c r="AC31" s="2"/>
      <c r="AD31" s="96">
        <f t="shared" si="15"/>
        <v>4469.9480000000003</v>
      </c>
      <c r="AE31" s="30"/>
    </row>
    <row r="32" spans="1:31" x14ac:dyDescent="0.25">
      <c r="A32" s="7">
        <v>2027</v>
      </c>
      <c r="B32" s="96">
        <f t="shared" si="4"/>
        <v>6689.1056146792798</v>
      </c>
      <c r="E32" s="2"/>
      <c r="F32" s="7">
        <v>2027</v>
      </c>
      <c r="G32" s="96">
        <f t="shared" si="6"/>
        <v>11764.05855028615</v>
      </c>
      <c r="I32" s="15"/>
      <c r="J32" s="2">
        <f t="shared" si="7"/>
        <v>18453.16416496543</v>
      </c>
      <c r="K32" s="2"/>
      <c r="L32" s="7">
        <v>2027</v>
      </c>
      <c r="M32" s="7">
        <v>28</v>
      </c>
      <c r="N32" s="103">
        <v>37555.979399065996</v>
      </c>
      <c r="P32" s="96">
        <f t="shared" si="8"/>
        <v>370.14100000000002</v>
      </c>
      <c r="Q32" s="96">
        <f t="shared" si="9"/>
        <v>11439.52</v>
      </c>
      <c r="S32" s="96">
        <f t="shared" si="10"/>
        <v>2976.0360000000001</v>
      </c>
      <c r="T32" s="2"/>
      <c r="U32" s="96">
        <f t="shared" si="11"/>
        <v>352451.19999999995</v>
      </c>
      <c r="V32" s="96">
        <f t="shared" si="12"/>
        <v>4201202</v>
      </c>
      <c r="W32" s="96">
        <f t="shared" si="13"/>
        <v>80961.8</v>
      </c>
      <c r="X32" s="96">
        <f t="shared" si="14"/>
        <v>51632.800000000003</v>
      </c>
      <c r="Y32" s="10">
        <v>19</v>
      </c>
      <c r="Z32" s="2"/>
      <c r="AA32" s="2"/>
      <c r="AB32" s="2"/>
      <c r="AC32" s="2"/>
      <c r="AD32" s="96">
        <f t="shared" si="15"/>
        <v>5072.8320000000012</v>
      </c>
      <c r="AE32" s="30"/>
    </row>
    <row r="33" spans="1:31" x14ac:dyDescent="0.25">
      <c r="A33" s="7">
        <v>2028</v>
      </c>
      <c r="B33" s="96">
        <f t="shared" si="4"/>
        <v>6842.2861332554348</v>
      </c>
      <c r="E33" s="2"/>
      <c r="F33" s="7">
        <v>2028</v>
      </c>
      <c r="G33" s="96">
        <f t="shared" si="6"/>
        <v>12033.455491087701</v>
      </c>
      <c r="I33" s="15"/>
      <c r="J33" s="2">
        <f t="shared" si="7"/>
        <v>18875.741624343136</v>
      </c>
      <c r="K33" s="2"/>
      <c r="L33" s="7">
        <v>2028</v>
      </c>
      <c r="M33" s="7">
        <v>29</v>
      </c>
      <c r="N33" s="103">
        <v>39696.857075550601</v>
      </c>
      <c r="P33" s="96">
        <f t="shared" si="8"/>
        <v>380.863</v>
      </c>
      <c r="Q33" s="96">
        <f t="shared" si="9"/>
        <v>11745.56</v>
      </c>
      <c r="S33" s="96">
        <f t="shared" si="10"/>
        <v>3015.5729999999999</v>
      </c>
      <c r="T33" s="2"/>
      <c r="U33" s="96">
        <f t="shared" si="11"/>
        <v>360237.6</v>
      </c>
      <c r="V33" s="96">
        <f t="shared" si="12"/>
        <v>4344566</v>
      </c>
      <c r="W33" s="96">
        <f t="shared" si="13"/>
        <v>84168.6</v>
      </c>
      <c r="X33" s="96">
        <f t="shared" si="14"/>
        <v>53436.700000000004</v>
      </c>
      <c r="Y33" s="10">
        <v>20</v>
      </c>
      <c r="Z33" s="2"/>
      <c r="AA33" s="2"/>
      <c r="AB33" s="2"/>
      <c r="AC33" s="2"/>
      <c r="AD33" s="96">
        <f t="shared" si="15"/>
        <v>5716.74</v>
      </c>
      <c r="AE33" s="30"/>
    </row>
    <row r="34" spans="1:31" x14ac:dyDescent="0.25">
      <c r="A34" s="7">
        <v>2029</v>
      </c>
      <c r="B34" s="96">
        <f t="shared" si="4"/>
        <v>6998.9744857069836</v>
      </c>
      <c r="E34" s="2"/>
      <c r="F34" s="7">
        <v>2029</v>
      </c>
      <c r="G34" s="96">
        <f t="shared" si="6"/>
        <v>12309.021621833608</v>
      </c>
      <c r="I34" s="15"/>
      <c r="J34" s="2">
        <f t="shared" si="7"/>
        <v>19307.996107540592</v>
      </c>
      <c r="K34" s="2"/>
      <c r="L34" s="7">
        <v>2029</v>
      </c>
      <c r="M34" s="7">
        <v>30</v>
      </c>
      <c r="N34" s="103">
        <v>41837.7347520353</v>
      </c>
      <c r="P34" s="96">
        <f t="shared" si="8"/>
        <v>391.58499999999998</v>
      </c>
      <c r="Q34" s="96">
        <f t="shared" si="9"/>
        <v>12051.6</v>
      </c>
      <c r="S34" s="96">
        <f t="shared" si="10"/>
        <v>3055.1099999999997</v>
      </c>
      <c r="T34" s="2"/>
      <c r="U34" s="96">
        <f t="shared" si="11"/>
        <v>368024</v>
      </c>
      <c r="V34" s="96">
        <f t="shared" si="12"/>
        <v>4487930</v>
      </c>
      <c r="W34" s="96">
        <f t="shared" si="13"/>
        <v>87375.4</v>
      </c>
      <c r="X34" s="96">
        <f t="shared" si="14"/>
        <v>55240.6</v>
      </c>
      <c r="Y34" s="10">
        <v>21</v>
      </c>
      <c r="Z34" s="2"/>
      <c r="AA34" s="2"/>
      <c r="AB34" s="2"/>
      <c r="AC34" s="2"/>
      <c r="AD34" s="96">
        <f t="shared" si="15"/>
        <v>6401.6719999999996</v>
      </c>
      <c r="AE34" s="30"/>
    </row>
    <row r="35" spans="1:31" x14ac:dyDescent="0.25">
      <c r="A35" s="7">
        <v>2030</v>
      </c>
      <c r="B35" s="96">
        <f>J35-G35</f>
        <v>7161.7343479838983</v>
      </c>
      <c r="E35" s="2"/>
      <c r="F35" s="7">
        <v>2030</v>
      </c>
      <c r="G35" s="96">
        <f t="shared" si="6"/>
        <v>12595.265652016102</v>
      </c>
      <c r="I35" s="15"/>
      <c r="J35" s="41">
        <v>19757</v>
      </c>
      <c r="K35" s="2"/>
      <c r="L35" s="7">
        <v>2030</v>
      </c>
      <c r="M35" s="7">
        <v>31</v>
      </c>
      <c r="N35" s="103">
        <v>43978.612428519999</v>
      </c>
      <c r="P35" s="96">
        <f t="shared" si="8"/>
        <v>402.30700000000002</v>
      </c>
      <c r="Q35" s="96">
        <f t="shared" si="9"/>
        <v>12357.64</v>
      </c>
      <c r="S35" s="96">
        <f t="shared" si="10"/>
        <v>3094.6469999999999</v>
      </c>
      <c r="T35" s="2"/>
      <c r="U35" s="96">
        <f t="shared" si="11"/>
        <v>375810.4</v>
      </c>
      <c r="V35" s="96">
        <f t="shared" si="12"/>
        <v>4631294</v>
      </c>
      <c r="W35" s="96">
        <f t="shared" si="13"/>
        <v>90582.2</v>
      </c>
      <c r="X35" s="96">
        <f t="shared" si="14"/>
        <v>57044.5</v>
      </c>
      <c r="Y35" s="10">
        <v>22</v>
      </c>
      <c r="Z35" s="2"/>
      <c r="AA35" s="2"/>
      <c r="AB35" s="2"/>
      <c r="AC35" s="2"/>
      <c r="AD35" s="96">
        <f t="shared" si="15"/>
        <v>7127.6280000000015</v>
      </c>
      <c r="AE35" s="30"/>
    </row>
    <row r="36" spans="1:31" x14ac:dyDescent="0.25">
      <c r="B36" s="19"/>
      <c r="J36" s="19">
        <f>(J35/J20)^(1/15)-1</f>
        <v>2.2923650556810449E-2</v>
      </c>
      <c r="K36" s="43">
        <f>AVERAGE(K5:K19)</f>
        <v>0.63750901715929043</v>
      </c>
    </row>
    <row r="37" spans="1:31" x14ac:dyDescent="0.25">
      <c r="B37" s="19"/>
    </row>
  </sheetData>
  <mergeCells count="4">
    <mergeCell ref="A3:D3"/>
    <mergeCell ref="F3:I3"/>
    <mergeCell ref="N3:X3"/>
    <mergeCell ref="Z3:AE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9"/>
  <sheetViews>
    <sheetView zoomScale="85" zoomScaleNormal="85" workbookViewId="0">
      <pane xSplit="1" ySplit="4" topLeftCell="R26" activePane="bottomRight" state="frozen"/>
      <selection pane="topRight" activeCell="B1" sqref="B1"/>
      <selection pane="bottomLeft" activeCell="A5" sqref="A5"/>
      <selection pane="bottomRight" activeCell="AC28" sqref="AC28"/>
    </sheetView>
  </sheetViews>
  <sheetFormatPr defaultRowHeight="15" x14ac:dyDescent="0.25"/>
  <cols>
    <col min="2" max="2" width="15" bestFit="1" customWidth="1"/>
    <col min="3" max="3" width="16.140625" bestFit="1" customWidth="1"/>
    <col min="4" max="4" width="14" bestFit="1" customWidth="1"/>
    <col min="7" max="7" width="15" bestFit="1" customWidth="1"/>
    <col min="8" max="8" width="16.140625" bestFit="1" customWidth="1"/>
    <col min="9" max="9" width="14" bestFit="1" customWidth="1"/>
    <col min="10" max="10" width="19.85546875" bestFit="1" customWidth="1"/>
    <col min="14" max="14" width="10.7109375" bestFit="1" customWidth="1"/>
    <col min="15" max="15" width="9.28515625" bestFit="1" customWidth="1"/>
    <col min="16" max="16" width="9.5703125" bestFit="1" customWidth="1"/>
    <col min="17" max="17" width="9.7109375" bestFit="1" customWidth="1"/>
    <col min="18" max="18" width="9.28515625" bestFit="1" customWidth="1"/>
    <col min="19" max="19" width="9.7109375" bestFit="1" customWidth="1"/>
    <col min="20" max="20" width="9.28515625" bestFit="1" customWidth="1"/>
    <col min="21" max="21" width="15" bestFit="1" customWidth="1"/>
    <col min="22" max="22" width="18.42578125" bestFit="1" customWidth="1"/>
    <col min="23" max="23" width="16.7109375" bestFit="1" customWidth="1"/>
    <col min="24" max="24" width="10.7109375" bestFit="1" customWidth="1"/>
    <col min="29" max="29" width="12.85546875" bestFit="1" customWidth="1"/>
    <col min="31" max="31" width="12.140625" bestFit="1" customWidth="1"/>
  </cols>
  <sheetData>
    <row r="1" spans="1:31" x14ac:dyDescent="0.25">
      <c r="A1" s="6" t="s">
        <v>10</v>
      </c>
      <c r="B1" s="6"/>
      <c r="C1" s="6"/>
      <c r="D1" s="6"/>
      <c r="E1" s="6"/>
      <c r="F1" s="6"/>
      <c r="G1" s="6"/>
      <c r="H1" s="6"/>
      <c r="I1" s="6"/>
      <c r="J1" s="6"/>
    </row>
    <row r="2" spans="1:31" x14ac:dyDescent="0.25">
      <c r="A2" s="6"/>
      <c r="B2" s="6"/>
      <c r="C2" s="6"/>
      <c r="D2" s="6"/>
      <c r="E2" s="6"/>
      <c r="F2" s="6"/>
      <c r="G2" s="6"/>
      <c r="H2" s="6"/>
      <c r="I2" s="6"/>
      <c r="J2" s="6"/>
    </row>
    <row r="3" spans="1:31" x14ac:dyDescent="0.25">
      <c r="A3" s="119" t="s">
        <v>2</v>
      </c>
      <c r="B3" s="119"/>
      <c r="C3" s="119"/>
      <c r="D3" s="119"/>
      <c r="E3" s="6"/>
      <c r="F3" s="119" t="s">
        <v>5</v>
      </c>
      <c r="G3" s="119"/>
      <c r="H3" s="119"/>
      <c r="I3" s="119"/>
      <c r="J3" s="39" t="s">
        <v>32</v>
      </c>
      <c r="N3" s="120" t="s">
        <v>26</v>
      </c>
      <c r="O3" s="120"/>
      <c r="P3" s="120"/>
      <c r="Q3" s="120"/>
      <c r="R3" s="120"/>
      <c r="S3" s="120"/>
      <c r="T3" s="120"/>
      <c r="U3" s="120"/>
      <c r="V3" s="120"/>
      <c r="W3" s="120"/>
      <c r="X3" s="120"/>
      <c r="Z3" s="120" t="s">
        <v>34</v>
      </c>
      <c r="AA3" s="120"/>
      <c r="AB3" s="120"/>
      <c r="AC3" s="120"/>
      <c r="AD3" s="120"/>
      <c r="AE3" s="120"/>
    </row>
    <row r="4" spans="1:31" x14ac:dyDescent="0.25">
      <c r="A4" s="6"/>
      <c r="B4" s="4" t="s">
        <v>4</v>
      </c>
      <c r="C4" s="1" t="s">
        <v>0</v>
      </c>
      <c r="D4" s="1" t="s">
        <v>1</v>
      </c>
      <c r="E4" s="6"/>
      <c r="F4" s="6"/>
      <c r="G4" s="4" t="s">
        <v>4</v>
      </c>
      <c r="H4" s="1" t="s">
        <v>0</v>
      </c>
      <c r="I4" s="1" t="s">
        <v>1</v>
      </c>
      <c r="J4" s="40" t="s">
        <v>30</v>
      </c>
      <c r="N4" s="4" t="s">
        <v>15</v>
      </c>
      <c r="O4" s="4" t="s">
        <v>16</v>
      </c>
      <c r="P4" s="4" t="s">
        <v>17</v>
      </c>
      <c r="Q4" s="4" t="s">
        <v>18</v>
      </c>
      <c r="R4" s="4" t="s">
        <v>19</v>
      </c>
      <c r="S4" s="4" t="s">
        <v>20</v>
      </c>
      <c r="T4" s="4" t="s">
        <v>21</v>
      </c>
      <c r="U4" s="4" t="s">
        <v>22</v>
      </c>
      <c r="V4" s="4" t="s">
        <v>23</v>
      </c>
      <c r="W4" s="4" t="s">
        <v>24</v>
      </c>
      <c r="X4" s="4" t="s">
        <v>25</v>
      </c>
      <c r="Z4" s="4" t="s">
        <v>35</v>
      </c>
      <c r="AA4" s="4" t="s">
        <v>36</v>
      </c>
      <c r="AB4" s="4" t="s">
        <v>37</v>
      </c>
      <c r="AC4" s="4" t="s">
        <v>38</v>
      </c>
      <c r="AD4" s="4" t="s">
        <v>39</v>
      </c>
      <c r="AE4" s="4" t="s">
        <v>40</v>
      </c>
    </row>
    <row r="5" spans="1:31" x14ac:dyDescent="0.25">
      <c r="A5" s="7">
        <v>2000</v>
      </c>
      <c r="B5" s="2"/>
      <c r="C5" s="15" t="e">
        <f>(D5*10)/B5</f>
        <v>#DIV/0!</v>
      </c>
      <c r="D5" s="2"/>
      <c r="F5" s="7">
        <v>2000</v>
      </c>
      <c r="G5" s="2"/>
      <c r="H5" s="15" t="e">
        <f>(I5*10)/G5</f>
        <v>#DIV/0!</v>
      </c>
      <c r="I5" s="2"/>
      <c r="J5" s="2"/>
      <c r="L5" s="7">
        <v>2000</v>
      </c>
      <c r="O5" s="2">
        <v>0</v>
      </c>
      <c r="R5" s="2">
        <v>0</v>
      </c>
      <c r="T5" s="2">
        <v>0</v>
      </c>
    </row>
    <row r="6" spans="1:31" x14ac:dyDescent="0.25">
      <c r="A6" s="7">
        <v>2001</v>
      </c>
      <c r="B6" s="2">
        <v>0</v>
      </c>
      <c r="C6" s="15" t="e">
        <f t="shared" ref="C6:C19" si="0">(D6*10)/B6</f>
        <v>#DIV/0!</v>
      </c>
      <c r="D6" s="2">
        <v>0</v>
      </c>
      <c r="F6" s="7">
        <v>2001</v>
      </c>
      <c r="G6" s="2">
        <v>0</v>
      </c>
      <c r="H6" s="15" t="e">
        <f t="shared" ref="H6:H20" si="1">(I6*10)/G6</f>
        <v>#DIV/0!</v>
      </c>
      <c r="I6" s="2">
        <v>0</v>
      </c>
      <c r="J6" s="2"/>
      <c r="L6" s="7">
        <v>2001</v>
      </c>
      <c r="O6" s="2">
        <v>0</v>
      </c>
      <c r="R6" s="2">
        <v>0</v>
      </c>
      <c r="T6" s="2">
        <v>0</v>
      </c>
    </row>
    <row r="7" spans="1:31" x14ac:dyDescent="0.25">
      <c r="A7" s="7">
        <v>2002</v>
      </c>
      <c r="B7" s="2">
        <v>0</v>
      </c>
      <c r="C7" s="15" t="e">
        <f t="shared" si="0"/>
        <v>#DIV/0!</v>
      </c>
      <c r="D7" s="2">
        <v>0</v>
      </c>
      <c r="F7" s="7">
        <v>2002</v>
      </c>
      <c r="G7" s="2">
        <v>0</v>
      </c>
      <c r="H7" s="15" t="e">
        <f t="shared" si="1"/>
        <v>#DIV/0!</v>
      </c>
      <c r="I7" s="2">
        <v>0</v>
      </c>
      <c r="J7" s="2"/>
      <c r="L7" s="7">
        <v>2002</v>
      </c>
      <c r="O7" s="2">
        <v>0</v>
      </c>
      <c r="R7" s="2">
        <v>0</v>
      </c>
      <c r="T7" s="2">
        <v>0</v>
      </c>
    </row>
    <row r="8" spans="1:31" x14ac:dyDescent="0.25">
      <c r="A8" s="7">
        <v>2003</v>
      </c>
      <c r="B8" s="2">
        <v>7700</v>
      </c>
      <c r="C8" s="15">
        <f t="shared" si="0"/>
        <v>38.344155844155843</v>
      </c>
      <c r="D8" s="2">
        <v>29525</v>
      </c>
      <c r="F8" s="7">
        <v>2003</v>
      </c>
      <c r="G8" s="2">
        <v>612</v>
      </c>
      <c r="H8" s="15">
        <f t="shared" si="1"/>
        <v>26.601307189542485</v>
      </c>
      <c r="I8" s="2">
        <v>1628</v>
      </c>
      <c r="J8" s="2">
        <f>B8+G8</f>
        <v>8312</v>
      </c>
      <c r="K8" s="19">
        <f>G8/J8</f>
        <v>7.3628488931665056E-2</v>
      </c>
      <c r="L8" s="7">
        <v>2003</v>
      </c>
      <c r="N8" s="81">
        <v>5768</v>
      </c>
      <c r="O8" s="2">
        <v>0</v>
      </c>
      <c r="P8" s="81">
        <v>629</v>
      </c>
      <c r="Q8" s="81">
        <v>3705</v>
      </c>
      <c r="R8" s="2">
        <v>0</v>
      </c>
      <c r="S8" s="81">
        <v>0</v>
      </c>
      <c r="T8" s="2">
        <v>0</v>
      </c>
      <c r="U8" s="81">
        <v>239000</v>
      </c>
      <c r="V8" s="81">
        <v>67600</v>
      </c>
      <c r="W8" s="81">
        <v>8200</v>
      </c>
      <c r="X8" s="81">
        <v>7900</v>
      </c>
    </row>
    <row r="9" spans="1:31" x14ac:dyDescent="0.25">
      <c r="A9" s="7">
        <v>2004</v>
      </c>
      <c r="B9" s="2">
        <v>10878</v>
      </c>
      <c r="C9" s="15">
        <f t="shared" si="0"/>
        <v>40.840227983085128</v>
      </c>
      <c r="D9" s="2">
        <v>44426</v>
      </c>
      <c r="F9" s="7">
        <v>2004</v>
      </c>
      <c r="G9" s="2">
        <v>1579</v>
      </c>
      <c r="H9" s="15">
        <f t="shared" si="1"/>
        <v>25.003166561114629</v>
      </c>
      <c r="I9" s="2">
        <v>3948</v>
      </c>
      <c r="J9" s="2">
        <f t="shared" ref="J9:J19" si="2">B9+G9</f>
        <v>12457</v>
      </c>
      <c r="K9" s="19">
        <f t="shared" ref="K9:K19" si="3">G9/J9</f>
        <v>0.12675604078028418</v>
      </c>
      <c r="L9" s="7">
        <v>2004</v>
      </c>
      <c r="N9" s="81">
        <v>6398</v>
      </c>
      <c r="O9" s="2">
        <v>0</v>
      </c>
      <c r="P9" s="81">
        <v>677</v>
      </c>
      <c r="Q9" s="81">
        <v>3917</v>
      </c>
      <c r="R9" s="2">
        <v>0</v>
      </c>
      <c r="S9" s="81">
        <v>0</v>
      </c>
      <c r="T9" s="2">
        <v>0</v>
      </c>
      <c r="U9" s="82">
        <v>247800</v>
      </c>
      <c r="V9" s="82">
        <v>18000</v>
      </c>
      <c r="W9" s="82">
        <v>94000</v>
      </c>
      <c r="X9" s="82">
        <v>2700</v>
      </c>
    </row>
    <row r="10" spans="1:31" x14ac:dyDescent="0.25">
      <c r="A10" s="7">
        <v>2005</v>
      </c>
      <c r="B10" s="2">
        <v>11081</v>
      </c>
      <c r="C10" s="15">
        <f t="shared" si="0"/>
        <v>51.534157567006588</v>
      </c>
      <c r="D10" s="2">
        <v>57105</v>
      </c>
      <c r="F10" s="7">
        <v>2005</v>
      </c>
      <c r="G10" s="2">
        <v>1461</v>
      </c>
      <c r="H10" s="15">
        <f t="shared" si="1"/>
        <v>24.373716632443532</v>
      </c>
      <c r="I10" s="2">
        <v>3561</v>
      </c>
      <c r="J10" s="2">
        <f t="shared" si="2"/>
        <v>12542</v>
      </c>
      <c r="K10" s="19">
        <f t="shared" si="3"/>
        <v>0.11648859830967948</v>
      </c>
      <c r="L10" s="7">
        <v>2005</v>
      </c>
      <c r="M10" s="7">
        <v>1</v>
      </c>
      <c r="N10" s="48">
        <v>5580</v>
      </c>
      <c r="O10" s="2">
        <v>0</v>
      </c>
      <c r="P10" s="48">
        <v>499</v>
      </c>
      <c r="Q10" s="48">
        <v>3274</v>
      </c>
      <c r="R10" s="2">
        <v>0</v>
      </c>
      <c r="S10" s="48">
        <v>206</v>
      </c>
      <c r="T10" s="2">
        <v>0</v>
      </c>
      <c r="U10" s="48">
        <v>261000</v>
      </c>
      <c r="V10" s="48">
        <v>8800</v>
      </c>
      <c r="W10" s="48">
        <v>95500</v>
      </c>
      <c r="X10" s="48">
        <v>3100</v>
      </c>
    </row>
    <row r="11" spans="1:31" x14ac:dyDescent="0.25">
      <c r="A11" s="7">
        <v>2006</v>
      </c>
      <c r="B11" s="2">
        <v>12906</v>
      </c>
      <c r="C11" s="15">
        <f t="shared" si="0"/>
        <v>51.227336122733611</v>
      </c>
      <c r="D11" s="2">
        <v>66114</v>
      </c>
      <c r="F11" s="7">
        <v>2006</v>
      </c>
      <c r="G11" s="2">
        <v>1035</v>
      </c>
      <c r="H11" s="15">
        <f t="shared" si="1"/>
        <v>22.917874396135264</v>
      </c>
      <c r="I11" s="2">
        <v>2372</v>
      </c>
      <c r="J11" s="2">
        <f t="shared" si="2"/>
        <v>13941</v>
      </c>
      <c r="K11" s="19">
        <f t="shared" si="3"/>
        <v>7.4241446094254357E-2</v>
      </c>
      <c r="L11" s="7">
        <v>2006</v>
      </c>
      <c r="M11" s="7">
        <v>2</v>
      </c>
      <c r="N11" s="48">
        <v>5628</v>
      </c>
      <c r="O11" s="2">
        <v>0</v>
      </c>
      <c r="P11" s="48">
        <v>509</v>
      </c>
      <c r="Q11" s="48">
        <v>3244</v>
      </c>
      <c r="R11" s="2">
        <v>0</v>
      </c>
      <c r="S11" s="48">
        <v>236</v>
      </c>
      <c r="T11" s="2">
        <v>0</v>
      </c>
      <c r="U11" s="48">
        <v>287100</v>
      </c>
      <c r="V11" s="48">
        <v>10300</v>
      </c>
      <c r="W11" s="48">
        <v>126400</v>
      </c>
      <c r="X11" s="48">
        <v>5100</v>
      </c>
    </row>
    <row r="12" spans="1:31" x14ac:dyDescent="0.25">
      <c r="A12" s="7">
        <v>2007</v>
      </c>
      <c r="B12" s="2">
        <v>14792</v>
      </c>
      <c r="C12" s="15">
        <f t="shared" si="0"/>
        <v>50.507706868577607</v>
      </c>
      <c r="D12" s="2">
        <v>74711</v>
      </c>
      <c r="F12" s="7">
        <v>2007</v>
      </c>
      <c r="G12" s="2">
        <v>1374</v>
      </c>
      <c r="H12" s="15">
        <f t="shared" si="1"/>
        <v>24.177583697234351</v>
      </c>
      <c r="I12" s="2">
        <v>3322</v>
      </c>
      <c r="J12" s="2">
        <f t="shared" si="2"/>
        <v>16166</v>
      </c>
      <c r="K12" s="19">
        <f t="shared" si="3"/>
        <v>8.4993195595694668E-2</v>
      </c>
      <c r="L12" s="7">
        <v>2007</v>
      </c>
      <c r="M12" s="7">
        <v>3</v>
      </c>
      <c r="N12" s="48">
        <v>7301</v>
      </c>
      <c r="O12" s="2">
        <v>0</v>
      </c>
      <c r="P12" s="48">
        <v>545</v>
      </c>
      <c r="Q12" s="48">
        <v>3517</v>
      </c>
      <c r="R12" s="2">
        <v>0</v>
      </c>
      <c r="S12" s="48">
        <v>236</v>
      </c>
      <c r="T12" s="2">
        <v>0</v>
      </c>
      <c r="U12" s="48">
        <v>312500</v>
      </c>
      <c r="V12" s="48">
        <v>12000</v>
      </c>
      <c r="W12" s="48">
        <v>155800</v>
      </c>
      <c r="X12" s="48">
        <v>6800</v>
      </c>
    </row>
    <row r="13" spans="1:31" x14ac:dyDescent="0.25">
      <c r="A13" s="7">
        <v>2008</v>
      </c>
      <c r="B13" s="2">
        <v>14807</v>
      </c>
      <c r="C13" s="15">
        <f t="shared" si="0"/>
        <v>51.529999999999994</v>
      </c>
      <c r="D13" s="2">
        <v>76300.47099999999</v>
      </c>
      <c r="F13" s="7">
        <v>2008</v>
      </c>
      <c r="G13" s="2">
        <v>1420</v>
      </c>
      <c r="H13" s="15">
        <f t="shared" si="1"/>
        <v>24.119718309859156</v>
      </c>
      <c r="I13" s="2">
        <v>3425</v>
      </c>
      <c r="J13" s="2">
        <f t="shared" si="2"/>
        <v>16227</v>
      </c>
      <c r="K13" s="19">
        <f t="shared" si="3"/>
        <v>8.7508473531768036E-2</v>
      </c>
      <c r="L13" s="7">
        <v>2008</v>
      </c>
      <c r="M13" s="7">
        <v>4</v>
      </c>
      <c r="N13" s="48">
        <v>7301</v>
      </c>
      <c r="O13" s="2">
        <v>0</v>
      </c>
      <c r="P13" s="48">
        <v>545</v>
      </c>
      <c r="Q13" s="48">
        <v>3617</v>
      </c>
      <c r="R13" s="2">
        <v>0</v>
      </c>
      <c r="S13" s="48">
        <v>236</v>
      </c>
      <c r="T13" s="2">
        <v>0</v>
      </c>
      <c r="U13" s="48">
        <v>312500</v>
      </c>
      <c r="V13" s="48">
        <v>12000</v>
      </c>
      <c r="W13" s="48">
        <v>166900</v>
      </c>
      <c r="X13" s="48">
        <v>6900</v>
      </c>
    </row>
    <row r="14" spans="1:31" x14ac:dyDescent="0.25">
      <c r="A14" s="7">
        <v>2009</v>
      </c>
      <c r="B14" s="2">
        <v>11654</v>
      </c>
      <c r="C14" s="15">
        <f t="shared" si="0"/>
        <v>51.386648361077739</v>
      </c>
      <c r="D14" s="2">
        <v>59886</v>
      </c>
      <c r="F14" s="7">
        <v>2009</v>
      </c>
      <c r="G14" s="2">
        <v>926</v>
      </c>
      <c r="H14" s="15">
        <f t="shared" si="1"/>
        <v>24.287257019438446</v>
      </c>
      <c r="I14" s="2">
        <v>2249</v>
      </c>
      <c r="J14" s="2">
        <f t="shared" si="2"/>
        <v>12580</v>
      </c>
      <c r="K14" s="19">
        <f t="shared" si="3"/>
        <v>7.3608903020667721E-2</v>
      </c>
      <c r="L14" s="7">
        <v>2009</v>
      </c>
      <c r="M14" s="7">
        <v>5</v>
      </c>
      <c r="N14" s="48">
        <v>8527</v>
      </c>
      <c r="O14" s="2">
        <v>0</v>
      </c>
      <c r="P14" s="48">
        <v>667</v>
      </c>
      <c r="Q14" s="48">
        <v>4103</v>
      </c>
      <c r="R14" s="2">
        <v>0</v>
      </c>
      <c r="S14" s="48">
        <v>215</v>
      </c>
      <c r="T14" s="2">
        <v>0</v>
      </c>
      <c r="U14" s="48">
        <v>130158</v>
      </c>
      <c r="V14" s="48">
        <v>5500</v>
      </c>
      <c r="W14" s="48">
        <v>50500</v>
      </c>
      <c r="X14" s="48">
        <v>11354</v>
      </c>
      <c r="Y14" s="2">
        <v>1</v>
      </c>
      <c r="Z14" s="2">
        <v>300</v>
      </c>
      <c r="AA14" s="2">
        <v>191</v>
      </c>
      <c r="AB14" s="2">
        <v>98</v>
      </c>
      <c r="AC14" s="2">
        <v>54</v>
      </c>
      <c r="AD14" s="2">
        <v>28</v>
      </c>
      <c r="AE14" s="2">
        <v>30</v>
      </c>
    </row>
    <row r="15" spans="1:31" x14ac:dyDescent="0.25">
      <c r="A15" s="7">
        <v>2010</v>
      </c>
      <c r="B15" s="2">
        <v>15854</v>
      </c>
      <c r="C15" s="15">
        <f t="shared" si="0"/>
        <v>52.785416929481521</v>
      </c>
      <c r="D15" s="2">
        <v>83686</v>
      </c>
      <c r="F15" s="7">
        <v>2010</v>
      </c>
      <c r="G15" s="2">
        <v>1709</v>
      </c>
      <c r="H15" s="15">
        <f t="shared" si="1"/>
        <v>24.511410181392627</v>
      </c>
      <c r="I15" s="2">
        <v>4189</v>
      </c>
      <c r="J15" s="2">
        <f t="shared" si="2"/>
        <v>17563</v>
      </c>
      <c r="K15" s="19">
        <f t="shared" si="3"/>
        <v>9.730683823948072E-2</v>
      </c>
      <c r="L15" s="7">
        <v>2010</v>
      </c>
      <c r="M15" s="7">
        <v>6</v>
      </c>
      <c r="N15" s="90">
        <v>8407</v>
      </c>
      <c r="O15" s="90">
        <v>10</v>
      </c>
      <c r="P15" s="90">
        <v>619</v>
      </c>
      <c r="Q15" s="90">
        <v>4055</v>
      </c>
      <c r="R15" s="90">
        <v>69</v>
      </c>
      <c r="S15" s="90">
        <v>171</v>
      </c>
      <c r="T15" s="2">
        <v>0</v>
      </c>
      <c r="U15" s="47">
        <v>251294</v>
      </c>
      <c r="V15" s="47">
        <v>16250</v>
      </c>
      <c r="W15" s="47">
        <v>51510</v>
      </c>
      <c r="X15" s="47">
        <v>16250</v>
      </c>
      <c r="Y15" s="10">
        <v>2</v>
      </c>
      <c r="Z15" s="10">
        <v>138</v>
      </c>
      <c r="AA15" s="10">
        <v>152</v>
      </c>
      <c r="AB15" s="10">
        <v>137</v>
      </c>
      <c r="AC15" s="10">
        <v>45</v>
      </c>
      <c r="AD15" s="10">
        <v>50</v>
      </c>
      <c r="AE15" s="10">
        <v>22</v>
      </c>
    </row>
    <row r="16" spans="1:31" x14ac:dyDescent="0.25">
      <c r="A16" s="7">
        <v>2011</v>
      </c>
      <c r="B16" s="2">
        <v>12202</v>
      </c>
      <c r="C16" s="15">
        <f t="shared" si="0"/>
        <v>52.516800524504177</v>
      </c>
      <c r="D16" s="2">
        <v>64081</v>
      </c>
      <c r="F16" s="7">
        <v>2011</v>
      </c>
      <c r="G16" s="2">
        <v>732</v>
      </c>
      <c r="H16" s="15">
        <f t="shared" si="1"/>
        <v>28.196721311475411</v>
      </c>
      <c r="I16" s="2">
        <v>2064</v>
      </c>
      <c r="J16" s="2">
        <f t="shared" si="2"/>
        <v>12934</v>
      </c>
      <c r="K16" s="19">
        <f t="shared" si="3"/>
        <v>5.659502087521262E-2</v>
      </c>
      <c r="L16" s="7">
        <v>2011</v>
      </c>
      <c r="M16" s="7">
        <v>7</v>
      </c>
      <c r="N16" s="90">
        <v>10440</v>
      </c>
      <c r="O16" s="90">
        <v>29</v>
      </c>
      <c r="P16" s="90">
        <v>1188</v>
      </c>
      <c r="Q16" s="90">
        <v>4982</v>
      </c>
      <c r="R16" s="90">
        <v>0</v>
      </c>
      <c r="S16" s="90">
        <v>1045</v>
      </c>
      <c r="T16" s="2">
        <v>0</v>
      </c>
      <c r="U16" s="47">
        <v>93854</v>
      </c>
      <c r="V16" s="47">
        <v>35191</v>
      </c>
      <c r="W16" s="47">
        <v>0</v>
      </c>
      <c r="X16" s="47">
        <v>27295</v>
      </c>
      <c r="Y16" s="10">
        <v>3</v>
      </c>
      <c r="Z16" s="10">
        <v>57</v>
      </c>
      <c r="AA16" s="10">
        <v>93</v>
      </c>
      <c r="AB16" s="10">
        <v>117</v>
      </c>
      <c r="AC16">
        <v>31</v>
      </c>
      <c r="AD16">
        <v>11</v>
      </c>
      <c r="AE16">
        <v>17</v>
      </c>
    </row>
    <row r="17" spans="1:31" x14ac:dyDescent="0.25">
      <c r="A17" s="7">
        <v>2012</v>
      </c>
      <c r="B17" s="2">
        <v>13089</v>
      </c>
      <c r="C17" s="15">
        <f t="shared" si="0"/>
        <v>50.560776224310487</v>
      </c>
      <c r="D17" s="2">
        <v>66179</v>
      </c>
      <c r="F17" s="7">
        <v>2012</v>
      </c>
      <c r="G17" s="2">
        <v>1120</v>
      </c>
      <c r="H17" s="15">
        <f t="shared" si="1"/>
        <v>29.857142857142858</v>
      </c>
      <c r="I17" s="2">
        <v>3344</v>
      </c>
      <c r="J17" s="2">
        <f t="shared" si="2"/>
        <v>14209</v>
      </c>
      <c r="K17" s="19">
        <f t="shared" si="3"/>
        <v>7.8823281019072419E-2</v>
      </c>
      <c r="L17" s="7">
        <v>2012</v>
      </c>
      <c r="M17" s="7">
        <v>8</v>
      </c>
      <c r="N17" s="90">
        <v>10879</v>
      </c>
      <c r="O17" s="90">
        <v>27</v>
      </c>
      <c r="P17" s="90">
        <v>490</v>
      </c>
      <c r="Q17" s="90">
        <v>3531</v>
      </c>
      <c r="R17" s="90">
        <v>0</v>
      </c>
      <c r="S17" s="90">
        <v>693</v>
      </c>
      <c r="T17" s="2">
        <v>0</v>
      </c>
      <c r="U17" s="47">
        <v>212334</v>
      </c>
      <c r="V17" s="47">
        <v>40705</v>
      </c>
      <c r="W17" s="47">
        <v>63500</v>
      </c>
      <c r="X17" s="47">
        <v>27577</v>
      </c>
      <c r="Y17" s="10">
        <v>4</v>
      </c>
      <c r="Z17" s="10">
        <v>45</v>
      </c>
      <c r="AA17" s="10">
        <v>79</v>
      </c>
      <c r="AB17" s="10">
        <v>85</v>
      </c>
      <c r="AC17">
        <v>26</v>
      </c>
      <c r="AD17">
        <v>6</v>
      </c>
      <c r="AE17">
        <v>14</v>
      </c>
    </row>
    <row r="18" spans="1:31" x14ac:dyDescent="0.25">
      <c r="A18" s="7">
        <v>2013</v>
      </c>
      <c r="B18" s="2">
        <v>13373</v>
      </c>
      <c r="C18" s="15">
        <f t="shared" si="0"/>
        <v>51.180737306513123</v>
      </c>
      <c r="D18" s="2">
        <v>68444</v>
      </c>
      <c r="F18" s="7">
        <v>2013</v>
      </c>
      <c r="G18" s="2">
        <v>1590</v>
      </c>
      <c r="H18" s="15">
        <f t="shared" si="1"/>
        <v>26.622641509433961</v>
      </c>
      <c r="I18" s="2">
        <v>4233</v>
      </c>
      <c r="J18" s="2">
        <f t="shared" si="2"/>
        <v>14963</v>
      </c>
      <c r="K18" s="19">
        <f t="shared" si="3"/>
        <v>0.10626211321259106</v>
      </c>
      <c r="L18" s="7">
        <v>2013</v>
      </c>
      <c r="M18" s="7">
        <v>9</v>
      </c>
      <c r="N18" s="48">
        <v>11531</v>
      </c>
      <c r="O18" s="48">
        <v>15</v>
      </c>
      <c r="P18" s="48">
        <v>500</v>
      </c>
      <c r="Q18" s="48">
        <v>3647</v>
      </c>
      <c r="R18" s="48">
        <v>0</v>
      </c>
      <c r="S18" s="48">
        <v>800</v>
      </c>
      <c r="T18" s="2">
        <v>0</v>
      </c>
      <c r="U18" s="48">
        <v>217430</v>
      </c>
      <c r="V18" s="48">
        <v>68400</v>
      </c>
      <c r="W18" s="47">
        <v>71692</v>
      </c>
      <c r="X18" s="48">
        <v>15505</v>
      </c>
      <c r="Y18" s="10">
        <v>5</v>
      </c>
      <c r="Z18">
        <v>34</v>
      </c>
      <c r="AA18">
        <v>51</v>
      </c>
      <c r="AB18">
        <v>85</v>
      </c>
      <c r="AC18">
        <v>29</v>
      </c>
      <c r="AD18">
        <v>2</v>
      </c>
      <c r="AE18">
        <v>10</v>
      </c>
    </row>
    <row r="19" spans="1:31" x14ac:dyDescent="0.25">
      <c r="A19" s="7">
        <v>2014</v>
      </c>
      <c r="B19" s="2">
        <v>12992</v>
      </c>
      <c r="C19" s="15">
        <f t="shared" si="0"/>
        <v>49.6567118226601</v>
      </c>
      <c r="D19" s="2">
        <v>64514</v>
      </c>
      <c r="F19" s="7">
        <v>2014</v>
      </c>
      <c r="G19" s="2">
        <v>955</v>
      </c>
      <c r="H19" s="15">
        <f t="shared" si="1"/>
        <v>26.659685863874344</v>
      </c>
      <c r="I19" s="2">
        <v>2546</v>
      </c>
      <c r="J19" s="2">
        <f t="shared" si="2"/>
        <v>13947</v>
      </c>
      <c r="K19" s="19">
        <f t="shared" si="3"/>
        <v>6.8473506847350679E-2</v>
      </c>
      <c r="L19" s="7">
        <v>2014</v>
      </c>
      <c r="M19" s="7">
        <v>10</v>
      </c>
      <c r="N19" s="48">
        <v>11629</v>
      </c>
      <c r="O19" s="48">
        <v>18</v>
      </c>
      <c r="P19" s="48">
        <v>578</v>
      </c>
      <c r="Q19" s="48">
        <v>4377</v>
      </c>
      <c r="R19" s="48">
        <v>0</v>
      </c>
      <c r="S19" s="48">
        <v>949</v>
      </c>
      <c r="T19" s="2">
        <v>0</v>
      </c>
      <c r="U19" s="48">
        <v>363807</v>
      </c>
      <c r="V19" s="48">
        <v>1769788</v>
      </c>
      <c r="W19" s="47">
        <v>74924</v>
      </c>
      <c r="X19" s="48">
        <v>20886</v>
      </c>
      <c r="Y19" s="10">
        <v>6</v>
      </c>
      <c r="Z19">
        <v>22</v>
      </c>
      <c r="AA19">
        <v>86</v>
      </c>
      <c r="AB19">
        <v>87</v>
      </c>
      <c r="AC19">
        <v>9</v>
      </c>
      <c r="AD19">
        <v>22</v>
      </c>
      <c r="AE19">
        <v>10</v>
      </c>
    </row>
    <row r="20" spans="1:31" x14ac:dyDescent="0.25">
      <c r="A20" s="7">
        <v>2015</v>
      </c>
      <c r="B20" s="2">
        <v>13894</v>
      </c>
      <c r="C20" s="20">
        <f t="shared" ref="C20:C25" si="4">(D20*10)/B20</f>
        <v>44.766805815459911</v>
      </c>
      <c r="D20" s="28">
        <v>62199</v>
      </c>
      <c r="F20" s="7">
        <v>2015</v>
      </c>
      <c r="G20" s="30">
        <v>1622</v>
      </c>
      <c r="H20" s="15">
        <f t="shared" si="1"/>
        <v>24.278668310727497</v>
      </c>
      <c r="I20" s="2">
        <v>3938</v>
      </c>
      <c r="J20" s="2">
        <f>J19*1.1705</f>
        <v>16324.963500000002</v>
      </c>
      <c r="L20" s="7">
        <v>2015</v>
      </c>
      <c r="M20" s="7">
        <v>11</v>
      </c>
      <c r="N20" s="48">
        <v>14299</v>
      </c>
      <c r="O20" s="90">
        <v>21</v>
      </c>
      <c r="P20" s="48">
        <v>590</v>
      </c>
      <c r="Q20" s="48">
        <v>4568</v>
      </c>
      <c r="R20" s="90">
        <v>0</v>
      </c>
      <c r="S20" s="48">
        <v>1096</v>
      </c>
      <c r="T20" s="2">
        <v>0</v>
      </c>
      <c r="U20" s="48">
        <v>372538</v>
      </c>
      <c r="V20" s="48">
        <v>1596359</v>
      </c>
      <c r="W20" s="47">
        <v>84589</v>
      </c>
      <c r="X20" s="48">
        <v>21967</v>
      </c>
      <c r="Y20" s="10">
        <v>7</v>
      </c>
      <c r="Z20" s="10">
        <v>41</v>
      </c>
      <c r="AA20" s="10">
        <v>85</v>
      </c>
      <c r="AB20" s="10">
        <v>96</v>
      </c>
      <c r="AC20" s="10">
        <v>28</v>
      </c>
      <c r="AD20" s="10">
        <v>50</v>
      </c>
      <c r="AE20" s="10">
        <v>10</v>
      </c>
    </row>
    <row r="21" spans="1:31" x14ac:dyDescent="0.25">
      <c r="A21" s="7">
        <v>2016</v>
      </c>
      <c r="B21" s="28">
        <f>[4]Pertanian!$T$11</f>
        <v>9783.7000000000007</v>
      </c>
      <c r="C21" s="20">
        <f t="shared" si="4"/>
        <v>0</v>
      </c>
      <c r="D21" s="28"/>
      <c r="F21" s="7">
        <v>2016</v>
      </c>
      <c r="G21" s="31">
        <f>[4]Pertanian!$T$12</f>
        <v>1024</v>
      </c>
      <c r="J21" s="2">
        <f t="shared" ref="J21:J34" si="5">J20*1.1705</f>
        <v>19108.369776750005</v>
      </c>
      <c r="L21" s="7">
        <v>2016</v>
      </c>
      <c r="M21" s="7">
        <v>12</v>
      </c>
      <c r="N21" s="107">
        <v>16318</v>
      </c>
      <c r="O21" s="104">
        <f>[4]Perternakan!$D$41</f>
        <v>17</v>
      </c>
      <c r="P21" s="104">
        <f>[4]Perternakan!$D$42</f>
        <v>601</v>
      </c>
      <c r="Q21" s="104">
        <f>[4]Perternakan!$D$43</f>
        <v>4858</v>
      </c>
      <c r="R21" s="104"/>
      <c r="S21" s="104">
        <f>[4]Perternakan!$D$46</f>
        <v>1120</v>
      </c>
      <c r="T21" s="104"/>
      <c r="U21" s="104">
        <f>[4]Perternakan!$D$47</f>
        <v>380479</v>
      </c>
      <c r="V21" s="104">
        <f>[4]Perternakan!$D$48</f>
        <v>1507776</v>
      </c>
      <c r="W21" s="105">
        <f>[4]Perternakan!$D$49</f>
        <v>94424</v>
      </c>
      <c r="X21" s="104">
        <f>[4]Perternakan!$D$50</f>
        <v>22468</v>
      </c>
      <c r="Y21" s="10">
        <v>8</v>
      </c>
      <c r="Z21" s="96"/>
      <c r="AA21" s="96"/>
      <c r="AB21" s="96"/>
      <c r="AC21" s="96"/>
      <c r="AD21" s="96"/>
      <c r="AE21" s="97"/>
    </row>
    <row r="22" spans="1:31" x14ac:dyDescent="0.25">
      <c r="A22" s="7">
        <v>2017</v>
      </c>
      <c r="B22" s="28">
        <f>[4]Pertanian!$U$11</f>
        <v>11905.01</v>
      </c>
      <c r="C22" s="20">
        <f t="shared" si="4"/>
        <v>0</v>
      </c>
      <c r="D22" s="28"/>
      <c r="F22" s="7">
        <v>2017</v>
      </c>
      <c r="G22" s="31">
        <f>[4]Pertanian!$U$12</f>
        <v>1243.18</v>
      </c>
      <c r="J22" s="2">
        <f t="shared" si="5"/>
        <v>22366.346823685883</v>
      </c>
      <c r="L22" s="7">
        <v>2017</v>
      </c>
      <c r="M22" s="7">
        <v>13</v>
      </c>
      <c r="N22" s="107">
        <v>16734.32695251549</v>
      </c>
      <c r="O22" s="104">
        <f>[4]Perternakan!$E$41</f>
        <v>18</v>
      </c>
      <c r="P22" s="104">
        <f>[4]Perternakan!$E$42</f>
        <v>605</v>
      </c>
      <c r="Q22" s="104">
        <f>[4]Perternakan!$E$43</f>
        <v>4835</v>
      </c>
      <c r="R22" s="104"/>
      <c r="S22" s="104">
        <f>[4]Perternakan!$E$46</f>
        <v>1286</v>
      </c>
      <c r="T22" s="104"/>
      <c r="U22" s="104">
        <f>[4]Perternakan!$E$47</f>
        <v>389610</v>
      </c>
      <c r="V22" s="104">
        <f>[4]Perternakan!$E$48</f>
        <v>1445053</v>
      </c>
      <c r="W22" s="106">
        <f>[4]Perternakan!$E$49</f>
        <v>88145</v>
      </c>
      <c r="X22" s="104">
        <f>[4]Perternakan!$E$50</f>
        <v>19436</v>
      </c>
      <c r="Y22" s="10">
        <v>9</v>
      </c>
      <c r="Z22" s="96"/>
      <c r="AA22" s="96"/>
      <c r="AB22" s="96"/>
      <c r="AC22" s="96"/>
      <c r="AD22" s="96"/>
      <c r="AE22" s="97"/>
    </row>
    <row r="23" spans="1:31" x14ac:dyDescent="0.25">
      <c r="A23" s="7">
        <v>2018</v>
      </c>
      <c r="B23" s="28">
        <f>[4]Pertanian!$V$11</f>
        <v>11686.47</v>
      </c>
      <c r="C23" s="20">
        <f t="shared" si="4"/>
        <v>0</v>
      </c>
      <c r="D23" s="28"/>
      <c r="F23" s="7">
        <v>2018</v>
      </c>
      <c r="G23" s="31">
        <f>[4]Pertanian!$V$12</f>
        <v>1245.73</v>
      </c>
      <c r="J23" s="2">
        <f t="shared" si="5"/>
        <v>26179.808957124329</v>
      </c>
      <c r="L23" s="7">
        <v>2018</v>
      </c>
      <c r="M23" s="7">
        <v>14</v>
      </c>
      <c r="N23" s="108">
        <v>18103.374755520152</v>
      </c>
      <c r="O23" s="106">
        <f>[4]Perternakan!$F$41</f>
        <v>19</v>
      </c>
      <c r="P23" s="106">
        <f>[4]Perternakan!$F$42</f>
        <v>611</v>
      </c>
      <c r="Q23" s="104">
        <f>[4]Perternakan!$F$43</f>
        <v>4811</v>
      </c>
      <c r="R23" s="106"/>
      <c r="S23" s="104">
        <f>[4]Perternakan!$F$46</f>
        <v>1477</v>
      </c>
      <c r="T23" s="106"/>
      <c r="U23" s="104">
        <f>[4]Perternakan!$F$47</f>
        <v>398961</v>
      </c>
      <c r="V23" s="104">
        <f>[4]Perternakan!$F$48</f>
        <v>1673949</v>
      </c>
      <c r="W23" s="104">
        <f>[4]Perternakan!$F$49</f>
        <v>97638</v>
      </c>
      <c r="X23" s="104">
        <f>[4]Perternakan!$F$50</f>
        <v>19989</v>
      </c>
      <c r="Y23" s="10">
        <v>10</v>
      </c>
      <c r="Z23" s="96"/>
      <c r="AA23" s="96"/>
      <c r="AB23" s="96"/>
      <c r="AC23" s="96"/>
      <c r="AD23" s="96"/>
      <c r="AE23" s="97"/>
    </row>
    <row r="24" spans="1:31" x14ac:dyDescent="0.25">
      <c r="A24" s="7">
        <v>2019</v>
      </c>
      <c r="B24" s="28">
        <f>[4]Pertanian!$W$11</f>
        <v>11467.93</v>
      </c>
      <c r="C24" s="20">
        <f t="shared" si="4"/>
        <v>0</v>
      </c>
      <c r="D24" s="28"/>
      <c r="F24" s="7">
        <v>2019</v>
      </c>
      <c r="G24" s="31">
        <f>[4]Pertanian!$W$12</f>
        <v>1248.28</v>
      </c>
      <c r="J24" s="2">
        <f t="shared" si="5"/>
        <v>30643.46638431403</v>
      </c>
      <c r="L24" s="7">
        <v>2019</v>
      </c>
      <c r="M24" s="7">
        <v>15</v>
      </c>
      <c r="N24" s="108">
        <v>19584.425383151716</v>
      </c>
      <c r="O24" s="106">
        <f>[4]Perternakan!$G$41</f>
        <v>20</v>
      </c>
      <c r="P24" s="106">
        <f>[4]Perternakan!$G$42</f>
        <v>616</v>
      </c>
      <c r="Q24" s="104">
        <f>[4]Perternakan!$G$43</f>
        <v>4787</v>
      </c>
      <c r="R24" s="106"/>
      <c r="S24" s="104">
        <f>[4]Perternakan!$G$46</f>
        <v>1695</v>
      </c>
      <c r="T24" s="106"/>
      <c r="U24" s="104">
        <f>[4]Perternakan!$G$47</f>
        <v>408536</v>
      </c>
      <c r="V24" s="104">
        <f>[4]Perternakan!$G$48</f>
        <v>1604313</v>
      </c>
      <c r="W24" s="104">
        <f>[4]Perternakan!$G$49</f>
        <v>88362</v>
      </c>
      <c r="X24" s="104">
        <f>[4]Perternakan!$G$50</f>
        <v>20559</v>
      </c>
      <c r="Y24" s="10">
        <v>11</v>
      </c>
      <c r="Z24" s="96"/>
      <c r="AA24" s="96"/>
      <c r="AB24" s="96"/>
      <c r="AC24" s="96"/>
      <c r="AD24" s="96"/>
      <c r="AE24" s="97"/>
    </row>
    <row r="25" spans="1:31" x14ac:dyDescent="0.25">
      <c r="A25" s="7">
        <v>2020</v>
      </c>
      <c r="B25" s="28">
        <f>[4]Pertanian!$X$11</f>
        <v>11249.39</v>
      </c>
      <c r="C25" s="20">
        <f t="shared" si="4"/>
        <v>0</v>
      </c>
      <c r="D25" s="28"/>
      <c r="F25" s="7">
        <v>2020</v>
      </c>
      <c r="G25" s="31">
        <f>[4]Pertanian!$X$12</f>
        <v>1250.83</v>
      </c>
      <c r="J25" s="2">
        <f t="shared" si="5"/>
        <v>35868.177402839574</v>
      </c>
      <c r="L25" s="7">
        <v>2020</v>
      </c>
      <c r="M25" s="7">
        <v>16</v>
      </c>
      <c r="N25" s="108">
        <v>21065.476010783299</v>
      </c>
      <c r="O25" s="106">
        <f>[4]Perternakan!$H$41</f>
        <v>21</v>
      </c>
      <c r="P25" s="106">
        <f>[4]Perternakan!$H$42</f>
        <v>620</v>
      </c>
      <c r="Q25" s="104">
        <f>[4]Perternakan!$H$43</f>
        <v>4762</v>
      </c>
      <c r="R25" s="106"/>
      <c r="S25" s="104">
        <f>[4]Perternakan!$H$46</f>
        <v>1947</v>
      </c>
      <c r="T25" s="106"/>
      <c r="U25" s="104">
        <f>[4]Perternakan!$H$47</f>
        <v>418341</v>
      </c>
      <c r="V25" s="104">
        <f>[4]Perternakan!$H$48</f>
        <v>1714048</v>
      </c>
      <c r="W25" s="104">
        <f>[4]Perternakan!$H$49</f>
        <v>97714</v>
      </c>
      <c r="X25" s="104">
        <f>[4]Perternakan!$H$50</f>
        <v>21145</v>
      </c>
      <c r="Y25" s="10">
        <v>12</v>
      </c>
      <c r="Z25" s="96"/>
      <c r="AA25" s="96"/>
      <c r="AB25" s="96"/>
      <c r="AC25" s="96"/>
      <c r="AD25" s="96"/>
      <c r="AE25" s="97"/>
    </row>
    <row r="26" spans="1:31" x14ac:dyDescent="0.25">
      <c r="A26" s="7">
        <v>2021</v>
      </c>
      <c r="B26" s="28">
        <f>[4]Pertanian!$Y$11</f>
        <v>11030.84</v>
      </c>
      <c r="F26" s="7">
        <v>2021</v>
      </c>
      <c r="G26" s="31">
        <f>[4]Pertanian!$Y$12</f>
        <v>1253.3800000000001</v>
      </c>
      <c r="J26" s="2">
        <f t="shared" si="5"/>
        <v>41983.701650023722</v>
      </c>
      <c r="L26" s="7">
        <v>2021</v>
      </c>
      <c r="M26" s="7">
        <v>17</v>
      </c>
      <c r="N26" s="109">
        <v>22546.526638414802</v>
      </c>
      <c r="O26" s="106">
        <f>[4]Perternakan!$I$41</f>
        <v>22</v>
      </c>
      <c r="P26" s="106">
        <f>[4]Perternakan!$I$42</f>
        <v>625</v>
      </c>
      <c r="Q26" s="104">
        <f>[4]Perternakan!$I$43</f>
        <v>4737</v>
      </c>
      <c r="R26" s="106"/>
      <c r="S26" s="104">
        <f>[4]Perternakan!$I$46</f>
        <v>2235</v>
      </c>
      <c r="T26" s="106"/>
      <c r="U26" s="104">
        <f>[4]Perternakan!$I$47</f>
        <v>428381</v>
      </c>
      <c r="V26" s="104">
        <f>[4]Perternakan!$I$48</f>
        <v>1659884</v>
      </c>
      <c r="W26" s="104">
        <f>[4]Perternakan!$I$49</f>
        <v>100894</v>
      </c>
      <c r="X26" s="104">
        <f>[4]Perternakan!$I$50</f>
        <v>21748</v>
      </c>
      <c r="Y26" s="10">
        <v>13</v>
      </c>
      <c r="Z26" s="96"/>
      <c r="AA26" s="96"/>
      <c r="AB26" s="96"/>
      <c r="AC26" s="96"/>
      <c r="AD26" s="96"/>
      <c r="AE26" s="97"/>
    </row>
    <row r="27" spans="1:31" x14ac:dyDescent="0.25">
      <c r="A27" s="7">
        <v>2022</v>
      </c>
      <c r="B27" s="28">
        <f>[4]Pertanian!$Z$11</f>
        <v>10812.3</v>
      </c>
      <c r="F27" s="7">
        <v>2022</v>
      </c>
      <c r="G27" s="31">
        <f>[4]Pertanian!$Z$12</f>
        <v>1255.93</v>
      </c>
      <c r="J27" s="2">
        <f t="shared" si="5"/>
        <v>49141.922781352769</v>
      </c>
      <c r="L27" s="7">
        <v>2022</v>
      </c>
      <c r="M27" s="7">
        <v>18</v>
      </c>
      <c r="N27" s="109">
        <v>24027.577266046399</v>
      </c>
      <c r="O27" s="106">
        <f>[4]Perternakan!$J$41</f>
        <v>24</v>
      </c>
      <c r="P27" s="106">
        <f>[4]Perternakan!$J$42</f>
        <v>630</v>
      </c>
      <c r="Q27" s="104">
        <f>[4]Perternakan!$J$43</f>
        <v>4711</v>
      </c>
      <c r="R27" s="106"/>
      <c r="S27" s="104">
        <f>[4]Perternakan!$J$46</f>
        <v>2566</v>
      </c>
      <c r="T27" s="106"/>
      <c r="U27" s="104">
        <f>[4]Perternakan!$J$47</f>
        <v>438662</v>
      </c>
      <c r="V27" s="104">
        <f>[4]Perternakan!$J$48</f>
        <v>1607431</v>
      </c>
      <c r="W27" s="104">
        <f>[4]Perternakan!$J$49</f>
        <v>101975</v>
      </c>
      <c r="X27" s="104">
        <f>[4]Perternakan!$J$50</f>
        <v>22367</v>
      </c>
      <c r="Y27" s="10">
        <v>14</v>
      </c>
      <c r="Z27" s="96"/>
      <c r="AA27" s="96"/>
      <c r="AB27" s="96"/>
      <c r="AC27" s="96"/>
      <c r="AD27" s="96"/>
      <c r="AE27" s="97"/>
    </row>
    <row r="28" spans="1:31" x14ac:dyDescent="0.25">
      <c r="A28" s="7">
        <v>2023</v>
      </c>
      <c r="B28" s="28">
        <f>[4]Pertanian!$AA$11</f>
        <v>10593.76</v>
      </c>
      <c r="F28" s="7">
        <v>2023</v>
      </c>
      <c r="G28" s="31">
        <f>[4]Pertanian!$AA$12</f>
        <v>1258.48</v>
      </c>
      <c r="J28" s="2">
        <f t="shared" si="5"/>
        <v>57520.620615573418</v>
      </c>
      <c r="L28" s="7">
        <v>2023</v>
      </c>
      <c r="M28" s="7">
        <v>19</v>
      </c>
      <c r="N28" s="109">
        <v>25508.627893678</v>
      </c>
      <c r="O28" s="106">
        <f>[4]Perternakan!$K$41</f>
        <v>25</v>
      </c>
      <c r="P28" s="106">
        <f>[4]Perternakan!$K$42</f>
        <v>634</v>
      </c>
      <c r="Q28" s="104">
        <f>[4]Perternakan!$K$43</f>
        <v>4685</v>
      </c>
      <c r="R28" s="106"/>
      <c r="S28" s="104">
        <f>[4]Perternakan!$K$46</f>
        <v>2947</v>
      </c>
      <c r="T28" s="106"/>
      <c r="U28" s="104">
        <f>[4]Perternakan!$K$47</f>
        <v>449190</v>
      </c>
      <c r="V28" s="104">
        <f>[4]Perternakan!$K$48</f>
        <v>1556636</v>
      </c>
      <c r="W28" s="104">
        <f>[4]Perternakan!$K$49</f>
        <v>102342</v>
      </c>
      <c r="X28" s="104">
        <f>[4]Perternakan!$K$50</f>
        <v>23005</v>
      </c>
      <c r="Y28" s="10">
        <v>15</v>
      </c>
      <c r="Z28" s="96"/>
      <c r="AA28" s="96"/>
      <c r="AB28" s="96"/>
      <c r="AC28" s="96"/>
      <c r="AD28" s="96"/>
      <c r="AE28" s="97"/>
    </row>
    <row r="29" spans="1:31" x14ac:dyDescent="0.25">
      <c r="A29" s="7">
        <v>2024</v>
      </c>
      <c r="B29" s="28">
        <f>[4]Pertanian!$AB$11</f>
        <v>10375.219999999999</v>
      </c>
      <c r="F29" s="7">
        <v>2024</v>
      </c>
      <c r="G29" s="31">
        <f>[4]Pertanian!$AB$12</f>
        <v>1261.03</v>
      </c>
      <c r="J29" s="2">
        <f t="shared" si="5"/>
        <v>67327.886430528684</v>
      </c>
      <c r="L29" s="7">
        <v>2024</v>
      </c>
      <c r="M29" s="7">
        <v>20</v>
      </c>
      <c r="N29" s="109">
        <v>26989.678521309499</v>
      </c>
      <c r="O29" s="106">
        <f>[4]Perternakan!$L$41</f>
        <v>26</v>
      </c>
      <c r="P29" s="106">
        <f>[4]Perternakan!$L$42</f>
        <v>639</v>
      </c>
      <c r="Q29" s="104">
        <f>[4]Perternakan!$L$43</f>
        <v>4658</v>
      </c>
      <c r="R29" s="106"/>
      <c r="S29" s="104">
        <f>[4]Perternakan!$L$46</f>
        <v>3883</v>
      </c>
      <c r="T29" s="106"/>
      <c r="U29" s="104">
        <f>[4]Perternakan!$L$47</f>
        <v>459971</v>
      </c>
      <c r="V29" s="104">
        <f>[4]Perternakan!$L$48</f>
        <v>1507447</v>
      </c>
      <c r="W29" s="104">
        <f>[4]Perternakan!$L$49</f>
        <v>102467</v>
      </c>
      <c r="X29" s="104">
        <f>[4]Perternakan!$L$50</f>
        <v>23661</v>
      </c>
      <c r="Y29" s="10">
        <v>16</v>
      </c>
      <c r="Z29" s="96"/>
      <c r="AA29" s="96"/>
      <c r="AB29" s="96"/>
      <c r="AC29" s="96"/>
      <c r="AD29" s="96"/>
      <c r="AE29" s="97"/>
    </row>
    <row r="30" spans="1:31" x14ac:dyDescent="0.25">
      <c r="A30" s="7">
        <v>2025</v>
      </c>
      <c r="B30" s="28">
        <f>[4]Pertanian!$AC$11</f>
        <v>10156.68</v>
      </c>
      <c r="F30" s="7">
        <v>2025</v>
      </c>
      <c r="G30" s="31">
        <f>[4]Pertanian!$AC$12</f>
        <v>1263.58</v>
      </c>
      <c r="J30" s="2">
        <f t="shared" si="5"/>
        <v>78807.291066933831</v>
      </c>
      <c r="L30" s="7">
        <v>2025</v>
      </c>
      <c r="M30" s="7">
        <v>21</v>
      </c>
      <c r="N30" s="109">
        <v>28470.729148941198</v>
      </c>
      <c r="O30" s="106">
        <f>[4]Perternakan!$M$41</f>
        <v>28</v>
      </c>
      <c r="P30" s="106">
        <f>[4]Perternakan!$M$42</f>
        <v>644</v>
      </c>
      <c r="Q30" s="104">
        <f>[4]Perternakan!$M$43</f>
        <v>4631</v>
      </c>
      <c r="R30" s="106"/>
      <c r="S30" s="104">
        <f>[4]Perternakan!$M$46</f>
        <v>3885</v>
      </c>
      <c r="T30" s="106"/>
      <c r="U30" s="104">
        <f>[4]Perternakan!$M$47</f>
        <v>471010</v>
      </c>
      <c r="V30" s="104">
        <f>[4]Perternakan!$M$48</f>
        <v>1444737</v>
      </c>
      <c r="W30" s="104">
        <f>[4]Perternakan!$M$49</f>
        <v>102510</v>
      </c>
      <c r="X30" s="104">
        <f>[4]Perternakan!$M$50</f>
        <v>22679</v>
      </c>
      <c r="Y30" s="10">
        <v>17</v>
      </c>
      <c r="Z30" s="96"/>
      <c r="AA30" s="96"/>
      <c r="AB30" s="96"/>
      <c r="AC30" s="96"/>
      <c r="AD30" s="96"/>
      <c r="AE30" s="97"/>
    </row>
    <row r="31" spans="1:31" x14ac:dyDescent="0.25">
      <c r="A31" s="7">
        <v>2026</v>
      </c>
      <c r="B31" s="28">
        <f>[4]Pertanian!$AD$11</f>
        <v>9938.14</v>
      </c>
      <c r="F31" s="7">
        <v>2026</v>
      </c>
      <c r="G31" s="31">
        <f>[4]Pertanian!$AD$12</f>
        <v>1266.1300000000001</v>
      </c>
      <c r="J31" s="2">
        <f t="shared" si="5"/>
        <v>92243.934193846057</v>
      </c>
      <c r="L31" s="7">
        <v>2026</v>
      </c>
      <c r="M31" s="7">
        <v>22</v>
      </c>
      <c r="N31" s="109">
        <v>29951.779776572701</v>
      </c>
      <c r="O31" s="106">
        <f>[4]Perternakan!$D$55</f>
        <v>29</v>
      </c>
      <c r="P31" s="106">
        <f>[4]Perternakan!$D$56</f>
        <v>650</v>
      </c>
      <c r="Q31" s="106">
        <f>[4]Perternakan!$D$57</f>
        <v>4602</v>
      </c>
      <c r="R31" s="106"/>
      <c r="S31" s="106">
        <f>[4]Perternakan!$D$60</f>
        <v>4461</v>
      </c>
      <c r="T31" s="106"/>
      <c r="U31" s="106">
        <f>[4]Perternakan!$D$61</f>
        <v>482314</v>
      </c>
      <c r="V31" s="106">
        <f>[4]Perternakan!$D$62</f>
        <v>1673583</v>
      </c>
      <c r="W31" s="106">
        <f>[4]Perternakan!$D$63</f>
        <v>102524</v>
      </c>
      <c r="X31" s="106">
        <f>[4]Perternakan!$D$64</f>
        <v>23325</v>
      </c>
      <c r="Y31" s="10">
        <v>18</v>
      </c>
      <c r="Z31" s="96"/>
      <c r="AA31" s="96"/>
      <c r="AB31" s="96"/>
      <c r="AC31" s="96"/>
      <c r="AD31" s="96"/>
      <c r="AE31" s="97"/>
    </row>
    <row r="32" spans="1:31" x14ac:dyDescent="0.25">
      <c r="A32" s="7">
        <v>2027</v>
      </c>
      <c r="B32" s="28">
        <f>[4]Pertanian!$AE$11</f>
        <v>9719.6</v>
      </c>
      <c r="F32" s="7">
        <v>2027</v>
      </c>
      <c r="G32" s="31">
        <f>[4]Pertanian!$AE$12</f>
        <v>1268.68</v>
      </c>
      <c r="J32" s="2">
        <f t="shared" si="5"/>
        <v>107971.52497389681</v>
      </c>
      <c r="L32" s="7">
        <v>2027</v>
      </c>
      <c r="M32" s="7">
        <v>23</v>
      </c>
      <c r="N32" s="109">
        <v>31432.830404204298</v>
      </c>
      <c r="O32" s="106">
        <f>[4]Perternakan!$E$55</f>
        <v>31</v>
      </c>
      <c r="P32" s="106">
        <f>[4]Perternakan!$E$56</f>
        <v>655</v>
      </c>
      <c r="Q32" s="106">
        <f>[4]Perternakan!$E$57</f>
        <v>4574</v>
      </c>
      <c r="R32" s="106"/>
      <c r="S32" s="106">
        <f>[4]Perternakan!$E$60</f>
        <v>5122</v>
      </c>
      <c r="T32" s="106"/>
      <c r="U32" s="106">
        <f>[4]Perternakan!$E$61</f>
        <v>493890</v>
      </c>
      <c r="V32" s="106">
        <f>[4]Perternakan!$E$62</f>
        <v>1603962</v>
      </c>
      <c r="W32" s="106">
        <f>[4]Perternakan!$E$63</f>
        <v>102529</v>
      </c>
      <c r="X32" s="106">
        <f>[4]Perternakan!$E$64</f>
        <v>23990</v>
      </c>
      <c r="Y32" s="10">
        <v>19</v>
      </c>
      <c r="Z32" s="96"/>
      <c r="AA32" s="96"/>
      <c r="AB32" s="96"/>
      <c r="AC32" s="96"/>
      <c r="AD32" s="96"/>
      <c r="AE32" s="97"/>
    </row>
    <row r="33" spans="1:31" x14ac:dyDescent="0.25">
      <c r="A33" s="7">
        <v>2028</v>
      </c>
      <c r="B33" s="28">
        <f>[4]Pertanian!$AF$11</f>
        <v>9501.06</v>
      </c>
      <c r="F33" s="7">
        <v>2028</v>
      </c>
      <c r="G33" s="31">
        <f>[4]Pertanian!$AF$12</f>
        <v>1271.23</v>
      </c>
      <c r="J33" s="2">
        <f t="shared" si="5"/>
        <v>126380.66998194622</v>
      </c>
      <c r="L33" s="7">
        <v>2028</v>
      </c>
      <c r="M33" s="7">
        <v>24</v>
      </c>
      <c r="N33" s="109">
        <v>32913.881031835801</v>
      </c>
      <c r="O33" s="106">
        <f>[4]Perternakan!$F$55</f>
        <v>33</v>
      </c>
      <c r="P33" s="106">
        <f>[4]Perternakan!$F$56</f>
        <v>659</v>
      </c>
      <c r="Q33" s="106">
        <f>[4]Perternakan!$F$57</f>
        <v>4544</v>
      </c>
      <c r="R33" s="106"/>
      <c r="S33" s="106">
        <f>[4]Perternakan!$F$60</f>
        <v>5881</v>
      </c>
      <c r="T33" s="106"/>
      <c r="U33" s="106">
        <f>[4]Perternakan!$F$61</f>
        <v>505743</v>
      </c>
      <c r="V33" s="106">
        <f>[4]Perternakan!$F$62</f>
        <v>1713673</v>
      </c>
      <c r="W33" s="106">
        <f>[4]Perternakan!$F$63</f>
        <v>102531</v>
      </c>
      <c r="X33" s="106">
        <f>[4]Perternakan!$F$64</f>
        <v>24674</v>
      </c>
      <c r="Y33" s="10">
        <v>20</v>
      </c>
      <c r="Z33" s="96"/>
      <c r="AA33" s="96"/>
      <c r="AB33" s="96"/>
      <c r="AC33" s="96"/>
      <c r="AD33" s="96"/>
      <c r="AE33" s="97"/>
    </row>
    <row r="34" spans="1:31" x14ac:dyDescent="0.25">
      <c r="A34" s="7">
        <v>2029</v>
      </c>
      <c r="B34" s="28">
        <f>[4]Pertanian!$AG$11</f>
        <v>9282.52</v>
      </c>
      <c r="F34" s="7">
        <v>2029</v>
      </c>
      <c r="G34" s="31">
        <f>[4]Pertanian!$AG$12</f>
        <v>1273.78</v>
      </c>
      <c r="J34" s="2">
        <f t="shared" si="5"/>
        <v>147928.57421386807</v>
      </c>
      <c r="L34" s="7">
        <v>2029</v>
      </c>
      <c r="M34" s="7">
        <v>25</v>
      </c>
      <c r="N34" s="109">
        <v>34394.931659467402</v>
      </c>
      <c r="O34" s="106">
        <f>[4]Perternakan!$G$55</f>
        <v>35</v>
      </c>
      <c r="P34" s="106">
        <f>[4]Perternakan!$G$56</f>
        <v>664</v>
      </c>
      <c r="Q34" s="106">
        <f>[4]Perternakan!$G$57</f>
        <v>4514</v>
      </c>
      <c r="R34" s="106"/>
      <c r="S34" s="106">
        <f>[4]Perternakan!$G$60</f>
        <v>6752</v>
      </c>
      <c r="T34" s="106"/>
      <c r="U34" s="106">
        <f>[4]Perternakan!$G$61</f>
        <v>517881</v>
      </c>
      <c r="V34" s="106">
        <f>[4]Perternakan!$G$62</f>
        <v>1659521</v>
      </c>
      <c r="W34" s="106">
        <f>[4]Perternakan!$G$63</f>
        <v>102532</v>
      </c>
      <c r="X34" s="106">
        <f>[4]Perternakan!$G$64</f>
        <v>25377</v>
      </c>
      <c r="Y34" s="10">
        <v>21</v>
      </c>
      <c r="Z34" s="96"/>
      <c r="AA34" s="96"/>
      <c r="AB34" s="96"/>
      <c r="AC34" s="96"/>
      <c r="AD34" s="96"/>
      <c r="AE34" s="97"/>
    </row>
    <row r="35" spans="1:31" x14ac:dyDescent="0.25">
      <c r="A35" s="7">
        <v>2030</v>
      </c>
      <c r="B35" s="28">
        <f>[4]Pertanian!$AH$11</f>
        <v>9063.98</v>
      </c>
      <c r="F35" s="7">
        <v>2030</v>
      </c>
      <c r="G35" s="31">
        <f>[4]Pertanian!$AH$12</f>
        <v>1276.33</v>
      </c>
      <c r="J35" s="41">
        <v>173204</v>
      </c>
      <c r="L35" s="7">
        <v>2030</v>
      </c>
      <c r="M35" s="7">
        <v>26</v>
      </c>
      <c r="N35" s="109">
        <v>35875.982287099003</v>
      </c>
      <c r="O35" s="106">
        <f>[4]Perternakan!$H$55</f>
        <v>36</v>
      </c>
      <c r="P35" s="106">
        <f>[4]Perternakan!$H$56</f>
        <v>669</v>
      </c>
      <c r="Q35" s="106">
        <f>[4]Perternakan!$H$57</f>
        <v>4484</v>
      </c>
      <c r="R35" s="106"/>
      <c r="S35" s="106">
        <f>[4]Perternakan!$H$60</f>
        <v>7753</v>
      </c>
      <c r="T35" s="106"/>
      <c r="U35" s="106">
        <f>[4]Perternakan!$H$61</f>
        <v>530310</v>
      </c>
      <c r="V35" s="106">
        <f>[4]Perternakan!$H$62</f>
        <v>1607080</v>
      </c>
      <c r="W35" s="106">
        <f>[4]Perternakan!$H$63</f>
        <v>102532</v>
      </c>
      <c r="X35" s="106">
        <f>[4]Perternakan!$H$64</f>
        <v>26100</v>
      </c>
      <c r="Y35" s="10">
        <v>22</v>
      </c>
      <c r="Z35" s="96"/>
      <c r="AA35" s="96"/>
      <c r="AB35" s="96"/>
      <c r="AC35" s="96"/>
      <c r="AD35" s="96"/>
      <c r="AE35" s="97"/>
    </row>
    <row r="36" spans="1:31" x14ac:dyDescent="0.25">
      <c r="J36" s="19">
        <f>(J35/J20)^(1/15)-1</f>
        <v>0.17052415406232857</v>
      </c>
      <c r="K36" s="44">
        <f>AVERAGE(K8:K19)</f>
        <v>8.7057158871476747E-2</v>
      </c>
      <c r="M36" s="7">
        <v>27</v>
      </c>
    </row>
    <row r="37" spans="1:31" x14ac:dyDescent="0.25">
      <c r="M37" s="7">
        <v>28</v>
      </c>
    </row>
    <row r="38" spans="1:31" x14ac:dyDescent="0.25">
      <c r="M38" s="7"/>
    </row>
    <row r="39" spans="1:31" x14ac:dyDescent="0.25">
      <c r="N39" s="46">
        <f>(N21/N17)^(1/4)-1</f>
        <v>0.10667344239974463</v>
      </c>
      <c r="P39" s="46">
        <f>(P21/P17)^(1/4)-1</f>
        <v>5.2372759687481674E-2</v>
      </c>
      <c r="Q39" s="46">
        <f>(Q21/Q17)^(1/4)-1</f>
        <v>8.3028656981050108E-2</v>
      </c>
      <c r="S39" s="46">
        <f>(S21/S17)^(1/4)-1</f>
        <v>0.1275120630518578</v>
      </c>
      <c r="U39" s="46">
        <f>(U21/U17)^(1/4)-1</f>
        <v>0.15698515745626351</v>
      </c>
      <c r="V39" s="46">
        <f>(V21/V17)^(1/4)-1</f>
        <v>1.4670177076996662</v>
      </c>
      <c r="X39" s="46">
        <f>(X21/X17)^(1/4)-1</f>
        <v>-4.9932747061216087E-2</v>
      </c>
    </row>
  </sheetData>
  <mergeCells count="4">
    <mergeCell ref="A3:D3"/>
    <mergeCell ref="F3:I3"/>
    <mergeCell ref="N3:X3"/>
    <mergeCell ref="Z3:AE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6"/>
  <sheetViews>
    <sheetView zoomScale="85" zoomScaleNormal="85" workbookViewId="0">
      <pane xSplit="1" ySplit="4" topLeftCell="R26" activePane="bottomRight" state="frozen"/>
      <selection pane="topRight" activeCell="B1" sqref="B1"/>
      <selection pane="bottomLeft" activeCell="A5" sqref="A5"/>
      <selection pane="bottomRight" activeCell="AG28" sqref="AG28"/>
    </sheetView>
  </sheetViews>
  <sheetFormatPr defaultRowHeight="15" x14ac:dyDescent="0.25"/>
  <cols>
    <col min="2" max="2" width="15" bestFit="1" customWidth="1"/>
    <col min="3" max="3" width="16.140625" bestFit="1" customWidth="1"/>
    <col min="4" max="4" width="14" bestFit="1" customWidth="1"/>
    <col min="7" max="7" width="15" bestFit="1" customWidth="1"/>
    <col min="8" max="8" width="16.140625" bestFit="1" customWidth="1"/>
    <col min="9" max="9" width="14" bestFit="1" customWidth="1"/>
    <col min="10" max="10" width="9.5703125" bestFit="1" customWidth="1"/>
    <col min="11" max="11" width="9.5703125" customWidth="1"/>
    <col min="13" max="13" width="4.5703125" customWidth="1"/>
    <col min="14" max="14" width="9.7109375" bestFit="1" customWidth="1"/>
    <col min="15" max="16" width="9.28515625" bestFit="1" customWidth="1"/>
    <col min="17" max="17" width="10.7109375" bestFit="1" customWidth="1"/>
    <col min="18" max="18" width="9.28515625" bestFit="1" customWidth="1"/>
    <col min="19" max="19" width="9.7109375" bestFit="1" customWidth="1"/>
    <col min="20" max="20" width="9.28515625" bestFit="1" customWidth="1"/>
    <col min="21" max="21" width="14.85546875" bestFit="1" customWidth="1"/>
    <col min="22" max="22" width="18.28515625" bestFit="1" customWidth="1"/>
    <col min="23" max="23" width="16.5703125" bestFit="1" customWidth="1"/>
    <col min="24" max="24" width="10.7109375" bestFit="1" customWidth="1"/>
    <col min="29" max="29" width="12.85546875" bestFit="1" customWidth="1"/>
    <col min="31" max="31" width="12.140625" bestFit="1" customWidth="1"/>
  </cols>
  <sheetData>
    <row r="1" spans="1:31" x14ac:dyDescent="0.25">
      <c r="A1" s="6" t="s">
        <v>13</v>
      </c>
      <c r="B1" s="6"/>
      <c r="C1" s="6"/>
      <c r="D1" s="6"/>
      <c r="E1" s="6"/>
      <c r="F1" s="6"/>
      <c r="G1" s="6"/>
      <c r="H1" s="6"/>
      <c r="I1" s="6"/>
    </row>
    <row r="2" spans="1:31" x14ac:dyDescent="0.25">
      <c r="A2" s="6"/>
      <c r="B2" s="6"/>
      <c r="C2" s="6"/>
      <c r="D2" s="6"/>
      <c r="E2" s="6"/>
      <c r="F2" s="6"/>
      <c r="G2" s="6"/>
      <c r="H2" s="6"/>
      <c r="I2" s="6"/>
    </row>
    <row r="3" spans="1:31" x14ac:dyDescent="0.25">
      <c r="A3" s="119" t="s">
        <v>2</v>
      </c>
      <c r="B3" s="119"/>
      <c r="C3" s="119"/>
      <c r="D3" s="119"/>
      <c r="E3" s="6"/>
      <c r="F3" s="119" t="s">
        <v>5</v>
      </c>
      <c r="G3" s="119"/>
      <c r="H3" s="119"/>
      <c r="I3" s="119"/>
      <c r="N3" s="120" t="s">
        <v>26</v>
      </c>
      <c r="O3" s="120"/>
      <c r="P3" s="120"/>
      <c r="Q3" s="120"/>
      <c r="R3" s="120"/>
      <c r="S3" s="120"/>
      <c r="T3" s="120"/>
      <c r="U3" s="120"/>
      <c r="V3" s="120"/>
      <c r="W3" s="120"/>
      <c r="X3" s="120"/>
      <c r="Z3" s="120" t="s">
        <v>34</v>
      </c>
      <c r="AA3" s="120"/>
      <c r="AB3" s="120"/>
      <c r="AC3" s="120"/>
      <c r="AD3" s="120"/>
      <c r="AE3" s="120"/>
    </row>
    <row r="4" spans="1:31" x14ac:dyDescent="0.25">
      <c r="A4" s="6"/>
      <c r="B4" s="4" t="s">
        <v>4</v>
      </c>
      <c r="C4" s="1" t="s">
        <v>0</v>
      </c>
      <c r="D4" s="1" t="s">
        <v>1</v>
      </c>
      <c r="E4" s="6"/>
      <c r="F4" s="6"/>
      <c r="G4" s="4" t="s">
        <v>4</v>
      </c>
      <c r="H4" s="1" t="s">
        <v>0</v>
      </c>
      <c r="I4" s="1" t="s">
        <v>1</v>
      </c>
      <c r="N4" s="4" t="s">
        <v>15</v>
      </c>
      <c r="O4" s="4" t="s">
        <v>16</v>
      </c>
      <c r="P4" s="4" t="s">
        <v>17</v>
      </c>
      <c r="Q4" s="4" t="s">
        <v>18</v>
      </c>
      <c r="R4" s="4" t="s">
        <v>19</v>
      </c>
      <c r="S4" s="4" t="s">
        <v>20</v>
      </c>
      <c r="T4" s="4" t="s">
        <v>21</v>
      </c>
      <c r="U4" s="4" t="s">
        <v>22</v>
      </c>
      <c r="V4" s="4" t="s">
        <v>23</v>
      </c>
      <c r="W4" s="4" t="s">
        <v>24</v>
      </c>
      <c r="X4" s="4" t="s">
        <v>25</v>
      </c>
      <c r="Z4" s="4" t="s">
        <v>35</v>
      </c>
      <c r="AA4" s="4" t="s">
        <v>36</v>
      </c>
      <c r="AB4" s="4" t="s">
        <v>37</v>
      </c>
      <c r="AC4" s="4" t="s">
        <v>38</v>
      </c>
      <c r="AD4" s="4" t="s">
        <v>39</v>
      </c>
      <c r="AE4" s="4" t="s">
        <v>40</v>
      </c>
    </row>
    <row r="5" spans="1:31" x14ac:dyDescent="0.25">
      <c r="A5" s="7">
        <v>2000</v>
      </c>
      <c r="B5" s="2">
        <v>6397</v>
      </c>
      <c r="C5" s="15">
        <f>(D5*10)/B5</f>
        <v>33.479756135688604</v>
      </c>
      <c r="D5" s="2">
        <v>21417</v>
      </c>
      <c r="F5" s="7">
        <v>2000</v>
      </c>
      <c r="G5" s="2">
        <v>919</v>
      </c>
      <c r="H5" s="15">
        <f>(I5*10)/G5</f>
        <v>20.130576713819369</v>
      </c>
      <c r="I5" s="2">
        <v>1850</v>
      </c>
      <c r="J5" s="30">
        <f>B5+G5</f>
        <v>7316</v>
      </c>
      <c r="K5" s="17">
        <f t="shared" ref="K5:K12" si="0">G5/J5</f>
        <v>0.12561509021323128</v>
      </c>
      <c r="L5" s="7">
        <v>2000</v>
      </c>
      <c r="M5" s="7">
        <v>1</v>
      </c>
      <c r="N5" s="85">
        <v>870</v>
      </c>
      <c r="O5" s="85"/>
      <c r="P5" s="85">
        <v>75</v>
      </c>
      <c r="Q5" s="85">
        <v>4369</v>
      </c>
      <c r="R5" s="85">
        <v>400</v>
      </c>
      <c r="S5" s="85">
        <v>2153</v>
      </c>
      <c r="T5" s="85"/>
      <c r="U5" s="85">
        <v>305000</v>
      </c>
      <c r="V5" s="85">
        <v>5907300</v>
      </c>
      <c r="W5" s="85">
        <v>173700</v>
      </c>
      <c r="X5" s="85">
        <v>9800</v>
      </c>
    </row>
    <row r="6" spans="1:31" x14ac:dyDescent="0.25">
      <c r="A6" s="7">
        <v>2001</v>
      </c>
      <c r="B6" s="2">
        <v>6646</v>
      </c>
      <c r="C6" s="15">
        <f t="shared" ref="C6:C20" si="1">(D6*10)/B6</f>
        <v>33.505868191393319</v>
      </c>
      <c r="D6" s="2">
        <v>22268</v>
      </c>
      <c r="F6" s="7">
        <v>2001</v>
      </c>
      <c r="G6" s="2">
        <v>345</v>
      </c>
      <c r="H6" s="15">
        <f t="shared" ref="H6:H20" si="2">(I6*10)/G6</f>
        <v>21.536231884057973</v>
      </c>
      <c r="I6" s="2">
        <v>743</v>
      </c>
      <c r="J6" s="30">
        <f t="shared" ref="J6:J19" si="3">B6+G6</f>
        <v>6991</v>
      </c>
      <c r="K6" s="17">
        <f t="shared" si="0"/>
        <v>4.9349163209841222E-2</v>
      </c>
      <c r="L6" s="7">
        <v>2001</v>
      </c>
      <c r="M6" s="7">
        <v>2</v>
      </c>
      <c r="N6" s="85">
        <v>748</v>
      </c>
      <c r="O6" s="2">
        <v>0</v>
      </c>
      <c r="P6" s="85">
        <v>71</v>
      </c>
      <c r="Q6" s="85">
        <v>8990</v>
      </c>
      <c r="R6" s="85">
        <v>677</v>
      </c>
      <c r="S6" s="85">
        <v>2662</v>
      </c>
      <c r="T6" s="2">
        <v>0</v>
      </c>
      <c r="U6" s="85">
        <v>317900</v>
      </c>
      <c r="V6" s="85">
        <v>6980600</v>
      </c>
      <c r="W6" s="85">
        <v>203500</v>
      </c>
      <c r="X6" s="85">
        <v>12200</v>
      </c>
    </row>
    <row r="7" spans="1:31" x14ac:dyDescent="0.25">
      <c r="A7" s="7">
        <v>2002</v>
      </c>
      <c r="B7" s="2">
        <v>6930</v>
      </c>
      <c r="C7" s="15">
        <f t="shared" si="1"/>
        <v>32.875901875901874</v>
      </c>
      <c r="D7" s="2">
        <v>22783</v>
      </c>
      <c r="F7" s="7">
        <v>2002</v>
      </c>
      <c r="G7" s="2">
        <v>324</v>
      </c>
      <c r="H7" s="15">
        <f t="shared" si="2"/>
        <v>21.790123456790123</v>
      </c>
      <c r="I7" s="2">
        <v>706</v>
      </c>
      <c r="J7" s="30">
        <f t="shared" si="3"/>
        <v>7254</v>
      </c>
      <c r="K7" s="17">
        <f t="shared" si="0"/>
        <v>4.4665012406947889E-2</v>
      </c>
      <c r="L7" s="7">
        <v>2002</v>
      </c>
      <c r="M7" s="7">
        <v>3</v>
      </c>
      <c r="N7" s="85">
        <v>763</v>
      </c>
      <c r="O7" s="2">
        <v>0</v>
      </c>
      <c r="P7" s="85">
        <v>72</v>
      </c>
      <c r="Q7" s="85">
        <v>9190</v>
      </c>
      <c r="R7" s="85">
        <v>678</v>
      </c>
      <c r="S7" s="85">
        <v>5015</v>
      </c>
      <c r="T7" s="2">
        <v>0</v>
      </c>
      <c r="U7" s="85">
        <v>334600</v>
      </c>
      <c r="V7" s="85">
        <v>8620900</v>
      </c>
      <c r="W7" s="85">
        <v>204500</v>
      </c>
      <c r="X7" s="85">
        <v>14100</v>
      </c>
    </row>
    <row r="8" spans="1:31" x14ac:dyDescent="0.25">
      <c r="A8" s="7">
        <v>2003</v>
      </c>
      <c r="B8" s="2">
        <v>7700</v>
      </c>
      <c r="C8" s="15">
        <f t="shared" si="1"/>
        <v>28.428571428571427</v>
      </c>
      <c r="D8" s="2">
        <v>21890</v>
      </c>
      <c r="F8" s="7">
        <v>2003</v>
      </c>
      <c r="G8" s="2">
        <v>343</v>
      </c>
      <c r="H8" s="15">
        <f t="shared" si="2"/>
        <v>21.690962099125365</v>
      </c>
      <c r="I8" s="2">
        <v>744</v>
      </c>
      <c r="J8" s="30">
        <f t="shared" si="3"/>
        <v>8043</v>
      </c>
      <c r="K8" s="17">
        <f t="shared" si="0"/>
        <v>4.2645778938207139E-2</v>
      </c>
      <c r="L8" s="7">
        <v>2003</v>
      </c>
      <c r="M8" s="7">
        <v>4</v>
      </c>
      <c r="N8" s="85">
        <v>1025</v>
      </c>
      <c r="O8" s="2">
        <v>0</v>
      </c>
      <c r="P8" s="85">
        <v>77</v>
      </c>
      <c r="Q8" s="85">
        <v>10903</v>
      </c>
      <c r="R8" s="85">
        <v>718</v>
      </c>
      <c r="S8" s="85">
        <v>5733</v>
      </c>
      <c r="T8" s="2">
        <v>0</v>
      </c>
      <c r="U8" s="85">
        <v>383300</v>
      </c>
      <c r="V8" s="85">
        <v>8328100</v>
      </c>
      <c r="W8" s="85">
        <v>210500</v>
      </c>
      <c r="X8" s="85">
        <v>16400</v>
      </c>
    </row>
    <row r="9" spans="1:31" x14ac:dyDescent="0.25">
      <c r="A9" s="7">
        <v>2004</v>
      </c>
      <c r="B9" s="2">
        <v>5647</v>
      </c>
      <c r="C9" s="15">
        <f t="shared" si="1"/>
        <v>44.51390118647069</v>
      </c>
      <c r="D9" s="2">
        <v>25137</v>
      </c>
      <c r="F9" s="7">
        <v>2004</v>
      </c>
      <c r="G9" s="2">
        <v>179</v>
      </c>
      <c r="H9" s="15">
        <f t="shared" si="2"/>
        <v>21.396648044692739</v>
      </c>
      <c r="I9" s="2">
        <v>383</v>
      </c>
      <c r="J9" s="30">
        <f t="shared" si="3"/>
        <v>5826</v>
      </c>
      <c r="K9" s="17">
        <f t="shared" si="0"/>
        <v>3.0724339169241333E-2</v>
      </c>
      <c r="L9" s="7">
        <v>2004</v>
      </c>
      <c r="M9" s="7">
        <v>5</v>
      </c>
      <c r="N9" s="85">
        <v>1339</v>
      </c>
      <c r="O9" s="2">
        <v>0</v>
      </c>
      <c r="P9" s="85">
        <v>90</v>
      </c>
      <c r="Q9" s="85">
        <v>10236</v>
      </c>
      <c r="R9" s="85">
        <v>720</v>
      </c>
      <c r="S9" s="85">
        <v>5746</v>
      </c>
      <c r="T9" s="2">
        <v>0</v>
      </c>
      <c r="U9" s="86">
        <v>388600</v>
      </c>
      <c r="V9" s="86">
        <v>8636000</v>
      </c>
      <c r="W9" s="86">
        <v>210400</v>
      </c>
      <c r="X9" s="86">
        <v>37800</v>
      </c>
    </row>
    <row r="10" spans="1:31" x14ac:dyDescent="0.25">
      <c r="A10" s="7">
        <v>2005</v>
      </c>
      <c r="B10" s="2">
        <v>4992</v>
      </c>
      <c r="C10" s="15">
        <f t="shared" si="1"/>
        <v>39.759615384615387</v>
      </c>
      <c r="D10" s="2">
        <v>19848</v>
      </c>
      <c r="F10" s="7">
        <v>2005</v>
      </c>
      <c r="G10" s="2">
        <v>120</v>
      </c>
      <c r="H10" s="15">
        <f t="shared" si="2"/>
        <v>21.5</v>
      </c>
      <c r="I10" s="2">
        <v>258</v>
      </c>
      <c r="J10" s="30">
        <f t="shared" si="3"/>
        <v>5112</v>
      </c>
      <c r="K10" s="17">
        <f t="shared" si="0"/>
        <v>2.3474178403755867E-2</v>
      </c>
      <c r="L10" s="7">
        <v>2005</v>
      </c>
      <c r="M10" s="7">
        <v>6</v>
      </c>
      <c r="N10" s="87">
        <v>1762</v>
      </c>
      <c r="O10" s="2">
        <v>0</v>
      </c>
      <c r="P10" s="87">
        <v>94</v>
      </c>
      <c r="Q10" s="87">
        <v>11546</v>
      </c>
      <c r="R10" s="87">
        <v>768</v>
      </c>
      <c r="S10" s="87">
        <v>5111</v>
      </c>
      <c r="T10" s="2">
        <v>0</v>
      </c>
      <c r="U10" s="87">
        <v>329600</v>
      </c>
      <c r="V10" s="87">
        <v>9155300</v>
      </c>
      <c r="W10" s="87">
        <v>210000</v>
      </c>
      <c r="X10" s="87">
        <v>41200</v>
      </c>
    </row>
    <row r="11" spans="1:31" x14ac:dyDescent="0.25">
      <c r="A11" s="7">
        <v>2006</v>
      </c>
      <c r="B11" s="2">
        <v>5665</v>
      </c>
      <c r="C11" s="15">
        <f t="shared" si="1"/>
        <v>46.57016769638129</v>
      </c>
      <c r="D11" s="2">
        <v>26382</v>
      </c>
      <c r="F11" s="7">
        <v>2006</v>
      </c>
      <c r="G11" s="2">
        <v>169</v>
      </c>
      <c r="H11" s="15">
        <f t="shared" si="2"/>
        <v>22.071005917159763</v>
      </c>
      <c r="I11" s="2">
        <v>373</v>
      </c>
      <c r="J11" s="30">
        <f t="shared" si="3"/>
        <v>5834</v>
      </c>
      <c r="K11" s="17">
        <f t="shared" si="0"/>
        <v>2.8968117929379499E-2</v>
      </c>
      <c r="L11" s="7">
        <v>2006</v>
      </c>
      <c r="M11" s="7">
        <v>7</v>
      </c>
      <c r="N11" s="87">
        <v>2291</v>
      </c>
      <c r="O11" s="2">
        <v>0</v>
      </c>
      <c r="P11" s="87">
        <v>96</v>
      </c>
      <c r="Q11" s="87">
        <v>11107</v>
      </c>
      <c r="R11" s="87">
        <v>785</v>
      </c>
      <c r="S11" s="87">
        <v>4922</v>
      </c>
      <c r="T11" s="2">
        <v>0</v>
      </c>
      <c r="U11" s="87">
        <v>317500</v>
      </c>
      <c r="V11" s="87">
        <v>9000000</v>
      </c>
      <c r="W11" s="87">
        <v>232500</v>
      </c>
      <c r="X11" s="87">
        <v>41300</v>
      </c>
    </row>
    <row r="12" spans="1:31" x14ac:dyDescent="0.25">
      <c r="A12" s="7">
        <v>2007</v>
      </c>
      <c r="B12" s="2">
        <v>6207</v>
      </c>
      <c r="C12" s="15">
        <f t="shared" si="1"/>
        <v>44.839697116159172</v>
      </c>
      <c r="D12" s="2">
        <v>27832</v>
      </c>
      <c r="F12" s="7">
        <v>2007</v>
      </c>
      <c r="G12" s="2">
        <v>136</v>
      </c>
      <c r="H12" s="15">
        <f t="shared" si="2"/>
        <v>21.838235294117649</v>
      </c>
      <c r="I12" s="2">
        <v>297</v>
      </c>
      <c r="J12" s="30">
        <f t="shared" si="3"/>
        <v>6343</v>
      </c>
      <c r="K12" s="17">
        <f t="shared" si="0"/>
        <v>2.1440958536969888E-2</v>
      </c>
      <c r="L12" s="7">
        <v>2007</v>
      </c>
      <c r="M12" s="7">
        <v>8</v>
      </c>
      <c r="N12" s="87">
        <v>3273</v>
      </c>
      <c r="O12" s="2">
        <v>0</v>
      </c>
      <c r="P12" s="87">
        <v>114</v>
      </c>
      <c r="Q12" s="87">
        <v>15044</v>
      </c>
      <c r="R12" s="87">
        <v>802</v>
      </c>
      <c r="S12" s="87">
        <v>5279</v>
      </c>
      <c r="T12" s="2">
        <v>0</v>
      </c>
      <c r="U12" s="87">
        <v>367500</v>
      </c>
      <c r="V12" s="87">
        <v>7900000</v>
      </c>
      <c r="W12" s="87">
        <v>220000</v>
      </c>
      <c r="X12" s="87">
        <v>45800</v>
      </c>
    </row>
    <row r="13" spans="1:31" x14ac:dyDescent="0.25">
      <c r="A13" s="7">
        <v>2008</v>
      </c>
      <c r="B13" s="2">
        <v>6438</v>
      </c>
      <c r="C13" s="15">
        <f t="shared" si="1"/>
        <v>45.31</v>
      </c>
      <c r="D13" s="2">
        <v>29170.578000000001</v>
      </c>
      <c r="F13" s="7">
        <v>2008</v>
      </c>
      <c r="G13" s="2">
        <v>106</v>
      </c>
      <c r="H13" s="15">
        <f t="shared" si="2"/>
        <v>22.169811320754718</v>
      </c>
      <c r="I13" s="2">
        <v>235</v>
      </c>
      <c r="J13" s="30">
        <f t="shared" si="3"/>
        <v>6544</v>
      </c>
      <c r="K13" s="17">
        <f t="shared" ref="K13:K14" si="4">G13/J13</f>
        <v>1.6198044009779949E-2</v>
      </c>
      <c r="L13" s="7">
        <v>2008</v>
      </c>
      <c r="M13" s="7">
        <v>9</v>
      </c>
      <c r="N13" s="87">
        <v>4258</v>
      </c>
      <c r="O13" s="2">
        <v>0</v>
      </c>
      <c r="P13" s="87">
        <v>123</v>
      </c>
      <c r="Q13" s="87">
        <v>15895</v>
      </c>
      <c r="R13" s="87">
        <v>821</v>
      </c>
      <c r="S13" s="87">
        <v>5511</v>
      </c>
      <c r="T13" s="2">
        <v>0</v>
      </c>
      <c r="U13" s="87">
        <v>377500</v>
      </c>
      <c r="V13" s="87">
        <v>8300000</v>
      </c>
      <c r="W13" s="87">
        <v>408</v>
      </c>
      <c r="X13" s="87">
        <v>13410</v>
      </c>
    </row>
    <row r="14" spans="1:31" x14ac:dyDescent="0.25">
      <c r="A14" s="7">
        <v>2009</v>
      </c>
      <c r="B14" s="2">
        <v>5725</v>
      </c>
      <c r="C14" s="15">
        <f t="shared" si="1"/>
        <v>45.039301310043669</v>
      </c>
      <c r="D14" s="2">
        <v>25785</v>
      </c>
      <c r="F14" s="7">
        <v>2009</v>
      </c>
      <c r="G14" s="2">
        <v>31</v>
      </c>
      <c r="H14" s="15">
        <f t="shared" si="2"/>
        <v>26.129032258064516</v>
      </c>
      <c r="I14" s="2">
        <v>81</v>
      </c>
      <c r="J14" s="30">
        <f t="shared" si="3"/>
        <v>5756</v>
      </c>
      <c r="K14" s="17">
        <f t="shared" si="4"/>
        <v>5.3856845031271718E-3</v>
      </c>
      <c r="L14" s="7">
        <v>2009</v>
      </c>
      <c r="M14" s="7">
        <v>10</v>
      </c>
      <c r="N14" s="87">
        <v>5222</v>
      </c>
      <c r="O14" s="2">
        <v>0</v>
      </c>
      <c r="P14" s="87">
        <v>131</v>
      </c>
      <c r="Q14" s="87">
        <v>16289</v>
      </c>
      <c r="R14" s="87">
        <v>836</v>
      </c>
      <c r="S14" s="87">
        <v>5628</v>
      </c>
      <c r="T14" s="2">
        <v>0</v>
      </c>
      <c r="U14" s="87">
        <v>573000</v>
      </c>
      <c r="V14" s="87">
        <v>12960870</v>
      </c>
      <c r="W14" s="87">
        <v>382640</v>
      </c>
      <c r="X14" s="87">
        <v>49485</v>
      </c>
      <c r="Y14" s="2">
        <v>1</v>
      </c>
      <c r="Z14" s="2">
        <v>38</v>
      </c>
      <c r="AA14" s="2">
        <v>365</v>
      </c>
      <c r="AB14" s="2">
        <v>61</v>
      </c>
      <c r="AC14" s="2">
        <v>25</v>
      </c>
      <c r="AD14" s="2">
        <v>1</v>
      </c>
      <c r="AE14" s="2">
        <v>5</v>
      </c>
    </row>
    <row r="15" spans="1:31" x14ac:dyDescent="0.25">
      <c r="A15" s="7">
        <v>2010</v>
      </c>
      <c r="B15" s="2">
        <v>4180</v>
      </c>
      <c r="C15" s="15">
        <f t="shared" si="1"/>
        <v>45.028708133971293</v>
      </c>
      <c r="D15" s="2">
        <v>18822</v>
      </c>
      <c r="F15" s="7">
        <v>2010</v>
      </c>
      <c r="G15" s="2">
        <v>26</v>
      </c>
      <c r="H15" s="15">
        <f t="shared" si="2"/>
        <v>26.153846153846153</v>
      </c>
      <c r="I15" s="2">
        <v>68</v>
      </c>
      <c r="J15" s="30">
        <f t="shared" si="3"/>
        <v>4206</v>
      </c>
      <c r="K15" s="17">
        <f t="shared" ref="K15:K20" si="5">G15/J15</f>
        <v>6.1816452686638138E-3</v>
      </c>
      <c r="L15" s="7">
        <v>2010</v>
      </c>
      <c r="M15" s="7">
        <v>11</v>
      </c>
      <c r="N15" s="88">
        <v>5525</v>
      </c>
      <c r="O15" s="2">
        <v>0</v>
      </c>
      <c r="P15" s="88">
        <v>143</v>
      </c>
      <c r="Q15" s="88">
        <v>17075</v>
      </c>
      <c r="R15" s="88">
        <v>774</v>
      </c>
      <c r="S15" s="88">
        <v>6321</v>
      </c>
      <c r="T15" s="2">
        <v>0</v>
      </c>
      <c r="U15" s="89">
        <v>394440</v>
      </c>
      <c r="V15" s="89">
        <v>9378910</v>
      </c>
      <c r="W15" s="89">
        <v>210000</v>
      </c>
      <c r="X15" s="89">
        <v>49441</v>
      </c>
      <c r="Y15" s="10">
        <v>2</v>
      </c>
      <c r="Z15" s="10">
        <v>10</v>
      </c>
      <c r="AA15" s="10">
        <v>223</v>
      </c>
      <c r="AB15" s="10">
        <v>66</v>
      </c>
      <c r="AC15" s="10">
        <v>23</v>
      </c>
      <c r="AD15" s="10">
        <v>0</v>
      </c>
      <c r="AE15" s="10">
        <v>8</v>
      </c>
    </row>
    <row r="16" spans="1:31" x14ac:dyDescent="0.25">
      <c r="A16" s="7">
        <v>2011</v>
      </c>
      <c r="B16" s="2">
        <v>3424</v>
      </c>
      <c r="C16" s="15">
        <f t="shared" si="1"/>
        <v>43.84345794392523</v>
      </c>
      <c r="D16" s="2">
        <v>15012</v>
      </c>
      <c r="F16" s="7">
        <v>2011</v>
      </c>
      <c r="G16" s="2">
        <v>23</v>
      </c>
      <c r="H16" s="15">
        <f t="shared" si="2"/>
        <v>26.086956521739129</v>
      </c>
      <c r="I16" s="2">
        <v>60</v>
      </c>
      <c r="J16" s="30">
        <f t="shared" si="3"/>
        <v>3447</v>
      </c>
      <c r="K16" s="17">
        <f t="shared" si="5"/>
        <v>6.6724688134609808E-3</v>
      </c>
      <c r="L16" s="7">
        <v>2011</v>
      </c>
      <c r="M16" s="7">
        <v>12</v>
      </c>
      <c r="N16" s="88">
        <v>5681</v>
      </c>
      <c r="O16" s="2">
        <v>0</v>
      </c>
      <c r="P16" s="88">
        <v>82</v>
      </c>
      <c r="Q16" s="88">
        <v>12635</v>
      </c>
      <c r="R16" s="88">
        <v>268</v>
      </c>
      <c r="S16" s="88">
        <v>7348</v>
      </c>
      <c r="T16" s="88">
        <v>7</v>
      </c>
      <c r="U16" s="89">
        <v>405390</v>
      </c>
      <c r="V16" s="89">
        <v>8640860</v>
      </c>
      <c r="W16" s="89">
        <v>210700</v>
      </c>
      <c r="X16" s="89">
        <v>45415</v>
      </c>
      <c r="Y16" s="10">
        <v>3</v>
      </c>
      <c r="Z16" s="10">
        <v>24</v>
      </c>
      <c r="AA16" s="10">
        <v>147</v>
      </c>
      <c r="AB16" s="10">
        <v>32</v>
      </c>
      <c r="AC16" s="10">
        <v>15</v>
      </c>
      <c r="AD16" s="10">
        <v>5</v>
      </c>
      <c r="AE16" s="10">
        <v>4</v>
      </c>
    </row>
    <row r="17" spans="1:31" x14ac:dyDescent="0.25">
      <c r="A17" s="7">
        <v>2012</v>
      </c>
      <c r="B17" s="2">
        <v>2781</v>
      </c>
      <c r="C17" s="15">
        <f t="shared" si="1"/>
        <v>42.793959007551237</v>
      </c>
      <c r="D17" s="2">
        <v>11901</v>
      </c>
      <c r="F17" s="7">
        <v>2012</v>
      </c>
      <c r="G17" s="2">
        <v>0</v>
      </c>
      <c r="H17" s="15" t="e">
        <f t="shared" si="2"/>
        <v>#DIV/0!</v>
      </c>
      <c r="I17" s="2">
        <v>0</v>
      </c>
      <c r="J17" s="30">
        <f t="shared" si="3"/>
        <v>2781</v>
      </c>
      <c r="K17" s="17">
        <f t="shared" si="5"/>
        <v>0</v>
      </c>
      <c r="L17" s="7">
        <v>2012</v>
      </c>
      <c r="M17" s="7">
        <v>13</v>
      </c>
      <c r="N17" s="88">
        <v>3671</v>
      </c>
      <c r="O17" s="2">
        <v>0</v>
      </c>
      <c r="P17" s="88">
        <v>78</v>
      </c>
      <c r="Q17" s="88">
        <v>13440</v>
      </c>
      <c r="R17" s="88">
        <v>298</v>
      </c>
      <c r="S17" s="88">
        <v>7498</v>
      </c>
      <c r="T17" s="88">
        <v>7</v>
      </c>
      <c r="U17" s="89">
        <v>415240</v>
      </c>
      <c r="V17" s="89">
        <v>8881634</v>
      </c>
      <c r="W17" s="89">
        <v>225036</v>
      </c>
      <c r="X17" s="89">
        <v>32800</v>
      </c>
      <c r="Y17" s="10">
        <v>4</v>
      </c>
      <c r="Z17" s="10">
        <v>20</v>
      </c>
      <c r="AA17" s="10">
        <v>106</v>
      </c>
      <c r="AB17" s="10">
        <v>12</v>
      </c>
      <c r="AC17" s="10">
        <v>11</v>
      </c>
      <c r="AD17" s="10">
        <v>3</v>
      </c>
      <c r="AE17" s="10">
        <v>2</v>
      </c>
    </row>
    <row r="18" spans="1:31" x14ac:dyDescent="0.25">
      <c r="A18" s="7">
        <v>2013</v>
      </c>
      <c r="B18" s="2">
        <v>3503</v>
      </c>
      <c r="C18" s="15">
        <f t="shared" si="1"/>
        <v>43.245789323437052</v>
      </c>
      <c r="D18" s="2">
        <v>15149</v>
      </c>
      <c r="F18" s="7">
        <v>2013</v>
      </c>
      <c r="G18" s="2">
        <v>190</v>
      </c>
      <c r="H18" s="15">
        <f t="shared" si="2"/>
        <v>21.736842105263158</v>
      </c>
      <c r="I18" s="2">
        <v>413</v>
      </c>
      <c r="J18" s="30">
        <f t="shared" si="3"/>
        <v>3693</v>
      </c>
      <c r="K18" s="17">
        <f t="shared" si="5"/>
        <v>5.1448686704576224E-2</v>
      </c>
      <c r="L18" s="7">
        <v>2013</v>
      </c>
      <c r="M18" s="7">
        <v>14</v>
      </c>
      <c r="N18" s="88">
        <v>3772</v>
      </c>
      <c r="O18" s="2">
        <v>0</v>
      </c>
      <c r="P18" s="88">
        <v>68</v>
      </c>
      <c r="Q18" s="88">
        <v>10353</v>
      </c>
      <c r="R18" s="88">
        <v>88</v>
      </c>
      <c r="S18" s="88">
        <v>7942</v>
      </c>
      <c r="T18" s="88">
        <v>16</v>
      </c>
      <c r="U18" s="89">
        <v>465109</v>
      </c>
      <c r="V18" s="89">
        <v>8118500</v>
      </c>
      <c r="W18" s="89">
        <v>239085</v>
      </c>
      <c r="X18" s="89">
        <v>34272</v>
      </c>
      <c r="Y18" s="10">
        <v>5</v>
      </c>
      <c r="Z18" s="10">
        <v>16</v>
      </c>
      <c r="AA18" s="10">
        <v>169</v>
      </c>
      <c r="AB18" s="10">
        <v>23</v>
      </c>
      <c r="AC18" s="10">
        <v>12</v>
      </c>
      <c r="AD18" s="10">
        <v>1</v>
      </c>
      <c r="AE18" s="10">
        <v>1</v>
      </c>
    </row>
    <row r="19" spans="1:31" x14ac:dyDescent="0.25">
      <c r="A19" s="7">
        <v>2014</v>
      </c>
      <c r="B19" s="2">
        <v>4030</v>
      </c>
      <c r="C19" s="15">
        <f t="shared" si="1"/>
        <v>42.593052109181144</v>
      </c>
      <c r="D19" s="2">
        <v>17165</v>
      </c>
      <c r="F19" s="7">
        <v>2014</v>
      </c>
      <c r="G19" s="2">
        <v>120</v>
      </c>
      <c r="H19" s="15">
        <f t="shared" si="2"/>
        <v>21</v>
      </c>
      <c r="I19" s="2">
        <v>252</v>
      </c>
      <c r="J19" s="30">
        <f t="shared" si="3"/>
        <v>4150</v>
      </c>
      <c r="K19" s="17">
        <f t="shared" si="5"/>
        <v>2.891566265060241E-2</v>
      </c>
      <c r="L19" s="7">
        <v>2014</v>
      </c>
      <c r="M19" s="7">
        <v>15</v>
      </c>
      <c r="N19" s="88">
        <v>4266</v>
      </c>
      <c r="O19" s="2">
        <v>0</v>
      </c>
      <c r="P19" s="88">
        <v>60</v>
      </c>
      <c r="Q19" s="88">
        <v>9730</v>
      </c>
      <c r="R19" s="88">
        <v>51</v>
      </c>
      <c r="S19" s="88">
        <v>8071</v>
      </c>
      <c r="T19" s="88">
        <v>7</v>
      </c>
      <c r="U19" s="89">
        <v>432502</v>
      </c>
      <c r="V19" s="89">
        <v>11667271</v>
      </c>
      <c r="W19" s="89">
        <v>204361</v>
      </c>
      <c r="X19" s="89">
        <v>24423</v>
      </c>
      <c r="Y19" s="10">
        <v>6</v>
      </c>
      <c r="Z19" s="10">
        <v>31</v>
      </c>
      <c r="AA19" s="10">
        <v>85</v>
      </c>
      <c r="AB19" s="10">
        <v>20</v>
      </c>
      <c r="AC19" s="10">
        <v>17</v>
      </c>
      <c r="AD19" s="10">
        <v>1</v>
      </c>
      <c r="AE19" s="10">
        <v>0</v>
      </c>
    </row>
    <row r="20" spans="1:31" x14ac:dyDescent="0.25">
      <c r="A20" s="7">
        <v>2015</v>
      </c>
      <c r="B20" s="30">
        <v>3404</v>
      </c>
      <c r="C20" s="15">
        <f t="shared" si="1"/>
        <v>41.351351351351354</v>
      </c>
      <c r="D20" s="2">
        <v>14076</v>
      </c>
      <c r="F20" s="7">
        <v>2015</v>
      </c>
      <c r="G20" s="30">
        <v>104</v>
      </c>
      <c r="H20" s="15">
        <f t="shared" si="2"/>
        <v>20.96153846153846</v>
      </c>
      <c r="I20" s="2">
        <v>218</v>
      </c>
      <c r="J20" s="30">
        <f>J19*1.03404</f>
        <v>4291.2660000000005</v>
      </c>
      <c r="K20" s="17">
        <f t="shared" si="5"/>
        <v>2.4235272294935804E-2</v>
      </c>
      <c r="L20" s="7">
        <v>2015</v>
      </c>
      <c r="M20" s="7">
        <v>16</v>
      </c>
      <c r="N20" s="87">
        <v>4996</v>
      </c>
      <c r="O20" s="2">
        <v>0</v>
      </c>
      <c r="P20" s="87">
        <v>72</v>
      </c>
      <c r="Q20" s="87">
        <v>10371</v>
      </c>
      <c r="R20" s="88">
        <v>63</v>
      </c>
      <c r="S20" s="87">
        <v>8907</v>
      </c>
      <c r="T20" s="87">
        <v>10</v>
      </c>
      <c r="U20" s="87">
        <v>479884</v>
      </c>
      <c r="V20" s="87">
        <v>17775680</v>
      </c>
      <c r="W20" s="89">
        <v>399637</v>
      </c>
      <c r="X20" s="87">
        <v>29905</v>
      </c>
      <c r="Y20" s="10">
        <v>7</v>
      </c>
      <c r="Z20" s="10">
        <v>1</v>
      </c>
      <c r="AA20" s="10">
        <v>139</v>
      </c>
      <c r="AB20" s="10">
        <v>14</v>
      </c>
      <c r="AC20" s="10">
        <v>12</v>
      </c>
      <c r="AD20" s="10">
        <v>2</v>
      </c>
      <c r="AE20" s="10">
        <v>0</v>
      </c>
    </row>
    <row r="21" spans="1:31" x14ac:dyDescent="0.25">
      <c r="A21" s="7">
        <v>2016</v>
      </c>
      <c r="B21" s="97">
        <f t="shared" ref="B21:B34" si="6">J21-G21</f>
        <v>4296.865730249825</v>
      </c>
      <c r="F21" s="7">
        <v>2016</v>
      </c>
      <c r="G21" s="97">
        <f>J21*$K$36</f>
        <v>140.30331375017636</v>
      </c>
      <c r="J21" s="30">
        <f>J20*1.034</f>
        <v>4437.1690440000011</v>
      </c>
      <c r="K21" s="30"/>
      <c r="L21" s="7">
        <v>2016</v>
      </c>
      <c r="M21" s="7">
        <v>17</v>
      </c>
      <c r="N21" s="110">
        <v>5288</v>
      </c>
      <c r="O21" s="87"/>
      <c r="P21" s="111">
        <f>0.1176*M21+89.375</f>
        <v>91.374200000000002</v>
      </c>
      <c r="Q21" s="111">
        <f>288.4*M21+9246.9</f>
        <v>14149.699999999999</v>
      </c>
      <c r="R21" s="88"/>
      <c r="S21" s="111">
        <f>351.95*M21+2873.9</f>
        <v>8857.0499999999993</v>
      </c>
      <c r="T21" s="87"/>
      <c r="U21" s="111">
        <f>10374*M21+304762</f>
        <v>481120</v>
      </c>
      <c r="V21" s="111">
        <f>370357*M21+6000000</f>
        <v>12296069</v>
      </c>
      <c r="W21" s="112">
        <f>6094.8*M21+169255</f>
        <v>272866.59999999998</v>
      </c>
      <c r="X21" s="111">
        <f>1348*M21+19651</f>
        <v>42567</v>
      </c>
      <c r="Y21" s="10">
        <v>8</v>
      </c>
      <c r="Z21" s="96"/>
      <c r="AA21" s="96"/>
      <c r="AB21" s="96"/>
      <c r="AC21" s="96"/>
      <c r="AD21" s="98"/>
      <c r="AE21" s="98"/>
    </row>
    <row r="22" spans="1:31" x14ac:dyDescent="0.25">
      <c r="A22" s="7">
        <v>2017</v>
      </c>
      <c r="B22" s="97">
        <f t="shared" si="6"/>
        <v>4442.9591650783195</v>
      </c>
      <c r="F22" s="7">
        <v>2017</v>
      </c>
      <c r="G22" s="97">
        <f t="shared" ref="G22:G35" si="7">J22*$K$36</f>
        <v>145.07362641768239</v>
      </c>
      <c r="J22" s="30">
        <f t="shared" ref="J22:J34" si="8">J21*1.034</f>
        <v>4588.0327914960017</v>
      </c>
      <c r="K22" s="30"/>
      <c r="L22" s="7">
        <v>2017</v>
      </c>
      <c r="M22" s="7">
        <v>18</v>
      </c>
      <c r="N22" s="110">
        <v>5316.7360057599999</v>
      </c>
      <c r="O22" s="87"/>
      <c r="P22" s="111">
        <f t="shared" ref="P22:P35" si="9">0.1176*M22+89.375</f>
        <v>91.491799999999998</v>
      </c>
      <c r="Q22" s="111">
        <f t="shared" ref="Q22:Q35" si="10">288.4*M22+9246.9</f>
        <v>14438.099999999999</v>
      </c>
      <c r="R22" s="88"/>
      <c r="S22" s="111">
        <f t="shared" ref="S22:S35" si="11">351.95*M22+2873.9</f>
        <v>9209</v>
      </c>
      <c r="T22" s="87"/>
      <c r="U22" s="111">
        <f t="shared" ref="U22:U35" si="12">10374*M22+304762</f>
        <v>491494</v>
      </c>
      <c r="V22" s="111">
        <f t="shared" ref="V22:V35" si="13">370357*M22+6000000</f>
        <v>12666426</v>
      </c>
      <c r="W22" s="112">
        <f t="shared" ref="W22:W35" si="14">6094.8*M22+169255</f>
        <v>278961.40000000002</v>
      </c>
      <c r="X22" s="111">
        <f t="shared" ref="X22:X35" si="15">1348*M22+19651</f>
        <v>43915</v>
      </c>
      <c r="Y22" s="10">
        <v>9</v>
      </c>
      <c r="Z22" s="96"/>
      <c r="AA22" s="96"/>
      <c r="AB22" s="96"/>
      <c r="AC22" s="96"/>
      <c r="AD22" s="98"/>
      <c r="AE22" s="98"/>
    </row>
    <row r="23" spans="1:31" x14ac:dyDescent="0.25">
      <c r="A23" s="7">
        <v>2018</v>
      </c>
      <c r="B23" s="97">
        <f t="shared" si="6"/>
        <v>4594.0197766909823</v>
      </c>
      <c r="F23" s="7">
        <v>2018</v>
      </c>
      <c r="G23" s="97">
        <f t="shared" si="7"/>
        <v>150.00612971588359</v>
      </c>
      <c r="J23" s="30">
        <f t="shared" si="8"/>
        <v>4744.0259064068659</v>
      </c>
      <c r="K23" s="30"/>
      <c r="L23" s="7">
        <v>2018</v>
      </c>
      <c r="M23" s="7">
        <v>19</v>
      </c>
      <c r="N23" s="110">
        <v>5484.744863542016</v>
      </c>
      <c r="O23" s="87"/>
      <c r="P23" s="111">
        <f t="shared" si="9"/>
        <v>91.609399999999994</v>
      </c>
      <c r="Q23" s="111">
        <f t="shared" si="10"/>
        <v>14726.5</v>
      </c>
      <c r="R23" s="88"/>
      <c r="S23" s="111">
        <f t="shared" si="11"/>
        <v>9560.9500000000007</v>
      </c>
      <c r="T23" s="87"/>
      <c r="U23" s="111">
        <f t="shared" si="12"/>
        <v>501868</v>
      </c>
      <c r="V23" s="111">
        <f t="shared" si="13"/>
        <v>13036783</v>
      </c>
      <c r="W23" s="112">
        <f t="shared" si="14"/>
        <v>285056.2</v>
      </c>
      <c r="X23" s="111">
        <f t="shared" si="15"/>
        <v>45263</v>
      </c>
      <c r="Y23" s="2">
        <v>10</v>
      </c>
      <c r="Z23" s="96"/>
      <c r="AA23" s="96"/>
      <c r="AB23" s="96"/>
      <c r="AC23" s="96"/>
      <c r="AD23" s="98"/>
      <c r="AE23" s="98"/>
    </row>
    <row r="24" spans="1:31" x14ac:dyDescent="0.25">
      <c r="A24" s="7">
        <v>2019</v>
      </c>
      <c r="B24" s="97">
        <f t="shared" si="6"/>
        <v>4750.216449098476</v>
      </c>
      <c r="F24" s="7">
        <v>2019</v>
      </c>
      <c r="G24" s="97">
        <f t="shared" si="7"/>
        <v>155.10633812622365</v>
      </c>
      <c r="J24" s="30">
        <f t="shared" si="8"/>
        <v>4905.3227872246998</v>
      </c>
      <c r="K24" s="30"/>
      <c r="L24" s="7">
        <v>2019</v>
      </c>
      <c r="M24" s="7">
        <v>20</v>
      </c>
      <c r="N24" s="110">
        <v>5658.0628012299439</v>
      </c>
      <c r="O24" s="87"/>
      <c r="P24" s="111">
        <f t="shared" si="9"/>
        <v>91.727000000000004</v>
      </c>
      <c r="Q24" s="111">
        <f t="shared" si="10"/>
        <v>15014.9</v>
      </c>
      <c r="R24" s="88"/>
      <c r="S24" s="111">
        <f t="shared" si="11"/>
        <v>9912.9</v>
      </c>
      <c r="T24" s="87"/>
      <c r="U24" s="111">
        <f t="shared" si="12"/>
        <v>512242</v>
      </c>
      <c r="V24" s="111">
        <f t="shared" si="13"/>
        <v>13407140</v>
      </c>
      <c r="W24" s="112">
        <f t="shared" si="14"/>
        <v>291151</v>
      </c>
      <c r="X24" s="111">
        <f t="shared" si="15"/>
        <v>46611</v>
      </c>
      <c r="Y24" s="10">
        <v>11</v>
      </c>
      <c r="Z24" s="96"/>
      <c r="AA24" s="96"/>
      <c r="AB24" s="96"/>
      <c r="AC24" s="96"/>
      <c r="AD24" s="98"/>
      <c r="AE24" s="98"/>
    </row>
    <row r="25" spans="1:31" x14ac:dyDescent="0.25">
      <c r="A25" s="7">
        <v>2020</v>
      </c>
      <c r="B25" s="97">
        <f t="shared" si="6"/>
        <v>4911.7238083678249</v>
      </c>
      <c r="F25" s="7">
        <v>2020</v>
      </c>
      <c r="G25" s="97">
        <f t="shared" si="7"/>
        <v>160.37995362251527</v>
      </c>
      <c r="J25" s="30">
        <f t="shared" si="8"/>
        <v>5072.10376199034</v>
      </c>
      <c r="K25" s="30"/>
      <c r="L25" s="7">
        <v>2020</v>
      </c>
      <c r="M25" s="7">
        <v>21</v>
      </c>
      <c r="N25" s="110">
        <v>5831.3807389178701</v>
      </c>
      <c r="O25" s="87"/>
      <c r="P25" s="111">
        <f t="shared" si="9"/>
        <v>91.8446</v>
      </c>
      <c r="Q25" s="111">
        <f t="shared" si="10"/>
        <v>15303.3</v>
      </c>
      <c r="R25" s="88"/>
      <c r="S25" s="111">
        <f t="shared" si="11"/>
        <v>10264.85</v>
      </c>
      <c r="T25" s="87"/>
      <c r="U25" s="111">
        <f t="shared" si="12"/>
        <v>522616</v>
      </c>
      <c r="V25" s="111">
        <f t="shared" si="13"/>
        <v>13777497</v>
      </c>
      <c r="W25" s="112">
        <f t="shared" si="14"/>
        <v>297245.8</v>
      </c>
      <c r="X25" s="111">
        <f t="shared" si="15"/>
        <v>47959</v>
      </c>
      <c r="Y25" s="10">
        <v>12</v>
      </c>
      <c r="Z25" s="96"/>
      <c r="AA25" s="96"/>
      <c r="AB25" s="96"/>
      <c r="AC25" s="96"/>
      <c r="AD25" s="98"/>
      <c r="AE25" s="98"/>
    </row>
    <row r="26" spans="1:31" x14ac:dyDescent="0.25">
      <c r="A26" s="7">
        <v>2021</v>
      </c>
      <c r="B26" s="97">
        <f t="shared" si="6"/>
        <v>5078.7224178523302</v>
      </c>
      <c r="F26" s="7">
        <v>2021</v>
      </c>
      <c r="G26" s="97">
        <f t="shared" si="7"/>
        <v>165.83287204568077</v>
      </c>
      <c r="J26" s="30">
        <f t="shared" si="8"/>
        <v>5244.5552898980113</v>
      </c>
      <c r="K26" s="30"/>
      <c r="L26" s="7">
        <v>2021</v>
      </c>
      <c r="M26" s="7">
        <v>22</v>
      </c>
      <c r="N26" s="110">
        <v>6004.6986766057998</v>
      </c>
      <c r="O26" s="87"/>
      <c r="P26" s="111">
        <f t="shared" si="9"/>
        <v>91.962199999999996</v>
      </c>
      <c r="Q26" s="111">
        <f t="shared" si="10"/>
        <v>15591.699999999999</v>
      </c>
      <c r="R26" s="88"/>
      <c r="S26" s="111">
        <f t="shared" si="11"/>
        <v>10616.8</v>
      </c>
      <c r="T26" s="87"/>
      <c r="U26" s="111">
        <f t="shared" si="12"/>
        <v>532990</v>
      </c>
      <c r="V26" s="111">
        <f t="shared" si="13"/>
        <v>14147854</v>
      </c>
      <c r="W26" s="112">
        <f t="shared" si="14"/>
        <v>303340.59999999998</v>
      </c>
      <c r="X26" s="111">
        <f t="shared" si="15"/>
        <v>49307</v>
      </c>
      <c r="Y26" s="10">
        <v>13</v>
      </c>
      <c r="Z26" s="96"/>
      <c r="AA26" s="96"/>
      <c r="AB26" s="96"/>
      <c r="AC26" s="96"/>
      <c r="AD26" s="98"/>
      <c r="AE26" s="98"/>
    </row>
    <row r="27" spans="1:31" x14ac:dyDescent="0.25">
      <c r="A27" s="7">
        <v>2022</v>
      </c>
      <c r="B27" s="97">
        <f t="shared" si="6"/>
        <v>5251.3989800593099</v>
      </c>
      <c r="F27" s="7">
        <v>2022</v>
      </c>
      <c r="G27" s="97">
        <f t="shared" si="7"/>
        <v>171.47118969523393</v>
      </c>
      <c r="J27" s="30">
        <f t="shared" si="8"/>
        <v>5422.8701697545439</v>
      </c>
      <c r="K27" s="30"/>
      <c r="L27" s="7">
        <v>2022</v>
      </c>
      <c r="M27" s="7">
        <v>23</v>
      </c>
      <c r="N27" s="110">
        <v>6178.0166142937296</v>
      </c>
      <c r="O27" s="87"/>
      <c r="P27" s="111">
        <f t="shared" si="9"/>
        <v>92.079800000000006</v>
      </c>
      <c r="Q27" s="111">
        <f t="shared" si="10"/>
        <v>15880.099999999999</v>
      </c>
      <c r="R27" s="88"/>
      <c r="S27" s="111">
        <f t="shared" si="11"/>
        <v>10968.75</v>
      </c>
      <c r="T27" s="87"/>
      <c r="U27" s="111">
        <f t="shared" si="12"/>
        <v>543364</v>
      </c>
      <c r="V27" s="111">
        <f t="shared" si="13"/>
        <v>14518211</v>
      </c>
      <c r="W27" s="112">
        <f t="shared" si="14"/>
        <v>309435.40000000002</v>
      </c>
      <c r="X27" s="111">
        <f t="shared" si="15"/>
        <v>50655</v>
      </c>
      <c r="Y27" s="10">
        <v>14</v>
      </c>
      <c r="Z27" s="96"/>
      <c r="AA27" s="96"/>
      <c r="AB27" s="96"/>
      <c r="AC27" s="96"/>
      <c r="AD27" s="98"/>
      <c r="AE27" s="98"/>
    </row>
    <row r="28" spans="1:31" x14ac:dyDescent="0.25">
      <c r="A28" s="7">
        <v>2023</v>
      </c>
      <c r="B28" s="97">
        <f t="shared" si="6"/>
        <v>5429.9465453813264</v>
      </c>
      <c r="F28" s="7">
        <v>2023</v>
      </c>
      <c r="G28" s="97">
        <f t="shared" si="7"/>
        <v>177.30121014487187</v>
      </c>
      <c r="J28" s="30">
        <f t="shared" si="8"/>
        <v>5607.2477555261985</v>
      </c>
      <c r="K28" s="30"/>
      <c r="L28" s="7">
        <v>2023</v>
      </c>
      <c r="M28" s="7">
        <v>24</v>
      </c>
      <c r="N28" s="110">
        <v>6351.3345519816603</v>
      </c>
      <c r="O28" s="87"/>
      <c r="P28" s="111">
        <f t="shared" si="9"/>
        <v>92.197400000000002</v>
      </c>
      <c r="Q28" s="111">
        <f t="shared" si="10"/>
        <v>16168.5</v>
      </c>
      <c r="R28" s="88"/>
      <c r="S28" s="111">
        <f t="shared" si="11"/>
        <v>11320.699999999999</v>
      </c>
      <c r="T28" s="87"/>
      <c r="U28" s="111">
        <f t="shared" si="12"/>
        <v>553738</v>
      </c>
      <c r="V28" s="111">
        <f t="shared" si="13"/>
        <v>14888568</v>
      </c>
      <c r="W28" s="112">
        <f t="shared" si="14"/>
        <v>315530.2</v>
      </c>
      <c r="X28" s="111">
        <f t="shared" si="15"/>
        <v>52003</v>
      </c>
      <c r="Y28" s="10">
        <v>15</v>
      </c>
      <c r="Z28" s="96"/>
      <c r="AA28" s="96"/>
      <c r="AB28" s="96"/>
      <c r="AC28" s="96"/>
      <c r="AD28" s="98"/>
      <c r="AE28" s="98"/>
    </row>
    <row r="29" spans="1:31" x14ac:dyDescent="0.25">
      <c r="A29" s="7">
        <v>2024</v>
      </c>
      <c r="B29" s="97">
        <f t="shared" si="6"/>
        <v>5614.5647279242921</v>
      </c>
      <c r="F29" s="7">
        <v>2024</v>
      </c>
      <c r="G29" s="97">
        <f t="shared" si="7"/>
        <v>183.32945128979753</v>
      </c>
      <c r="J29" s="30">
        <f t="shared" si="8"/>
        <v>5797.8941792140895</v>
      </c>
      <c r="K29" s="30"/>
      <c r="L29" s="7">
        <v>2024</v>
      </c>
      <c r="M29" s="7">
        <v>25</v>
      </c>
      <c r="N29" s="110">
        <v>6524.6524896695901</v>
      </c>
      <c r="O29" s="87"/>
      <c r="P29" s="111">
        <f t="shared" si="9"/>
        <v>92.314999999999998</v>
      </c>
      <c r="Q29" s="111">
        <f t="shared" si="10"/>
        <v>16456.899999999998</v>
      </c>
      <c r="R29" s="88"/>
      <c r="S29" s="111">
        <f t="shared" si="11"/>
        <v>11672.65</v>
      </c>
      <c r="T29" s="87"/>
      <c r="U29" s="111">
        <f t="shared" si="12"/>
        <v>564112</v>
      </c>
      <c r="V29" s="111">
        <f t="shared" si="13"/>
        <v>15258925</v>
      </c>
      <c r="W29" s="112">
        <f t="shared" si="14"/>
        <v>321625</v>
      </c>
      <c r="X29" s="111">
        <f t="shared" si="15"/>
        <v>53351</v>
      </c>
      <c r="Y29" s="10">
        <v>16</v>
      </c>
      <c r="Z29" s="96"/>
      <c r="AA29" s="96"/>
      <c r="AB29" s="96"/>
      <c r="AC29" s="96"/>
      <c r="AD29" s="98"/>
      <c r="AE29" s="98"/>
    </row>
    <row r="30" spans="1:31" x14ac:dyDescent="0.25">
      <c r="A30" s="7">
        <v>2025</v>
      </c>
      <c r="B30" s="97">
        <f t="shared" si="6"/>
        <v>5805.4599286737175</v>
      </c>
      <c r="F30" s="7">
        <v>2025</v>
      </c>
      <c r="G30" s="97">
        <f t="shared" si="7"/>
        <v>189.56265263365066</v>
      </c>
      <c r="J30" s="30">
        <f t="shared" si="8"/>
        <v>5995.0225813073685</v>
      </c>
      <c r="K30" s="30"/>
      <c r="L30" s="7">
        <v>2025</v>
      </c>
      <c r="M30" s="7">
        <v>26</v>
      </c>
      <c r="N30" s="110">
        <v>6697.9704273575198</v>
      </c>
      <c r="O30" s="87"/>
      <c r="P30" s="111">
        <f t="shared" si="9"/>
        <v>92.432599999999994</v>
      </c>
      <c r="Q30" s="111">
        <f t="shared" si="10"/>
        <v>16745.3</v>
      </c>
      <c r="R30" s="88"/>
      <c r="S30" s="111">
        <f t="shared" si="11"/>
        <v>12024.599999999999</v>
      </c>
      <c r="T30" s="87"/>
      <c r="U30" s="111">
        <f t="shared" si="12"/>
        <v>574486</v>
      </c>
      <c r="V30" s="111">
        <f t="shared" si="13"/>
        <v>15629282</v>
      </c>
      <c r="W30" s="112">
        <f t="shared" si="14"/>
        <v>327719.80000000005</v>
      </c>
      <c r="X30" s="111">
        <f t="shared" si="15"/>
        <v>54699</v>
      </c>
      <c r="Y30" s="10">
        <v>17</v>
      </c>
      <c r="Z30" s="96"/>
      <c r="AA30" s="96"/>
      <c r="AB30" s="96"/>
      <c r="AC30" s="96"/>
      <c r="AD30" s="98"/>
      <c r="AE30" s="98"/>
    </row>
    <row r="31" spans="1:31" x14ac:dyDescent="0.25">
      <c r="A31" s="7">
        <v>2026</v>
      </c>
      <c r="B31" s="97">
        <f t="shared" si="6"/>
        <v>6002.845566248624</v>
      </c>
      <c r="F31" s="7">
        <v>2026</v>
      </c>
      <c r="G31" s="97">
        <f t="shared" si="7"/>
        <v>196.00778282319476</v>
      </c>
      <c r="J31" s="30">
        <f t="shared" si="8"/>
        <v>6198.8533490718191</v>
      </c>
      <c r="K31" s="30"/>
      <c r="L31" s="7">
        <v>2026</v>
      </c>
      <c r="M31" s="7">
        <v>27</v>
      </c>
      <c r="N31" s="110">
        <v>6871.2883650454396</v>
      </c>
      <c r="O31" s="87"/>
      <c r="P31" s="111">
        <f t="shared" si="9"/>
        <v>92.550200000000004</v>
      </c>
      <c r="Q31" s="111">
        <f t="shared" si="10"/>
        <v>17033.699999999997</v>
      </c>
      <c r="R31" s="88"/>
      <c r="S31" s="111">
        <f t="shared" si="11"/>
        <v>12376.55</v>
      </c>
      <c r="T31" s="87"/>
      <c r="U31" s="111">
        <f t="shared" si="12"/>
        <v>584860</v>
      </c>
      <c r="V31" s="111">
        <f t="shared" si="13"/>
        <v>15999639</v>
      </c>
      <c r="W31" s="112">
        <f t="shared" si="14"/>
        <v>333814.59999999998</v>
      </c>
      <c r="X31" s="111">
        <f t="shared" si="15"/>
        <v>56047</v>
      </c>
      <c r="Y31" s="10">
        <v>18</v>
      </c>
      <c r="Z31" s="96"/>
      <c r="AA31" s="96"/>
      <c r="AB31" s="96"/>
      <c r="AC31" s="96"/>
      <c r="AD31" s="98"/>
      <c r="AE31" s="98"/>
    </row>
    <row r="32" spans="1:31" x14ac:dyDescent="0.25">
      <c r="A32" s="7">
        <v>2027</v>
      </c>
      <c r="B32" s="97">
        <f t="shared" si="6"/>
        <v>6206.9423155010782</v>
      </c>
      <c r="F32" s="7">
        <v>2027</v>
      </c>
      <c r="G32" s="97">
        <f t="shared" si="7"/>
        <v>202.67204743918342</v>
      </c>
      <c r="J32" s="30">
        <f t="shared" si="8"/>
        <v>6409.6143629402613</v>
      </c>
      <c r="K32" s="30"/>
      <c r="L32" s="7">
        <v>2027</v>
      </c>
      <c r="M32" s="7">
        <v>28</v>
      </c>
      <c r="N32" s="110">
        <v>7044.6063027333703</v>
      </c>
      <c r="O32" s="87"/>
      <c r="P32" s="111">
        <f t="shared" si="9"/>
        <v>92.6678</v>
      </c>
      <c r="Q32" s="111">
        <f t="shared" si="10"/>
        <v>17322.099999999999</v>
      </c>
      <c r="R32" s="88"/>
      <c r="S32" s="111">
        <f t="shared" si="11"/>
        <v>12728.5</v>
      </c>
      <c r="T32" s="87"/>
      <c r="U32" s="111">
        <f t="shared" si="12"/>
        <v>595234</v>
      </c>
      <c r="V32" s="111">
        <f t="shared" si="13"/>
        <v>16369996</v>
      </c>
      <c r="W32" s="112">
        <f t="shared" si="14"/>
        <v>339909.4</v>
      </c>
      <c r="X32" s="111">
        <f t="shared" si="15"/>
        <v>57395</v>
      </c>
      <c r="Y32" s="2">
        <v>19</v>
      </c>
      <c r="Z32" s="96"/>
      <c r="AA32" s="96"/>
      <c r="AB32" s="96"/>
      <c r="AC32" s="96"/>
      <c r="AD32" s="98"/>
      <c r="AE32" s="98"/>
    </row>
    <row r="33" spans="1:31" x14ac:dyDescent="0.25">
      <c r="A33" s="7">
        <v>2028</v>
      </c>
      <c r="B33" s="97">
        <f t="shared" si="6"/>
        <v>6417.9783542281148</v>
      </c>
      <c r="F33" s="7">
        <v>2028</v>
      </c>
      <c r="G33" s="97">
        <f t="shared" si="7"/>
        <v>209.56289705211566</v>
      </c>
      <c r="J33" s="30">
        <f t="shared" si="8"/>
        <v>6627.5412512802304</v>
      </c>
      <c r="K33" s="30"/>
      <c r="L33" s="7">
        <v>2028</v>
      </c>
      <c r="M33" s="7">
        <v>29</v>
      </c>
      <c r="N33" s="110">
        <v>7217.9242404213001</v>
      </c>
      <c r="O33" s="87"/>
      <c r="P33" s="111">
        <f t="shared" si="9"/>
        <v>92.785399999999996</v>
      </c>
      <c r="Q33" s="111">
        <f t="shared" si="10"/>
        <v>17610.5</v>
      </c>
      <c r="R33" s="88"/>
      <c r="S33" s="111">
        <f t="shared" si="11"/>
        <v>13080.449999999999</v>
      </c>
      <c r="T33" s="87"/>
      <c r="U33" s="111">
        <f t="shared" si="12"/>
        <v>605608</v>
      </c>
      <c r="V33" s="111">
        <f t="shared" si="13"/>
        <v>16740353</v>
      </c>
      <c r="W33" s="112">
        <f t="shared" si="14"/>
        <v>346004.2</v>
      </c>
      <c r="X33" s="111">
        <f t="shared" si="15"/>
        <v>58743</v>
      </c>
      <c r="Y33" s="10">
        <v>20</v>
      </c>
      <c r="Z33" s="96"/>
      <c r="AA33" s="96"/>
      <c r="AB33" s="96"/>
      <c r="AC33" s="96"/>
      <c r="AD33" s="98"/>
      <c r="AE33" s="98"/>
    </row>
    <row r="34" spans="1:31" x14ac:dyDescent="0.25">
      <c r="A34" s="7">
        <v>2029</v>
      </c>
      <c r="B34" s="97">
        <f t="shared" si="6"/>
        <v>6636.1896182718701</v>
      </c>
      <c r="F34" s="7">
        <v>2029</v>
      </c>
      <c r="G34" s="97">
        <f t="shared" si="7"/>
        <v>216.68803555188757</v>
      </c>
      <c r="J34" s="30">
        <f t="shared" si="8"/>
        <v>6852.877653823758</v>
      </c>
      <c r="K34" s="30"/>
      <c r="L34" s="7">
        <v>2029</v>
      </c>
      <c r="M34" s="7">
        <v>30</v>
      </c>
      <c r="N34" s="110">
        <v>7391.2421781092298</v>
      </c>
      <c r="O34" s="87"/>
      <c r="P34" s="111">
        <f t="shared" si="9"/>
        <v>92.903000000000006</v>
      </c>
      <c r="Q34" s="111">
        <f t="shared" si="10"/>
        <v>17898.900000000001</v>
      </c>
      <c r="R34" s="88"/>
      <c r="S34" s="111">
        <f t="shared" si="11"/>
        <v>13432.4</v>
      </c>
      <c r="T34" s="87"/>
      <c r="U34" s="111">
        <f t="shared" si="12"/>
        <v>615982</v>
      </c>
      <c r="V34" s="111">
        <f t="shared" si="13"/>
        <v>17110710</v>
      </c>
      <c r="W34" s="112">
        <f t="shared" si="14"/>
        <v>352099</v>
      </c>
      <c r="X34" s="111">
        <f t="shared" si="15"/>
        <v>60091</v>
      </c>
      <c r="Y34" s="10">
        <v>21</v>
      </c>
      <c r="Z34" s="96"/>
      <c r="AA34" s="96"/>
      <c r="AB34" s="96"/>
      <c r="AC34" s="96"/>
      <c r="AD34" s="98"/>
      <c r="AE34" s="98"/>
    </row>
    <row r="35" spans="1:31" x14ac:dyDescent="0.25">
      <c r="A35" s="7">
        <v>2030</v>
      </c>
      <c r="B35" s="97">
        <f t="shared" ref="B35" si="16">J35-G35</f>
        <v>6865.8141543347629</v>
      </c>
      <c r="F35" s="7">
        <v>2030</v>
      </c>
      <c r="G35" s="97">
        <f t="shared" si="7"/>
        <v>224.18584566523677</v>
      </c>
      <c r="J35" s="41">
        <v>7090</v>
      </c>
      <c r="K35" s="2"/>
      <c r="L35" s="7">
        <v>2030</v>
      </c>
      <c r="M35" s="7">
        <v>31</v>
      </c>
      <c r="N35" s="110">
        <v>7564.5601157971596</v>
      </c>
      <c r="O35" s="87"/>
      <c r="P35" s="111">
        <f t="shared" si="9"/>
        <v>93.020600000000002</v>
      </c>
      <c r="Q35" s="111">
        <f t="shared" si="10"/>
        <v>18187.3</v>
      </c>
      <c r="R35" s="88"/>
      <c r="S35" s="111">
        <f t="shared" si="11"/>
        <v>13784.349999999999</v>
      </c>
      <c r="T35" s="87"/>
      <c r="U35" s="111">
        <f t="shared" si="12"/>
        <v>626356</v>
      </c>
      <c r="V35" s="111">
        <f t="shared" si="13"/>
        <v>17481067</v>
      </c>
      <c r="W35" s="112">
        <f t="shared" si="14"/>
        <v>358193.80000000005</v>
      </c>
      <c r="X35" s="111">
        <f t="shared" si="15"/>
        <v>61439</v>
      </c>
      <c r="Y35" s="10">
        <v>22</v>
      </c>
      <c r="Z35" s="96"/>
      <c r="AA35" s="96"/>
      <c r="AB35" s="96"/>
      <c r="AC35" s="96"/>
      <c r="AD35" s="98"/>
      <c r="AE35" s="98"/>
    </row>
    <row r="36" spans="1:31" x14ac:dyDescent="0.25">
      <c r="J36" s="19">
        <f>(J35/J20)^(1/15)-1</f>
        <v>3.4040113425977792E-2</v>
      </c>
      <c r="K36" s="45">
        <f>AVERAGE(K5:K20)</f>
        <v>3.1620006440795032E-2</v>
      </c>
    </row>
  </sheetData>
  <mergeCells count="4">
    <mergeCell ref="A3:D3"/>
    <mergeCell ref="F3:I3"/>
    <mergeCell ref="N3:X3"/>
    <mergeCell ref="Z3:AE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Luas Alokasi Pertanian</vt:lpstr>
      <vt:lpstr>Sheet1</vt:lpstr>
      <vt:lpstr>Paser</vt:lpstr>
      <vt:lpstr>Kutai Barat</vt:lpstr>
      <vt:lpstr>Kutai Kertanegara</vt:lpstr>
      <vt:lpstr>Kutai Timur</vt:lpstr>
      <vt:lpstr>Berau</vt:lpstr>
      <vt:lpstr>PPU</vt:lpstr>
      <vt:lpstr>Samarinda</vt:lpstr>
      <vt:lpstr>Balikpapan</vt:lpstr>
      <vt:lpstr>Bontang</vt:lpstr>
      <vt:lpstr>Mahulu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Iwied</dc:creator>
  <cp:lastModifiedBy>Iwied</cp:lastModifiedBy>
  <dcterms:created xsi:type="dcterms:W3CDTF">2017-01-03T03:37:47Z</dcterms:created>
  <dcterms:modified xsi:type="dcterms:W3CDTF">2017-10-18T02:31:32Z</dcterms:modified>
</cp:coreProperties>
</file>