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tiff" ContentType="image/tif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trlProps/ctrlProp3.xml" ContentType="application/vnd.ms-excel.controlpropertie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cer\Documents\alfi\Rapotan level 12\"/>
    </mc:Choice>
  </mc:AlternateContent>
  <bookViews>
    <workbookView showSheetTabs="0" xWindow="0" yWindow="0" windowWidth="28800" windowHeight="12330" firstSheet="6"/>
  </bookViews>
  <sheets>
    <sheet name="Home" sheetId="4" r:id="rId1"/>
    <sheet name="Legger Dinas" sheetId="71" r:id="rId2"/>
    <sheet name="Rank" sheetId="72" r:id="rId3"/>
    <sheet name="Setting" sheetId="64" r:id="rId4"/>
    <sheet name="DATA SISWA LENGKAP" sheetId="74" r:id="rId5"/>
    <sheet name="Raport" sheetId="7" r:id="rId6"/>
    <sheet name="Legger" sheetId="65" r:id="rId7"/>
    <sheet name="Catatan Sikap" sheetId="73" r:id="rId8"/>
    <sheet name="Input Nilai Sikap dan Catatan" sheetId="67" r:id="rId9"/>
    <sheet name="Input Ekstra" sheetId="60" r:id="rId10"/>
    <sheet name="Input Kehadiran" sheetId="68" r:id="rId11"/>
    <sheet name="Input Prestasi" sheetId="62" r:id="rId12"/>
  </sheets>
  <externalReferences>
    <externalReference r:id="rId13"/>
  </externalReferences>
  <definedNames>
    <definedName name="_xlnm.Print_Area" localSheetId="7">'Catatan Sikap'!$B$2:$H$80</definedName>
    <definedName name="_xlnm.Print_Area" localSheetId="5">Raport!$B$3:$J$149</definedName>
  </definedNames>
  <calcPr calcId="162913"/>
</workbook>
</file>

<file path=xl/calcChain.xml><?xml version="1.0" encoding="utf-8"?>
<calcChain xmlns="http://schemas.openxmlformats.org/spreadsheetml/2006/main">
  <c r="G5" i="67" l="1"/>
  <c r="G6" i="67"/>
  <c r="G7" i="67"/>
  <c r="G8" i="67"/>
  <c r="G9" i="67"/>
  <c r="G10" i="67"/>
  <c r="G11" i="67"/>
  <c r="G12" i="67"/>
  <c r="G13" i="67"/>
  <c r="G14" i="67"/>
  <c r="G15" i="67"/>
  <c r="G16" i="67"/>
  <c r="G17" i="67"/>
  <c r="G18" i="67"/>
  <c r="G19" i="67"/>
  <c r="G20" i="67"/>
  <c r="G21" i="67"/>
  <c r="G22" i="67"/>
  <c r="G23" i="67"/>
  <c r="G24" i="67"/>
  <c r="G25" i="67"/>
  <c r="G26" i="67"/>
  <c r="G27" i="67"/>
  <c r="G28" i="67"/>
  <c r="G29" i="67"/>
  <c r="G30" i="67"/>
  <c r="G31" i="67"/>
  <c r="G32" i="67"/>
  <c r="G33" i="67"/>
  <c r="G34" i="67"/>
  <c r="G4" i="67"/>
  <c r="F31" i="65" l="1"/>
  <c r="G31" i="65"/>
  <c r="H31" i="65"/>
  <c r="I31" i="65"/>
  <c r="F32" i="65"/>
  <c r="G32" i="65"/>
  <c r="H32" i="65"/>
  <c r="I32" i="65"/>
  <c r="F33" i="65"/>
  <c r="G33" i="65"/>
  <c r="H33" i="65"/>
  <c r="I33" i="65"/>
  <c r="F34" i="65"/>
  <c r="G34" i="65"/>
  <c r="H34" i="65"/>
  <c r="I34" i="65"/>
  <c r="F35" i="65"/>
  <c r="G35" i="65"/>
  <c r="H35" i="65"/>
  <c r="I35" i="65"/>
  <c r="F36" i="65"/>
  <c r="G36" i="65"/>
  <c r="H36" i="65"/>
  <c r="I36" i="65"/>
  <c r="F37" i="65"/>
  <c r="G37" i="65"/>
  <c r="H37" i="65"/>
  <c r="I37" i="65"/>
  <c r="F38" i="65"/>
  <c r="G38" i="65"/>
  <c r="H38" i="65"/>
  <c r="I38" i="65"/>
  <c r="F39" i="65"/>
  <c r="G39" i="65"/>
  <c r="H39" i="65"/>
  <c r="I39" i="65"/>
  <c r="DB31" i="65"/>
  <c r="DC31" i="65"/>
  <c r="DD31" i="65"/>
  <c r="DE31" i="65"/>
  <c r="DF31" i="65"/>
  <c r="DG31" i="65"/>
  <c r="DH31" i="65"/>
  <c r="DI31" i="65"/>
  <c r="DJ31" i="65"/>
  <c r="DK31" i="65"/>
  <c r="DL31" i="65"/>
  <c r="DM31" i="65"/>
  <c r="DN31" i="65"/>
  <c r="DO31" i="65"/>
  <c r="DP31" i="65"/>
  <c r="DQ31" i="65"/>
  <c r="DR31" i="65"/>
  <c r="DS31" i="65"/>
  <c r="DB32" i="65"/>
  <c r="DC32" i="65"/>
  <c r="DD32" i="65"/>
  <c r="DE32" i="65"/>
  <c r="DF32" i="65"/>
  <c r="DG32" i="65"/>
  <c r="DH32" i="65"/>
  <c r="DI32" i="65"/>
  <c r="DJ32" i="65"/>
  <c r="DK32" i="65"/>
  <c r="DL32" i="65"/>
  <c r="DM32" i="65"/>
  <c r="DN32" i="65"/>
  <c r="DO32" i="65"/>
  <c r="DP32" i="65"/>
  <c r="DQ32" i="65"/>
  <c r="DR32" i="65"/>
  <c r="DS32" i="65"/>
  <c r="DB33" i="65"/>
  <c r="DC33" i="65"/>
  <c r="DD33" i="65"/>
  <c r="DE33" i="65"/>
  <c r="DF33" i="65"/>
  <c r="DG33" i="65"/>
  <c r="DH33" i="65"/>
  <c r="DI33" i="65"/>
  <c r="DJ33" i="65"/>
  <c r="DK33" i="65"/>
  <c r="DL33" i="65"/>
  <c r="DM33" i="65"/>
  <c r="DN33" i="65"/>
  <c r="DO33" i="65"/>
  <c r="DP33" i="65"/>
  <c r="DQ33" i="65"/>
  <c r="DR33" i="65"/>
  <c r="DS33" i="65"/>
  <c r="DB34" i="65"/>
  <c r="DC34" i="65"/>
  <c r="DD34" i="65"/>
  <c r="DE34" i="65"/>
  <c r="DF34" i="65"/>
  <c r="DG34" i="65"/>
  <c r="DH34" i="65"/>
  <c r="DI34" i="65"/>
  <c r="DJ34" i="65"/>
  <c r="DK34" i="65"/>
  <c r="DL34" i="65"/>
  <c r="DM34" i="65"/>
  <c r="DN34" i="65"/>
  <c r="DO34" i="65"/>
  <c r="DP34" i="65"/>
  <c r="DQ34" i="65"/>
  <c r="DR34" i="65"/>
  <c r="DS34" i="65"/>
  <c r="DB35" i="65"/>
  <c r="DC35" i="65"/>
  <c r="DD35" i="65"/>
  <c r="DE35" i="65"/>
  <c r="DF35" i="65"/>
  <c r="DG35" i="65"/>
  <c r="DH35" i="65"/>
  <c r="DI35" i="65"/>
  <c r="DJ35" i="65"/>
  <c r="DK35" i="65"/>
  <c r="DL35" i="65"/>
  <c r="DM35" i="65"/>
  <c r="DN35" i="65"/>
  <c r="DO35" i="65"/>
  <c r="DP35" i="65"/>
  <c r="DQ35" i="65"/>
  <c r="DR35" i="65"/>
  <c r="DS35" i="65"/>
  <c r="DB36" i="65"/>
  <c r="DC36" i="65"/>
  <c r="DD36" i="65"/>
  <c r="DE36" i="65"/>
  <c r="DF36" i="65"/>
  <c r="DG36" i="65"/>
  <c r="DH36" i="65"/>
  <c r="DI36" i="65"/>
  <c r="DJ36" i="65"/>
  <c r="DK36" i="65"/>
  <c r="DL36" i="65"/>
  <c r="DM36" i="65"/>
  <c r="DN36" i="65"/>
  <c r="DO36" i="65"/>
  <c r="DP36" i="65"/>
  <c r="DQ36" i="65"/>
  <c r="DR36" i="65"/>
  <c r="DS36" i="65"/>
  <c r="DB37" i="65"/>
  <c r="DC37" i="65"/>
  <c r="DD37" i="65"/>
  <c r="DE37" i="65"/>
  <c r="DF37" i="65"/>
  <c r="DG37" i="65"/>
  <c r="DH37" i="65"/>
  <c r="DI37" i="65"/>
  <c r="DJ37" i="65"/>
  <c r="DK37" i="65"/>
  <c r="DL37" i="65"/>
  <c r="DM37" i="65"/>
  <c r="DN37" i="65"/>
  <c r="DO37" i="65"/>
  <c r="DP37" i="65"/>
  <c r="DQ37" i="65"/>
  <c r="DR37" i="65"/>
  <c r="DS37" i="65"/>
  <c r="DB38" i="65"/>
  <c r="DC38" i="65"/>
  <c r="DD38" i="65"/>
  <c r="DE38" i="65"/>
  <c r="DF38" i="65"/>
  <c r="DG38" i="65"/>
  <c r="DH38" i="65"/>
  <c r="DI38" i="65"/>
  <c r="DJ38" i="65"/>
  <c r="DK38" i="65"/>
  <c r="DL38" i="65"/>
  <c r="DM38" i="65"/>
  <c r="DN38" i="65"/>
  <c r="DO38" i="65"/>
  <c r="DP38" i="65"/>
  <c r="DQ38" i="65"/>
  <c r="DR38" i="65"/>
  <c r="DS38" i="65"/>
  <c r="DB39" i="65"/>
  <c r="DC39" i="65"/>
  <c r="DD39" i="65"/>
  <c r="DE39" i="65"/>
  <c r="DF39" i="65"/>
  <c r="DG39" i="65"/>
  <c r="DH39" i="65"/>
  <c r="DI39" i="65"/>
  <c r="DJ39" i="65"/>
  <c r="DK39" i="65"/>
  <c r="DL39" i="65"/>
  <c r="DM39" i="65"/>
  <c r="DN39" i="65"/>
  <c r="DO39" i="65"/>
  <c r="DP39" i="65"/>
  <c r="DQ39" i="65"/>
  <c r="DR39" i="65"/>
  <c r="DS39" i="65"/>
  <c r="E15" i="64" l="1"/>
  <c r="F15" i="64" l="1"/>
  <c r="F1" i="74" l="1"/>
  <c r="I1" i="74" s="1"/>
  <c r="I39" i="74" l="1"/>
  <c r="L40" i="64" s="1"/>
  <c r="I37" i="74"/>
  <c r="L38" i="64" s="1"/>
  <c r="I35" i="74"/>
  <c r="L36" i="64" s="1"/>
  <c r="I33" i="74"/>
  <c r="L34" i="64" s="1"/>
  <c r="I31" i="74"/>
  <c r="L32" i="64" s="1"/>
  <c r="I29" i="74"/>
  <c r="L30" i="64" s="1"/>
  <c r="I27" i="74"/>
  <c r="L28" i="64" s="1"/>
  <c r="I25" i="74"/>
  <c r="L26" i="64" s="1"/>
  <c r="I23" i="74"/>
  <c r="L24" i="64" s="1"/>
  <c r="I21" i="74"/>
  <c r="L22" i="64" s="1"/>
  <c r="I19" i="74"/>
  <c r="L20" i="64" s="1"/>
  <c r="I17" i="74"/>
  <c r="L18" i="64" s="1"/>
  <c r="I15" i="74"/>
  <c r="L16" i="64" s="1"/>
  <c r="I13" i="74"/>
  <c r="L14" i="64" s="1"/>
  <c r="I11" i="74"/>
  <c r="L12" i="64" s="1"/>
  <c r="I9" i="74"/>
  <c r="L10" i="64" s="1"/>
  <c r="I7" i="74"/>
  <c r="L8" i="64" s="1"/>
  <c r="I5" i="74"/>
  <c r="L6" i="64" s="1"/>
  <c r="I38" i="74"/>
  <c r="L39" i="64" s="1"/>
  <c r="I36" i="74"/>
  <c r="L37" i="64" s="1"/>
  <c r="I34" i="74"/>
  <c r="L35" i="64" s="1"/>
  <c r="I32" i="74"/>
  <c r="L33" i="64" s="1"/>
  <c r="I30" i="74"/>
  <c r="L31" i="64" s="1"/>
  <c r="I28" i="74"/>
  <c r="L29" i="64" s="1"/>
  <c r="I26" i="74"/>
  <c r="L27" i="64" s="1"/>
  <c r="I24" i="74"/>
  <c r="L25" i="64" s="1"/>
  <c r="I22" i="74"/>
  <c r="L23" i="64" s="1"/>
  <c r="I20" i="74"/>
  <c r="L21" i="64" s="1"/>
  <c r="I18" i="74"/>
  <c r="L19" i="64" s="1"/>
  <c r="I16" i="74"/>
  <c r="L17" i="64" s="1"/>
  <c r="I14" i="74"/>
  <c r="L15" i="64" s="1"/>
  <c r="I12" i="74"/>
  <c r="L13" i="64" s="1"/>
  <c r="I10" i="74"/>
  <c r="L11" i="64" s="1"/>
  <c r="I8" i="74"/>
  <c r="L9" i="64" s="1"/>
  <c r="I6" i="74"/>
  <c r="L7" i="64" s="1"/>
  <c r="H1" i="74"/>
  <c r="F2" i="74"/>
  <c r="E11" i="64" s="1"/>
  <c r="G1" i="74"/>
  <c r="G31" i="7"/>
  <c r="G39" i="74" l="1"/>
  <c r="J40" i="64" s="1"/>
  <c r="G37" i="74"/>
  <c r="J38" i="64" s="1"/>
  <c r="G35" i="74"/>
  <c r="J36" i="64" s="1"/>
  <c r="G33" i="74"/>
  <c r="J34" i="64" s="1"/>
  <c r="G31" i="74"/>
  <c r="J32" i="64" s="1"/>
  <c r="G29" i="74"/>
  <c r="J30" i="64" s="1"/>
  <c r="G27" i="74"/>
  <c r="J28" i="64" s="1"/>
  <c r="G25" i="74"/>
  <c r="J26" i="64" s="1"/>
  <c r="G23" i="74"/>
  <c r="J24" i="64" s="1"/>
  <c r="G21" i="74"/>
  <c r="J22" i="64" s="1"/>
  <c r="G19" i="74"/>
  <c r="J20" i="64" s="1"/>
  <c r="G17" i="74"/>
  <c r="J18" i="64" s="1"/>
  <c r="G15" i="74"/>
  <c r="J16" i="64" s="1"/>
  <c r="G13" i="74"/>
  <c r="J14" i="64" s="1"/>
  <c r="G11" i="74"/>
  <c r="J12" i="64" s="1"/>
  <c r="G9" i="74"/>
  <c r="J10" i="64" s="1"/>
  <c r="G7" i="74"/>
  <c r="J8" i="64" s="1"/>
  <c r="G5" i="74"/>
  <c r="J6" i="64" s="1"/>
  <c r="B7" i="71" s="1"/>
  <c r="G38" i="74"/>
  <c r="J39" i="64" s="1"/>
  <c r="G36" i="74"/>
  <c r="J37" i="64" s="1"/>
  <c r="D38" i="71" s="1"/>
  <c r="G34" i="74"/>
  <c r="J35" i="64" s="1"/>
  <c r="G32" i="74"/>
  <c r="J33" i="64" s="1"/>
  <c r="G30" i="74"/>
  <c r="J31" i="64" s="1"/>
  <c r="G28" i="74"/>
  <c r="J29" i="64" s="1"/>
  <c r="G26" i="74"/>
  <c r="J27" i="64" s="1"/>
  <c r="G24" i="74"/>
  <c r="J25" i="64" s="1"/>
  <c r="C26" i="71" s="1"/>
  <c r="G22" i="74"/>
  <c r="J23" i="64" s="1"/>
  <c r="G20" i="74"/>
  <c r="J21" i="64" s="1"/>
  <c r="C22" i="71" s="1"/>
  <c r="G18" i="74"/>
  <c r="J19" i="64" s="1"/>
  <c r="G16" i="74"/>
  <c r="J17" i="64" s="1"/>
  <c r="C18" i="71" s="1"/>
  <c r="G14" i="74"/>
  <c r="J15" i="64" s="1"/>
  <c r="G12" i="74"/>
  <c r="J13" i="64" s="1"/>
  <c r="C14" i="71" s="1"/>
  <c r="G10" i="74"/>
  <c r="J11" i="64" s="1"/>
  <c r="G8" i="74"/>
  <c r="J9" i="64" s="1"/>
  <c r="G6" i="74"/>
  <c r="J7" i="64" s="1"/>
  <c r="H38" i="74"/>
  <c r="K39" i="64" s="1"/>
  <c r="C40" i="71" s="1"/>
  <c r="H36" i="74"/>
  <c r="K37" i="64" s="1"/>
  <c r="H34" i="74"/>
  <c r="K35" i="64" s="1"/>
  <c r="C36" i="71" s="1"/>
  <c r="H32" i="74"/>
  <c r="K33" i="64" s="1"/>
  <c r="H30" i="74"/>
  <c r="K31" i="64" s="1"/>
  <c r="C32" i="71" s="1"/>
  <c r="H28" i="74"/>
  <c r="K29" i="64" s="1"/>
  <c r="H26" i="74"/>
  <c r="K27" i="64" s="1"/>
  <c r="C28" i="71" s="1"/>
  <c r="H24" i="74"/>
  <c r="K25" i="64" s="1"/>
  <c r="H22" i="74"/>
  <c r="K23" i="64" s="1"/>
  <c r="C24" i="71" s="1"/>
  <c r="H20" i="74"/>
  <c r="K21" i="64" s="1"/>
  <c r="H18" i="74"/>
  <c r="K19" i="64" s="1"/>
  <c r="C20" i="71" s="1"/>
  <c r="H16" i="74"/>
  <c r="K17" i="64" s="1"/>
  <c r="H14" i="74"/>
  <c r="K15" i="64" s="1"/>
  <c r="C16" i="71" s="1"/>
  <c r="H12" i="74"/>
  <c r="K13" i="64" s="1"/>
  <c r="H10" i="74"/>
  <c r="K11" i="64" s="1"/>
  <c r="C12" i="71" s="1"/>
  <c r="H8" i="74"/>
  <c r="K9" i="64" s="1"/>
  <c r="H6" i="74"/>
  <c r="K7" i="64" s="1"/>
  <c r="C8" i="71" s="1"/>
  <c r="H39" i="74"/>
  <c r="K40" i="64" s="1"/>
  <c r="H37" i="74"/>
  <c r="K38" i="64" s="1"/>
  <c r="H35" i="74"/>
  <c r="K36" i="64" s="1"/>
  <c r="H33" i="74"/>
  <c r="K34" i="64" s="1"/>
  <c r="H31" i="74"/>
  <c r="K32" i="64" s="1"/>
  <c r="H29" i="74"/>
  <c r="K30" i="64" s="1"/>
  <c r="C31" i="71" s="1"/>
  <c r="H27" i="74"/>
  <c r="K28" i="64" s="1"/>
  <c r="H25" i="74"/>
  <c r="K26" i="64" s="1"/>
  <c r="H23" i="74"/>
  <c r="K24" i="64" s="1"/>
  <c r="H21" i="74"/>
  <c r="K22" i="64" s="1"/>
  <c r="H19" i="74"/>
  <c r="K20" i="64" s="1"/>
  <c r="H17" i="74"/>
  <c r="K18" i="64" s="1"/>
  <c r="H15" i="74"/>
  <c r="K16" i="64" s="1"/>
  <c r="H13" i="74"/>
  <c r="K14" i="64" s="1"/>
  <c r="C15" i="71" s="1"/>
  <c r="H11" i="74"/>
  <c r="K12" i="64" s="1"/>
  <c r="H9" i="74"/>
  <c r="K10" i="64" s="1"/>
  <c r="C11" i="71" s="1"/>
  <c r="H7" i="74"/>
  <c r="K8" i="64" s="1"/>
  <c r="H5" i="74"/>
  <c r="K6" i="64" s="1"/>
  <c r="X42" i="71"/>
  <c r="X43" i="71"/>
  <c r="X44" i="71"/>
  <c r="X45" i="71"/>
  <c r="X46" i="71"/>
  <c r="W42" i="71"/>
  <c r="W43" i="71"/>
  <c r="W44" i="71"/>
  <c r="W45" i="71"/>
  <c r="W46" i="71"/>
  <c r="G8" i="71"/>
  <c r="H8" i="71"/>
  <c r="I8" i="71"/>
  <c r="J8" i="71"/>
  <c r="K8" i="71"/>
  <c r="L8" i="71"/>
  <c r="M8" i="71"/>
  <c r="N8" i="71"/>
  <c r="O8" i="71"/>
  <c r="P8" i="71"/>
  <c r="Q8" i="71"/>
  <c r="R8" i="71"/>
  <c r="S8" i="71"/>
  <c r="T8" i="71"/>
  <c r="U8" i="71"/>
  <c r="V8" i="71"/>
  <c r="G9" i="71"/>
  <c r="H9" i="71"/>
  <c r="I9" i="71"/>
  <c r="J9" i="71"/>
  <c r="K9" i="71"/>
  <c r="L9" i="71"/>
  <c r="M9" i="71"/>
  <c r="N9" i="71"/>
  <c r="O9" i="71"/>
  <c r="P9" i="71"/>
  <c r="Q9" i="71"/>
  <c r="R9" i="71"/>
  <c r="S9" i="71"/>
  <c r="T9" i="71"/>
  <c r="U9" i="71"/>
  <c r="V9" i="71"/>
  <c r="G10" i="71"/>
  <c r="H10" i="71"/>
  <c r="I10" i="71"/>
  <c r="J10" i="71"/>
  <c r="K10" i="71"/>
  <c r="L10" i="71"/>
  <c r="M10" i="71"/>
  <c r="N10" i="71"/>
  <c r="O10" i="71"/>
  <c r="P10" i="71"/>
  <c r="Q10" i="71"/>
  <c r="R10" i="71"/>
  <c r="S10" i="71"/>
  <c r="T10" i="71"/>
  <c r="U10" i="71"/>
  <c r="V10" i="71"/>
  <c r="G11" i="71"/>
  <c r="H11" i="71"/>
  <c r="I11" i="71"/>
  <c r="J11" i="71"/>
  <c r="K11" i="71"/>
  <c r="L11" i="71"/>
  <c r="M11" i="71"/>
  <c r="N11" i="71"/>
  <c r="O11" i="71"/>
  <c r="P11" i="71"/>
  <c r="Q11" i="71"/>
  <c r="R11" i="71"/>
  <c r="S11" i="71"/>
  <c r="T11" i="71"/>
  <c r="U11" i="71"/>
  <c r="V11" i="71"/>
  <c r="G12" i="71"/>
  <c r="H12" i="71"/>
  <c r="I12" i="71"/>
  <c r="J12" i="71"/>
  <c r="K12" i="71"/>
  <c r="L12" i="71"/>
  <c r="M12" i="71"/>
  <c r="N12" i="71"/>
  <c r="O12" i="71"/>
  <c r="P12" i="71"/>
  <c r="Q12" i="71"/>
  <c r="R12" i="71"/>
  <c r="S12" i="71"/>
  <c r="T12" i="71"/>
  <c r="U12" i="71"/>
  <c r="V12" i="71"/>
  <c r="G13" i="71"/>
  <c r="H13" i="71"/>
  <c r="I13" i="71"/>
  <c r="J13" i="71"/>
  <c r="K13" i="71"/>
  <c r="L13" i="71"/>
  <c r="M13" i="71"/>
  <c r="N13" i="71"/>
  <c r="O13" i="71"/>
  <c r="P13" i="71"/>
  <c r="Q13" i="71"/>
  <c r="R13" i="71"/>
  <c r="S13" i="71"/>
  <c r="T13" i="71"/>
  <c r="U13" i="71"/>
  <c r="V13" i="71"/>
  <c r="G14" i="71"/>
  <c r="H14" i="71"/>
  <c r="I14" i="71"/>
  <c r="J14" i="71"/>
  <c r="K14" i="71"/>
  <c r="L14" i="71"/>
  <c r="M14" i="71"/>
  <c r="N14" i="71"/>
  <c r="O14" i="71"/>
  <c r="P14" i="71"/>
  <c r="Q14" i="71"/>
  <c r="R14" i="71"/>
  <c r="S14" i="71"/>
  <c r="T14" i="71"/>
  <c r="U14" i="71"/>
  <c r="V14" i="71"/>
  <c r="G15" i="71"/>
  <c r="H15" i="71"/>
  <c r="I15" i="71"/>
  <c r="J15" i="71"/>
  <c r="K15" i="71"/>
  <c r="L15" i="71"/>
  <c r="M15" i="71"/>
  <c r="N15" i="71"/>
  <c r="O15" i="71"/>
  <c r="P15" i="71"/>
  <c r="Q15" i="71"/>
  <c r="R15" i="71"/>
  <c r="S15" i="71"/>
  <c r="T15" i="71"/>
  <c r="U15" i="71"/>
  <c r="V15" i="71"/>
  <c r="G16" i="71"/>
  <c r="H16" i="71"/>
  <c r="I16" i="71"/>
  <c r="J16" i="71"/>
  <c r="K16" i="71"/>
  <c r="L16" i="71"/>
  <c r="M16" i="71"/>
  <c r="N16" i="71"/>
  <c r="O16" i="71"/>
  <c r="P16" i="71"/>
  <c r="Q16" i="71"/>
  <c r="R16" i="71"/>
  <c r="S16" i="71"/>
  <c r="T16" i="71"/>
  <c r="U16" i="71"/>
  <c r="V16" i="71"/>
  <c r="G17" i="71"/>
  <c r="H17" i="71"/>
  <c r="I17" i="71"/>
  <c r="J17" i="71"/>
  <c r="K17" i="71"/>
  <c r="L17" i="71"/>
  <c r="M17" i="71"/>
  <c r="N17" i="71"/>
  <c r="O17" i="71"/>
  <c r="P17" i="71"/>
  <c r="Q17" i="71"/>
  <c r="R17" i="71"/>
  <c r="S17" i="71"/>
  <c r="T17" i="71"/>
  <c r="U17" i="71"/>
  <c r="V17" i="71"/>
  <c r="G18" i="71"/>
  <c r="H18" i="71"/>
  <c r="I18" i="71"/>
  <c r="J18" i="71"/>
  <c r="K18" i="71"/>
  <c r="L18" i="71"/>
  <c r="M18" i="71"/>
  <c r="N18" i="71"/>
  <c r="O18" i="71"/>
  <c r="P18" i="71"/>
  <c r="Q18" i="71"/>
  <c r="R18" i="71"/>
  <c r="S18" i="71"/>
  <c r="T18" i="71"/>
  <c r="U18" i="71"/>
  <c r="V18" i="71"/>
  <c r="G19" i="71"/>
  <c r="H19" i="71"/>
  <c r="I19" i="71"/>
  <c r="J19" i="71"/>
  <c r="K19" i="71"/>
  <c r="L19" i="71"/>
  <c r="M19" i="71"/>
  <c r="N19" i="71"/>
  <c r="O19" i="71"/>
  <c r="P19" i="71"/>
  <c r="Q19" i="71"/>
  <c r="R19" i="71"/>
  <c r="S19" i="71"/>
  <c r="T19" i="71"/>
  <c r="U19" i="71"/>
  <c r="V19" i="71"/>
  <c r="G20" i="71"/>
  <c r="H20" i="71"/>
  <c r="I20" i="71"/>
  <c r="J20" i="71"/>
  <c r="K20" i="71"/>
  <c r="L20" i="71"/>
  <c r="M20" i="71"/>
  <c r="N20" i="71"/>
  <c r="O20" i="71"/>
  <c r="P20" i="71"/>
  <c r="Q20" i="71"/>
  <c r="R20" i="71"/>
  <c r="S20" i="71"/>
  <c r="T20" i="71"/>
  <c r="U20" i="71"/>
  <c r="V20" i="71"/>
  <c r="G21" i="71"/>
  <c r="H21" i="71"/>
  <c r="I21" i="71"/>
  <c r="J21" i="71"/>
  <c r="K21" i="71"/>
  <c r="L21" i="71"/>
  <c r="M21" i="71"/>
  <c r="N21" i="71"/>
  <c r="O21" i="71"/>
  <c r="P21" i="71"/>
  <c r="Q21" i="71"/>
  <c r="R21" i="71"/>
  <c r="S21" i="71"/>
  <c r="T21" i="71"/>
  <c r="U21" i="71"/>
  <c r="V21" i="71"/>
  <c r="G22" i="71"/>
  <c r="H22" i="71"/>
  <c r="I22" i="71"/>
  <c r="J22" i="71"/>
  <c r="K22" i="71"/>
  <c r="L22" i="71"/>
  <c r="M22" i="71"/>
  <c r="N22" i="71"/>
  <c r="O22" i="71"/>
  <c r="P22" i="71"/>
  <c r="Q22" i="71"/>
  <c r="R22" i="71"/>
  <c r="S22" i="71"/>
  <c r="T22" i="71"/>
  <c r="U22" i="71"/>
  <c r="V22" i="71"/>
  <c r="G23" i="71"/>
  <c r="H23" i="71"/>
  <c r="I23" i="71"/>
  <c r="J23" i="71"/>
  <c r="K23" i="71"/>
  <c r="L23" i="71"/>
  <c r="M23" i="71"/>
  <c r="N23" i="71"/>
  <c r="O23" i="71"/>
  <c r="P23" i="71"/>
  <c r="Q23" i="71"/>
  <c r="R23" i="71"/>
  <c r="S23" i="71"/>
  <c r="T23" i="71"/>
  <c r="U23" i="71"/>
  <c r="V23" i="71"/>
  <c r="G24" i="71"/>
  <c r="H24" i="71"/>
  <c r="I24" i="71"/>
  <c r="J24" i="71"/>
  <c r="K24" i="71"/>
  <c r="L24" i="71"/>
  <c r="M24" i="71"/>
  <c r="N24" i="71"/>
  <c r="O24" i="71"/>
  <c r="P24" i="71"/>
  <c r="Q24" i="71"/>
  <c r="R24" i="71"/>
  <c r="S24" i="71"/>
  <c r="T24" i="71"/>
  <c r="U24" i="71"/>
  <c r="V24" i="71"/>
  <c r="G25" i="71"/>
  <c r="H25" i="71"/>
  <c r="I25" i="71"/>
  <c r="J25" i="71"/>
  <c r="K25" i="71"/>
  <c r="L25" i="71"/>
  <c r="M25" i="71"/>
  <c r="N25" i="71"/>
  <c r="O25" i="71"/>
  <c r="P25" i="71"/>
  <c r="Q25" i="71"/>
  <c r="R25" i="71"/>
  <c r="S25" i="71"/>
  <c r="T25" i="71"/>
  <c r="U25" i="71"/>
  <c r="V25" i="71"/>
  <c r="G26" i="71"/>
  <c r="H26" i="71"/>
  <c r="I26" i="71"/>
  <c r="J26" i="71"/>
  <c r="K26" i="71"/>
  <c r="L26" i="71"/>
  <c r="M26" i="71"/>
  <c r="N26" i="71"/>
  <c r="O26" i="71"/>
  <c r="P26" i="71"/>
  <c r="Q26" i="71"/>
  <c r="R26" i="71"/>
  <c r="S26" i="71"/>
  <c r="T26" i="71"/>
  <c r="U26" i="71"/>
  <c r="V26" i="71"/>
  <c r="G27" i="71"/>
  <c r="H27" i="71"/>
  <c r="I27" i="71"/>
  <c r="J27" i="71"/>
  <c r="K27" i="71"/>
  <c r="L27" i="71"/>
  <c r="M27" i="71"/>
  <c r="N27" i="71"/>
  <c r="O27" i="71"/>
  <c r="P27" i="71"/>
  <c r="Q27" i="71"/>
  <c r="R27" i="71"/>
  <c r="S27" i="71"/>
  <c r="T27" i="71"/>
  <c r="U27" i="71"/>
  <c r="V27" i="71"/>
  <c r="G28" i="71"/>
  <c r="H28" i="71"/>
  <c r="I28" i="71"/>
  <c r="J28" i="71"/>
  <c r="K28" i="71"/>
  <c r="L28" i="71"/>
  <c r="M28" i="71"/>
  <c r="N28" i="71"/>
  <c r="O28" i="71"/>
  <c r="P28" i="71"/>
  <c r="Q28" i="71"/>
  <c r="R28" i="71"/>
  <c r="S28" i="71"/>
  <c r="T28" i="71"/>
  <c r="U28" i="71"/>
  <c r="V28" i="71"/>
  <c r="G29" i="71"/>
  <c r="H29" i="71"/>
  <c r="I29" i="71"/>
  <c r="J29" i="71"/>
  <c r="K29" i="71"/>
  <c r="L29" i="71"/>
  <c r="M29" i="71"/>
  <c r="N29" i="71"/>
  <c r="O29" i="71"/>
  <c r="P29" i="71"/>
  <c r="Q29" i="71"/>
  <c r="R29" i="71"/>
  <c r="S29" i="71"/>
  <c r="T29" i="71"/>
  <c r="U29" i="71"/>
  <c r="V29" i="71"/>
  <c r="G30" i="71"/>
  <c r="H30" i="71"/>
  <c r="I30" i="71"/>
  <c r="J30" i="71"/>
  <c r="K30" i="71"/>
  <c r="L30" i="71"/>
  <c r="M30" i="71"/>
  <c r="N30" i="71"/>
  <c r="O30" i="71"/>
  <c r="P30" i="71"/>
  <c r="Q30" i="71"/>
  <c r="R30" i="71"/>
  <c r="S30" i="71"/>
  <c r="T30" i="71"/>
  <c r="U30" i="71"/>
  <c r="V30" i="71"/>
  <c r="G31" i="71"/>
  <c r="H31" i="71"/>
  <c r="I31" i="71"/>
  <c r="J31" i="71"/>
  <c r="K31" i="71"/>
  <c r="L31" i="71"/>
  <c r="M31" i="71"/>
  <c r="N31" i="71"/>
  <c r="O31" i="71"/>
  <c r="P31" i="71"/>
  <c r="Q31" i="71"/>
  <c r="R31" i="71"/>
  <c r="S31" i="71"/>
  <c r="T31" i="71"/>
  <c r="U31" i="71"/>
  <c r="V31" i="71"/>
  <c r="G32" i="71"/>
  <c r="H32" i="71"/>
  <c r="I32" i="71"/>
  <c r="J32" i="71"/>
  <c r="K32" i="71"/>
  <c r="L32" i="71"/>
  <c r="M32" i="71"/>
  <c r="N32" i="71"/>
  <c r="O32" i="71"/>
  <c r="P32" i="71"/>
  <c r="Q32" i="71"/>
  <c r="R32" i="71"/>
  <c r="S32" i="71"/>
  <c r="T32" i="71"/>
  <c r="U32" i="71"/>
  <c r="V32" i="71"/>
  <c r="G33" i="71"/>
  <c r="H33" i="71"/>
  <c r="I33" i="71"/>
  <c r="J33" i="71"/>
  <c r="K33" i="71"/>
  <c r="L33" i="71"/>
  <c r="M33" i="71"/>
  <c r="N33" i="71"/>
  <c r="O33" i="71"/>
  <c r="P33" i="71"/>
  <c r="Q33" i="71"/>
  <c r="R33" i="71"/>
  <c r="S33" i="71"/>
  <c r="T33" i="71"/>
  <c r="U33" i="71"/>
  <c r="V33" i="71"/>
  <c r="G34" i="71"/>
  <c r="H34" i="71"/>
  <c r="I34" i="71"/>
  <c r="J34" i="71"/>
  <c r="K34" i="71"/>
  <c r="L34" i="71"/>
  <c r="M34" i="71"/>
  <c r="N34" i="71"/>
  <c r="O34" i="71"/>
  <c r="P34" i="71"/>
  <c r="Q34" i="71"/>
  <c r="R34" i="71"/>
  <c r="S34" i="71"/>
  <c r="T34" i="71"/>
  <c r="U34" i="71"/>
  <c r="V34" i="71"/>
  <c r="G35" i="71"/>
  <c r="H35" i="71"/>
  <c r="I35" i="71"/>
  <c r="J35" i="71"/>
  <c r="K35" i="71"/>
  <c r="L35" i="71"/>
  <c r="M35" i="71"/>
  <c r="N35" i="71"/>
  <c r="O35" i="71"/>
  <c r="P35" i="71"/>
  <c r="Q35" i="71"/>
  <c r="R35" i="71"/>
  <c r="S35" i="71"/>
  <c r="T35" i="71"/>
  <c r="U35" i="71"/>
  <c r="V35" i="71"/>
  <c r="G36" i="71"/>
  <c r="H36" i="71"/>
  <c r="I36" i="71"/>
  <c r="J36" i="71"/>
  <c r="K36" i="71"/>
  <c r="L36" i="71"/>
  <c r="M36" i="71"/>
  <c r="N36" i="71"/>
  <c r="O36" i="71"/>
  <c r="P36" i="71"/>
  <c r="Q36" i="71"/>
  <c r="R36" i="71"/>
  <c r="S36" i="71"/>
  <c r="T36" i="71"/>
  <c r="U36" i="71"/>
  <c r="V36" i="71"/>
  <c r="G37" i="71"/>
  <c r="H37" i="71"/>
  <c r="I37" i="71"/>
  <c r="J37" i="71"/>
  <c r="K37" i="71"/>
  <c r="L37" i="71"/>
  <c r="M37" i="71"/>
  <c r="N37" i="71"/>
  <c r="O37" i="71"/>
  <c r="P37" i="71"/>
  <c r="Q37" i="71"/>
  <c r="R37" i="71"/>
  <c r="S37" i="71"/>
  <c r="T37" i="71"/>
  <c r="U37" i="71"/>
  <c r="V37" i="71"/>
  <c r="G38" i="71"/>
  <c r="H38" i="71"/>
  <c r="I38" i="71"/>
  <c r="J38" i="71"/>
  <c r="K38" i="71"/>
  <c r="L38" i="71"/>
  <c r="M38" i="71"/>
  <c r="N38" i="71"/>
  <c r="O38" i="71"/>
  <c r="P38" i="71"/>
  <c r="Q38" i="71"/>
  <c r="R38" i="71"/>
  <c r="S38" i="71"/>
  <c r="T38" i="71"/>
  <c r="U38" i="71"/>
  <c r="V38" i="71"/>
  <c r="G39" i="71"/>
  <c r="H39" i="71"/>
  <c r="I39" i="71"/>
  <c r="J39" i="71"/>
  <c r="K39" i="71"/>
  <c r="L39" i="71"/>
  <c r="M39" i="71"/>
  <c r="N39" i="71"/>
  <c r="O39" i="71"/>
  <c r="P39" i="71"/>
  <c r="Q39" i="71"/>
  <c r="R39" i="71"/>
  <c r="S39" i="71"/>
  <c r="T39" i="71"/>
  <c r="U39" i="71"/>
  <c r="V39" i="71"/>
  <c r="G40" i="71"/>
  <c r="H40" i="71"/>
  <c r="I40" i="71"/>
  <c r="J40" i="71"/>
  <c r="K40" i="71"/>
  <c r="L40" i="71"/>
  <c r="M40" i="71"/>
  <c r="N40" i="71"/>
  <c r="O40" i="71"/>
  <c r="P40" i="71"/>
  <c r="Q40" i="71"/>
  <c r="R40" i="71"/>
  <c r="S40" i="71"/>
  <c r="T40" i="71"/>
  <c r="U40" i="71"/>
  <c r="V40" i="71"/>
  <c r="G41" i="71"/>
  <c r="H41" i="71"/>
  <c r="I41" i="71"/>
  <c r="J41" i="71"/>
  <c r="K41" i="71"/>
  <c r="L41" i="71"/>
  <c r="M41" i="71"/>
  <c r="N41" i="71"/>
  <c r="O41" i="71"/>
  <c r="P41" i="71"/>
  <c r="Q41" i="71"/>
  <c r="R41" i="71"/>
  <c r="S41" i="71"/>
  <c r="T41" i="71"/>
  <c r="U41" i="71"/>
  <c r="V41" i="71"/>
  <c r="G42" i="71"/>
  <c r="H42" i="71"/>
  <c r="I42" i="71"/>
  <c r="J42" i="71"/>
  <c r="K42" i="71"/>
  <c r="L42" i="71"/>
  <c r="M42" i="71"/>
  <c r="N42" i="71"/>
  <c r="O42" i="71"/>
  <c r="P42" i="71"/>
  <c r="Q42" i="71"/>
  <c r="R42" i="71"/>
  <c r="S42" i="71"/>
  <c r="T42" i="71"/>
  <c r="U42" i="71"/>
  <c r="V42" i="71"/>
  <c r="G43" i="71"/>
  <c r="H43" i="71"/>
  <c r="I43" i="71"/>
  <c r="J43" i="71"/>
  <c r="K43" i="71"/>
  <c r="L43" i="71"/>
  <c r="M43" i="71"/>
  <c r="N43" i="71"/>
  <c r="O43" i="71"/>
  <c r="P43" i="71"/>
  <c r="Q43" i="71"/>
  <c r="R43" i="71"/>
  <c r="S43" i="71"/>
  <c r="T43" i="71"/>
  <c r="U43" i="71"/>
  <c r="V43" i="71"/>
  <c r="G44" i="71"/>
  <c r="H44" i="71"/>
  <c r="I44" i="71"/>
  <c r="J44" i="71"/>
  <c r="K44" i="71"/>
  <c r="L44" i="71"/>
  <c r="M44" i="71"/>
  <c r="N44" i="71"/>
  <c r="O44" i="71"/>
  <c r="P44" i="71"/>
  <c r="Q44" i="71"/>
  <c r="R44" i="71"/>
  <c r="S44" i="71"/>
  <c r="T44" i="71"/>
  <c r="U44" i="71"/>
  <c r="V44" i="71"/>
  <c r="G45" i="71"/>
  <c r="H45" i="71"/>
  <c r="I45" i="71"/>
  <c r="J45" i="71"/>
  <c r="K45" i="71"/>
  <c r="L45" i="71"/>
  <c r="M45" i="71"/>
  <c r="N45" i="71"/>
  <c r="O45" i="71"/>
  <c r="P45" i="71"/>
  <c r="Q45" i="71"/>
  <c r="R45" i="71"/>
  <c r="S45" i="71"/>
  <c r="T45" i="71"/>
  <c r="U45" i="71"/>
  <c r="V45" i="71"/>
  <c r="G46" i="71"/>
  <c r="H46" i="71"/>
  <c r="I46" i="71"/>
  <c r="J46" i="71"/>
  <c r="K46" i="71"/>
  <c r="L46" i="71"/>
  <c r="M46" i="71"/>
  <c r="N46" i="71"/>
  <c r="O46" i="71"/>
  <c r="P46" i="71"/>
  <c r="Q46" i="71"/>
  <c r="R46" i="71"/>
  <c r="S46" i="71"/>
  <c r="T46" i="71"/>
  <c r="U46" i="71"/>
  <c r="V46" i="71"/>
  <c r="V7" i="71"/>
  <c r="U7" i="71"/>
  <c r="T7" i="71"/>
  <c r="S7" i="71"/>
  <c r="R7" i="71"/>
  <c r="Q7" i="71"/>
  <c r="P7" i="71"/>
  <c r="O7" i="71"/>
  <c r="N7" i="71"/>
  <c r="M7" i="71"/>
  <c r="L7" i="71"/>
  <c r="K7" i="71"/>
  <c r="J7" i="71"/>
  <c r="I7" i="71"/>
  <c r="H7" i="71"/>
  <c r="G7" i="71"/>
  <c r="F42" i="71"/>
  <c r="F43" i="71"/>
  <c r="F44" i="71"/>
  <c r="F45" i="71"/>
  <c r="F46" i="71"/>
  <c r="E8" i="71"/>
  <c r="E9" i="71"/>
  <c r="E12" i="71"/>
  <c r="E13" i="71"/>
  <c r="E16" i="71"/>
  <c r="E17" i="71"/>
  <c r="E20" i="71"/>
  <c r="E21" i="71"/>
  <c r="E24" i="71"/>
  <c r="E25" i="71"/>
  <c r="E28" i="71"/>
  <c r="E29" i="71"/>
  <c r="E32" i="71"/>
  <c r="E33" i="71"/>
  <c r="E34" i="71"/>
  <c r="E36" i="71"/>
  <c r="E37" i="71"/>
  <c r="E40" i="71"/>
  <c r="E41" i="71"/>
  <c r="E42" i="71"/>
  <c r="E43" i="71"/>
  <c r="E44" i="71"/>
  <c r="E45" i="71"/>
  <c r="E46" i="71"/>
  <c r="D8" i="71"/>
  <c r="D9" i="71"/>
  <c r="D12" i="71"/>
  <c r="D13" i="71"/>
  <c r="D16" i="71"/>
  <c r="D17" i="71"/>
  <c r="D20" i="71"/>
  <c r="D21" i="71"/>
  <c r="D24" i="71"/>
  <c r="D25" i="71"/>
  <c r="D28" i="71"/>
  <c r="D29" i="71"/>
  <c r="D32" i="71"/>
  <c r="D33" i="71"/>
  <c r="D36" i="71"/>
  <c r="D37" i="71"/>
  <c r="D40" i="71"/>
  <c r="D41" i="71"/>
  <c r="D42" i="71"/>
  <c r="D43" i="71"/>
  <c r="D44" i="71"/>
  <c r="D45" i="71"/>
  <c r="D46" i="71"/>
  <c r="C13" i="71"/>
  <c r="C17" i="71"/>
  <c r="C21" i="71"/>
  <c r="C23" i="71"/>
  <c r="C25" i="71"/>
  <c r="C29" i="71"/>
  <c r="C33" i="71"/>
  <c r="C37" i="71"/>
  <c r="C39" i="71"/>
  <c r="C41" i="71"/>
  <c r="C42" i="71"/>
  <c r="C43" i="71"/>
  <c r="C44" i="71"/>
  <c r="C45" i="71"/>
  <c r="C46" i="71"/>
  <c r="C9" i="71"/>
  <c r="C10" i="71"/>
  <c r="F44" i="7"/>
  <c r="I39" i="7"/>
  <c r="F70" i="7"/>
  <c r="C35" i="71" l="1"/>
  <c r="C19" i="71"/>
  <c r="C27" i="71"/>
  <c r="D22" i="71"/>
  <c r="C30" i="71"/>
  <c r="C38" i="71"/>
  <c r="C34" i="71"/>
  <c r="W41" i="71"/>
  <c r="W40" i="71"/>
  <c r="W37" i="71"/>
  <c r="W36" i="71"/>
  <c r="W34" i="71"/>
  <c r="W35" i="71"/>
  <c r="W39" i="71"/>
  <c r="W33" i="71"/>
  <c r="D30" i="71"/>
  <c r="E18" i="71"/>
  <c r="D34" i="71"/>
  <c r="D26" i="71"/>
  <c r="D14" i="71"/>
  <c r="E38" i="71"/>
  <c r="E26" i="71"/>
  <c r="E10" i="71"/>
  <c r="D18" i="71"/>
  <c r="D10" i="71"/>
  <c r="E30" i="71"/>
  <c r="E22" i="71"/>
  <c r="E14" i="71"/>
  <c r="W38" i="71"/>
  <c r="C7" i="71"/>
  <c r="D7" i="71"/>
  <c r="D39" i="71"/>
  <c r="D35" i="71"/>
  <c r="D31" i="71"/>
  <c r="D27" i="71"/>
  <c r="D23" i="71"/>
  <c r="D19" i="71"/>
  <c r="D15" i="71"/>
  <c r="D11" i="71"/>
  <c r="E7" i="71"/>
  <c r="E39" i="71"/>
  <c r="E35" i="71"/>
  <c r="E31" i="71"/>
  <c r="E27" i="71"/>
  <c r="E23" i="71"/>
  <c r="E19" i="71"/>
  <c r="E15" i="71"/>
  <c r="E11" i="71"/>
  <c r="W7" i="71"/>
  <c r="W31" i="71"/>
  <c r="W30" i="71"/>
  <c r="W29" i="71"/>
  <c r="W27" i="71"/>
  <c r="W26" i="71"/>
  <c r="W25" i="71"/>
  <c r="W24" i="71"/>
  <c r="W23" i="71"/>
  <c r="W22" i="71"/>
  <c r="W21" i="71"/>
  <c r="W20" i="71"/>
  <c r="W19" i="71"/>
  <c r="W18" i="71"/>
  <c r="W17" i="71"/>
  <c r="W16" i="71"/>
  <c r="W14" i="71"/>
  <c r="W13" i="71"/>
  <c r="W12" i="71"/>
  <c r="W11" i="71"/>
  <c r="W10" i="71"/>
  <c r="W9" i="71"/>
  <c r="W8" i="71"/>
  <c r="W28" i="71"/>
  <c r="W32" i="71"/>
  <c r="W15" i="71"/>
  <c r="B4" i="73"/>
  <c r="X40" i="71" l="1"/>
  <c r="X36" i="71"/>
  <c r="X35" i="71"/>
  <c r="X39" i="71"/>
  <c r="X41" i="71"/>
  <c r="X37" i="71"/>
  <c r="X38" i="71"/>
  <c r="X34" i="71"/>
  <c r="X18" i="71"/>
  <c r="X23" i="71"/>
  <c r="X8" i="71"/>
  <c r="X31" i="71"/>
  <c r="X10" i="71"/>
  <c r="X28" i="71"/>
  <c r="X15" i="71"/>
  <c r="X24" i="71"/>
  <c r="X32" i="71"/>
  <c r="X7" i="71"/>
  <c r="X16" i="71"/>
  <c r="X26" i="71"/>
  <c r="X19" i="71"/>
  <c r="X27" i="71"/>
  <c r="X12" i="71"/>
  <c r="X13" i="71"/>
  <c r="X21" i="71"/>
  <c r="X29" i="71"/>
  <c r="X14" i="71"/>
  <c r="X22" i="71"/>
  <c r="X30" i="71"/>
  <c r="X9" i="71"/>
  <c r="X17" i="71"/>
  <c r="X25" i="71"/>
  <c r="X33" i="71"/>
  <c r="X11" i="71"/>
  <c r="X20" i="71"/>
  <c r="J44" i="7"/>
  <c r="J43" i="7"/>
  <c r="I43" i="7"/>
  <c r="H43" i="7"/>
  <c r="G43" i="7"/>
  <c r="F43" i="7"/>
  <c r="G44" i="7" l="1"/>
  <c r="I44" i="7"/>
  <c r="H44" i="7"/>
  <c r="F105" i="7"/>
  <c r="F104" i="7"/>
  <c r="F103" i="7"/>
  <c r="F102" i="7"/>
  <c r="F99" i="7"/>
  <c r="F98" i="7"/>
  <c r="F97" i="7"/>
  <c r="F96" i="7"/>
  <c r="F95" i="7"/>
  <c r="F94" i="7"/>
  <c r="F93" i="7"/>
  <c r="F92" i="7"/>
  <c r="F89" i="7"/>
  <c r="F88" i="7"/>
  <c r="F87" i="7"/>
  <c r="F86" i="7"/>
  <c r="F76" i="7"/>
  <c r="F75" i="7"/>
  <c r="F74" i="7"/>
  <c r="F73" i="7"/>
  <c r="F71" i="7"/>
  <c r="F69" i="7"/>
  <c r="F68" i="7"/>
  <c r="F67" i="7"/>
  <c r="F66" i="7"/>
  <c r="F65" i="7"/>
  <c r="F64" i="7"/>
  <c r="F63" i="7"/>
  <c r="F62" i="7"/>
  <c r="F61" i="7"/>
  <c r="F60" i="7"/>
  <c r="J40" i="7"/>
  <c r="I40" i="7"/>
  <c r="H40" i="7"/>
  <c r="G40" i="7"/>
  <c r="J39" i="7"/>
  <c r="H39" i="7"/>
  <c r="G39" i="7"/>
  <c r="J38" i="7"/>
  <c r="I38" i="7"/>
  <c r="H38" i="7"/>
  <c r="G38" i="7"/>
  <c r="J37" i="7"/>
  <c r="I37" i="7"/>
  <c r="H37" i="7"/>
  <c r="G37" i="7"/>
  <c r="J34" i="7"/>
  <c r="I34" i="7"/>
  <c r="H34" i="7"/>
  <c r="G34" i="7"/>
  <c r="J33" i="7"/>
  <c r="I33" i="7"/>
  <c r="H33" i="7"/>
  <c r="G33" i="7"/>
  <c r="J32" i="7"/>
  <c r="I32" i="7"/>
  <c r="H32" i="7"/>
  <c r="G32" i="7"/>
  <c r="J31" i="7"/>
  <c r="I31" i="7"/>
  <c r="H31" i="7"/>
  <c r="J29" i="7"/>
  <c r="I29" i="7"/>
  <c r="H29" i="7"/>
  <c r="G29" i="7"/>
  <c r="J28" i="7"/>
  <c r="I28" i="7"/>
  <c r="H28" i="7"/>
  <c r="G28" i="7"/>
  <c r="J27" i="7"/>
  <c r="I27" i="7"/>
  <c r="H27" i="7"/>
  <c r="G27" i="7"/>
  <c r="J26" i="7"/>
  <c r="I26" i="7"/>
  <c r="H26" i="7"/>
  <c r="G26" i="7"/>
  <c r="J25" i="7"/>
  <c r="I25" i="7"/>
  <c r="H25" i="7"/>
  <c r="G25" i="7"/>
  <c r="J24" i="7"/>
  <c r="I24" i="7"/>
  <c r="H24" i="7"/>
  <c r="G24" i="7"/>
  <c r="F80" i="73" l="1"/>
  <c r="E80" i="73"/>
  <c r="F79" i="73"/>
  <c r="E79" i="73"/>
  <c r="F75" i="73"/>
  <c r="D6" i="73"/>
  <c r="B3" i="73"/>
  <c r="D46" i="72" l="1"/>
  <c r="C46" i="72"/>
  <c r="B46" i="72"/>
  <c r="D45" i="72"/>
  <c r="C45" i="72"/>
  <c r="B45" i="72"/>
  <c r="D44" i="72"/>
  <c r="C44" i="72"/>
  <c r="B44" i="72"/>
  <c r="D43" i="72"/>
  <c r="C43" i="72"/>
  <c r="B43" i="72"/>
  <c r="D42" i="72"/>
  <c r="C42" i="72"/>
  <c r="B42" i="72"/>
  <c r="D41" i="72"/>
  <c r="C41" i="72"/>
  <c r="B41" i="72"/>
  <c r="D40" i="72"/>
  <c r="C40" i="72"/>
  <c r="B40" i="72"/>
  <c r="D39" i="72"/>
  <c r="C39" i="72"/>
  <c r="B39" i="72"/>
  <c r="D38" i="72"/>
  <c r="C38" i="72"/>
  <c r="B38" i="72"/>
  <c r="D37" i="72"/>
  <c r="C37" i="72"/>
  <c r="B37" i="72"/>
  <c r="D36" i="72"/>
  <c r="C36" i="72"/>
  <c r="B36" i="72"/>
  <c r="D35" i="72"/>
  <c r="C35" i="72"/>
  <c r="B35" i="72"/>
  <c r="D34" i="72"/>
  <c r="C34" i="72"/>
  <c r="B34" i="72"/>
  <c r="D33" i="72"/>
  <c r="C33" i="72"/>
  <c r="B33" i="72"/>
  <c r="D32" i="72"/>
  <c r="C32" i="72"/>
  <c r="B32" i="72"/>
  <c r="D31" i="72"/>
  <c r="C31" i="72"/>
  <c r="B31" i="72"/>
  <c r="D30" i="72"/>
  <c r="C30" i="72"/>
  <c r="B30" i="72"/>
  <c r="D29" i="72"/>
  <c r="C29" i="72"/>
  <c r="B29" i="72"/>
  <c r="D28" i="72"/>
  <c r="C28" i="72"/>
  <c r="B28" i="72"/>
  <c r="D27" i="72"/>
  <c r="C27" i="72"/>
  <c r="B27" i="72"/>
  <c r="D26" i="72"/>
  <c r="C26" i="72"/>
  <c r="B26" i="72"/>
  <c r="D25" i="72"/>
  <c r="C25" i="72"/>
  <c r="B25" i="72"/>
  <c r="D24" i="72"/>
  <c r="C24" i="72"/>
  <c r="B24" i="72"/>
  <c r="D23" i="72"/>
  <c r="C23" i="72"/>
  <c r="B23" i="72"/>
  <c r="D22" i="72"/>
  <c r="C22" i="72"/>
  <c r="B22" i="72"/>
  <c r="D21" i="72"/>
  <c r="C21" i="72"/>
  <c r="B21" i="72"/>
  <c r="D20" i="72"/>
  <c r="C20" i="72"/>
  <c r="B20" i="72"/>
  <c r="D19" i="72"/>
  <c r="C19" i="72"/>
  <c r="B19" i="72"/>
  <c r="D18" i="72"/>
  <c r="C18" i="72"/>
  <c r="B18" i="72"/>
  <c r="D17" i="72"/>
  <c r="C17" i="72"/>
  <c r="B17" i="72"/>
  <c r="D16" i="72"/>
  <c r="C16" i="72"/>
  <c r="B16" i="72"/>
  <c r="D15" i="72"/>
  <c r="C15" i="72"/>
  <c r="B15" i="72"/>
  <c r="D14" i="72"/>
  <c r="C14" i="72"/>
  <c r="B14" i="72"/>
  <c r="D13" i="72"/>
  <c r="C13" i="72"/>
  <c r="B13" i="72"/>
  <c r="D12" i="72"/>
  <c r="C12" i="72"/>
  <c r="B12" i="72"/>
  <c r="D11" i="72"/>
  <c r="C11" i="72"/>
  <c r="B11" i="72"/>
  <c r="D10" i="72"/>
  <c r="C10" i="72"/>
  <c r="B10" i="72"/>
  <c r="D9" i="72"/>
  <c r="C9" i="72"/>
  <c r="B9" i="72"/>
  <c r="D8" i="72"/>
  <c r="C8" i="72"/>
  <c r="B8" i="72"/>
  <c r="D7" i="72"/>
  <c r="C7" i="72"/>
  <c r="B7" i="72"/>
  <c r="B46" i="71"/>
  <c r="B45" i="71"/>
  <c r="B44" i="71"/>
  <c r="B43" i="71"/>
  <c r="B42" i="71"/>
  <c r="B41" i="71"/>
  <c r="B40" i="71"/>
  <c r="B39" i="71"/>
  <c r="B38" i="71"/>
  <c r="B37" i="71"/>
  <c r="B36" i="71"/>
  <c r="B35" i="71"/>
  <c r="B34" i="71"/>
  <c r="B33" i="71"/>
  <c r="B32" i="71"/>
  <c r="B31" i="71"/>
  <c r="B30" i="71"/>
  <c r="B29" i="71"/>
  <c r="B28" i="71"/>
  <c r="B27" i="71"/>
  <c r="B26" i="71"/>
  <c r="B25" i="71"/>
  <c r="B24" i="71"/>
  <c r="B23" i="71"/>
  <c r="B22" i="71"/>
  <c r="B21" i="71"/>
  <c r="B20" i="71"/>
  <c r="B19" i="71"/>
  <c r="B18" i="71"/>
  <c r="B17" i="71"/>
  <c r="B16" i="71"/>
  <c r="B15" i="71"/>
  <c r="B14" i="71"/>
  <c r="B13" i="71"/>
  <c r="B12" i="71"/>
  <c r="B11" i="71"/>
  <c r="B10" i="71"/>
  <c r="B9" i="71"/>
  <c r="B8" i="71"/>
  <c r="D28" i="4"/>
  <c r="D30" i="4"/>
  <c r="D27" i="4"/>
  <c r="F9" i="65"/>
  <c r="W38" i="72" l="1"/>
  <c r="G38" i="72"/>
  <c r="I38" i="72"/>
  <c r="K38" i="72"/>
  <c r="M38" i="72"/>
  <c r="O38" i="72"/>
  <c r="Q38" i="72"/>
  <c r="S38" i="72"/>
  <c r="V38" i="72"/>
  <c r="E38" i="72"/>
  <c r="H38" i="72"/>
  <c r="J38" i="72"/>
  <c r="L38" i="72"/>
  <c r="N38" i="72"/>
  <c r="P38" i="72"/>
  <c r="R38" i="72"/>
  <c r="T38" i="72"/>
  <c r="W40" i="72"/>
  <c r="G40" i="72"/>
  <c r="I40" i="72"/>
  <c r="K40" i="72"/>
  <c r="M40" i="72"/>
  <c r="O40" i="72"/>
  <c r="Q40" i="72"/>
  <c r="S40" i="72"/>
  <c r="V40" i="72"/>
  <c r="E40" i="72"/>
  <c r="H40" i="72"/>
  <c r="J40" i="72"/>
  <c r="L40" i="72"/>
  <c r="N40" i="72"/>
  <c r="P40" i="72"/>
  <c r="R40" i="72"/>
  <c r="T40" i="72"/>
  <c r="X42" i="72"/>
  <c r="W42" i="72"/>
  <c r="G42" i="72"/>
  <c r="I42" i="72"/>
  <c r="K42" i="72"/>
  <c r="M42" i="72"/>
  <c r="O42" i="72"/>
  <c r="Q42" i="72"/>
  <c r="S42" i="72"/>
  <c r="V42" i="72"/>
  <c r="F42" i="72"/>
  <c r="E42" i="72"/>
  <c r="H42" i="72"/>
  <c r="J42" i="72"/>
  <c r="L42" i="72"/>
  <c r="N42" i="72"/>
  <c r="P42" i="72"/>
  <c r="R42" i="72"/>
  <c r="T42" i="72"/>
  <c r="X44" i="72"/>
  <c r="W44" i="72"/>
  <c r="G44" i="72"/>
  <c r="I44" i="72"/>
  <c r="K44" i="72"/>
  <c r="M44" i="72"/>
  <c r="O44" i="72"/>
  <c r="Q44" i="72"/>
  <c r="S44" i="72"/>
  <c r="V44" i="72"/>
  <c r="F44" i="72"/>
  <c r="E44" i="72"/>
  <c r="H44" i="72"/>
  <c r="J44" i="72"/>
  <c r="L44" i="72"/>
  <c r="N44" i="72"/>
  <c r="P44" i="72"/>
  <c r="R44" i="72"/>
  <c r="T44" i="72"/>
  <c r="X46" i="72"/>
  <c r="W46" i="72"/>
  <c r="G46" i="72"/>
  <c r="I46" i="72"/>
  <c r="K46" i="72"/>
  <c r="M46" i="72"/>
  <c r="O46" i="72"/>
  <c r="Q46" i="72"/>
  <c r="S46" i="72"/>
  <c r="V46" i="72"/>
  <c r="F46" i="72"/>
  <c r="E46" i="72"/>
  <c r="J46" i="72"/>
  <c r="N46" i="72"/>
  <c r="R46" i="72"/>
  <c r="H46" i="72"/>
  <c r="L46" i="72"/>
  <c r="P46" i="72"/>
  <c r="T46" i="72"/>
  <c r="H37" i="72"/>
  <c r="J37" i="72"/>
  <c r="L37" i="72"/>
  <c r="N37" i="72"/>
  <c r="P37" i="72"/>
  <c r="R37" i="72"/>
  <c r="T37" i="72"/>
  <c r="W37" i="72"/>
  <c r="G37" i="72"/>
  <c r="I37" i="72"/>
  <c r="K37" i="72"/>
  <c r="M37" i="72"/>
  <c r="O37" i="72"/>
  <c r="Q37" i="72"/>
  <c r="S37" i="72"/>
  <c r="V37" i="72"/>
  <c r="E37" i="72"/>
  <c r="H39" i="72"/>
  <c r="J39" i="72"/>
  <c r="L39" i="72"/>
  <c r="N39" i="72"/>
  <c r="P39" i="72"/>
  <c r="R39" i="72"/>
  <c r="T39" i="72"/>
  <c r="E39" i="72"/>
  <c r="W39" i="72"/>
  <c r="G39" i="72"/>
  <c r="I39" i="72"/>
  <c r="K39" i="72"/>
  <c r="M39" i="72"/>
  <c r="O39" i="72"/>
  <c r="Q39" i="72"/>
  <c r="S39" i="72"/>
  <c r="V39" i="72"/>
  <c r="H41" i="72"/>
  <c r="J41" i="72"/>
  <c r="L41" i="72"/>
  <c r="N41" i="72"/>
  <c r="P41" i="72"/>
  <c r="R41" i="72"/>
  <c r="T41" i="72"/>
  <c r="W41" i="72"/>
  <c r="G41" i="72"/>
  <c r="I41" i="72"/>
  <c r="K41" i="72"/>
  <c r="M41" i="72"/>
  <c r="O41" i="72"/>
  <c r="Q41" i="72"/>
  <c r="S41" i="72"/>
  <c r="V41" i="72"/>
  <c r="E41" i="72"/>
  <c r="H43" i="72"/>
  <c r="J43" i="72"/>
  <c r="L43" i="72"/>
  <c r="N43" i="72"/>
  <c r="P43" i="72"/>
  <c r="R43" i="72"/>
  <c r="T43" i="72"/>
  <c r="E43" i="72"/>
  <c r="X43" i="72"/>
  <c r="W43" i="72"/>
  <c r="G43" i="72"/>
  <c r="I43" i="72"/>
  <c r="K43" i="72"/>
  <c r="M43" i="72"/>
  <c r="O43" i="72"/>
  <c r="Q43" i="72"/>
  <c r="S43" i="72"/>
  <c r="V43" i="72"/>
  <c r="F43" i="72"/>
  <c r="H45" i="72"/>
  <c r="J45" i="72"/>
  <c r="L45" i="72"/>
  <c r="N45" i="72"/>
  <c r="P45" i="72"/>
  <c r="R45" i="72"/>
  <c r="T45" i="72"/>
  <c r="G45" i="72"/>
  <c r="K45" i="72"/>
  <c r="O45" i="72"/>
  <c r="V45" i="72"/>
  <c r="F45" i="72"/>
  <c r="X45" i="72"/>
  <c r="W45" i="72"/>
  <c r="I45" i="72"/>
  <c r="M45" i="72"/>
  <c r="Q45" i="72"/>
  <c r="S45" i="72"/>
  <c r="E45" i="72"/>
  <c r="H8" i="72"/>
  <c r="J8" i="72"/>
  <c r="L8" i="72"/>
  <c r="N8" i="72"/>
  <c r="P8" i="72"/>
  <c r="R8" i="72"/>
  <c r="T8" i="72"/>
  <c r="W8" i="72"/>
  <c r="G8" i="72"/>
  <c r="I8" i="72"/>
  <c r="K8" i="72"/>
  <c r="M8" i="72"/>
  <c r="O8" i="72"/>
  <c r="Q8" i="72"/>
  <c r="S8" i="72"/>
  <c r="V8" i="72"/>
  <c r="E8" i="72"/>
  <c r="H10" i="72"/>
  <c r="J10" i="72"/>
  <c r="L10" i="72"/>
  <c r="N10" i="72"/>
  <c r="P10" i="72"/>
  <c r="R10" i="72"/>
  <c r="T10" i="72"/>
  <c r="W10" i="72"/>
  <c r="G10" i="72"/>
  <c r="I10" i="72"/>
  <c r="K10" i="72"/>
  <c r="M10" i="72"/>
  <c r="O10" i="72"/>
  <c r="Q10" i="72"/>
  <c r="S10" i="72"/>
  <c r="V10" i="72"/>
  <c r="E10" i="72"/>
  <c r="H12" i="72"/>
  <c r="J12" i="72"/>
  <c r="L12" i="72"/>
  <c r="N12" i="72"/>
  <c r="P12" i="72"/>
  <c r="R12" i="72"/>
  <c r="T12" i="72"/>
  <c r="W12" i="72"/>
  <c r="G12" i="72"/>
  <c r="I12" i="72"/>
  <c r="K12" i="72"/>
  <c r="M12" i="72"/>
  <c r="O12" i="72"/>
  <c r="Q12" i="72"/>
  <c r="S12" i="72"/>
  <c r="V12" i="72"/>
  <c r="E12" i="72"/>
  <c r="H14" i="72"/>
  <c r="J14" i="72"/>
  <c r="L14" i="72"/>
  <c r="N14" i="72"/>
  <c r="P14" i="72"/>
  <c r="R14" i="72"/>
  <c r="T14" i="72"/>
  <c r="W14" i="72"/>
  <c r="G14" i="72"/>
  <c r="I14" i="72"/>
  <c r="K14" i="72"/>
  <c r="M14" i="72"/>
  <c r="O14" i="72"/>
  <c r="Q14" i="72"/>
  <c r="S14" i="72"/>
  <c r="V14" i="72"/>
  <c r="E14" i="72"/>
  <c r="H16" i="72"/>
  <c r="J16" i="72"/>
  <c r="L16" i="72"/>
  <c r="N16" i="72"/>
  <c r="P16" i="72"/>
  <c r="R16" i="72"/>
  <c r="T16" i="72"/>
  <c r="W16" i="72"/>
  <c r="G16" i="72"/>
  <c r="I16" i="72"/>
  <c r="K16" i="72"/>
  <c r="M16" i="72"/>
  <c r="O16" i="72"/>
  <c r="Q16" i="72"/>
  <c r="S16" i="72"/>
  <c r="V16" i="72"/>
  <c r="E16" i="72"/>
  <c r="H18" i="72"/>
  <c r="J18" i="72"/>
  <c r="L18" i="72"/>
  <c r="N18" i="72"/>
  <c r="P18" i="72"/>
  <c r="R18" i="72"/>
  <c r="T18" i="72"/>
  <c r="W18" i="72"/>
  <c r="G18" i="72"/>
  <c r="I18" i="72"/>
  <c r="K18" i="72"/>
  <c r="M18" i="72"/>
  <c r="O18" i="72"/>
  <c r="Q18" i="72"/>
  <c r="S18" i="72"/>
  <c r="V18" i="72"/>
  <c r="E18" i="72"/>
  <c r="H20" i="72"/>
  <c r="J20" i="72"/>
  <c r="L20" i="72"/>
  <c r="N20" i="72"/>
  <c r="P20" i="72"/>
  <c r="R20" i="72"/>
  <c r="T20" i="72"/>
  <c r="W20" i="72"/>
  <c r="G20" i="72"/>
  <c r="I20" i="72"/>
  <c r="K20" i="72"/>
  <c r="M20" i="72"/>
  <c r="O20" i="72"/>
  <c r="Q20" i="72"/>
  <c r="S20" i="72"/>
  <c r="V20" i="72"/>
  <c r="E20" i="72"/>
  <c r="H22" i="72"/>
  <c r="J22" i="72"/>
  <c r="L22" i="72"/>
  <c r="N22" i="72"/>
  <c r="P22" i="72"/>
  <c r="R22" i="72"/>
  <c r="T22" i="72"/>
  <c r="W22" i="72"/>
  <c r="G22" i="72"/>
  <c r="I22" i="72"/>
  <c r="K22" i="72"/>
  <c r="M22" i="72"/>
  <c r="O22" i="72"/>
  <c r="Q22" i="72"/>
  <c r="S22" i="72"/>
  <c r="V22" i="72"/>
  <c r="E22" i="72"/>
  <c r="H24" i="72"/>
  <c r="J24" i="72"/>
  <c r="L24" i="72"/>
  <c r="N24" i="72"/>
  <c r="P24" i="72"/>
  <c r="R24" i="72"/>
  <c r="T24" i="72"/>
  <c r="W24" i="72"/>
  <c r="G24" i="72"/>
  <c r="I24" i="72"/>
  <c r="K24" i="72"/>
  <c r="M24" i="72"/>
  <c r="O24" i="72"/>
  <c r="Q24" i="72"/>
  <c r="S24" i="72"/>
  <c r="V24" i="72"/>
  <c r="E24" i="72"/>
  <c r="H26" i="72"/>
  <c r="J26" i="72"/>
  <c r="L26" i="72"/>
  <c r="N26" i="72"/>
  <c r="P26" i="72"/>
  <c r="R26" i="72"/>
  <c r="T26" i="72"/>
  <c r="W26" i="72"/>
  <c r="G26" i="72"/>
  <c r="I26" i="72"/>
  <c r="K26" i="72"/>
  <c r="M26" i="72"/>
  <c r="O26" i="72"/>
  <c r="Q26" i="72"/>
  <c r="S26" i="72"/>
  <c r="V26" i="72"/>
  <c r="E26" i="72"/>
  <c r="H28" i="72"/>
  <c r="J28" i="72"/>
  <c r="L28" i="72"/>
  <c r="N28" i="72"/>
  <c r="P28" i="72"/>
  <c r="R28" i="72"/>
  <c r="T28" i="72"/>
  <c r="W28" i="72"/>
  <c r="G28" i="72"/>
  <c r="I28" i="72"/>
  <c r="K28" i="72"/>
  <c r="M28" i="72"/>
  <c r="O28" i="72"/>
  <c r="Q28" i="72"/>
  <c r="S28" i="72"/>
  <c r="V28" i="72"/>
  <c r="E28" i="72"/>
  <c r="H30" i="72"/>
  <c r="J30" i="72"/>
  <c r="L30" i="72"/>
  <c r="N30" i="72"/>
  <c r="P30" i="72"/>
  <c r="R30" i="72"/>
  <c r="T30" i="72"/>
  <c r="W30" i="72"/>
  <c r="G30" i="72"/>
  <c r="I30" i="72"/>
  <c r="K30" i="72"/>
  <c r="M30" i="72"/>
  <c r="O30" i="72"/>
  <c r="Q30" i="72"/>
  <c r="S30" i="72"/>
  <c r="V30" i="72"/>
  <c r="E30" i="72"/>
  <c r="H32" i="72"/>
  <c r="J32" i="72"/>
  <c r="L32" i="72"/>
  <c r="N32" i="72"/>
  <c r="P32" i="72"/>
  <c r="R32" i="72"/>
  <c r="T32" i="72"/>
  <c r="W32" i="72"/>
  <c r="G32" i="72"/>
  <c r="I32" i="72"/>
  <c r="K32" i="72"/>
  <c r="M32" i="72"/>
  <c r="O32" i="72"/>
  <c r="Q32" i="72"/>
  <c r="S32" i="72"/>
  <c r="V32" i="72"/>
  <c r="E32" i="72"/>
  <c r="H34" i="72"/>
  <c r="J34" i="72"/>
  <c r="L34" i="72"/>
  <c r="N34" i="72"/>
  <c r="P34" i="72"/>
  <c r="R34" i="72"/>
  <c r="T34" i="72"/>
  <c r="W34" i="72"/>
  <c r="G34" i="72"/>
  <c r="I34" i="72"/>
  <c r="K34" i="72"/>
  <c r="M34" i="72"/>
  <c r="O34" i="72"/>
  <c r="Q34" i="72"/>
  <c r="S34" i="72"/>
  <c r="V34" i="72"/>
  <c r="E34" i="72"/>
  <c r="H36" i="72"/>
  <c r="J36" i="72"/>
  <c r="L36" i="72"/>
  <c r="N36" i="72"/>
  <c r="P36" i="72"/>
  <c r="R36" i="72"/>
  <c r="T36" i="72"/>
  <c r="W36" i="72"/>
  <c r="G36" i="72"/>
  <c r="I36" i="72"/>
  <c r="K36" i="72"/>
  <c r="M36" i="72"/>
  <c r="O36" i="72"/>
  <c r="Q36" i="72"/>
  <c r="S36" i="72"/>
  <c r="V36" i="72"/>
  <c r="E36" i="72"/>
  <c r="V7" i="72"/>
  <c r="H7" i="72"/>
  <c r="W7" i="72"/>
  <c r="I7" i="72"/>
  <c r="K7" i="72"/>
  <c r="M7" i="72"/>
  <c r="O7" i="72"/>
  <c r="Q7" i="72"/>
  <c r="S7" i="72"/>
  <c r="G7" i="72"/>
  <c r="L7" i="72"/>
  <c r="P7" i="72"/>
  <c r="T7" i="72"/>
  <c r="E7" i="72"/>
  <c r="J7" i="72"/>
  <c r="N7" i="72"/>
  <c r="R7" i="72"/>
  <c r="W9" i="72"/>
  <c r="G9" i="72"/>
  <c r="I9" i="72"/>
  <c r="K9" i="72"/>
  <c r="M9" i="72"/>
  <c r="O9" i="72"/>
  <c r="Q9" i="72"/>
  <c r="S9" i="72"/>
  <c r="V9" i="72"/>
  <c r="H9" i="72"/>
  <c r="J9" i="72"/>
  <c r="L9" i="72"/>
  <c r="N9" i="72"/>
  <c r="P9" i="72"/>
  <c r="R9" i="72"/>
  <c r="T9" i="72"/>
  <c r="E9" i="72"/>
  <c r="W11" i="72"/>
  <c r="G11" i="72"/>
  <c r="I11" i="72"/>
  <c r="K11" i="72"/>
  <c r="M11" i="72"/>
  <c r="O11" i="72"/>
  <c r="Q11" i="72"/>
  <c r="S11" i="72"/>
  <c r="V11" i="72"/>
  <c r="H11" i="72"/>
  <c r="J11" i="72"/>
  <c r="L11" i="72"/>
  <c r="N11" i="72"/>
  <c r="P11" i="72"/>
  <c r="R11" i="72"/>
  <c r="T11" i="72"/>
  <c r="E11" i="72"/>
  <c r="W13" i="72"/>
  <c r="G13" i="72"/>
  <c r="I13" i="72"/>
  <c r="K13" i="72"/>
  <c r="M13" i="72"/>
  <c r="O13" i="72"/>
  <c r="Q13" i="72"/>
  <c r="S13" i="72"/>
  <c r="V13" i="72"/>
  <c r="H13" i="72"/>
  <c r="J13" i="72"/>
  <c r="L13" i="72"/>
  <c r="N13" i="72"/>
  <c r="P13" i="72"/>
  <c r="R13" i="72"/>
  <c r="T13" i="72"/>
  <c r="E13" i="72"/>
  <c r="W15" i="72"/>
  <c r="G15" i="72"/>
  <c r="I15" i="72"/>
  <c r="K15" i="72"/>
  <c r="M15" i="72"/>
  <c r="O15" i="72"/>
  <c r="Q15" i="72"/>
  <c r="S15" i="72"/>
  <c r="V15" i="72"/>
  <c r="H15" i="72"/>
  <c r="J15" i="72"/>
  <c r="L15" i="72"/>
  <c r="N15" i="72"/>
  <c r="P15" i="72"/>
  <c r="R15" i="72"/>
  <c r="T15" i="72"/>
  <c r="E15" i="72"/>
  <c r="W17" i="72"/>
  <c r="G17" i="72"/>
  <c r="I17" i="72"/>
  <c r="K17" i="72"/>
  <c r="M17" i="72"/>
  <c r="O17" i="72"/>
  <c r="Q17" i="72"/>
  <c r="S17" i="72"/>
  <c r="V17" i="72"/>
  <c r="H17" i="72"/>
  <c r="J17" i="72"/>
  <c r="L17" i="72"/>
  <c r="N17" i="72"/>
  <c r="P17" i="72"/>
  <c r="R17" i="72"/>
  <c r="T17" i="72"/>
  <c r="E17" i="72"/>
  <c r="W19" i="72"/>
  <c r="G19" i="72"/>
  <c r="I19" i="72"/>
  <c r="K19" i="72"/>
  <c r="M19" i="72"/>
  <c r="O19" i="72"/>
  <c r="Q19" i="72"/>
  <c r="S19" i="72"/>
  <c r="V19" i="72"/>
  <c r="H19" i="72"/>
  <c r="J19" i="72"/>
  <c r="L19" i="72"/>
  <c r="N19" i="72"/>
  <c r="P19" i="72"/>
  <c r="R19" i="72"/>
  <c r="T19" i="72"/>
  <c r="E19" i="72"/>
  <c r="W21" i="72"/>
  <c r="G21" i="72"/>
  <c r="I21" i="72"/>
  <c r="K21" i="72"/>
  <c r="M21" i="72"/>
  <c r="O21" i="72"/>
  <c r="Q21" i="72"/>
  <c r="S21" i="72"/>
  <c r="V21" i="72"/>
  <c r="H21" i="72"/>
  <c r="J21" i="72"/>
  <c r="L21" i="72"/>
  <c r="N21" i="72"/>
  <c r="P21" i="72"/>
  <c r="R21" i="72"/>
  <c r="T21" i="72"/>
  <c r="E21" i="72"/>
  <c r="W23" i="72"/>
  <c r="G23" i="72"/>
  <c r="I23" i="72"/>
  <c r="K23" i="72"/>
  <c r="M23" i="72"/>
  <c r="O23" i="72"/>
  <c r="Q23" i="72"/>
  <c r="S23" i="72"/>
  <c r="V23" i="72"/>
  <c r="H23" i="72"/>
  <c r="J23" i="72"/>
  <c r="L23" i="72"/>
  <c r="N23" i="72"/>
  <c r="P23" i="72"/>
  <c r="R23" i="72"/>
  <c r="T23" i="72"/>
  <c r="E23" i="72"/>
  <c r="W25" i="72"/>
  <c r="G25" i="72"/>
  <c r="I25" i="72"/>
  <c r="K25" i="72"/>
  <c r="M25" i="72"/>
  <c r="O25" i="72"/>
  <c r="Q25" i="72"/>
  <c r="S25" i="72"/>
  <c r="V25" i="72"/>
  <c r="H25" i="72"/>
  <c r="J25" i="72"/>
  <c r="L25" i="72"/>
  <c r="N25" i="72"/>
  <c r="P25" i="72"/>
  <c r="R25" i="72"/>
  <c r="T25" i="72"/>
  <c r="E25" i="72"/>
  <c r="W27" i="72"/>
  <c r="G27" i="72"/>
  <c r="I27" i="72"/>
  <c r="K27" i="72"/>
  <c r="M27" i="72"/>
  <c r="O27" i="72"/>
  <c r="Q27" i="72"/>
  <c r="S27" i="72"/>
  <c r="V27" i="72"/>
  <c r="H27" i="72"/>
  <c r="J27" i="72"/>
  <c r="L27" i="72"/>
  <c r="N27" i="72"/>
  <c r="P27" i="72"/>
  <c r="R27" i="72"/>
  <c r="T27" i="72"/>
  <c r="E27" i="72"/>
  <c r="W29" i="72"/>
  <c r="G29" i="72"/>
  <c r="I29" i="72"/>
  <c r="K29" i="72"/>
  <c r="M29" i="72"/>
  <c r="O29" i="72"/>
  <c r="Q29" i="72"/>
  <c r="S29" i="72"/>
  <c r="V29" i="72"/>
  <c r="H29" i="72"/>
  <c r="J29" i="72"/>
  <c r="L29" i="72"/>
  <c r="N29" i="72"/>
  <c r="P29" i="72"/>
  <c r="R29" i="72"/>
  <c r="T29" i="72"/>
  <c r="E29" i="72"/>
  <c r="W31" i="72"/>
  <c r="G31" i="72"/>
  <c r="I31" i="72"/>
  <c r="K31" i="72"/>
  <c r="M31" i="72"/>
  <c r="O31" i="72"/>
  <c r="Q31" i="72"/>
  <c r="S31" i="72"/>
  <c r="V31" i="72"/>
  <c r="H31" i="72"/>
  <c r="J31" i="72"/>
  <c r="L31" i="72"/>
  <c r="N31" i="72"/>
  <c r="P31" i="72"/>
  <c r="R31" i="72"/>
  <c r="T31" i="72"/>
  <c r="E31" i="72"/>
  <c r="W33" i="72"/>
  <c r="G33" i="72"/>
  <c r="I33" i="72"/>
  <c r="K33" i="72"/>
  <c r="M33" i="72"/>
  <c r="O33" i="72"/>
  <c r="Q33" i="72"/>
  <c r="S33" i="72"/>
  <c r="V33" i="72"/>
  <c r="H33" i="72"/>
  <c r="J33" i="72"/>
  <c r="L33" i="72"/>
  <c r="N33" i="72"/>
  <c r="P33" i="72"/>
  <c r="R33" i="72"/>
  <c r="T33" i="72"/>
  <c r="E33" i="72"/>
  <c r="W35" i="72"/>
  <c r="G35" i="72"/>
  <c r="I35" i="72"/>
  <c r="K35" i="72"/>
  <c r="M35" i="72"/>
  <c r="O35" i="72"/>
  <c r="Q35" i="72"/>
  <c r="S35" i="72"/>
  <c r="V35" i="72"/>
  <c r="H35" i="72"/>
  <c r="J35" i="72"/>
  <c r="L35" i="72"/>
  <c r="N35" i="72"/>
  <c r="P35" i="72"/>
  <c r="R35" i="72"/>
  <c r="T35" i="72"/>
  <c r="E35" i="72"/>
  <c r="DH10" i="65"/>
  <c r="DI10" i="65"/>
  <c r="DJ10" i="65"/>
  <c r="DH11" i="65"/>
  <c r="DI11" i="65"/>
  <c r="DJ11" i="65"/>
  <c r="DH12" i="65"/>
  <c r="DI12" i="65"/>
  <c r="DJ12" i="65"/>
  <c r="DH13" i="65"/>
  <c r="DI13" i="65"/>
  <c r="DJ13" i="65"/>
  <c r="DH14" i="65"/>
  <c r="DI14" i="65"/>
  <c r="DJ14" i="65"/>
  <c r="DH15" i="65"/>
  <c r="DI15" i="65"/>
  <c r="DJ15" i="65"/>
  <c r="DH16" i="65"/>
  <c r="DI16" i="65"/>
  <c r="DJ16" i="65"/>
  <c r="DH17" i="65"/>
  <c r="DI17" i="65"/>
  <c r="DJ17" i="65"/>
  <c r="DH18" i="65"/>
  <c r="DI18" i="65"/>
  <c r="DJ18" i="65"/>
  <c r="DH19" i="65"/>
  <c r="DI19" i="65"/>
  <c r="DJ19" i="65"/>
  <c r="DH20" i="65"/>
  <c r="DI20" i="65"/>
  <c r="DJ20" i="65"/>
  <c r="DH21" i="65"/>
  <c r="DI21" i="65"/>
  <c r="DJ21" i="65"/>
  <c r="DH22" i="65"/>
  <c r="DI22" i="65"/>
  <c r="DJ22" i="65"/>
  <c r="DH23" i="65"/>
  <c r="DI23" i="65"/>
  <c r="DJ23" i="65"/>
  <c r="DH24" i="65"/>
  <c r="DI24" i="65"/>
  <c r="DJ24" i="65"/>
  <c r="DH25" i="65"/>
  <c r="DI25" i="65"/>
  <c r="DJ25" i="65"/>
  <c r="DH26" i="65"/>
  <c r="DI26" i="65"/>
  <c r="DJ26" i="65"/>
  <c r="DH27" i="65"/>
  <c r="DI27" i="65"/>
  <c r="DJ27" i="65"/>
  <c r="DH28" i="65"/>
  <c r="DI28" i="65"/>
  <c r="DJ28" i="65"/>
  <c r="DH29" i="65"/>
  <c r="DI29" i="65"/>
  <c r="DJ29" i="65"/>
  <c r="DH30" i="65"/>
  <c r="DI30" i="65"/>
  <c r="DJ30" i="65"/>
  <c r="DI9" i="65"/>
  <c r="DJ9" i="65"/>
  <c r="DH9" i="65"/>
  <c r="E127" i="7" s="1"/>
  <c r="D44" i="68"/>
  <c r="C44" i="68"/>
  <c r="D43" i="68"/>
  <c r="C43" i="68"/>
  <c r="D42" i="68"/>
  <c r="C42" i="68"/>
  <c r="D41" i="68"/>
  <c r="C41" i="68"/>
  <c r="D40" i="68"/>
  <c r="C40" i="68"/>
  <c r="D39" i="68"/>
  <c r="C39" i="68"/>
  <c r="D38" i="68"/>
  <c r="C38" i="68"/>
  <c r="D37" i="68"/>
  <c r="C37" i="68"/>
  <c r="D36" i="68"/>
  <c r="C36" i="68"/>
  <c r="D35" i="68"/>
  <c r="C35" i="68"/>
  <c r="D34" i="68"/>
  <c r="C34" i="68"/>
  <c r="D33" i="68"/>
  <c r="C33" i="68"/>
  <c r="D32" i="68"/>
  <c r="C32" i="68"/>
  <c r="D31" i="68"/>
  <c r="C31" i="68"/>
  <c r="D30" i="68"/>
  <c r="C30" i="68"/>
  <c r="D29" i="68"/>
  <c r="C29" i="68"/>
  <c r="D28" i="68"/>
  <c r="C28" i="68"/>
  <c r="D27" i="68"/>
  <c r="C27" i="68"/>
  <c r="D26" i="68"/>
  <c r="C26" i="68"/>
  <c r="D25" i="68"/>
  <c r="C25" i="68"/>
  <c r="D24" i="68"/>
  <c r="C24" i="68"/>
  <c r="D23" i="68"/>
  <c r="C23" i="68"/>
  <c r="D22" i="68"/>
  <c r="C22" i="68"/>
  <c r="D21" i="68"/>
  <c r="C21" i="68"/>
  <c r="D20" i="68"/>
  <c r="C20" i="68"/>
  <c r="D19" i="68"/>
  <c r="C19" i="68"/>
  <c r="D18" i="68"/>
  <c r="C18" i="68"/>
  <c r="D17" i="68"/>
  <c r="C17" i="68"/>
  <c r="D16" i="68"/>
  <c r="C16" i="68"/>
  <c r="D15" i="68"/>
  <c r="C15" i="68"/>
  <c r="D14" i="68"/>
  <c r="C14" i="68"/>
  <c r="D13" i="68"/>
  <c r="C13" i="68"/>
  <c r="D12" i="68"/>
  <c r="C12" i="68"/>
  <c r="D11" i="68"/>
  <c r="C11" i="68"/>
  <c r="D10" i="68"/>
  <c r="C10" i="68"/>
  <c r="D9" i="68"/>
  <c r="C9" i="68"/>
  <c r="D8" i="68"/>
  <c r="C8" i="68"/>
  <c r="D7" i="68"/>
  <c r="C7" i="68"/>
  <c r="D6" i="68"/>
  <c r="C6" i="68"/>
  <c r="D5" i="68"/>
  <c r="C5" i="68"/>
  <c r="DK10" i="65"/>
  <c r="DL10" i="65"/>
  <c r="DM10" i="65"/>
  <c r="DN10" i="65"/>
  <c r="DO10" i="65"/>
  <c r="DP10" i="65"/>
  <c r="DQ10" i="65"/>
  <c r="DR10" i="65"/>
  <c r="DK11" i="65"/>
  <c r="DL11" i="65"/>
  <c r="DM11" i="65"/>
  <c r="DN11" i="65"/>
  <c r="DO11" i="65"/>
  <c r="DP11" i="65"/>
  <c r="DQ11" i="65"/>
  <c r="DR11" i="65"/>
  <c r="DK12" i="65"/>
  <c r="DL12" i="65"/>
  <c r="DM12" i="65"/>
  <c r="DN12" i="65"/>
  <c r="DO12" i="65"/>
  <c r="DP12" i="65"/>
  <c r="DQ12" i="65"/>
  <c r="DR12" i="65"/>
  <c r="DK13" i="65"/>
  <c r="DL13" i="65"/>
  <c r="DM13" i="65"/>
  <c r="DN13" i="65"/>
  <c r="DO13" i="65"/>
  <c r="DP13" i="65"/>
  <c r="DQ13" i="65"/>
  <c r="DR13" i="65"/>
  <c r="DK14" i="65"/>
  <c r="DL14" i="65"/>
  <c r="DM14" i="65"/>
  <c r="DN14" i="65"/>
  <c r="DO14" i="65"/>
  <c r="DP14" i="65"/>
  <c r="DQ14" i="65"/>
  <c r="DR14" i="65"/>
  <c r="DK15" i="65"/>
  <c r="DL15" i="65"/>
  <c r="DM15" i="65"/>
  <c r="DN15" i="65"/>
  <c r="DO15" i="65"/>
  <c r="DP15" i="65"/>
  <c r="DQ15" i="65"/>
  <c r="DR15" i="65"/>
  <c r="DK16" i="65"/>
  <c r="DL16" i="65"/>
  <c r="DM16" i="65"/>
  <c r="DN16" i="65"/>
  <c r="DO16" i="65"/>
  <c r="DP16" i="65"/>
  <c r="DQ16" i="65"/>
  <c r="DR16" i="65"/>
  <c r="DK17" i="65"/>
  <c r="DL17" i="65"/>
  <c r="DM17" i="65"/>
  <c r="DN17" i="65"/>
  <c r="DO17" i="65"/>
  <c r="DP17" i="65"/>
  <c r="DQ17" i="65"/>
  <c r="DR17" i="65"/>
  <c r="DK18" i="65"/>
  <c r="DL18" i="65"/>
  <c r="DM18" i="65"/>
  <c r="DN18" i="65"/>
  <c r="DO18" i="65"/>
  <c r="DP18" i="65"/>
  <c r="DQ18" i="65"/>
  <c r="DR18" i="65"/>
  <c r="DK19" i="65"/>
  <c r="DL19" i="65"/>
  <c r="DM19" i="65"/>
  <c r="DN19" i="65"/>
  <c r="DO19" i="65"/>
  <c r="DP19" i="65"/>
  <c r="DQ19" i="65"/>
  <c r="DR19" i="65"/>
  <c r="DK20" i="65"/>
  <c r="DL20" i="65"/>
  <c r="DM20" i="65"/>
  <c r="DN20" i="65"/>
  <c r="DO20" i="65"/>
  <c r="DP20" i="65"/>
  <c r="DQ20" i="65"/>
  <c r="DR20" i="65"/>
  <c r="DK21" i="65"/>
  <c r="DL21" i="65"/>
  <c r="DM21" i="65"/>
  <c r="DN21" i="65"/>
  <c r="DO21" i="65"/>
  <c r="DP21" i="65"/>
  <c r="DQ21" i="65"/>
  <c r="DR21" i="65"/>
  <c r="DK22" i="65"/>
  <c r="DL22" i="65"/>
  <c r="DM22" i="65"/>
  <c r="DN22" i="65"/>
  <c r="DO22" i="65"/>
  <c r="DP22" i="65"/>
  <c r="DQ22" i="65"/>
  <c r="DR22" i="65"/>
  <c r="DK23" i="65"/>
  <c r="DL23" i="65"/>
  <c r="DM23" i="65"/>
  <c r="DN23" i="65"/>
  <c r="DO23" i="65"/>
  <c r="DP23" i="65"/>
  <c r="DQ23" i="65"/>
  <c r="DR23" i="65"/>
  <c r="DK24" i="65"/>
  <c r="DL24" i="65"/>
  <c r="DM24" i="65"/>
  <c r="DN24" i="65"/>
  <c r="DO24" i="65"/>
  <c r="DP24" i="65"/>
  <c r="DQ24" i="65"/>
  <c r="DR24" i="65"/>
  <c r="DK25" i="65"/>
  <c r="DL25" i="65"/>
  <c r="DM25" i="65"/>
  <c r="DN25" i="65"/>
  <c r="DO25" i="65"/>
  <c r="DP25" i="65"/>
  <c r="DQ25" i="65"/>
  <c r="DR25" i="65"/>
  <c r="DK26" i="65"/>
  <c r="DL26" i="65"/>
  <c r="DM26" i="65"/>
  <c r="DN26" i="65"/>
  <c r="DO26" i="65"/>
  <c r="DP26" i="65"/>
  <c r="DQ26" i="65"/>
  <c r="DR26" i="65"/>
  <c r="DK27" i="65"/>
  <c r="DL27" i="65"/>
  <c r="DM27" i="65"/>
  <c r="DN27" i="65"/>
  <c r="DO27" i="65"/>
  <c r="DP27" i="65"/>
  <c r="DQ27" i="65"/>
  <c r="DR27" i="65"/>
  <c r="DK28" i="65"/>
  <c r="DL28" i="65"/>
  <c r="DM28" i="65"/>
  <c r="DN28" i="65"/>
  <c r="DO28" i="65"/>
  <c r="DP28" i="65"/>
  <c r="DQ28" i="65"/>
  <c r="DR28" i="65"/>
  <c r="DK29" i="65"/>
  <c r="DL29" i="65"/>
  <c r="DM29" i="65"/>
  <c r="DN29" i="65"/>
  <c r="DO29" i="65"/>
  <c r="DP29" i="65"/>
  <c r="DQ29" i="65"/>
  <c r="DR29" i="65"/>
  <c r="DK30" i="65"/>
  <c r="DL30" i="65"/>
  <c r="DM30" i="65"/>
  <c r="DN30" i="65"/>
  <c r="DO30" i="65"/>
  <c r="DP30" i="65"/>
  <c r="DQ30" i="65"/>
  <c r="DR30" i="65"/>
  <c r="DL9" i="65"/>
  <c r="DM9" i="65"/>
  <c r="DN9" i="65"/>
  <c r="DO9" i="65"/>
  <c r="DP9" i="65"/>
  <c r="DQ9" i="65"/>
  <c r="DR9" i="65"/>
  <c r="DK9" i="65"/>
  <c r="DB10" i="65"/>
  <c r="DC10" i="65"/>
  <c r="DD10" i="65"/>
  <c r="DE10" i="65"/>
  <c r="DF10" i="65"/>
  <c r="DG10" i="65"/>
  <c r="DB11" i="65"/>
  <c r="DC11" i="65"/>
  <c r="DD11" i="65"/>
  <c r="DE11" i="65"/>
  <c r="DF11" i="65"/>
  <c r="DG11" i="65"/>
  <c r="DB12" i="65"/>
  <c r="DC12" i="65"/>
  <c r="DD12" i="65"/>
  <c r="DE12" i="65"/>
  <c r="DF12" i="65"/>
  <c r="DG12" i="65"/>
  <c r="DB13" i="65"/>
  <c r="DC13" i="65"/>
  <c r="DD13" i="65"/>
  <c r="DE13" i="65"/>
  <c r="DF13" i="65"/>
  <c r="DG13" i="65"/>
  <c r="DB14" i="65"/>
  <c r="DC14" i="65"/>
  <c r="DD14" i="65"/>
  <c r="DE14" i="65"/>
  <c r="DF14" i="65"/>
  <c r="DG14" i="65"/>
  <c r="DB15" i="65"/>
  <c r="DC15" i="65"/>
  <c r="DD15" i="65"/>
  <c r="DE15" i="65"/>
  <c r="DF15" i="65"/>
  <c r="DG15" i="65"/>
  <c r="DB16" i="65"/>
  <c r="DC16" i="65"/>
  <c r="DD16" i="65"/>
  <c r="DE16" i="65"/>
  <c r="DF16" i="65"/>
  <c r="DG16" i="65"/>
  <c r="DB17" i="65"/>
  <c r="DC17" i="65"/>
  <c r="DD17" i="65"/>
  <c r="DE17" i="65"/>
  <c r="DF17" i="65"/>
  <c r="DG17" i="65"/>
  <c r="DB18" i="65"/>
  <c r="DC18" i="65"/>
  <c r="DD18" i="65"/>
  <c r="DE18" i="65"/>
  <c r="DF18" i="65"/>
  <c r="DG18" i="65"/>
  <c r="DB19" i="65"/>
  <c r="DC19" i="65"/>
  <c r="DD19" i="65"/>
  <c r="DE19" i="65"/>
  <c r="DF19" i="65"/>
  <c r="DG19" i="65"/>
  <c r="DB20" i="65"/>
  <c r="DC20" i="65"/>
  <c r="DD20" i="65"/>
  <c r="DE20" i="65"/>
  <c r="DF20" i="65"/>
  <c r="DG20" i="65"/>
  <c r="DB21" i="65"/>
  <c r="DC21" i="65"/>
  <c r="DD21" i="65"/>
  <c r="DE21" i="65"/>
  <c r="DF21" i="65"/>
  <c r="DG21" i="65"/>
  <c r="DB22" i="65"/>
  <c r="DC22" i="65"/>
  <c r="DD22" i="65"/>
  <c r="DE22" i="65"/>
  <c r="DF22" i="65"/>
  <c r="DG22" i="65"/>
  <c r="DB23" i="65"/>
  <c r="DC23" i="65"/>
  <c r="DD23" i="65"/>
  <c r="DE23" i="65"/>
  <c r="DF23" i="65"/>
  <c r="DG23" i="65"/>
  <c r="DB24" i="65"/>
  <c r="DC24" i="65"/>
  <c r="DD24" i="65"/>
  <c r="DE24" i="65"/>
  <c r="DF24" i="65"/>
  <c r="DG24" i="65"/>
  <c r="DB25" i="65"/>
  <c r="DC25" i="65"/>
  <c r="DD25" i="65"/>
  <c r="DE25" i="65"/>
  <c r="DF25" i="65"/>
  <c r="DG25" i="65"/>
  <c r="DB26" i="65"/>
  <c r="DC26" i="65"/>
  <c r="DD26" i="65"/>
  <c r="DE26" i="65"/>
  <c r="DF26" i="65"/>
  <c r="DG26" i="65"/>
  <c r="DB27" i="65"/>
  <c r="DC27" i="65"/>
  <c r="DD27" i="65"/>
  <c r="DE27" i="65"/>
  <c r="DF27" i="65"/>
  <c r="DG27" i="65"/>
  <c r="DB28" i="65"/>
  <c r="DC28" i="65"/>
  <c r="DD28" i="65"/>
  <c r="DE28" i="65"/>
  <c r="DF28" i="65"/>
  <c r="DG28" i="65"/>
  <c r="DB29" i="65"/>
  <c r="DC29" i="65"/>
  <c r="DD29" i="65"/>
  <c r="DE29" i="65"/>
  <c r="DF29" i="65"/>
  <c r="DG29" i="65"/>
  <c r="DB30" i="65"/>
  <c r="DC30" i="65"/>
  <c r="DD30" i="65"/>
  <c r="DE30" i="65"/>
  <c r="DF30" i="65"/>
  <c r="DG30" i="65"/>
  <c r="DC9" i="65"/>
  <c r="DD9" i="65"/>
  <c r="DE9" i="65"/>
  <c r="DF9" i="65"/>
  <c r="DG9" i="65"/>
  <c r="DB9" i="65"/>
  <c r="DS10" i="65"/>
  <c r="DS11" i="65"/>
  <c r="DS12" i="65"/>
  <c r="DS13" i="65"/>
  <c r="DS14" i="65"/>
  <c r="DS15" i="65"/>
  <c r="DS16" i="65"/>
  <c r="DS17" i="65"/>
  <c r="DS18" i="65"/>
  <c r="DS19" i="65"/>
  <c r="DS20" i="65"/>
  <c r="DS21" i="65"/>
  <c r="DS22" i="65"/>
  <c r="DS23" i="65"/>
  <c r="DS24" i="65"/>
  <c r="DS25" i="65"/>
  <c r="DS26" i="65"/>
  <c r="DS27" i="65"/>
  <c r="DS28" i="65"/>
  <c r="DS29" i="65"/>
  <c r="DS30" i="65"/>
  <c r="DS9" i="65"/>
  <c r="F10" i="65"/>
  <c r="G10" i="65"/>
  <c r="H10" i="65"/>
  <c r="I10" i="65"/>
  <c r="F11" i="65"/>
  <c r="G11" i="65"/>
  <c r="H11" i="65"/>
  <c r="I11" i="65"/>
  <c r="F12" i="65"/>
  <c r="G12" i="65"/>
  <c r="H12" i="65"/>
  <c r="I12" i="65"/>
  <c r="F13" i="65"/>
  <c r="G13" i="65"/>
  <c r="H13" i="65"/>
  <c r="I13" i="65"/>
  <c r="F14" i="65"/>
  <c r="G14" i="65"/>
  <c r="H14" i="65"/>
  <c r="I14" i="65"/>
  <c r="F15" i="65"/>
  <c r="G15" i="65"/>
  <c r="H15" i="65"/>
  <c r="I15" i="65"/>
  <c r="F16" i="65"/>
  <c r="G16" i="65"/>
  <c r="H16" i="65"/>
  <c r="I16" i="65"/>
  <c r="F17" i="65"/>
  <c r="G17" i="65"/>
  <c r="H17" i="65"/>
  <c r="I17" i="65"/>
  <c r="F18" i="65"/>
  <c r="G18" i="65"/>
  <c r="H18" i="65"/>
  <c r="I18" i="65"/>
  <c r="F19" i="65"/>
  <c r="G19" i="65"/>
  <c r="H19" i="65"/>
  <c r="I19" i="65"/>
  <c r="F20" i="65"/>
  <c r="G20" i="65"/>
  <c r="H20" i="65"/>
  <c r="I20" i="65"/>
  <c r="F21" i="65"/>
  <c r="G21" i="65"/>
  <c r="H21" i="65"/>
  <c r="I21" i="65"/>
  <c r="F22" i="65"/>
  <c r="G22" i="65"/>
  <c r="H22" i="65"/>
  <c r="I22" i="65"/>
  <c r="F23" i="65"/>
  <c r="G23" i="65"/>
  <c r="H23" i="65"/>
  <c r="I23" i="65"/>
  <c r="F24" i="65"/>
  <c r="G24" i="65"/>
  <c r="H24" i="65"/>
  <c r="I24" i="65"/>
  <c r="F25" i="65"/>
  <c r="G25" i="65"/>
  <c r="H25" i="65"/>
  <c r="I25" i="65"/>
  <c r="F26" i="65"/>
  <c r="G26" i="65"/>
  <c r="H26" i="65"/>
  <c r="I26" i="65"/>
  <c r="F27" i="65"/>
  <c r="G27" i="65"/>
  <c r="H27" i="65"/>
  <c r="I27" i="65"/>
  <c r="F28" i="65"/>
  <c r="G28" i="65"/>
  <c r="H28" i="65"/>
  <c r="I28" i="65"/>
  <c r="F29" i="65"/>
  <c r="G29" i="65"/>
  <c r="H29" i="65"/>
  <c r="I29" i="65"/>
  <c r="F30" i="65"/>
  <c r="G30" i="65"/>
  <c r="H30" i="65"/>
  <c r="I30" i="65"/>
  <c r="F40" i="65"/>
  <c r="G40" i="65"/>
  <c r="H40" i="65"/>
  <c r="I40" i="65"/>
  <c r="F41" i="65"/>
  <c r="G41" i="65"/>
  <c r="H41" i="65"/>
  <c r="I41" i="65"/>
  <c r="F42" i="65"/>
  <c r="G42" i="65"/>
  <c r="H42" i="65"/>
  <c r="I42" i="65"/>
  <c r="F43" i="65"/>
  <c r="G43" i="65"/>
  <c r="H43" i="65"/>
  <c r="I43" i="65"/>
  <c r="F44" i="65"/>
  <c r="G44" i="65"/>
  <c r="H44" i="65"/>
  <c r="I44" i="65"/>
  <c r="F45" i="65"/>
  <c r="G45" i="65"/>
  <c r="H45" i="65"/>
  <c r="I45" i="65"/>
  <c r="F46" i="65"/>
  <c r="G46" i="65"/>
  <c r="H46" i="65"/>
  <c r="I46" i="65"/>
  <c r="F47" i="65"/>
  <c r="G47" i="65"/>
  <c r="H47" i="65"/>
  <c r="I47" i="65"/>
  <c r="F48" i="65"/>
  <c r="G48" i="65"/>
  <c r="H48" i="65"/>
  <c r="I48" i="65"/>
  <c r="G9" i="65"/>
  <c r="H9" i="65"/>
  <c r="I9" i="65"/>
  <c r="C43" i="67"/>
  <c r="B43" i="67"/>
  <c r="C42" i="67"/>
  <c r="B42" i="67"/>
  <c r="C41" i="67"/>
  <c r="B41" i="67"/>
  <c r="C40" i="67"/>
  <c r="B40" i="67"/>
  <c r="C39" i="67"/>
  <c r="B39" i="67"/>
  <c r="C38" i="67"/>
  <c r="B38" i="67"/>
  <c r="C37" i="67"/>
  <c r="B37" i="67"/>
  <c r="C36" i="67"/>
  <c r="B36" i="67"/>
  <c r="C35" i="67"/>
  <c r="B35" i="67"/>
  <c r="C34" i="67"/>
  <c r="B34" i="67"/>
  <c r="C33" i="67"/>
  <c r="B33" i="67"/>
  <c r="C32" i="67"/>
  <c r="B32" i="67"/>
  <c r="C31" i="67"/>
  <c r="B31" i="67"/>
  <c r="C30" i="67"/>
  <c r="B30" i="67"/>
  <c r="C29" i="67"/>
  <c r="B29" i="67"/>
  <c r="C28" i="67"/>
  <c r="B28" i="67"/>
  <c r="C27" i="67"/>
  <c r="B27" i="67"/>
  <c r="C26" i="67"/>
  <c r="B26" i="67"/>
  <c r="C25" i="67"/>
  <c r="B25" i="67"/>
  <c r="C24" i="67"/>
  <c r="B24" i="67"/>
  <c r="C23" i="67"/>
  <c r="B23" i="67"/>
  <c r="C22" i="67"/>
  <c r="B22" i="67"/>
  <c r="C21" i="67"/>
  <c r="B21" i="67"/>
  <c r="C20" i="67"/>
  <c r="B20" i="67"/>
  <c r="C19" i="67"/>
  <c r="B19" i="67"/>
  <c r="C18" i="67"/>
  <c r="B18" i="67"/>
  <c r="C17" i="67"/>
  <c r="B17" i="67"/>
  <c r="C16" i="67"/>
  <c r="B16" i="67"/>
  <c r="C15" i="67"/>
  <c r="B15" i="67"/>
  <c r="C14" i="67"/>
  <c r="B14" i="67"/>
  <c r="C13" i="67"/>
  <c r="B13" i="67"/>
  <c r="C12" i="67"/>
  <c r="B12" i="67"/>
  <c r="C11" i="67"/>
  <c r="B11" i="67"/>
  <c r="C10" i="67"/>
  <c r="B10" i="67"/>
  <c r="C9" i="67"/>
  <c r="B9" i="67"/>
  <c r="C8" i="67"/>
  <c r="B8" i="67"/>
  <c r="C7" i="67"/>
  <c r="B7" i="67"/>
  <c r="C6" i="67"/>
  <c r="B6" i="67"/>
  <c r="C5" i="67"/>
  <c r="B5" i="67"/>
  <c r="C4" i="67"/>
  <c r="B4" i="67"/>
  <c r="C6" i="60"/>
  <c r="D6" i="60"/>
  <c r="C7" i="60"/>
  <c r="D7" i="60"/>
  <c r="C8" i="60"/>
  <c r="D8" i="60"/>
  <c r="C9" i="60"/>
  <c r="D9" i="60"/>
  <c r="C10" i="60"/>
  <c r="D10" i="60"/>
  <c r="C11" i="60"/>
  <c r="D11" i="60"/>
  <c r="C12" i="60"/>
  <c r="D12" i="60"/>
  <c r="C13" i="60"/>
  <c r="D13" i="60"/>
  <c r="C14" i="60"/>
  <c r="D14" i="60"/>
  <c r="C15" i="60"/>
  <c r="D15" i="60"/>
  <c r="C16" i="60"/>
  <c r="D16" i="60"/>
  <c r="C17" i="60"/>
  <c r="D17" i="60"/>
  <c r="C18" i="60"/>
  <c r="D18" i="60"/>
  <c r="C19" i="60"/>
  <c r="D19" i="60"/>
  <c r="C20" i="60"/>
  <c r="D20" i="60"/>
  <c r="C21" i="60"/>
  <c r="D21" i="60"/>
  <c r="C22" i="60"/>
  <c r="D22" i="60"/>
  <c r="C23" i="60"/>
  <c r="D23" i="60"/>
  <c r="C24" i="60"/>
  <c r="D24" i="60"/>
  <c r="C25" i="60"/>
  <c r="D25" i="60"/>
  <c r="C26" i="60"/>
  <c r="D26" i="60"/>
  <c r="C27" i="60"/>
  <c r="D27" i="60"/>
  <c r="C28" i="60"/>
  <c r="D28" i="60"/>
  <c r="C29" i="60"/>
  <c r="D29" i="60"/>
  <c r="C30" i="60"/>
  <c r="D30" i="60"/>
  <c r="C31" i="60"/>
  <c r="D31" i="60"/>
  <c r="C32" i="60"/>
  <c r="D32" i="60"/>
  <c r="C33" i="60"/>
  <c r="D33" i="60"/>
  <c r="C34" i="60"/>
  <c r="D34" i="60"/>
  <c r="C35" i="60"/>
  <c r="D35" i="60"/>
  <c r="C36" i="60"/>
  <c r="D36" i="60"/>
  <c r="C37" i="60"/>
  <c r="D37" i="60"/>
  <c r="C38" i="60"/>
  <c r="D38" i="60"/>
  <c r="C39" i="60"/>
  <c r="D39" i="60"/>
  <c r="C40" i="60"/>
  <c r="D40" i="60"/>
  <c r="C41" i="60"/>
  <c r="D41" i="60"/>
  <c r="C42" i="60"/>
  <c r="D42" i="60"/>
  <c r="C43" i="60"/>
  <c r="D43" i="60"/>
  <c r="C44" i="60"/>
  <c r="D44" i="60"/>
  <c r="D5" i="60"/>
  <c r="C5" i="60"/>
  <c r="B7" i="62"/>
  <c r="C7" i="62"/>
  <c r="B8" i="62"/>
  <c r="C8" i="62"/>
  <c r="B9" i="62"/>
  <c r="C9" i="62"/>
  <c r="B10" i="62"/>
  <c r="C10" i="62"/>
  <c r="B11" i="62"/>
  <c r="C11" i="62"/>
  <c r="B12" i="62"/>
  <c r="C12" i="62"/>
  <c r="B13" i="62"/>
  <c r="C13" i="62"/>
  <c r="B14" i="62"/>
  <c r="C14" i="62"/>
  <c r="B15" i="62"/>
  <c r="C15" i="62"/>
  <c r="B16" i="62"/>
  <c r="C16" i="62"/>
  <c r="B17" i="62"/>
  <c r="C17" i="62"/>
  <c r="B18" i="62"/>
  <c r="C18" i="62"/>
  <c r="B19" i="62"/>
  <c r="C19" i="62"/>
  <c r="B20" i="62"/>
  <c r="C20" i="62"/>
  <c r="B21" i="62"/>
  <c r="C21" i="62"/>
  <c r="B22" i="62"/>
  <c r="C22" i="62"/>
  <c r="B23" i="62"/>
  <c r="C23" i="62"/>
  <c r="B24" i="62"/>
  <c r="C24" i="62"/>
  <c r="B25" i="62"/>
  <c r="C25" i="62"/>
  <c r="B26" i="62"/>
  <c r="C26" i="62"/>
  <c r="B27" i="62"/>
  <c r="C27" i="62"/>
  <c r="B28" i="62"/>
  <c r="C28" i="62"/>
  <c r="B29" i="62"/>
  <c r="C29" i="62"/>
  <c r="B30" i="62"/>
  <c r="C30" i="62"/>
  <c r="B31" i="62"/>
  <c r="C31" i="62"/>
  <c r="B32" i="62"/>
  <c r="C32" i="62"/>
  <c r="B33" i="62"/>
  <c r="C33" i="62"/>
  <c r="B34" i="62"/>
  <c r="C34" i="62"/>
  <c r="B35" i="62"/>
  <c r="C35" i="62"/>
  <c r="B36" i="62"/>
  <c r="C36" i="62"/>
  <c r="B37" i="62"/>
  <c r="C37" i="62"/>
  <c r="B38" i="62"/>
  <c r="C38" i="62"/>
  <c r="B39" i="62"/>
  <c r="C39" i="62"/>
  <c r="B40" i="62"/>
  <c r="C40" i="62"/>
  <c r="B41" i="62"/>
  <c r="C41" i="62"/>
  <c r="B42" i="62"/>
  <c r="C42" i="62"/>
  <c r="B43" i="62"/>
  <c r="C43" i="62"/>
  <c r="B44" i="62"/>
  <c r="C44" i="62"/>
  <c r="B45" i="62"/>
  <c r="C45" i="62"/>
  <c r="C6" i="62"/>
  <c r="B6" i="62"/>
  <c r="X39" i="72" l="1"/>
  <c r="X40" i="72"/>
  <c r="X38" i="72"/>
  <c r="X37" i="72"/>
  <c r="X41" i="72"/>
  <c r="B132" i="7"/>
  <c r="C114" i="7"/>
  <c r="F114" i="7"/>
  <c r="C121" i="7"/>
  <c r="F121" i="7"/>
  <c r="B18" i="7"/>
  <c r="E115" i="7"/>
  <c r="F123" i="7"/>
  <c r="C123" i="7"/>
  <c r="E129" i="7"/>
  <c r="F115" i="7"/>
  <c r="C115" i="7"/>
  <c r="E114" i="7"/>
  <c r="F124" i="7"/>
  <c r="F122" i="7"/>
  <c r="C124" i="7"/>
  <c r="C122" i="7"/>
  <c r="E128" i="7"/>
  <c r="E18" i="7"/>
  <c r="E14" i="7"/>
  <c r="B14" i="7"/>
  <c r="X33" i="72"/>
  <c r="X34" i="72"/>
  <c r="X30" i="72"/>
  <c r="X26" i="72"/>
  <c r="X22" i="72"/>
  <c r="X18" i="72"/>
  <c r="X14" i="72"/>
  <c r="X10" i="72"/>
  <c r="X8" i="72"/>
  <c r="X29" i="72"/>
  <c r="X25" i="72"/>
  <c r="X21" i="72"/>
  <c r="X17" i="72"/>
  <c r="X13" i="72"/>
  <c r="X7" i="72"/>
  <c r="X36" i="72"/>
  <c r="X35" i="72"/>
  <c r="X31" i="72"/>
  <c r="X27" i="72"/>
  <c r="X23" i="72"/>
  <c r="X19" i="72"/>
  <c r="X15" i="72"/>
  <c r="X11" i="72"/>
  <c r="X9" i="72"/>
  <c r="X32" i="72"/>
  <c r="X28" i="72"/>
  <c r="X24" i="72"/>
  <c r="X20" i="72"/>
  <c r="X16" i="72"/>
  <c r="X12" i="72"/>
  <c r="E9" i="65"/>
  <c r="D9" i="65"/>
  <c r="C9" i="65"/>
  <c r="B9" i="65"/>
  <c r="E48" i="65" l="1"/>
  <c r="D48" i="65"/>
  <c r="C48" i="65"/>
  <c r="B48" i="65"/>
  <c r="E47" i="65"/>
  <c r="D47" i="65"/>
  <c r="C47" i="65"/>
  <c r="B47" i="65"/>
  <c r="E46" i="65"/>
  <c r="D46" i="65"/>
  <c r="C46" i="65"/>
  <c r="B46" i="65"/>
  <c r="E45" i="65"/>
  <c r="D45" i="65"/>
  <c r="C45" i="65"/>
  <c r="B45" i="65"/>
  <c r="E44" i="65"/>
  <c r="D44" i="65"/>
  <c r="C44" i="65"/>
  <c r="B44" i="65"/>
  <c r="E43" i="65"/>
  <c r="D43" i="65"/>
  <c r="C43" i="65"/>
  <c r="B43" i="65"/>
  <c r="E42" i="65"/>
  <c r="D42" i="65"/>
  <c r="C42" i="65"/>
  <c r="B42" i="65"/>
  <c r="E41" i="65"/>
  <c r="D41" i="65"/>
  <c r="C41" i="65"/>
  <c r="B41" i="65"/>
  <c r="E40" i="65"/>
  <c r="D40" i="65"/>
  <c r="C40" i="65"/>
  <c r="B40" i="65"/>
  <c r="E39" i="65"/>
  <c r="D39" i="65"/>
  <c r="C39" i="65"/>
  <c r="B39" i="65"/>
  <c r="E38" i="65"/>
  <c r="D38" i="65"/>
  <c r="C38" i="65"/>
  <c r="B38" i="65"/>
  <c r="E37" i="65"/>
  <c r="D37" i="65"/>
  <c r="C37" i="65"/>
  <c r="B37" i="65"/>
  <c r="E36" i="65"/>
  <c r="D36" i="65"/>
  <c r="C36" i="65"/>
  <c r="B36" i="65"/>
  <c r="E35" i="65"/>
  <c r="D35" i="65"/>
  <c r="C35" i="65"/>
  <c r="B35" i="65"/>
  <c r="E34" i="65"/>
  <c r="D34" i="65"/>
  <c r="C34" i="65"/>
  <c r="B34" i="65"/>
  <c r="E33" i="65"/>
  <c r="D33" i="65"/>
  <c r="C33" i="65"/>
  <c r="B33" i="65"/>
  <c r="E32" i="65"/>
  <c r="D32" i="65"/>
  <c r="C32" i="65"/>
  <c r="B32" i="65"/>
  <c r="E31" i="65"/>
  <c r="D31" i="65"/>
  <c r="C31" i="65"/>
  <c r="B31" i="65"/>
  <c r="E30" i="65"/>
  <c r="D30" i="65"/>
  <c r="C30" i="65"/>
  <c r="B30" i="65"/>
  <c r="E29" i="65"/>
  <c r="D29" i="65"/>
  <c r="C29" i="65"/>
  <c r="B29" i="65"/>
  <c r="E28" i="65"/>
  <c r="D28" i="65"/>
  <c r="C28" i="65"/>
  <c r="B28" i="65"/>
  <c r="E27" i="65"/>
  <c r="D27" i="65"/>
  <c r="C27" i="65"/>
  <c r="B27" i="65"/>
  <c r="E26" i="65"/>
  <c r="D26" i="65"/>
  <c r="C26" i="65"/>
  <c r="B26" i="65"/>
  <c r="E25" i="65"/>
  <c r="D25" i="65"/>
  <c r="C25" i="65"/>
  <c r="B25" i="65"/>
  <c r="E24" i="65"/>
  <c r="D24" i="65"/>
  <c r="C24" i="65"/>
  <c r="B24" i="65"/>
  <c r="E23" i="65"/>
  <c r="D23" i="65"/>
  <c r="C23" i="65"/>
  <c r="B23" i="65"/>
  <c r="E22" i="65"/>
  <c r="D22" i="65"/>
  <c r="C22" i="65"/>
  <c r="B22" i="65"/>
  <c r="E21" i="65"/>
  <c r="D21" i="65"/>
  <c r="C21" i="65"/>
  <c r="B21" i="65"/>
  <c r="E20" i="65"/>
  <c r="D20" i="65"/>
  <c r="C20" i="65"/>
  <c r="B20" i="65"/>
  <c r="E19" i="65"/>
  <c r="D19" i="65"/>
  <c r="C19" i="65"/>
  <c r="B19" i="65"/>
  <c r="E18" i="65"/>
  <c r="D18" i="65"/>
  <c r="C18" i="65"/>
  <c r="B18" i="65"/>
  <c r="E17" i="65"/>
  <c r="D17" i="65"/>
  <c r="C17" i="65"/>
  <c r="B17" i="65"/>
  <c r="E16" i="65"/>
  <c r="D16" i="65"/>
  <c r="C16" i="65"/>
  <c r="B16" i="65"/>
  <c r="E15" i="65"/>
  <c r="D15" i="65"/>
  <c r="C15" i="65"/>
  <c r="B15" i="65"/>
  <c r="E14" i="65"/>
  <c r="D14" i="65"/>
  <c r="C14" i="65"/>
  <c r="B14" i="65"/>
  <c r="E13" i="65"/>
  <c r="D13" i="65"/>
  <c r="C13" i="65"/>
  <c r="B13" i="65"/>
  <c r="E6" i="7" s="1"/>
  <c r="E12" i="65"/>
  <c r="D12" i="65"/>
  <c r="C12" i="65"/>
  <c r="B12" i="65"/>
  <c r="E11" i="65"/>
  <c r="D11" i="65"/>
  <c r="C11" i="65"/>
  <c r="B11" i="65"/>
  <c r="E10" i="65"/>
  <c r="D10" i="65"/>
  <c r="C10" i="65"/>
  <c r="B10" i="65"/>
  <c r="I5" i="7"/>
  <c r="E4" i="7"/>
  <c r="E3" i="7"/>
  <c r="H139" i="7"/>
  <c r="H142" i="7"/>
  <c r="H143" i="7"/>
  <c r="F38" i="7"/>
  <c r="F39" i="7"/>
  <c r="F40" i="7"/>
  <c r="F37" i="7"/>
  <c r="F32" i="7"/>
  <c r="F33" i="7"/>
  <c r="F34" i="7"/>
  <c r="F31" i="7"/>
  <c r="F25" i="7"/>
  <c r="F26" i="7"/>
  <c r="F27" i="7"/>
  <c r="F28" i="7"/>
  <c r="F29" i="7"/>
  <c r="F24" i="7"/>
  <c r="F149" i="7"/>
  <c r="F148" i="7"/>
  <c r="E7" i="7" l="1"/>
  <c r="I3" i="7"/>
  <c r="E78" i="7"/>
  <c r="E107" i="7"/>
  <c r="E51" i="7"/>
  <c r="I108" i="7"/>
  <c r="I52" i="7"/>
  <c r="I79" i="7"/>
  <c r="E106" i="7"/>
  <c r="E50" i="7"/>
  <c r="E77" i="7"/>
  <c r="E109" i="7" l="1"/>
  <c r="E80" i="7"/>
  <c r="E53" i="7"/>
  <c r="E81" i="7"/>
  <c r="E110" i="7"/>
  <c r="E54" i="7"/>
  <c r="I106" i="7"/>
  <c r="I50" i="7"/>
  <c r="I77" i="7"/>
  <c r="F8" i="71"/>
  <c r="F14" i="71"/>
  <c r="F21" i="71"/>
  <c r="F29" i="71"/>
  <c r="F37" i="71"/>
  <c r="F20" i="71"/>
  <c r="F40" i="71"/>
  <c r="F13" i="71"/>
  <c r="F24" i="71"/>
  <c r="F36" i="71"/>
  <c r="F15" i="71"/>
  <c r="F31" i="71"/>
  <c r="F22" i="71"/>
  <c r="F18" i="71"/>
  <c r="F11" i="71"/>
  <c r="F27" i="71"/>
  <c r="F26" i="71"/>
  <c r="F35" i="71"/>
  <c r="C2" i="71"/>
  <c r="U8" i="72"/>
  <c r="F40" i="72"/>
  <c r="U14" i="72"/>
  <c r="U22" i="72"/>
  <c r="U30" i="72"/>
  <c r="U38" i="72"/>
  <c r="U46" i="72"/>
  <c r="F39" i="72"/>
  <c r="U9" i="72"/>
  <c r="U17" i="72"/>
  <c r="U25" i="72"/>
  <c r="U33" i="72"/>
  <c r="U41" i="72"/>
  <c r="F7" i="72"/>
  <c r="C1" i="60"/>
  <c r="U16" i="72"/>
  <c r="U24" i="72"/>
  <c r="U32" i="72"/>
  <c r="U40" i="72"/>
  <c r="U7" i="72"/>
  <c r="U15" i="72"/>
  <c r="U23" i="72"/>
  <c r="U31" i="72"/>
  <c r="U39" i="72"/>
  <c r="F8" i="72"/>
  <c r="F12" i="72"/>
  <c r="F16" i="72"/>
  <c r="F20" i="72"/>
  <c r="F24" i="72"/>
  <c r="F28" i="72"/>
  <c r="F32" i="72"/>
  <c r="F36" i="72"/>
  <c r="F11" i="72"/>
  <c r="F15" i="72"/>
  <c r="F19" i="72"/>
  <c r="F23" i="72"/>
  <c r="F27" i="72"/>
  <c r="F31" i="72"/>
  <c r="F35" i="72"/>
  <c r="B2" i="65"/>
  <c r="F12" i="71"/>
  <c r="F17" i="71"/>
  <c r="F25" i="71"/>
  <c r="F33" i="71"/>
  <c r="F41" i="71"/>
  <c r="F28" i="71"/>
  <c r="F9" i="71"/>
  <c r="F16" i="71"/>
  <c r="F32" i="71"/>
  <c r="F10" i="71"/>
  <c r="F23" i="71"/>
  <c r="F30" i="71"/>
  <c r="F34" i="71"/>
  <c r="F39" i="71"/>
  <c r="F19" i="71"/>
  <c r="F38" i="71"/>
  <c r="F7" i="71"/>
  <c r="C2" i="72"/>
  <c r="D29" i="4"/>
  <c r="F38" i="72"/>
  <c r="U10" i="72"/>
  <c r="U18" i="72"/>
  <c r="U26" i="72"/>
  <c r="U42" i="72"/>
  <c r="F41" i="72"/>
  <c r="U21" i="72"/>
  <c r="U37" i="72"/>
  <c r="B1" i="67"/>
  <c r="U20" i="72"/>
  <c r="U36" i="72"/>
  <c r="U11" i="72"/>
  <c r="U27" i="72"/>
  <c r="U43" i="72"/>
  <c r="F14" i="72"/>
  <c r="F22" i="72"/>
  <c r="F30" i="72"/>
  <c r="F9" i="72"/>
  <c r="F17" i="72"/>
  <c r="F25" i="72"/>
  <c r="F33" i="72"/>
  <c r="B1" i="62"/>
  <c r="U34" i="72"/>
  <c r="F37" i="72"/>
  <c r="U13" i="72"/>
  <c r="U29" i="72"/>
  <c r="U45" i="72"/>
  <c r="U12" i="72"/>
  <c r="U28" i="72"/>
  <c r="U44" i="72"/>
  <c r="U19" i="72"/>
  <c r="U35" i="72"/>
  <c r="F10" i="72"/>
  <c r="F18" i="72"/>
  <c r="F26" i="72"/>
  <c r="F34" i="72"/>
  <c r="F13" i="72"/>
  <c r="F21" i="72"/>
  <c r="F29" i="72"/>
  <c r="C1" i="68"/>
  <c r="I4" i="7"/>
  <c r="I107" i="7" s="1"/>
  <c r="I78" i="7" l="1"/>
  <c r="I51" i="7"/>
</calcChain>
</file>

<file path=xl/sharedStrings.xml><?xml version="1.0" encoding="utf-8"?>
<sst xmlns="http://schemas.openxmlformats.org/spreadsheetml/2006/main" count="5039" uniqueCount="2460">
  <si>
    <t>Mata Pelajaran</t>
  </si>
  <si>
    <t>Kepala Sekolah</t>
  </si>
  <si>
    <t xml:space="preserve">Nama Sekolah                        </t>
  </si>
  <si>
    <t xml:space="preserve">Kelas                        </t>
  </si>
  <si>
    <t xml:space="preserve">Alamat                       </t>
  </si>
  <si>
    <t xml:space="preserve">Semester                  </t>
  </si>
  <si>
    <t xml:space="preserve">Nama Peserta Didik  </t>
  </si>
  <si>
    <t xml:space="preserve">Nomor Induk/NISN   </t>
  </si>
  <si>
    <t>Pendidikan Agama dan Budi Pekerti</t>
  </si>
  <si>
    <t>Pendidikan Pancasila dan Kewarganegaraan</t>
  </si>
  <si>
    <t>Bahasa Indonesia</t>
  </si>
  <si>
    <t>Matematika</t>
  </si>
  <si>
    <t>Sejarah Indonesia</t>
  </si>
  <si>
    <t>Bahasa Inggris</t>
  </si>
  <si>
    <t>Kelompok B (Wajib)</t>
  </si>
  <si>
    <t>Seni Budaya</t>
  </si>
  <si>
    <t>Pendidikan Jasmani, Olahraga dan Kesehatan</t>
  </si>
  <si>
    <t>Prakarya dan Kewirausahaan</t>
  </si>
  <si>
    <t>Bahasa Jawa</t>
  </si>
  <si>
    <t>Kelompok C (Peminatan)</t>
  </si>
  <si>
    <t>Fisika</t>
  </si>
  <si>
    <t>Kimia</t>
  </si>
  <si>
    <t>Biologi</t>
  </si>
  <si>
    <t>Bahasa Arab</t>
  </si>
  <si>
    <t>Ekstra Kurikuler</t>
  </si>
  <si>
    <t>Ketidakhadiran</t>
  </si>
  <si>
    <t>Sakit</t>
  </si>
  <si>
    <t>hari</t>
  </si>
  <si>
    <t>Izin</t>
  </si>
  <si>
    <t>Tanpa Keterangan</t>
  </si>
  <si>
    <t>No</t>
  </si>
  <si>
    <t>Pengetahuan</t>
  </si>
  <si>
    <t>Keterampilan</t>
  </si>
  <si>
    <t>Nama Peserta Didik</t>
  </si>
  <si>
    <t>No Induk</t>
  </si>
  <si>
    <t>NISN</t>
  </si>
  <si>
    <t>Kelas</t>
  </si>
  <si>
    <t>Nama Wali Kelas</t>
  </si>
  <si>
    <t>Deskripsi</t>
  </si>
  <si>
    <t>Prakarya dan Kewirausahan</t>
  </si>
  <si>
    <t xml:space="preserve">Kimia </t>
  </si>
  <si>
    <t>PAI</t>
  </si>
  <si>
    <t>Nama</t>
  </si>
  <si>
    <t xml:space="preserve">No </t>
  </si>
  <si>
    <t>SMA ABBS Surakarta</t>
  </si>
  <si>
    <t>NIS</t>
  </si>
  <si>
    <t>Kelompok A (Umum)</t>
  </si>
  <si>
    <t>Kelompok B (Umum)</t>
  </si>
  <si>
    <t>II. Lintas Minat dan atau Pendalaman Minat</t>
  </si>
  <si>
    <t>I. Peminatan Matematika dan IPA</t>
  </si>
  <si>
    <t>CAPAIAN HASIL BELAJAR</t>
  </si>
  <si>
    <t>A.</t>
  </si>
  <si>
    <t>Sikap</t>
  </si>
  <si>
    <t>1. Sikap Spiritual</t>
  </si>
  <si>
    <t>2. Sikap Sosial</t>
  </si>
  <si>
    <t>B.</t>
  </si>
  <si>
    <t>Pengetahuan dan Keterampilan</t>
  </si>
  <si>
    <t>Angka</t>
  </si>
  <si>
    <t>C.</t>
  </si>
  <si>
    <t>Ekstrakurikuler</t>
  </si>
  <si>
    <t>Kegiatan Ekstrakurikuler</t>
  </si>
  <si>
    <t>Keterangan</t>
  </si>
  <si>
    <t>D.</t>
  </si>
  <si>
    <t>Prestasi</t>
  </si>
  <si>
    <t>E.</t>
  </si>
  <si>
    <t>F.</t>
  </si>
  <si>
    <t>Catatan Wali Kelas</t>
  </si>
  <si>
    <t>G.</t>
  </si>
  <si>
    <t>Tanggapan Orang Tua/Wali</t>
  </si>
  <si>
    <t>PKn</t>
  </si>
  <si>
    <t>Spiritual</t>
  </si>
  <si>
    <t>Sosial</t>
  </si>
  <si>
    <t>Prestasi 1</t>
  </si>
  <si>
    <t>Prestasi 2</t>
  </si>
  <si>
    <t>Prestasi 3</t>
  </si>
  <si>
    <t>Prestasi 4</t>
  </si>
  <si>
    <t>Keterangan Prestasi</t>
  </si>
  <si>
    <t xml:space="preserve">Thn. Pelajaran       </t>
  </si>
  <si>
    <t>Predikat</t>
  </si>
  <si>
    <t>KKM</t>
  </si>
  <si>
    <t>Deskripsi Pengetahuan dan Keterampilan</t>
  </si>
  <si>
    <t>Aspek</t>
  </si>
  <si>
    <t>Nilai</t>
  </si>
  <si>
    <t>Orang Tua/Wali,</t>
  </si>
  <si>
    <t>Wali Kelas,</t>
  </si>
  <si>
    <t>Kepala Sekolah,</t>
  </si>
  <si>
    <t>Jenis Kegiatan</t>
  </si>
  <si>
    <t>Ekstra Wajib</t>
  </si>
  <si>
    <t>Ekstra Pilihan</t>
  </si>
  <si>
    <t>Huruf</t>
  </si>
  <si>
    <t>Wajib</t>
  </si>
  <si>
    <t>Pilihan</t>
  </si>
  <si>
    <t>Tanpa Kete-rangan</t>
  </si>
  <si>
    <t>Desk.</t>
  </si>
  <si>
    <t>Nilai Sikap</t>
  </si>
  <si>
    <t>Kelompok A (Wajib)</t>
  </si>
  <si>
    <t>Kelompok C Peminatan Matematika dan IPA</t>
  </si>
  <si>
    <t>Kelompok C Lintas Minat</t>
  </si>
  <si>
    <t>Prestasi Siswa</t>
  </si>
  <si>
    <t>Jenis Prestasi (Nama dan Penyelenggara)</t>
  </si>
  <si>
    <t>Keterangan (Juara dan Tingkat)</t>
  </si>
  <si>
    <t>Nama Sekolah</t>
  </si>
  <si>
    <t>Alamat</t>
  </si>
  <si>
    <t>Nama Kepsek</t>
  </si>
  <si>
    <t>NIK</t>
  </si>
  <si>
    <t>Tahun Pelajaran</t>
  </si>
  <si>
    <t>Semester</t>
  </si>
  <si>
    <t>DATA SISWA</t>
  </si>
  <si>
    <t>Tanggal Cetak</t>
  </si>
  <si>
    <t>Kelompok A</t>
  </si>
  <si>
    <t>Kelompok B</t>
  </si>
  <si>
    <t>Kelompok C</t>
  </si>
  <si>
    <t>MIPA</t>
  </si>
  <si>
    <t>Lintas Minat</t>
  </si>
  <si>
    <t>(                                                )</t>
  </si>
  <si>
    <t>Pendidikan Pancasila dan Kewarga-negaraan</t>
  </si>
  <si>
    <t>Deskrip-si</t>
  </si>
  <si>
    <t>PPKn</t>
  </si>
  <si>
    <t>Prakarya dan KWU</t>
  </si>
  <si>
    <t>Penjas-orkes</t>
  </si>
  <si>
    <t>Total Score</t>
  </si>
  <si>
    <t>Rank dalam Kelas</t>
  </si>
  <si>
    <t>Kelompok C Peminatan MIPA</t>
  </si>
  <si>
    <t>Kel. C Lintas Minat</t>
  </si>
  <si>
    <t>DAFTAR CATATAN KOMPETENSI SIKAP</t>
  </si>
  <si>
    <t>Klas / Program</t>
  </si>
  <si>
    <t>Waktu</t>
  </si>
  <si>
    <t>Kejadian/Perilaku</t>
  </si>
  <si>
    <t>Butir Sikap</t>
  </si>
  <si>
    <t>(+/-)</t>
  </si>
  <si>
    <t>Tindak Lanjut</t>
  </si>
  <si>
    <t>Mengetahui :</t>
  </si>
  <si>
    <t>Guru Mapel</t>
  </si>
  <si>
    <t>SETTING RAPOR</t>
  </si>
  <si>
    <t xml:space="preserve">  Banjarsari, Surakarta</t>
  </si>
  <si>
    <t>Tabel interval predikat berdasar KKM</t>
  </si>
  <si>
    <t>D = Kurang</t>
  </si>
  <si>
    <t>C = Cukup</t>
  </si>
  <si>
    <t>B = Baik</t>
  </si>
  <si>
    <t>A = Sangat Baik</t>
  </si>
  <si>
    <t>nilai &lt; 75</t>
  </si>
  <si>
    <t xml:space="preserve">75 ≤ nilai &lt; 80 </t>
  </si>
  <si>
    <t>80 ≤ nilai &lt; 88</t>
  </si>
  <si>
    <t>88 ≤ nilai ≤ 100</t>
  </si>
  <si>
    <t>A</t>
  </si>
  <si>
    <t>B</t>
  </si>
  <si>
    <t>2014  09 2 095</t>
  </si>
  <si>
    <t>Bahasa dan Sastra Inggris</t>
  </si>
  <si>
    <t xml:space="preserve">Bahasa dan Sastra Inggris </t>
  </si>
  <si>
    <t>Bahasa dan Sastra Arab</t>
  </si>
  <si>
    <t>Jumlah</t>
  </si>
  <si>
    <t>Peringkat Kelas</t>
  </si>
  <si>
    <t>Jln. Tarumanegara III No 22, Banyuanyar, Banjarsari, Surakarta</t>
  </si>
  <si>
    <t>Anna Rafaidah, S.Pd., Gr.</t>
  </si>
  <si>
    <t>Adiba Syakhis Syahnaz Iqbal Majid</t>
  </si>
  <si>
    <t>Alea Naifa Ata Deswart</t>
  </si>
  <si>
    <t>Aqila Maryam Marzuqoh</t>
  </si>
  <si>
    <t>Aura Pavita Gunawan</t>
  </si>
  <si>
    <t>Farah Nur Azizah</t>
  </si>
  <si>
    <t>Fardhani Hanifah Zaenudin</t>
  </si>
  <si>
    <t>Fatimah Az-Zahra</t>
  </si>
  <si>
    <t>Floryvio Asyifa Anggono Putri</t>
  </si>
  <si>
    <t>Friskha Mauranessa Violin</t>
  </si>
  <si>
    <t>Hasnia Safinatunnajah</t>
  </si>
  <si>
    <t>Intan Putri Ayu Toninggar</t>
  </si>
  <si>
    <t>Isna Bin Hatim</t>
  </si>
  <si>
    <t>Kayla Rafiah Najalena</t>
  </si>
  <si>
    <t>Meydina Putri Brillian</t>
  </si>
  <si>
    <t>Mutiara Anindya Abidin</t>
  </si>
  <si>
    <t>Nafla Naila Toh Bayu</t>
  </si>
  <si>
    <t>Nayla Mumtazia Azzahra</t>
  </si>
  <si>
    <t>Qabisha Nashra Badzi</t>
  </si>
  <si>
    <t>Queenta Nabila Harmawan</t>
  </si>
  <si>
    <t>Ragen Prilisia Mareta</t>
  </si>
  <si>
    <t>Rori Eka Safitri</t>
  </si>
  <si>
    <t>Tabina Febiana Kartika Dewi</t>
  </si>
  <si>
    <t>Tsaabita Alifia</t>
  </si>
  <si>
    <t>Zulfa Ananda Adyastuti</t>
  </si>
  <si>
    <t>0043912516</t>
  </si>
  <si>
    <t>0058095053</t>
  </si>
  <si>
    <t>0053065208</t>
  </si>
  <si>
    <t>0051453217</t>
  </si>
  <si>
    <t>0044692264</t>
  </si>
  <si>
    <t>0044654381</t>
  </si>
  <si>
    <t>0052085705</t>
  </si>
  <si>
    <t>0053137444</t>
  </si>
  <si>
    <t>0047053418</t>
  </si>
  <si>
    <t xml:space="preserve">0051405178 </t>
  </si>
  <si>
    <t xml:space="preserve">0042897080 </t>
  </si>
  <si>
    <t>0055044291</t>
  </si>
  <si>
    <t>0045729991</t>
  </si>
  <si>
    <t>0058906725</t>
  </si>
  <si>
    <t xml:space="preserve">0032349749 </t>
  </si>
  <si>
    <t>0047462680</t>
  </si>
  <si>
    <t>0041408950</t>
  </si>
  <si>
    <t>Baik</t>
  </si>
  <si>
    <t>Pramuka</t>
  </si>
  <si>
    <t>Amat Baik</t>
  </si>
  <si>
    <t>Siswa dinyatakan naik ke kelas XI</t>
  </si>
  <si>
    <t xml:space="preserve"> </t>
  </si>
  <si>
    <t>I</t>
  </si>
  <si>
    <t>NO</t>
  </si>
  <si>
    <t>NAMA KELAS</t>
  </si>
  <si>
    <t>NAMA</t>
  </si>
  <si>
    <t>Ahmad Arafat Al-Mubarok</t>
  </si>
  <si>
    <t>0052975800</t>
  </si>
  <si>
    <t>Arkan Ahmad Faishal</t>
  </si>
  <si>
    <t>0058825992</t>
  </si>
  <si>
    <t>Abid Irfan Maulana</t>
  </si>
  <si>
    <t>0054378183</t>
  </si>
  <si>
    <t>Ahmad Alaudin Falah</t>
  </si>
  <si>
    <t>0056106519</t>
  </si>
  <si>
    <t>Aditya Dwi Putra Hestialvin</t>
  </si>
  <si>
    <t xml:space="preserve">0055385834 </t>
  </si>
  <si>
    <t>Afiya Khairun Nisa'</t>
  </si>
  <si>
    <t>0068339319</t>
  </si>
  <si>
    <t>Abidah Ardelia Devi Rahmawati</t>
  </si>
  <si>
    <t>0066563905</t>
  </si>
  <si>
    <t>Aisyah Mauliddina</t>
  </si>
  <si>
    <t>0065649635</t>
  </si>
  <si>
    <t>Aanisah Nuur Fadhilah Putri SB</t>
  </si>
  <si>
    <t>0062683891</t>
  </si>
  <si>
    <t>Aidasalma Fitriani</t>
  </si>
  <si>
    <t>0055514884</t>
  </si>
  <si>
    <t>Alifia Asyifatu Shaquilla</t>
  </si>
  <si>
    <t>0063481341</t>
  </si>
  <si>
    <t>ABDUL AZIS</t>
  </si>
  <si>
    <t>0055262721</t>
  </si>
  <si>
    <t>Dafa Pratama Mulya</t>
  </si>
  <si>
    <t>0052914149</t>
  </si>
  <si>
    <t>Abu Ayyub Al-Anshory</t>
  </si>
  <si>
    <t>0046910619</t>
  </si>
  <si>
    <t>Abdilah Nur Fahmi</t>
  </si>
  <si>
    <t>0055641720</t>
  </si>
  <si>
    <t>Abdul Fattah Irfan Al Mubaroq</t>
  </si>
  <si>
    <t>0047308275</t>
  </si>
  <si>
    <t>Aan Rianja Dewa Saputra</t>
  </si>
  <si>
    <t>0054764714</t>
  </si>
  <si>
    <t>Aisyah Nur Afifah</t>
  </si>
  <si>
    <t>0051312246</t>
  </si>
  <si>
    <t>Adilah Azzah Jatmiko</t>
  </si>
  <si>
    <t xml:space="preserve">0056139157 </t>
  </si>
  <si>
    <t>Anindita Alya Putri</t>
  </si>
  <si>
    <t>0058137547</t>
  </si>
  <si>
    <t>0051687960</t>
  </si>
  <si>
    <t>Ahlla Raihanah Anas</t>
  </si>
  <si>
    <t>0044698238</t>
  </si>
  <si>
    <t>Abia Naila Ata Deswart</t>
  </si>
  <si>
    <t>0056199765</t>
  </si>
  <si>
    <t>Bayu Setiawan</t>
  </si>
  <si>
    <t>0058379958</t>
  </si>
  <si>
    <t>AL FARUQ DHIYA' RIDHO</t>
  </si>
  <si>
    <t>0061140844</t>
  </si>
  <si>
    <t>Aushaf Hatta Arrasyi</t>
  </si>
  <si>
    <t>0067942124</t>
  </si>
  <si>
    <t>Ammar Makarim Wardhana</t>
  </si>
  <si>
    <t>0054276141</t>
  </si>
  <si>
    <t>Aziz Andrianto</t>
  </si>
  <si>
    <t xml:space="preserve">0063378797 </t>
  </si>
  <si>
    <t>AFDAL ELANG ARIFIN</t>
  </si>
  <si>
    <t>0067611410</t>
  </si>
  <si>
    <t>AISYAH RACHMAWATI SALEH TABALEMA</t>
  </si>
  <si>
    <t>0052247193</t>
  </si>
  <si>
    <t>Aida Kamilia</t>
  </si>
  <si>
    <t>0069924775</t>
  </si>
  <si>
    <t>Annisa Syifa Ramadhani</t>
  </si>
  <si>
    <t>0064321248</t>
  </si>
  <si>
    <t>Adilla Nur Farelisha</t>
  </si>
  <si>
    <t>0065229987</t>
  </si>
  <si>
    <t>Aisha Salma Hunafa</t>
  </si>
  <si>
    <t>0067281187</t>
  </si>
  <si>
    <t>Andani Tasyakuri Restu Pratiwi</t>
  </si>
  <si>
    <t>0057221794</t>
  </si>
  <si>
    <t>Alya Ajeng Nur Iskhalifah</t>
  </si>
  <si>
    <t>0064097638</t>
  </si>
  <si>
    <t>AHSANA ZIAD FUADI</t>
  </si>
  <si>
    <t>0044675698</t>
  </si>
  <si>
    <t>Daffa Alif Maulana Syahdilladayana</t>
  </si>
  <si>
    <t>0041329163</t>
  </si>
  <si>
    <t>Ahmad Daffa</t>
  </si>
  <si>
    <t>0044678647</t>
  </si>
  <si>
    <t>Abdul 'Adzim Hilmi Ahmad</t>
  </si>
  <si>
    <t>0053800569</t>
  </si>
  <si>
    <t>Adam Zidane Danata Pranugroho</t>
  </si>
  <si>
    <t>0051700957</t>
  </si>
  <si>
    <t>Abhinaya Rakha Utama</t>
  </si>
  <si>
    <t>Andina Nur Setyani</t>
  </si>
  <si>
    <t>0051453438</t>
  </si>
  <si>
    <t xml:space="preserve">Ageng Khoirunnisa Farhana </t>
  </si>
  <si>
    <t>0053816568</t>
  </si>
  <si>
    <t>Annisa Aulia Rahmawati</t>
  </si>
  <si>
    <t>0041971572</t>
  </si>
  <si>
    <t>Alifia Putri Agfani</t>
  </si>
  <si>
    <t>0047123009</t>
  </si>
  <si>
    <t>Aida Hasna Hunafa</t>
  </si>
  <si>
    <t>0044351496</t>
  </si>
  <si>
    <t>Adilla Nur Ayu Andira</t>
  </si>
  <si>
    <t>0055572000</t>
  </si>
  <si>
    <t>Faisal</t>
  </si>
  <si>
    <t>0048461637</t>
  </si>
  <si>
    <t>Arkana Muhammad Zulfa</t>
  </si>
  <si>
    <t>0063781046</t>
  </si>
  <si>
    <t>Danu Harya Ganendra</t>
  </si>
  <si>
    <t xml:space="preserve">0068918735 </t>
  </si>
  <si>
    <t>El Barca Jauhar Geraldian</t>
  </si>
  <si>
    <t>0078479176</t>
  </si>
  <si>
    <t>Aziz Nafis Habibi</t>
  </si>
  <si>
    <t>0067078190</t>
  </si>
  <si>
    <t>Ararya Arka Anugraha</t>
  </si>
  <si>
    <t>0069778714</t>
  </si>
  <si>
    <t>ALIA AISYAH ZAIN</t>
  </si>
  <si>
    <t>0066597520</t>
  </si>
  <si>
    <t>Aisyah Nur Zahra</t>
  </si>
  <si>
    <t>0067285753</t>
  </si>
  <si>
    <t>ARINA SALMA AMANULLAH</t>
  </si>
  <si>
    <t>0059105816</t>
  </si>
  <si>
    <t>Adleyna Aprilia Fairus</t>
  </si>
  <si>
    <t>0066087252</t>
  </si>
  <si>
    <t>Alfrida Shafiya Nathania</t>
  </si>
  <si>
    <t>0067445565</t>
  </si>
  <si>
    <t>Fathya Nasywa Alilatulbariza Arwan</t>
  </si>
  <si>
    <t>0061317436</t>
  </si>
  <si>
    <t>Annisa Bilqis Istiqlal</t>
  </si>
  <si>
    <t>0062803725</t>
  </si>
  <si>
    <t>ANGGITA SAFITRI</t>
  </si>
  <si>
    <t>0065277831</t>
  </si>
  <si>
    <t>Dzikri Ageng Prayogi</t>
  </si>
  <si>
    <t>0046070716</t>
  </si>
  <si>
    <t>0056608520</t>
  </si>
  <si>
    <t>Abid Yahdiyanirobbi</t>
  </si>
  <si>
    <t>0057813276</t>
  </si>
  <si>
    <t>Ahmad Fikry</t>
  </si>
  <si>
    <t xml:space="preserve">0050998196 </t>
  </si>
  <si>
    <t>Ade Rakha Lutfirrahman</t>
  </si>
  <si>
    <t>0050674678</t>
  </si>
  <si>
    <t>Anisa Nur Fitriana</t>
  </si>
  <si>
    <t>0048746991</t>
  </si>
  <si>
    <t>Chiara Aurelia Almaliku Labibah</t>
  </si>
  <si>
    <t>0049936701</t>
  </si>
  <si>
    <t>Alya Ersa Salsabila</t>
  </si>
  <si>
    <t>0045091607</t>
  </si>
  <si>
    <t>Almaas Naziihah Sundoro</t>
  </si>
  <si>
    <t>0053041487</t>
  </si>
  <si>
    <t>Adinda Sekar Suryaningrum</t>
  </si>
  <si>
    <t xml:space="preserve">0053435246 </t>
  </si>
  <si>
    <t>Haura Imtinan</t>
  </si>
  <si>
    <t>0052770243</t>
  </si>
  <si>
    <t>Azka As-Shidiqi Achmad</t>
  </si>
  <si>
    <t>0069528934</t>
  </si>
  <si>
    <t>Davi Rizqi Fadillah Sulistya</t>
  </si>
  <si>
    <t>0065673824</t>
  </si>
  <si>
    <t>Firdaus Ahnaf Hasbullah</t>
  </si>
  <si>
    <t>0068482841</t>
  </si>
  <si>
    <t>Benny Kusuma Jati</t>
  </si>
  <si>
    <t>0067845541</t>
  </si>
  <si>
    <t>Arkha Digda Gallerin Putra</t>
  </si>
  <si>
    <t>0066541893</t>
  </si>
  <si>
    <t>Alya Naura Nibras</t>
  </si>
  <si>
    <t>0054203332</t>
  </si>
  <si>
    <t>Aisyah Putri</t>
  </si>
  <si>
    <t>0065160804</t>
  </si>
  <si>
    <t>Citra Alifia Nayansyah</t>
  </si>
  <si>
    <t>0077590092</t>
  </si>
  <si>
    <t>Aisyah Almar-atus Sholihah</t>
  </si>
  <si>
    <t>0067898312</t>
  </si>
  <si>
    <t>Andelira Khaldani</t>
  </si>
  <si>
    <t>0063723826</t>
  </si>
  <si>
    <t>Fayha Afra Azizah</t>
  </si>
  <si>
    <t>0066167198</t>
  </si>
  <si>
    <t>Aqila Azalia Rahma</t>
  </si>
  <si>
    <t>0062020646</t>
  </si>
  <si>
    <t>ARIP BUDI SETIAWAN</t>
  </si>
  <si>
    <t>0053771837</t>
  </si>
  <si>
    <t>Fadhil Ihsanudin Masyhur</t>
  </si>
  <si>
    <t xml:space="preserve">0047210679 </t>
  </si>
  <si>
    <t>Ahnaffarid Hanif Fadhil</t>
  </si>
  <si>
    <t>0052633062</t>
  </si>
  <si>
    <t>Adib Eka Saputra</t>
  </si>
  <si>
    <t>0051218157</t>
  </si>
  <si>
    <t>Almas Sabih Wahindra</t>
  </si>
  <si>
    <t>0059000208</t>
  </si>
  <si>
    <t xml:space="preserve">Arya Aditya Saputra </t>
  </si>
  <si>
    <t>0044439148</t>
  </si>
  <si>
    <t>Aulia Putri Azzahra</t>
  </si>
  <si>
    <t>0049676439</t>
  </si>
  <si>
    <t>Alifia Qoirul Adiningsih</t>
  </si>
  <si>
    <t>Davina Nur Riszki Salsanabila</t>
  </si>
  <si>
    <t>0046896057</t>
  </si>
  <si>
    <t>Annisa Rizki Ananda</t>
  </si>
  <si>
    <t>0058328909</t>
  </si>
  <si>
    <t>Ameliawati Suprapto</t>
  </si>
  <si>
    <t xml:space="preserve">0045920029 </t>
  </si>
  <si>
    <t>Aisyah Chusniyyah</t>
  </si>
  <si>
    <t>0045812888</t>
  </si>
  <si>
    <t>Iksan Abdillah</t>
  </si>
  <si>
    <t>0058135852</t>
  </si>
  <si>
    <t>Berlian Erlambang Jayadiningrat</t>
  </si>
  <si>
    <t>0053740062</t>
  </si>
  <si>
    <t>Deny Fajar Arya Herlambang</t>
  </si>
  <si>
    <t>0055220834</t>
  </si>
  <si>
    <t>Ganang Yuri Septyodin</t>
  </si>
  <si>
    <t>0058411302</t>
  </si>
  <si>
    <t>Daffa Arrivo Aryanto</t>
  </si>
  <si>
    <t>0050693182</t>
  </si>
  <si>
    <t>Ayub Dwi Romadhon</t>
  </si>
  <si>
    <t>0067087987</t>
  </si>
  <si>
    <t>AMALIA KUSUMANINGTYAS</t>
  </si>
  <si>
    <t>0064775160</t>
  </si>
  <si>
    <t>Alena Mashia Qolby</t>
  </si>
  <si>
    <t>0058191675</t>
  </si>
  <si>
    <t>Damai Mutiara Widyantari Handoyoputri</t>
  </si>
  <si>
    <t>0064308097</t>
  </si>
  <si>
    <t>Amalia Jasmine</t>
  </si>
  <si>
    <t>0068558289</t>
  </si>
  <si>
    <t>Angelina Khoir Putri Wicaksono</t>
  </si>
  <si>
    <t>0053829409</t>
  </si>
  <si>
    <t>Friza Refliana Muflih</t>
  </si>
  <si>
    <t>0063447235</t>
  </si>
  <si>
    <t>Arifa Kusumawati</t>
  </si>
  <si>
    <t>0066812918</t>
  </si>
  <si>
    <t>Astrit Tri Dwi Kusuma</t>
  </si>
  <si>
    <t>0061599613</t>
  </si>
  <si>
    <t>Fadlan Mubarak</t>
  </si>
  <si>
    <t>3047929276</t>
  </si>
  <si>
    <t>Alwan Hanif</t>
  </si>
  <si>
    <t>0020564888</t>
  </si>
  <si>
    <t>Ahmad Faiz</t>
  </si>
  <si>
    <t>3051035483</t>
  </si>
  <si>
    <t>Aria Fenha Apri Buma</t>
  </si>
  <si>
    <t>0058068365</t>
  </si>
  <si>
    <t>Azzun Adna</t>
  </si>
  <si>
    <t>0043242033</t>
  </si>
  <si>
    <t>Azizah Nur Faizah</t>
  </si>
  <si>
    <t>0046455793</t>
  </si>
  <si>
    <t>Aqila Fara Karunia Putri</t>
  </si>
  <si>
    <t>Desischa Amelia Kazanah</t>
  </si>
  <si>
    <t>0047965420</t>
  </si>
  <si>
    <t>Aqila Putri Iriendrarningtyas</t>
  </si>
  <si>
    <t xml:space="preserve">0052203283 </t>
  </si>
  <si>
    <t>0055494023</t>
  </si>
  <si>
    <t>Amajida Ar Syifa'</t>
  </si>
  <si>
    <t>0046364555</t>
  </si>
  <si>
    <t>Mashud Asfari</t>
  </si>
  <si>
    <t>0044050361</t>
  </si>
  <si>
    <t>Bilal Imsyawan</t>
  </si>
  <si>
    <t>0055522376</t>
  </si>
  <si>
    <t>Dhafin Fotuna Rasyadan Al-Auzi</t>
  </si>
  <si>
    <t>0062482933</t>
  </si>
  <si>
    <t>Haidar Mahdi Niejad</t>
  </si>
  <si>
    <t>0061591179</t>
  </si>
  <si>
    <t>Danu Hadyan Akmal</t>
  </si>
  <si>
    <t>0068711509</t>
  </si>
  <si>
    <t>Azka Arif Sudibya</t>
  </si>
  <si>
    <t>0047457766</t>
  </si>
  <si>
    <t>Avrin Nur Izzati</t>
  </si>
  <si>
    <t>0067918731</t>
  </si>
  <si>
    <t>Alifa Shofa Salsabila</t>
  </si>
  <si>
    <t>0067014418</t>
  </si>
  <si>
    <t>Elviana Alifah Mumtaz</t>
  </si>
  <si>
    <t>0062633259</t>
  </si>
  <si>
    <t>AMANDA ALMIRA SORAYA</t>
  </si>
  <si>
    <t>0066994698</t>
  </si>
  <si>
    <t>Anindya Nisrina Putri</t>
  </si>
  <si>
    <t>0065779800</t>
  </si>
  <si>
    <t>ARINA HUSNA VI IHSANI</t>
  </si>
  <si>
    <t>0066921212</t>
  </si>
  <si>
    <t>FARAH IFFA MAZIDA</t>
  </si>
  <si>
    <t>0056953626</t>
  </si>
  <si>
    <t>Glenn Keevan Farrell Wardono</t>
  </si>
  <si>
    <t>0044777097</t>
  </si>
  <si>
    <t>0056085954</t>
  </si>
  <si>
    <t>0059939330</t>
  </si>
  <si>
    <t>Baharuddin Barkah Pratama</t>
  </si>
  <si>
    <t>0024374235</t>
  </si>
  <si>
    <t>Brylliand Arya Wicaksana</t>
  </si>
  <si>
    <t>0064505707</t>
  </si>
  <si>
    <t>Azzahra Nur Septianti</t>
  </si>
  <si>
    <t>9012504106</t>
  </si>
  <si>
    <t>Aulya Vidia Hartoyo</t>
  </si>
  <si>
    <t>0058045966</t>
  </si>
  <si>
    <t xml:space="preserve">Dian Nurfitriani </t>
  </si>
  <si>
    <t>0051134426</t>
  </si>
  <si>
    <t>Asyifa Nur Fadhilah</t>
  </si>
  <si>
    <t>0052590802</t>
  </si>
  <si>
    <t>Anisa Julianti</t>
  </si>
  <si>
    <t>0057898318</t>
  </si>
  <si>
    <t>Amara Esa Widyaswari</t>
  </si>
  <si>
    <t>0059529882</t>
  </si>
  <si>
    <t>Sri Kustiyani</t>
  </si>
  <si>
    <t>0059672866</t>
  </si>
  <si>
    <t>Fathan Yamieza Lihaq</t>
  </si>
  <si>
    <t>0066512236</t>
  </si>
  <si>
    <t>Emillul Fata Dhiyaul Haq</t>
  </si>
  <si>
    <t>0054965930</t>
  </si>
  <si>
    <t>Ilham Wicaksono</t>
  </si>
  <si>
    <t>0057356637</t>
  </si>
  <si>
    <t>DHIALLE ROMAN ABIYYU BASISTA</t>
  </si>
  <si>
    <t>0061403203</t>
  </si>
  <si>
    <t>Brilliant Lucky Finaltianto</t>
  </si>
  <si>
    <t>0054830944</t>
  </si>
  <si>
    <t>Azzahra Ayu Paramita</t>
  </si>
  <si>
    <t>0066196227</t>
  </si>
  <si>
    <t>Anna Nurjannah</t>
  </si>
  <si>
    <t>0057806687</t>
  </si>
  <si>
    <t>Faira Rosyntania Suyanto Elfirdausi</t>
  </si>
  <si>
    <t>0068892623</t>
  </si>
  <si>
    <t>Amanda Nasywa Tania</t>
  </si>
  <si>
    <t>0066015115</t>
  </si>
  <si>
    <t>Aulia Fitriyana</t>
  </si>
  <si>
    <t>0053708072</t>
  </si>
  <si>
    <t>Kanaya Kusuma Ratu</t>
  </si>
  <si>
    <t>0057970625</t>
  </si>
  <si>
    <t>Azzahra Khoirunisa</t>
  </si>
  <si>
    <t>0068569090</t>
  </si>
  <si>
    <t xml:space="preserve">Hudzaifah Fahim Rahmatullah </t>
  </si>
  <si>
    <t>0063934862</t>
  </si>
  <si>
    <t>Arkani Fauzan Baqyahdim</t>
  </si>
  <si>
    <t>0045017859</t>
  </si>
  <si>
    <t>Baihaqi Hakim Abdullah</t>
  </si>
  <si>
    <t>0053153812</t>
  </si>
  <si>
    <t>Daffa Arya Pudyastungkara</t>
  </si>
  <si>
    <t>0043620048</t>
  </si>
  <si>
    <t>Dimas Melvin Wicaksono</t>
  </si>
  <si>
    <t>0053597346</t>
  </si>
  <si>
    <t>Callysta Ayu Utami</t>
  </si>
  <si>
    <t>0047855115</t>
  </si>
  <si>
    <t>Ayyasy Azizah</t>
  </si>
  <si>
    <t>0056811712</t>
  </si>
  <si>
    <t xml:space="preserve">Fatimah Rania </t>
  </si>
  <si>
    <t>0052661933</t>
  </si>
  <si>
    <t>Fairuz Zahiroh Romadhoni</t>
  </si>
  <si>
    <t>Artika Sari Dewi</t>
  </si>
  <si>
    <t>0058895821</t>
  </si>
  <si>
    <t>Ananda Julia Rahmah</t>
  </si>
  <si>
    <t>0046276202</t>
  </si>
  <si>
    <t>Zidan Fadhil Muhtadi</t>
  </si>
  <si>
    <t>0027808771</t>
  </si>
  <si>
    <t>Gibran Dzaki Mukarram</t>
  </si>
  <si>
    <t>0051773013</t>
  </si>
  <si>
    <t>Erlangga Supranoto</t>
  </si>
  <si>
    <t>0068912970</t>
  </si>
  <si>
    <t>Kevin Almer Yasser Matsyura</t>
  </si>
  <si>
    <t>0065213883</t>
  </si>
  <si>
    <t>Diaz Handaru Rahadian</t>
  </si>
  <si>
    <t>0055988392</t>
  </si>
  <si>
    <t>Danar Abisatya Hidayat</t>
  </si>
  <si>
    <t>0067978812</t>
  </si>
  <si>
    <t>Carolina Shalihah Danithama</t>
  </si>
  <si>
    <t>0062338682</t>
  </si>
  <si>
    <t>Annisa Afra Amatullah</t>
  </si>
  <si>
    <t>0056801222</t>
  </si>
  <si>
    <t>Fatiha Hasna Labiba</t>
  </si>
  <si>
    <t>0068251806</t>
  </si>
  <si>
    <t>Amira Rifdah Rahmania</t>
  </si>
  <si>
    <t>0066269062</t>
  </si>
  <si>
    <t>Ayudya Renata</t>
  </si>
  <si>
    <t>0067883763</t>
  </si>
  <si>
    <t>Khansa Nailah Hafizhah</t>
  </si>
  <si>
    <t>0063014547</t>
  </si>
  <si>
    <t>Binar Ramadhani Aqiella Kairaya</t>
  </si>
  <si>
    <t>0061030948</t>
  </si>
  <si>
    <t xml:space="preserve">Janan Lathifah </t>
  </si>
  <si>
    <t>0051961691</t>
  </si>
  <si>
    <t>Mohammad Ghifara Rachman</t>
  </si>
  <si>
    <t>0036958517</t>
  </si>
  <si>
    <t>Arya Restumulia Saqhani Yaqzhan</t>
  </si>
  <si>
    <t>3045572897</t>
  </si>
  <si>
    <t>Dody Muhammad Pasha</t>
  </si>
  <si>
    <t>0053814584</t>
  </si>
  <si>
    <t>Dzuriyah Darojat Nabiha Ahmad</t>
  </si>
  <si>
    <t>0059586706</t>
  </si>
  <si>
    <t>Farah Amalia Pratiwi</t>
  </si>
  <si>
    <t>0053137351</t>
  </si>
  <si>
    <t>Fadila Andyta Frizki</t>
  </si>
  <si>
    <t>0051820774</t>
  </si>
  <si>
    <t>Fauzia L. Tokan</t>
  </si>
  <si>
    <t>0042123955</t>
  </si>
  <si>
    <t>Hasna Aisy Yumna</t>
  </si>
  <si>
    <t>0048827781</t>
  </si>
  <si>
    <t>Avia Luqyana</t>
  </si>
  <si>
    <t>0038427549</t>
  </si>
  <si>
    <t>0044831150</t>
  </si>
  <si>
    <t>Habib Zahran Nabil</t>
  </si>
  <si>
    <t>0067346633</t>
  </si>
  <si>
    <t>Farhan Ardyansyah</t>
  </si>
  <si>
    <t>0069102305</t>
  </si>
  <si>
    <t>M.Syauqyi Habibi</t>
  </si>
  <si>
    <t>0065430016</t>
  </si>
  <si>
    <t>Dihan Ahmad Reyza</t>
  </si>
  <si>
    <t>0054491249</t>
  </si>
  <si>
    <t>Dzikri Faishal Husaini</t>
  </si>
  <si>
    <t>0061736221</t>
  </si>
  <si>
    <t>Devia Chanza Fanezza</t>
  </si>
  <si>
    <t>0066218379</t>
  </si>
  <si>
    <t>Aqilia Harisa Triawati</t>
  </si>
  <si>
    <t>0065099964</t>
  </si>
  <si>
    <t>Fatiha Syamsa Sabila</t>
  </si>
  <si>
    <t>0063954250</t>
  </si>
  <si>
    <t>Aneira Nasywa Azalia</t>
  </si>
  <si>
    <t>0064989090</t>
  </si>
  <si>
    <t>Azalea Nayla Rahima</t>
  </si>
  <si>
    <t>0063845663</t>
  </si>
  <si>
    <t>Kikandryasoka Byandhani</t>
  </si>
  <si>
    <t>0066328489</t>
  </si>
  <si>
    <t>Calista Nadhif Antonita</t>
  </si>
  <si>
    <t>0066749905</t>
  </si>
  <si>
    <t>Muhamad Hauna Alim</t>
  </si>
  <si>
    <t>Athallah Naasif</t>
  </si>
  <si>
    <t>0050693140</t>
  </si>
  <si>
    <t>Eka Bima Syahputra</t>
  </si>
  <si>
    <t xml:space="preserve">0043112309 </t>
  </si>
  <si>
    <t>Elga Perdana</t>
  </si>
  <si>
    <t>0054718584</t>
  </si>
  <si>
    <t>Faiz Arrafi</t>
  </si>
  <si>
    <t>0037665935</t>
  </si>
  <si>
    <t>Fatimah Izzatul Jannah</t>
  </si>
  <si>
    <t>0049785152</t>
  </si>
  <si>
    <t>Fathin Fadhila Widagdo</t>
  </si>
  <si>
    <t>0046776018</t>
  </si>
  <si>
    <t>Ghoida Salima Khoiriyya Azhar</t>
  </si>
  <si>
    <t>0052427254</t>
  </si>
  <si>
    <t>Intan Izzati Faiza</t>
  </si>
  <si>
    <t>0050632589</t>
  </si>
  <si>
    <t>Azizah Bilqis Arroyan</t>
  </si>
  <si>
    <t>0059504430</t>
  </si>
  <si>
    <t>Argeza Naya Laudza</t>
  </si>
  <si>
    <t>0055258683</t>
  </si>
  <si>
    <t>Hafidh Ridhwan Nafisa</t>
  </si>
  <si>
    <t>0059417455</t>
  </si>
  <si>
    <t>Faris Putra Pradhana</t>
  </si>
  <si>
    <t>0069617677</t>
  </si>
  <si>
    <t>Maulana Azka Zaidaan</t>
  </si>
  <si>
    <t>0063699743</t>
  </si>
  <si>
    <t xml:space="preserve">Faza Ridho Rizki Dewandi </t>
  </si>
  <si>
    <t>0065255515</t>
  </si>
  <si>
    <t>Faiq Muntashir</t>
  </si>
  <si>
    <t>0065313623</t>
  </si>
  <si>
    <t>Fahreza Zahra Budiyani</t>
  </si>
  <si>
    <t>0046114638</t>
  </si>
  <si>
    <t>Aufa Mumtazamah</t>
  </si>
  <si>
    <t>0053143872</t>
  </si>
  <si>
    <t>Glaska Rida Mawardani</t>
  </si>
  <si>
    <t>0055253326</t>
  </si>
  <si>
    <t>Arifah Faiha</t>
  </si>
  <si>
    <t>0057296461</t>
  </si>
  <si>
    <t>Brillianita Aviora Az Zahra</t>
  </si>
  <si>
    <t>0062551797</t>
  </si>
  <si>
    <t>Kiraly Maheswari</t>
  </si>
  <si>
    <t>0073837591</t>
  </si>
  <si>
    <t>Daffina Fauziah Putri Apriliyanto</t>
  </si>
  <si>
    <t>0063550111</t>
  </si>
  <si>
    <t>Merysca Najwaa Ananda Eikaneo</t>
  </si>
  <si>
    <t>0063372211</t>
  </si>
  <si>
    <t>Muhammad Adnan</t>
  </si>
  <si>
    <t>3050602516</t>
  </si>
  <si>
    <t>Avicenna Ahmad Syauqi Firdaus</t>
  </si>
  <si>
    <t>0048679481</t>
  </si>
  <si>
    <t>Fadhil Aulia Rahman</t>
  </si>
  <si>
    <t>0056469038</t>
  </si>
  <si>
    <t>Fathoni Daniswara</t>
  </si>
  <si>
    <t>0057882873</t>
  </si>
  <si>
    <t>Farid Brilian Wibisono</t>
  </si>
  <si>
    <t>0059383285</t>
  </si>
  <si>
    <t>FAUZIYAH RAHMA ARNING SAPUTRI</t>
  </si>
  <si>
    <t>0044615468</t>
  </si>
  <si>
    <t>Imanda Layla Ramadhanti</t>
  </si>
  <si>
    <t>Ifada Mazida</t>
  </si>
  <si>
    <t>0058145844</t>
  </si>
  <si>
    <t>Iqlima Nadia Firdausi</t>
  </si>
  <si>
    <t xml:space="preserve">0054901129 </t>
  </si>
  <si>
    <t>Bening Rona Gista</t>
  </si>
  <si>
    <t>0057145949</t>
  </si>
  <si>
    <t>Audy Lalita Putri</t>
  </si>
  <si>
    <t>0051197496</t>
  </si>
  <si>
    <t>Idrus Najid Rifai</t>
  </si>
  <si>
    <t xml:space="preserve">0068049993 </t>
  </si>
  <si>
    <t>Fath Nabil Althaf Naya</t>
  </si>
  <si>
    <t>0066034017</t>
  </si>
  <si>
    <t>MUH. FARIZ DINNAH</t>
  </si>
  <si>
    <t>0069805988</t>
  </si>
  <si>
    <t>Hasan Abdurrahman</t>
  </si>
  <si>
    <t>0061088123</t>
  </si>
  <si>
    <t>Febriano</t>
  </si>
  <si>
    <t>0064773594</t>
  </si>
  <si>
    <t>Farida Luthfi Arifah</t>
  </si>
  <si>
    <t>0051380589</t>
  </si>
  <si>
    <t>Faiza Fadhilatunnisa Kurniawan</t>
  </si>
  <si>
    <t>0062064606</t>
  </si>
  <si>
    <t>Haqnya Aulia Rasidah</t>
  </si>
  <si>
    <t>0063819704</t>
  </si>
  <si>
    <t>Azizah Khoirunissa</t>
  </si>
  <si>
    <t>0057550596</t>
  </si>
  <si>
    <t>Diva Wahyu Maharani</t>
  </si>
  <si>
    <t>0053748020</t>
  </si>
  <si>
    <t>Luthfia Hanifatus Sholikhah</t>
  </si>
  <si>
    <t>0062516404</t>
  </si>
  <si>
    <t>Danisa Aji Atmaja</t>
  </si>
  <si>
    <t>0051087815</t>
  </si>
  <si>
    <t>MUSTHOFA ALDAMA</t>
  </si>
  <si>
    <t>0066221662</t>
  </si>
  <si>
    <t>Muhammad Ahza Hafusa</t>
  </si>
  <si>
    <t>0060055274</t>
  </si>
  <si>
    <t>Daffa Al Farizi</t>
  </si>
  <si>
    <t>0049739270</t>
  </si>
  <si>
    <t>Faiz Izzuddin</t>
  </si>
  <si>
    <t>0055620306</t>
  </si>
  <si>
    <t>Gading Setyo Manunggal</t>
  </si>
  <si>
    <t>0052532940</t>
  </si>
  <si>
    <t>Fariz Ilham</t>
  </si>
  <si>
    <t>0059453003</t>
  </si>
  <si>
    <t>Haniifah Meilany Mumtaazah</t>
  </si>
  <si>
    <t>0054323756</t>
  </si>
  <si>
    <t>Ivana Mutmainah Husen</t>
  </si>
  <si>
    <t>0051711798</t>
  </si>
  <si>
    <t>Kayla Nayara</t>
  </si>
  <si>
    <t>0057093832</t>
  </si>
  <si>
    <t>Luthfia Tiara Difa</t>
  </si>
  <si>
    <t>0058259827</t>
  </si>
  <si>
    <t>Bilqis Brainy Buanawangsa</t>
  </si>
  <si>
    <t>0041170512</t>
  </si>
  <si>
    <t>Azarine Zaimatun Nisa</t>
  </si>
  <si>
    <t>0045057643</t>
  </si>
  <si>
    <t>IZZUDDIN AL FAROUQI</t>
  </si>
  <si>
    <t>0066674590</t>
  </si>
  <si>
    <t>Muhammad Akmal Rafi' Zam Zam</t>
  </si>
  <si>
    <t>0066394364</t>
  </si>
  <si>
    <t>M. Zaky Annaufal Rabbani</t>
  </si>
  <si>
    <t>0062343365</t>
  </si>
  <si>
    <t>Hammam Al Rosyid Mudhoffar</t>
  </si>
  <si>
    <t>0069173056</t>
  </si>
  <si>
    <t>Fiyya Najmah Irsyadiyah</t>
  </si>
  <si>
    <t>0061018291</t>
  </si>
  <si>
    <t>Jeni Anindia Kaisa</t>
  </si>
  <si>
    <t>0057338624</t>
  </si>
  <si>
    <t>Briliana Suci Arofatun Nafi'ah</t>
  </si>
  <si>
    <t>0067961585</t>
  </si>
  <si>
    <t>Divalia Nanda Salsa Billa</t>
  </si>
  <si>
    <t>0065527973</t>
  </si>
  <si>
    <t>Melanada Mulia Nusantari</t>
  </si>
  <si>
    <t>Diana Firgi Damayanti</t>
  </si>
  <si>
    <t>0068723598</t>
  </si>
  <si>
    <t>NUFNI LAYYINA NURSALI</t>
  </si>
  <si>
    <t>0054426434</t>
  </si>
  <si>
    <t>Muhammad Irsyad Ilham</t>
  </si>
  <si>
    <t>0042994488</t>
  </si>
  <si>
    <t>Fathan Arfian Aryaputra</t>
  </si>
  <si>
    <t>0057430422</t>
  </si>
  <si>
    <t>Ghifari Mabrur Al Burhani</t>
  </si>
  <si>
    <t>0068080234</t>
  </si>
  <si>
    <t>0045091581</t>
  </si>
  <si>
    <t>Ihdinie Fieman Hadait</t>
  </si>
  <si>
    <t>0058928379</t>
  </si>
  <si>
    <t>Izza Rizki Fathiyya</t>
  </si>
  <si>
    <t>0056348087</t>
  </si>
  <si>
    <t>Kesya Yunna Salsa Billa</t>
  </si>
  <si>
    <t>0048159038</t>
  </si>
  <si>
    <t>Makhrifa Azizzilla Aqilananda Sutopo</t>
  </si>
  <si>
    <t>0054429353</t>
  </si>
  <si>
    <t>Freya Islamey Zada</t>
  </si>
  <si>
    <t xml:space="preserve">0062620868 </t>
  </si>
  <si>
    <t xml:space="preserve">0059826548 </t>
  </si>
  <si>
    <t>Jody Firmansyah</t>
  </si>
  <si>
    <t xml:space="preserve">0056141588 </t>
  </si>
  <si>
    <t>Fatih Zain Prayakti</t>
  </si>
  <si>
    <t>0052659498</t>
  </si>
  <si>
    <t>0068411049</t>
  </si>
  <si>
    <t>Mohammad Galang Jati Saka</t>
  </si>
  <si>
    <t>0057148962</t>
  </si>
  <si>
    <t>Hudaifa Dzaky Akbar Mahardika</t>
  </si>
  <si>
    <t>0054062939</t>
  </si>
  <si>
    <t>Imtinan Azzah Rafifah</t>
  </si>
  <si>
    <t>0064677595</t>
  </si>
  <si>
    <t>Ghaisani Lauzati</t>
  </si>
  <si>
    <t>0066508496</t>
  </si>
  <si>
    <t>Jihan</t>
  </si>
  <si>
    <t>0069656599</t>
  </si>
  <si>
    <t>Careniena Ayu Launa Zahra</t>
  </si>
  <si>
    <t>0052305750</t>
  </si>
  <si>
    <t>Edria Widya Ardiyanti</t>
  </si>
  <si>
    <t>0067754932</t>
  </si>
  <si>
    <t>Mukhbita Intan Lestari</t>
  </si>
  <si>
    <t>0067227480</t>
  </si>
  <si>
    <t>Diandra Akika Damarati Hutami Sumta</t>
  </si>
  <si>
    <t>0063432276</t>
  </si>
  <si>
    <t>NURUL ADZKIATUNNISA</t>
  </si>
  <si>
    <t>0061613389</t>
  </si>
  <si>
    <t>Muhammad Naufal Harits Musyaffa'</t>
  </si>
  <si>
    <t>0055735191</t>
  </si>
  <si>
    <t>Hanif Adhika Arda</t>
  </si>
  <si>
    <t>0049412078</t>
  </si>
  <si>
    <t>Hanif Usamah Hamastya</t>
  </si>
  <si>
    <t>0059835539</t>
  </si>
  <si>
    <t>Hafid Mahreza Ilham</t>
  </si>
  <si>
    <t>Hanif Kahfi</t>
  </si>
  <si>
    <t>0057151869</t>
  </si>
  <si>
    <t>Jihan Syahla Azizah</t>
  </si>
  <si>
    <t>0044570144</t>
  </si>
  <si>
    <t>Khoirun Nisa</t>
  </si>
  <si>
    <t>0059208208</t>
  </si>
  <si>
    <t>Khoirun Nisa Nur Azizah</t>
  </si>
  <si>
    <t xml:space="preserve">0047444525 </t>
  </si>
  <si>
    <t>Muthia Azra</t>
  </si>
  <si>
    <t>0056281910</t>
  </si>
  <si>
    <t>Hajar Nur Halimah</t>
  </si>
  <si>
    <t>0052113273</t>
  </si>
  <si>
    <t>Cinta Kamila Gama Azizah</t>
  </si>
  <si>
    <t>0057956621</t>
  </si>
  <si>
    <t>M. Rashif Mishbahul Akbar</t>
  </si>
  <si>
    <t xml:space="preserve">0056613458 </t>
  </si>
  <si>
    <t>Hanif Aqil Janardana</t>
  </si>
  <si>
    <t>0069558467</t>
  </si>
  <si>
    <t>Muhammad Diandra Saputra</t>
  </si>
  <si>
    <t>0064702829</t>
  </si>
  <si>
    <t>Mirza Taftasyani</t>
  </si>
  <si>
    <t>0053124703</t>
  </si>
  <si>
    <t>Muhammad Zaidan Abhinaya</t>
  </si>
  <si>
    <t>0061727098</t>
  </si>
  <si>
    <t>Inayatul Wafiq</t>
  </si>
  <si>
    <t>0061443639</t>
  </si>
  <si>
    <t>Kaylila Rajwa Hafiza</t>
  </si>
  <si>
    <t>0065186382</t>
  </si>
  <si>
    <t>Devina Audrey Farrel Dian Krisna</t>
  </si>
  <si>
    <t>0062164527</t>
  </si>
  <si>
    <t>Nabila Nisriina Kurniawan</t>
  </si>
  <si>
    <t>0069432092</t>
  </si>
  <si>
    <t>Evelyn Ramadhani Wibowo</t>
  </si>
  <si>
    <t>0042007560</t>
  </si>
  <si>
    <t>RHEIFAN GALIH CIPTO WIBOWO</t>
  </si>
  <si>
    <t>0063098966</t>
  </si>
  <si>
    <t>Muhammad Rakha Alfaruq</t>
  </si>
  <si>
    <t>0053412248</t>
  </si>
  <si>
    <t>Khoerul Jadid Fathony</t>
  </si>
  <si>
    <t>0052539284</t>
  </si>
  <si>
    <t>0051415547</t>
  </si>
  <si>
    <t>Haidar Rafif Hibatulloh</t>
  </si>
  <si>
    <t>0054005743</t>
  </si>
  <si>
    <t>Harun Nafis Al Ghifari</t>
  </si>
  <si>
    <t>0050617122</t>
  </si>
  <si>
    <t>Nabila Khoirunnisa</t>
  </si>
  <si>
    <t>0051014001</t>
  </si>
  <si>
    <t>Kholidiyyah Qurrota A'yunin Azhar</t>
  </si>
  <si>
    <t>0046846349</t>
  </si>
  <si>
    <t>Luthfia Fathan Khairunisa</t>
  </si>
  <si>
    <t>0052694061</t>
  </si>
  <si>
    <t>Nafi'ah Rahni Nugrahanti</t>
  </si>
  <si>
    <t xml:space="preserve">0056425824 </t>
  </si>
  <si>
    <t>Husna Nurlaila</t>
  </si>
  <si>
    <t>0047417397</t>
  </si>
  <si>
    <t>Faridah Aura Husna</t>
  </si>
  <si>
    <t>0052272930</t>
  </si>
  <si>
    <t>Muhammad Alfan Ainul Fadhli</t>
  </si>
  <si>
    <t>0067552933</t>
  </si>
  <si>
    <t>Jordan Oktavian Wibowo</t>
  </si>
  <si>
    <t>0048753646</t>
  </si>
  <si>
    <t>Muhammad Farrel Arzaqy</t>
  </si>
  <si>
    <t>0068612390</t>
  </si>
  <si>
    <t>Muhammad Faiz Sadikin</t>
  </si>
  <si>
    <t>0058826332</t>
  </si>
  <si>
    <t>Muhammad Abidzar Al Ghifari</t>
  </si>
  <si>
    <t>0069658643</t>
  </si>
  <si>
    <t>ISYANA KHAIRINA</t>
  </si>
  <si>
    <t>0069210760</t>
  </si>
  <si>
    <t>Hafshah Althafunnisa</t>
  </si>
  <si>
    <t>0062569606</t>
  </si>
  <si>
    <t>Khansani Zahira Maritsa</t>
  </si>
  <si>
    <t>0068739434</t>
  </si>
  <si>
    <t>Husna Nur Azizah</t>
  </si>
  <si>
    <t>0043948004</t>
  </si>
  <si>
    <t>Hirradhani Mahiswari Pramono</t>
  </si>
  <si>
    <t>0063318894</t>
  </si>
  <si>
    <t>Nariswari Cetta Dahayu</t>
  </si>
  <si>
    <t>0064594322</t>
  </si>
  <si>
    <t>Indah Putri Larasati</t>
  </si>
  <si>
    <t>0061627732</t>
  </si>
  <si>
    <t>TAUFIQ MIRZA MUKTI</t>
  </si>
  <si>
    <t>0068092525</t>
  </si>
  <si>
    <t>Muhammad Rosyad Abdullah</t>
  </si>
  <si>
    <t>0064212152</t>
  </si>
  <si>
    <t>Khoir Rizky Pangestu</t>
  </si>
  <si>
    <t>0054976204</t>
  </si>
  <si>
    <t xml:space="preserve">Ibnu Qayyim Assyauqi </t>
  </si>
  <si>
    <t>0050776103</t>
  </si>
  <si>
    <t>Kelvin Oktabrian Ramadhan</t>
  </si>
  <si>
    <t>0045893001</t>
  </si>
  <si>
    <t>Iqbal Muhammad Nabhan</t>
  </si>
  <si>
    <t>0059234560</t>
  </si>
  <si>
    <t>Nabila Rahmasari</t>
  </si>
  <si>
    <t>0041103048</t>
  </si>
  <si>
    <t>Laili Sabila Nur Aini</t>
  </si>
  <si>
    <t>0058731749</t>
  </si>
  <si>
    <t>Mezzaluna Olivia</t>
  </si>
  <si>
    <t>0053153832</t>
  </si>
  <si>
    <t>Naura Ayu Snaini</t>
  </si>
  <si>
    <t>0053460854</t>
  </si>
  <si>
    <t>Intan Mistika Harlan</t>
  </si>
  <si>
    <t>Fathiya Abida</t>
  </si>
  <si>
    <t>0055572219</t>
  </si>
  <si>
    <t>Muhammad Arkham Muzakky</t>
  </si>
  <si>
    <t>0056177476</t>
  </si>
  <si>
    <t>Juan Tegar Augusta</t>
  </si>
  <si>
    <t>0064668502</t>
  </si>
  <si>
    <t>Muhammad Irfan Fatoni</t>
  </si>
  <si>
    <t>0068113560</t>
  </si>
  <si>
    <t>Muhammad Fikri Anwar</t>
  </si>
  <si>
    <t>0068679966</t>
  </si>
  <si>
    <t>Muhammad Abu Bakar As Shidiq Abdul Aziz</t>
  </si>
  <si>
    <t>0069160926</t>
  </si>
  <si>
    <t>Jelita Mutiara Ramadhany Alifah</t>
  </si>
  <si>
    <t>0067180280</t>
  </si>
  <si>
    <t>Hasna Azdkia Zahrah</t>
  </si>
  <si>
    <t>0063480995</t>
  </si>
  <si>
    <t>Mariel Lintang Prabandari</t>
  </si>
  <si>
    <t>0075125852</t>
  </si>
  <si>
    <t>Ivana Mutiara Ramadhan</t>
  </si>
  <si>
    <t>0055098046</t>
  </si>
  <si>
    <t>Irmania Zachra Handika</t>
  </si>
  <si>
    <t>0069137888</t>
  </si>
  <si>
    <t>Puspita Ayu Hapsari</t>
  </si>
  <si>
    <t>0068298911</t>
  </si>
  <si>
    <t>Intan Tri Wulandari</t>
  </si>
  <si>
    <t>0062445534</t>
  </si>
  <si>
    <t>YULINDRA ADI PRADANA</t>
  </si>
  <si>
    <t>0052604002</t>
  </si>
  <si>
    <t>Muhammad Syafiq Zuhri</t>
  </si>
  <si>
    <t>0043504777</t>
  </si>
  <si>
    <t>Lalu Dewanta Adlin Nugraha</t>
  </si>
  <si>
    <t>0045885561</t>
  </si>
  <si>
    <t>Ilham Dwi Harifitriyanto</t>
  </si>
  <si>
    <t>0052950719</t>
  </si>
  <si>
    <t>Mohamad Khoiril Afwa</t>
  </si>
  <si>
    <t>0044910894</t>
  </si>
  <si>
    <t>Maulana Lukman Hakim</t>
  </si>
  <si>
    <t>0051640347</t>
  </si>
  <si>
    <t>Nabila Ramadhani Nur Wiratna</t>
  </si>
  <si>
    <t>0045389436</t>
  </si>
  <si>
    <t>Lutfiana Zulfa</t>
  </si>
  <si>
    <t>0054234549</t>
  </si>
  <si>
    <t xml:space="preserve">Milla Sholiha </t>
  </si>
  <si>
    <t>0048901036</t>
  </si>
  <si>
    <t>Izzatunisa Anandari Santosa</t>
  </si>
  <si>
    <t>Hani Lutfiana Febriani Ode</t>
  </si>
  <si>
    <t>0056599875</t>
  </si>
  <si>
    <t>Muhammad Bahrul Ulum</t>
  </si>
  <si>
    <t>0038233644</t>
  </si>
  <si>
    <t>Muhammad Adnan Oktar</t>
  </si>
  <si>
    <t>0059686830</t>
  </si>
  <si>
    <t>Mursyidan Jundi Fathurrahim</t>
  </si>
  <si>
    <t>0054409993</t>
  </si>
  <si>
    <t>Muhammad Ghulamin Halim</t>
  </si>
  <si>
    <t>0062415249</t>
  </si>
  <si>
    <t>Muhammad Adji Al Mahfuzh</t>
  </si>
  <si>
    <t>2054296915</t>
  </si>
  <si>
    <t>Jihan Fadhila</t>
  </si>
  <si>
    <t>0062337236</t>
  </si>
  <si>
    <t>Ilda Tya Wardani</t>
  </si>
  <si>
    <t>0066960457</t>
  </si>
  <si>
    <t>Michelle Shalomitha Anggie</t>
  </si>
  <si>
    <t xml:space="preserve">0057036715 </t>
  </si>
  <si>
    <t>Kalya Huwaida Luthfiyani</t>
  </si>
  <si>
    <t>0062298733</t>
  </si>
  <si>
    <t>Kahilah Azzahra</t>
  </si>
  <si>
    <t>0064657699</t>
  </si>
  <si>
    <t>Revi Mega Anastasya</t>
  </si>
  <si>
    <t>0066771578</t>
  </si>
  <si>
    <t>Irene Christin Salsabila Siregar</t>
  </si>
  <si>
    <t>0059831084</t>
  </si>
  <si>
    <t>Nalendra Nahla Khalifah Sakti</t>
  </si>
  <si>
    <t>0052217460</t>
  </si>
  <si>
    <t>Mohamad Afif Fattahudin</t>
  </si>
  <si>
    <t>0059014619</t>
  </si>
  <si>
    <t>Ilham Wido Utomo</t>
  </si>
  <si>
    <t>0052668525</t>
  </si>
  <si>
    <t>Muhammad Hanif Pearlyaradja</t>
  </si>
  <si>
    <t>0052096412</t>
  </si>
  <si>
    <t>Muhamad Abrar Dwicofanny</t>
  </si>
  <si>
    <t>0045892990</t>
  </si>
  <si>
    <t>Najwa Zhafira Aisy Putri</t>
  </si>
  <si>
    <t>0046296328</t>
  </si>
  <si>
    <t xml:space="preserve">Nafisa Fajri Nugraheni </t>
  </si>
  <si>
    <t>0044123019</t>
  </si>
  <si>
    <t>0045884531</t>
  </si>
  <si>
    <t>Niageng Dzakiyah Wardani</t>
  </si>
  <si>
    <t>0045711449</t>
  </si>
  <si>
    <t>Jovita Dara Zulfaniar</t>
  </si>
  <si>
    <t>Izza Nur Rizkiyah</t>
  </si>
  <si>
    <t>0051483444</t>
  </si>
  <si>
    <t>Muhammad Fais Said Attaullah</t>
  </si>
  <si>
    <t>0056025391</t>
  </si>
  <si>
    <t>Muhammad Bintang Nadien Wijaya</t>
  </si>
  <si>
    <t>0061194855</t>
  </si>
  <si>
    <t>Musthofa Irsal</t>
  </si>
  <si>
    <t>0055310652</t>
  </si>
  <si>
    <t>Muhammad Hafidh Husna Ashshidqi</t>
  </si>
  <si>
    <t>0058662739</t>
  </si>
  <si>
    <t>Muhammad Akmal Hartas</t>
  </si>
  <si>
    <t>0069307581</t>
  </si>
  <si>
    <t>Marcha Razky Amalia</t>
  </si>
  <si>
    <t>0064528678</t>
  </si>
  <si>
    <t>Ivana Daffa Inggita</t>
  </si>
  <si>
    <t>0068997987</t>
  </si>
  <si>
    <t xml:space="preserve">Naila Fatiha Wenanditya Putri </t>
  </si>
  <si>
    <t>0067110048</t>
  </si>
  <si>
    <t>Kuni Maura Ahna</t>
  </si>
  <si>
    <t>0054567588</t>
  </si>
  <si>
    <t>Kalila Dinar Azizah</t>
  </si>
  <si>
    <t>0068697038</t>
  </si>
  <si>
    <t>SABILA KHOIRUNISA FAJARIANI</t>
  </si>
  <si>
    <t>0058222777</t>
  </si>
  <si>
    <t>Jihan Adibah Ramadhani</t>
  </si>
  <si>
    <t>0061696121</t>
  </si>
  <si>
    <t>Nur Muhammad Alfin Azizy</t>
  </si>
  <si>
    <t>0055715165</t>
  </si>
  <si>
    <t>Muammal Jumaniy Mushaffa Aniesiy</t>
  </si>
  <si>
    <t xml:space="preserve">0056571658 </t>
  </si>
  <si>
    <t>Jauza Hanif Winardo</t>
  </si>
  <si>
    <t xml:space="preserve">0053300206 </t>
  </si>
  <si>
    <t>Muhammad Maurel Han</t>
  </si>
  <si>
    <t>9015578324</t>
  </si>
  <si>
    <t>Muhammad Adnan Nugroho</t>
  </si>
  <si>
    <t>0057809466</t>
  </si>
  <si>
    <t xml:space="preserve">Naswa Agilda Aprillia </t>
  </si>
  <si>
    <t xml:space="preserve">0051035815 </t>
  </si>
  <si>
    <t>NAILA FARIHA FARUQ</t>
  </si>
  <si>
    <t>0057740819</t>
  </si>
  <si>
    <t>0043129495</t>
  </si>
  <si>
    <t>Nihal Nayef Sungkar</t>
  </si>
  <si>
    <t>0045091603</t>
  </si>
  <si>
    <t>Kamelia Robani</t>
  </si>
  <si>
    <t>0058036641</t>
  </si>
  <si>
    <t>Kanaya Aisyagharini</t>
  </si>
  <si>
    <t xml:space="preserve">0057246578 </t>
  </si>
  <si>
    <t>Muhammad Hanif Al-Banna</t>
  </si>
  <si>
    <t>0055274353</t>
  </si>
  <si>
    <t>Muhammad Irfan Rabbani</t>
  </si>
  <si>
    <t>0052537838</t>
  </si>
  <si>
    <t>Nabil Rajendra Hieksa</t>
  </si>
  <si>
    <t>0063438264</t>
  </si>
  <si>
    <t>Muhammad Ilham Akila Firdaus</t>
  </si>
  <si>
    <t>0066863455</t>
  </si>
  <si>
    <t>Muhammad Aryaputra Wahyu Pratama</t>
  </si>
  <si>
    <t>0061308433</t>
  </si>
  <si>
    <t>Maulida Fajriatin Nirwasita</t>
  </si>
  <si>
    <t>0069909252</t>
  </si>
  <si>
    <t>Khadlel Jovita Yustiawan</t>
  </si>
  <si>
    <t>0053626222</t>
  </si>
  <si>
    <t>Nashwa Salsabila</t>
  </si>
  <si>
    <t>0055204655</t>
  </si>
  <si>
    <t>Kalila Syifa' Utomo</t>
  </si>
  <si>
    <t>0062122067</t>
  </si>
  <si>
    <t>Sabrina Syaeirilla Hersa Afdanta</t>
  </si>
  <si>
    <t>0069439144</t>
  </si>
  <si>
    <t>MAULIDINA APRILIA MUKHTAR</t>
  </si>
  <si>
    <t>0051197482</t>
  </si>
  <si>
    <t>Nur Wahid Abdul Rosyid</t>
  </si>
  <si>
    <t>0058547611</t>
  </si>
  <si>
    <t>Muhamad Rifai Ageng Pambudi</t>
  </si>
  <si>
    <t>0059313060</t>
  </si>
  <si>
    <t>Maulana Hakeem Ashshabuni</t>
  </si>
  <si>
    <t>0048739360</t>
  </si>
  <si>
    <t>Muhammad Niam Masykuri</t>
  </si>
  <si>
    <t>Muhammad Akbar Pradhana</t>
  </si>
  <si>
    <t>0045733869</t>
  </si>
  <si>
    <t>Nayla Fadilla</t>
  </si>
  <si>
    <t>0052080854</t>
  </si>
  <si>
    <t>Nisrinaa Firsty Ajeng Saputro</t>
  </si>
  <si>
    <t>0057272727</t>
  </si>
  <si>
    <t>Nurul Qalby Apriani G. HI. Jainal</t>
  </si>
  <si>
    <t>0058872308</t>
  </si>
  <si>
    <t>Putrisila Narda Anisah</t>
  </si>
  <si>
    <t>Khansa Naila Arrahmi</t>
  </si>
  <si>
    <t>0052293557</t>
  </si>
  <si>
    <t>Khansa Aulia Annafi</t>
  </si>
  <si>
    <t>0042793688</t>
  </si>
  <si>
    <t>Muhammad Hanif Ridho</t>
  </si>
  <si>
    <t>0066554172</t>
  </si>
  <si>
    <t>Naufal Aska Syahputra</t>
  </si>
  <si>
    <t>0064945927</t>
  </si>
  <si>
    <t>Pradipta Sukma Putra</t>
  </si>
  <si>
    <t>0059582911</t>
  </si>
  <si>
    <t>Muhammad Faiz Prasetyo</t>
  </si>
  <si>
    <t>0052554750</t>
  </si>
  <si>
    <t>Meiva Adinda Nurma Widya</t>
  </si>
  <si>
    <t>0068419638</t>
  </si>
  <si>
    <t>Latifatun Azzaro</t>
  </si>
  <si>
    <t>0054544323</t>
  </si>
  <si>
    <t>Naura Hasna' Atha Iskandar</t>
  </si>
  <si>
    <t>0065341588</t>
  </si>
  <si>
    <t>Nayla Aprihayu Parastie</t>
  </si>
  <si>
    <t>0063723279</t>
  </si>
  <si>
    <t>Kanza Sahda Latifah</t>
  </si>
  <si>
    <t>0056408757</t>
  </si>
  <si>
    <t>Sayyidah Haniya Athifa</t>
  </si>
  <si>
    <t>0063148694</t>
  </si>
  <si>
    <t>Nafisah Hanif Yadaya</t>
  </si>
  <si>
    <t>0056713127</t>
  </si>
  <si>
    <t>Rayhan Narendra Putra</t>
  </si>
  <si>
    <t>0058020532</t>
  </si>
  <si>
    <t>Muhammad Zaky Fauzan Ardiansyah</t>
  </si>
  <si>
    <t>0047928977</t>
  </si>
  <si>
    <t>Muhammad Ardhi Afde Malinting</t>
  </si>
  <si>
    <t>0050710926</t>
  </si>
  <si>
    <t>Muhammad Nur Arzhian Kusuma</t>
  </si>
  <si>
    <t>0053421781</t>
  </si>
  <si>
    <t>Muhammad Farrel Ariandra</t>
  </si>
  <si>
    <t>0049912375</t>
  </si>
  <si>
    <t>Nectarinia Mahmuda</t>
  </si>
  <si>
    <t>0044370643</t>
  </si>
  <si>
    <t>Nur Aisyah Amini</t>
  </si>
  <si>
    <t>Qonita Qurrota'aini</t>
  </si>
  <si>
    <t>0056827549</t>
  </si>
  <si>
    <t>Reshartina Balqis Qanitah Putri</t>
  </si>
  <si>
    <t>Khofifah Shofina Indrawati Hope</t>
  </si>
  <si>
    <t>9013994597</t>
  </si>
  <si>
    <t>Masna Mihsania Manilet</t>
  </si>
  <si>
    <t>0048253827</t>
  </si>
  <si>
    <t>Muhammad Yuhono S</t>
  </si>
  <si>
    <t>0065299024</t>
  </si>
  <si>
    <t>Muhammad Rafie Abrisam Sasmita</t>
  </si>
  <si>
    <t>0062947574</t>
  </si>
  <si>
    <t>Rafi Rahmatullah</t>
  </si>
  <si>
    <t>0057755031</t>
  </si>
  <si>
    <t>Raffadzani Putra Respati</t>
  </si>
  <si>
    <t>0052779329</t>
  </si>
  <si>
    <t>Muhammad Fauzi Al Maududi</t>
  </si>
  <si>
    <t>0061964132</t>
  </si>
  <si>
    <t>Nada Awan Adilah</t>
  </si>
  <si>
    <t>0053369155</t>
  </si>
  <si>
    <t>Naylufar Nayef Sungkar</t>
  </si>
  <si>
    <t>0068385659</t>
  </si>
  <si>
    <t>MAYSHE AZIMAH</t>
  </si>
  <si>
    <t>3060237661</t>
  </si>
  <si>
    <t>Shelina Rendra Nanbelia</t>
  </si>
  <si>
    <t>0068547928</t>
  </si>
  <si>
    <t>Nahidah Yumna Luthfiah</t>
  </si>
  <si>
    <t>0059036493</t>
  </si>
  <si>
    <t>0058606067</t>
  </si>
  <si>
    <t>Naorito Suryo Kusumo</t>
  </si>
  <si>
    <t>0047828036</t>
  </si>
  <si>
    <t>Muhammad Asyamdany Sholahudin</t>
  </si>
  <si>
    <t>0049611603</t>
  </si>
  <si>
    <t>Muhammad Rafif Rizqullah</t>
  </si>
  <si>
    <t>0044559979</t>
  </si>
  <si>
    <t>Muhammad Hafiz Jamaludin</t>
  </si>
  <si>
    <t>0048417157</t>
  </si>
  <si>
    <t>Nisrina Aulia Aziz</t>
  </si>
  <si>
    <t>0052617917</t>
  </si>
  <si>
    <t>Rana Aqila</t>
  </si>
  <si>
    <t>0055677362</t>
  </si>
  <si>
    <t>Rahmacita Qumaira</t>
  </si>
  <si>
    <t xml:space="preserve">0057364281 </t>
  </si>
  <si>
    <t>Rizky Sayyida</t>
  </si>
  <si>
    <t>0050693170</t>
  </si>
  <si>
    <t>Lutfi Hanifah</t>
  </si>
  <si>
    <t>0050919849</t>
  </si>
  <si>
    <t>Mazaya Azra Nydia</t>
  </si>
  <si>
    <t>0055742042</t>
  </si>
  <si>
    <t>Nabil Azh Zhahir</t>
  </si>
  <si>
    <t>0059021237</t>
  </si>
  <si>
    <t>Muhammad Ridho Al-Ghozali</t>
  </si>
  <si>
    <t>0069979106</t>
  </si>
  <si>
    <t>Rakeyan Brajamusti</t>
  </si>
  <si>
    <t>0065976684</t>
  </si>
  <si>
    <t>Rafi Bintang Fatihah</t>
  </si>
  <si>
    <t>0069699595</t>
  </si>
  <si>
    <t>Muhammad Rasyiid</t>
  </si>
  <si>
    <t>0068522993</t>
  </si>
  <si>
    <t>Nadhea Septiana Widi Astuti</t>
  </si>
  <si>
    <t>0065820774</t>
  </si>
  <si>
    <t>Nabila Choirunnissa</t>
  </si>
  <si>
    <t>0064870190</t>
  </si>
  <si>
    <t>Nisa Alim Khasanah</t>
  </si>
  <si>
    <t>0066600574</t>
  </si>
  <si>
    <t>Rameyza Elya</t>
  </si>
  <si>
    <t>0069589723</t>
  </si>
  <si>
    <t>NAHDA HANIFA FIRDAUSI</t>
  </si>
  <si>
    <t>0072569682</t>
  </si>
  <si>
    <t>Shofina Aufa Zuhrufa Malicha</t>
  </si>
  <si>
    <t>0067659810</t>
  </si>
  <si>
    <t>Naila Zahira Afifatul Ula</t>
  </si>
  <si>
    <t>0054038467</t>
  </si>
  <si>
    <t xml:space="preserve">Rija Maulana </t>
  </si>
  <si>
    <t>Naufal Faiq Zulfaa Ananda</t>
  </si>
  <si>
    <t>0045091117</t>
  </si>
  <si>
    <t>Muhammad Fadhlan Abdillah</t>
  </si>
  <si>
    <t>Muhammad Raihan Al Faridzi</t>
  </si>
  <si>
    <t>Muhammad Irvan Hendriawan</t>
  </si>
  <si>
    <t>0052933250</t>
  </si>
  <si>
    <t xml:space="preserve">Qonita Nasywa Khoirunnisa </t>
  </si>
  <si>
    <t>0051292975</t>
  </si>
  <si>
    <t>Sabila Audya Nissa Sudono</t>
  </si>
  <si>
    <t>0051505604</t>
  </si>
  <si>
    <t>Safira Khairunnisa</t>
  </si>
  <si>
    <t>0045091589</t>
  </si>
  <si>
    <t>Shinta Anastya Dewi</t>
  </si>
  <si>
    <t>0044913971</t>
  </si>
  <si>
    <t>Muflihatus Sakinah</t>
  </si>
  <si>
    <t>Naufal Helmi Murtadha</t>
  </si>
  <si>
    <t>0064555516</t>
  </si>
  <si>
    <t>Muhammad Rivai</t>
  </si>
  <si>
    <t>0057187981</t>
  </si>
  <si>
    <t>Ravindra Keysa Hafizh</t>
  </si>
  <si>
    <t>0065146725</t>
  </si>
  <si>
    <t>Rafi Prasetya Adiatmaja</t>
  </si>
  <si>
    <t>0066430042</t>
  </si>
  <si>
    <t>Ngariful Qowan Ghazali Zaini</t>
  </si>
  <si>
    <t>0057566517</t>
  </si>
  <si>
    <t>NAILA RAHMA KAMILA</t>
  </si>
  <si>
    <t>0057687907</t>
  </si>
  <si>
    <t>Shabrina Azzahra Rahmanisa</t>
  </si>
  <si>
    <t>0067475401</t>
  </si>
  <si>
    <t>Rizqya Dien Afrina</t>
  </si>
  <si>
    <t>0052714826</t>
  </si>
  <si>
    <t>RAHMA HASNA LISTIYANI</t>
  </si>
  <si>
    <t>0062412997</t>
  </si>
  <si>
    <t>Soraya Alya Az-Zahra</t>
  </si>
  <si>
    <t>0061634345</t>
  </si>
  <si>
    <t>Najla Aurellia Atha Putri</t>
  </si>
  <si>
    <t>0065556375</t>
  </si>
  <si>
    <t>Surya Firmansyah</t>
  </si>
  <si>
    <t xml:space="preserve">0052633063 </t>
  </si>
  <si>
    <t>Panji Pria Wicaksana</t>
  </si>
  <si>
    <t>0044955611</t>
  </si>
  <si>
    <t>Muhammad Faqihuddin Syaifulloh</t>
  </si>
  <si>
    <t>0054145131</t>
  </si>
  <si>
    <t>Muhammad Rakan Hafidh Al Ghalib</t>
  </si>
  <si>
    <t>0053955049</t>
  </si>
  <si>
    <t>Muhammad Ridho Ghaalib Alfath</t>
  </si>
  <si>
    <t>0052374523</t>
  </si>
  <si>
    <t>Sahla Adinda Kusuma</t>
  </si>
  <si>
    <t>0050919648</t>
  </si>
  <si>
    <t>Salma Nur Jannah</t>
  </si>
  <si>
    <t>0052480903</t>
  </si>
  <si>
    <t>Serunai Merdu Kalimatullah</t>
  </si>
  <si>
    <t>0057659321</t>
  </si>
  <si>
    <t>Shofi Rizki Anhari</t>
  </si>
  <si>
    <t>0058149553</t>
  </si>
  <si>
    <t xml:space="preserve">Nazhirah Fa-Izah </t>
  </si>
  <si>
    <t>Nabilla Kayla Tsani Putri</t>
  </si>
  <si>
    <t>0047472339</t>
  </si>
  <si>
    <t>NAUFAL NAWWARUDDIN ADI WIBOWO</t>
  </si>
  <si>
    <t>0055504650</t>
  </si>
  <si>
    <t>Muhammad Zidane Achsan</t>
  </si>
  <si>
    <t>0065212884</t>
  </si>
  <si>
    <t>Reyhan Rinaldi Jamaludin</t>
  </si>
  <si>
    <t>0055348802</t>
  </si>
  <si>
    <t>Rafif Sakhi Imani Sundoro Putra</t>
  </si>
  <si>
    <t>0063102031</t>
  </si>
  <si>
    <t>Rachmatannas Yulian Firdaus</t>
  </si>
  <si>
    <t>0062114934</t>
  </si>
  <si>
    <t>Nanda Syifa'</t>
  </si>
  <si>
    <t>0063778133</t>
  </si>
  <si>
    <t>Nafisah Nuroniyah Ramadani</t>
  </si>
  <si>
    <t xml:space="preserve">0061582826 </t>
  </si>
  <si>
    <t>Shalina Abhinaya Putri Noorwidjaya</t>
  </si>
  <si>
    <t>0065233157</t>
  </si>
  <si>
    <t>Salwa Salsabila</t>
  </si>
  <si>
    <t>0061009319</t>
  </si>
  <si>
    <t>RASYA AULIA AZ ZAHRA</t>
  </si>
  <si>
    <t>0063539516</t>
  </si>
  <si>
    <t>Tsalisa Khoirunnisa</t>
  </si>
  <si>
    <t>0052010758</t>
  </si>
  <si>
    <t>Nandheeta Cheryl Putri Ahya</t>
  </si>
  <si>
    <t>0055962299</t>
  </si>
  <si>
    <t>Wahyu Kurniawan Saputra</t>
  </si>
  <si>
    <t>0042950606</t>
  </si>
  <si>
    <t>Raihan Anan Hartanto</t>
  </si>
  <si>
    <t>0053985808</t>
  </si>
  <si>
    <t>Muhammad Fluorin Regar Fiqri Ariyanto</t>
  </si>
  <si>
    <t>0053435262</t>
  </si>
  <si>
    <t>Muhammad Syamu Naufal</t>
  </si>
  <si>
    <t>0045892500</t>
  </si>
  <si>
    <t>Muhammad Yusri Shulthoni</t>
  </si>
  <si>
    <t>Salsabila Alif Faiza</t>
  </si>
  <si>
    <t>0046290604</t>
  </si>
  <si>
    <t>Sofiah Nur Alifah</t>
  </si>
  <si>
    <t>0052788000</t>
  </si>
  <si>
    <t>Shafia Zahra Ramazan Nayyara</t>
  </si>
  <si>
    <t>0050693167</t>
  </si>
  <si>
    <t>Viesca Zahran Anabela</t>
  </si>
  <si>
    <t>0041662193</t>
  </si>
  <si>
    <t>Nooraliya Nashwa Salsabila</t>
  </si>
  <si>
    <t xml:space="preserve">0053707505 </t>
  </si>
  <si>
    <t>Nashwa Sabrina Rafida</t>
  </si>
  <si>
    <t>0056475877</t>
  </si>
  <si>
    <t>Nicholas Mendova Munthe</t>
  </si>
  <si>
    <t>0062320089</t>
  </si>
  <si>
    <t>Rafli Hidayatullah</t>
  </si>
  <si>
    <t>0055287223</t>
  </si>
  <si>
    <t>Thufail Bima Putra Raditya</t>
  </si>
  <si>
    <t xml:space="preserve">0068934358 </t>
  </si>
  <si>
    <t>Riyan Saputra</t>
  </si>
  <si>
    <t>0066993035</t>
  </si>
  <si>
    <t>Rafa Haya Narundana</t>
  </si>
  <si>
    <t>0055570350</t>
  </si>
  <si>
    <t>Qonita Prima Rizki</t>
  </si>
  <si>
    <t>0052013415</t>
  </si>
  <si>
    <t>Naira Alifandra</t>
  </si>
  <si>
    <t>0052640997</t>
  </si>
  <si>
    <t>SHIFA ALESIA RESTI</t>
  </si>
  <si>
    <t>0061384097</t>
  </si>
  <si>
    <t>Sekar Indah Tri Hapsari</t>
  </si>
  <si>
    <t>0061317775</t>
  </si>
  <si>
    <t>Salwa Kusuma Astuti</t>
  </si>
  <si>
    <t>0061841589</t>
  </si>
  <si>
    <t>Tsaqifa Azfa Rihada</t>
  </si>
  <si>
    <t>0061709235</t>
  </si>
  <si>
    <t>Nandin Sahwahita Risqullah</t>
  </si>
  <si>
    <t>0054224036</t>
  </si>
  <si>
    <t>Wiam Afla</t>
  </si>
  <si>
    <t>0054172038</t>
  </si>
  <si>
    <t>Rama Bayuaji Julian Putra</t>
  </si>
  <si>
    <t>0029403178</t>
  </si>
  <si>
    <t>Muhammad Harrem Ryan Dewantara</t>
  </si>
  <si>
    <t>0057062557</t>
  </si>
  <si>
    <t>Naufal Muhammad Iqbal</t>
  </si>
  <si>
    <t>0056904636</t>
  </si>
  <si>
    <t>Rafly Khasna Muzaki</t>
  </si>
  <si>
    <t>0048225387</t>
  </si>
  <si>
    <t>Shabrina Talitha 'Ulayya</t>
  </si>
  <si>
    <t>0052800637</t>
  </si>
  <si>
    <t>Tazkia Amalina</t>
  </si>
  <si>
    <t xml:space="preserve">0041787125 </t>
  </si>
  <si>
    <t>Siti Hafusa Kotta</t>
  </si>
  <si>
    <t>0049769433</t>
  </si>
  <si>
    <t>Prasasti Gayuh Perdana</t>
  </si>
  <si>
    <t>0052226136</t>
  </si>
  <si>
    <t>Nicole Nadia Nayla Wibowo</t>
  </si>
  <si>
    <t>0052853979</t>
  </si>
  <si>
    <t>RIDZAL PRABOWO SAPUTRA</t>
  </si>
  <si>
    <t>0063407353</t>
  </si>
  <si>
    <t>Royyan Adam Seswanto</t>
  </si>
  <si>
    <t>0077220379</t>
  </si>
  <si>
    <t>Sambuja Samara Hakam Kenandi</t>
  </si>
  <si>
    <t>0052481120</t>
  </si>
  <si>
    <t>Rakan Raditya Kurniawan</t>
  </si>
  <si>
    <t>0061355480</t>
  </si>
  <si>
    <t>Refa Humaira 'Aqilah</t>
  </si>
  <si>
    <t>0063450132</t>
  </si>
  <si>
    <t>Naura Azzahra</t>
  </si>
  <si>
    <t>0066785240</t>
  </si>
  <si>
    <t>Syifa Ayra Talitha Candani</t>
  </si>
  <si>
    <t>0054854487</t>
  </si>
  <si>
    <t>Solana Syahda</t>
  </si>
  <si>
    <t xml:space="preserve">0062304627 </t>
  </si>
  <si>
    <t>Shafara Izah Meutya Lukman</t>
  </si>
  <si>
    <t>0051510552</t>
  </si>
  <si>
    <t>Wandayu Ardya Garini Priyanto</t>
  </si>
  <si>
    <t>0064716312</t>
  </si>
  <si>
    <t>Nayla Aulia Novia Azizah</t>
  </si>
  <si>
    <t>0067259504</t>
  </si>
  <si>
    <t>Yusuf Ihsanu</t>
  </si>
  <si>
    <t>0045951514</t>
  </si>
  <si>
    <t>0051620057</t>
  </si>
  <si>
    <t>Naufal Attariq Zidane Pradana</t>
  </si>
  <si>
    <t>0045272451</t>
  </si>
  <si>
    <t>Nauval Nur Mustafa</t>
  </si>
  <si>
    <t>0061518278</t>
  </si>
  <si>
    <t>Raihan Daffa Asy Syauqi</t>
  </si>
  <si>
    <t>0054722689</t>
  </si>
  <si>
    <t>Tristarani Azizah</t>
  </si>
  <si>
    <t>0053947307</t>
  </si>
  <si>
    <t>Yumna Mahira Prasetyawan</t>
  </si>
  <si>
    <t>0051134448</t>
  </si>
  <si>
    <t>Unza Khulil Jannah Effendi</t>
  </si>
  <si>
    <t>0046376226</t>
  </si>
  <si>
    <t>Zalfaa' Nabila Rizki Ramadhani</t>
  </si>
  <si>
    <t>0050693168</t>
  </si>
  <si>
    <t>Vania Tany Raisa Wardoyo</t>
  </si>
  <si>
    <t>9016251398</t>
  </si>
  <si>
    <t>Pinaring Ayu Prasetya</t>
  </si>
  <si>
    <t>Syakty Bariq Al Muhharam</t>
  </si>
  <si>
    <t>0066141348</t>
  </si>
  <si>
    <t>Wasi Fattan Rais</t>
  </si>
  <si>
    <t>0068095872</t>
  </si>
  <si>
    <t>Sean Afif Wira Aksata Hariyanto</t>
  </si>
  <si>
    <t>0065028481</t>
  </si>
  <si>
    <t>Sabian Tristan Savero Achmad</t>
  </si>
  <si>
    <t>0068011619</t>
  </si>
  <si>
    <t>Rhaisya Refita Larasati</t>
  </si>
  <si>
    <t>0064148243</t>
  </si>
  <si>
    <t>Ranaa Putri Nabiilah</t>
  </si>
  <si>
    <t>0061437809</t>
  </si>
  <si>
    <t>TSANIA NURUL IZZAH</t>
  </si>
  <si>
    <t>0061403513</t>
  </si>
  <si>
    <t>Vania Syafiqoh Veda Velma Wardhani</t>
  </si>
  <si>
    <t>0058818244</t>
  </si>
  <si>
    <t>Yulinda Fatkhun Qorib</t>
  </si>
  <si>
    <t>0068574231</t>
  </si>
  <si>
    <t>Rifda Tsabita Nona Salsabilla</t>
  </si>
  <si>
    <t>0066733002</t>
  </si>
  <si>
    <t>Reza Shevasatria Hermawan</t>
  </si>
  <si>
    <t>0043372315</t>
  </si>
  <si>
    <t>Raziq Alfalih</t>
  </si>
  <si>
    <t>0052190481</t>
  </si>
  <si>
    <t>Rajendra Nanda Irianto</t>
  </si>
  <si>
    <t>0057928304</t>
  </si>
  <si>
    <t>0050673225</t>
  </si>
  <si>
    <t>Yasmina Mahmudah</t>
  </si>
  <si>
    <t>0052633103</t>
  </si>
  <si>
    <t>Zahrotun Nisaul Jannah</t>
  </si>
  <si>
    <t xml:space="preserve">0046615446 </t>
  </si>
  <si>
    <t>Puan Gusti Halida Lutfiah</t>
  </si>
  <si>
    <t>0041101094</t>
  </si>
  <si>
    <t>Syauqi Hanif Arrantissi</t>
  </si>
  <si>
    <t>0066782185</t>
  </si>
  <si>
    <t>Geraldi Saputra</t>
  </si>
  <si>
    <t>0053367559</t>
  </si>
  <si>
    <t>Satria Widya Pamungkas</t>
  </si>
  <si>
    <t>0068874495</t>
  </si>
  <si>
    <t xml:space="preserve">Rivela Salwa Ramadhani </t>
  </si>
  <si>
    <t>0069506995</t>
  </si>
  <si>
    <t>Yasmina Syifa Fauzia</t>
  </si>
  <si>
    <t>0069905108</t>
  </si>
  <si>
    <t>Yazida Gadiz Izzati</t>
  </si>
  <si>
    <t xml:space="preserve">0061472706 </t>
  </si>
  <si>
    <t>Tiara Novita Sari</t>
  </si>
  <si>
    <t>0056105224</t>
  </si>
  <si>
    <t>Ziyada Ilma Nafi'a</t>
  </si>
  <si>
    <t>0062642802</t>
  </si>
  <si>
    <t>Saskia Kaila Zahrani</t>
  </si>
  <si>
    <t>0065085037</t>
  </si>
  <si>
    <t>Firdaus Suryo Utomo</t>
  </si>
  <si>
    <t>0042751582</t>
  </si>
  <si>
    <t>Rifqi Fadhil Muzhaffar</t>
  </si>
  <si>
    <t>0050758177</t>
  </si>
  <si>
    <t>Rama Mukti Harjono</t>
  </si>
  <si>
    <t>Rafif Mahatma Indrastata</t>
  </si>
  <si>
    <t>0045017851</t>
  </si>
  <si>
    <t>Ramadhani Cahyo Aminto</t>
  </si>
  <si>
    <t>0043102198</t>
  </si>
  <si>
    <t>Zulfatin Nur Hafidzah</t>
  </si>
  <si>
    <t>0053883721</t>
  </si>
  <si>
    <t>Salamah Faisal Haidaroh</t>
  </si>
  <si>
    <t>0056789524</t>
  </si>
  <si>
    <t>Veto Tri Admaja</t>
  </si>
  <si>
    <t>0064691267</t>
  </si>
  <si>
    <t>Wahyu Hadi Ramadhan</t>
  </si>
  <si>
    <t>0062538192</t>
  </si>
  <si>
    <t>Rusyda Zahrani Budiman</t>
  </si>
  <si>
    <t>0069215700</t>
  </si>
  <si>
    <t>Sabrina Azizah Triyatno</t>
  </si>
  <si>
    <t>0067530772</t>
  </si>
  <si>
    <t>Zahra Rafida Permata Syafi'i</t>
  </si>
  <si>
    <t>0059316631</t>
  </si>
  <si>
    <t>Zahra Kayla Putri Sujoko</t>
  </si>
  <si>
    <t>0064101517</t>
  </si>
  <si>
    <t>Zahra Nur Afifah</t>
  </si>
  <si>
    <t>0058989946</t>
  </si>
  <si>
    <t>Zumayya Jilan Radhwa Huriyah</t>
  </si>
  <si>
    <t>0061622844</t>
  </si>
  <si>
    <t>Sauzan Bilqis Ramzia</t>
  </si>
  <si>
    <t>0066282214</t>
  </si>
  <si>
    <t>Rizky Akbar Partono</t>
  </si>
  <si>
    <t>0054087242</t>
  </si>
  <si>
    <t>Rizky Adi Putra Pratama</t>
  </si>
  <si>
    <t>0045086106</t>
  </si>
  <si>
    <t>Rayhan Yoga Edy Pratama</t>
  </si>
  <si>
    <t xml:space="preserve">0041380949 </t>
  </si>
  <si>
    <t>Rizal Ramadhan Pramurditama</t>
  </si>
  <si>
    <t>0044664622</t>
  </si>
  <si>
    <t>Saniyyah Aliya Husna</t>
  </si>
  <si>
    <t>0043602279</t>
  </si>
  <si>
    <t>ZOLTAN RAFIFFATIN SUSILO</t>
  </si>
  <si>
    <t>0069902032</t>
  </si>
  <si>
    <t>Yusuf Ghani Akbar</t>
  </si>
  <si>
    <t>0029659753</t>
  </si>
  <si>
    <t>YASMINA RAHADATUL 'AISY</t>
  </si>
  <si>
    <t>0059367368</t>
  </si>
  <si>
    <t>Salma Fikri Saajidah</t>
  </si>
  <si>
    <t>0055020450</t>
  </si>
  <si>
    <t>Zaneta Meisya Farah</t>
  </si>
  <si>
    <t>0065787867</t>
  </si>
  <si>
    <t>Zhaskya Asthi Aullia</t>
  </si>
  <si>
    <t>0065118697</t>
  </si>
  <si>
    <t>Shofie Choirunnisa Hafidh</t>
  </si>
  <si>
    <t>0068800558</t>
  </si>
  <si>
    <t>Sultan Fahriyan Khoodhi</t>
  </si>
  <si>
    <t xml:space="preserve">0043659400 </t>
  </si>
  <si>
    <t>Satria Ulil Albab</t>
  </si>
  <si>
    <t xml:space="preserve">0046557073 </t>
  </si>
  <si>
    <t>Rusianto Munif</t>
  </si>
  <si>
    <t>0060172183</t>
  </si>
  <si>
    <t>Tyas Prabaswara</t>
  </si>
  <si>
    <t>0051583040</t>
  </si>
  <si>
    <t>Shakiva Naswa Crescensia</t>
  </si>
  <si>
    <t>0057394360</t>
  </si>
  <si>
    <t>Zahid Abdullah Nur Mukhlishin</t>
  </si>
  <si>
    <t>0069174574</t>
  </si>
  <si>
    <t>ZALFA MALIHAH AZ ZAHRA</t>
  </si>
  <si>
    <t>3060826527</t>
  </si>
  <si>
    <t>Syafira Gusvianza Arvi</t>
  </si>
  <si>
    <t>0063791161</t>
  </si>
  <si>
    <t>Zafira Mellandra</t>
  </si>
  <si>
    <t>0065672351</t>
  </si>
  <si>
    <t>Syahrizal Bani Khairan</t>
  </si>
  <si>
    <t>0056865901</t>
  </si>
  <si>
    <t>Sulthan Wildan Badzlin</t>
  </si>
  <si>
    <t>0051785995</t>
  </si>
  <si>
    <t>Zaidan Mu'afy Althaf</t>
  </si>
  <si>
    <t>0056182222</t>
  </si>
  <si>
    <t>Zainal Basri Karanggusi</t>
  </si>
  <si>
    <t>0057274902</t>
  </si>
  <si>
    <t>Sofi Nabila Nur Amalia</t>
  </si>
  <si>
    <t>0045999036</t>
  </si>
  <si>
    <t>Zahrah Nur Rahmah</t>
  </si>
  <si>
    <t>0056343448</t>
  </si>
  <si>
    <t>Zhelcya Lucyatha Haurtsany</t>
  </si>
  <si>
    <t>0065868103</t>
  </si>
  <si>
    <t>Umar Al Faruq</t>
  </si>
  <si>
    <t>0054928866</t>
  </si>
  <si>
    <t>Tito Adji Firmansyah</t>
  </si>
  <si>
    <t>0046276562</t>
  </si>
  <si>
    <t>Septianto Rido Nugroho</t>
  </si>
  <si>
    <t>0046558793</t>
  </si>
  <si>
    <t>Winda Widiyanti</t>
  </si>
  <si>
    <t>0045176206</t>
  </si>
  <si>
    <t>Zunairoh Muthmainnah</t>
  </si>
  <si>
    <t>0067310914</t>
  </si>
  <si>
    <t>Ahmad Firdaus Nugrahadi</t>
  </si>
  <si>
    <t>0057812263</t>
  </si>
  <si>
    <t>Muhammad Zidni Chilma</t>
  </si>
  <si>
    <t>0045660610</t>
  </si>
  <si>
    <t>II</t>
  </si>
  <si>
    <t>III</t>
  </si>
  <si>
    <t>IV</t>
  </si>
  <si>
    <t>V</t>
  </si>
  <si>
    <t>VI</t>
  </si>
  <si>
    <t>X MIPA 1</t>
  </si>
  <si>
    <t>X MIPA 2</t>
  </si>
  <si>
    <t>X MIPA 3</t>
  </si>
  <si>
    <t>X MIPA 4</t>
  </si>
  <si>
    <t>X MIPA 5</t>
  </si>
  <si>
    <t>X MIPA 6</t>
  </si>
  <si>
    <t>X MIPA 7</t>
  </si>
  <si>
    <t>X MIPA 8</t>
  </si>
  <si>
    <t>X MIPA 9</t>
  </si>
  <si>
    <t>X MIPA 10</t>
  </si>
  <si>
    <t>X MIPA 11</t>
  </si>
  <si>
    <t>X MIPA 12</t>
  </si>
  <si>
    <t>X MIPA 13</t>
  </si>
  <si>
    <t>XI MIPA 1</t>
  </si>
  <si>
    <t>XI MIPA 2</t>
  </si>
  <si>
    <t>XI MIPA 3</t>
  </si>
  <si>
    <t>XI MIPA 4</t>
  </si>
  <si>
    <t>XI MIPA 5</t>
  </si>
  <si>
    <t>XI MIPA 6</t>
  </si>
  <si>
    <t>XI MIPA 7</t>
  </si>
  <si>
    <t>XI MIPA 8</t>
  </si>
  <si>
    <t>XI MIPA 9</t>
  </si>
  <si>
    <t>XI MIPA 10</t>
  </si>
  <si>
    <t>XI MIPA 11</t>
  </si>
  <si>
    <t>XI MIPA 12</t>
  </si>
  <si>
    <t>XI MIPA 13</t>
  </si>
  <si>
    <t>XII MIPA 1</t>
  </si>
  <si>
    <t>XII MIPA 2</t>
  </si>
  <si>
    <t>XII MIPA 3</t>
  </si>
  <si>
    <t>XII MIPA 4</t>
  </si>
  <si>
    <t>XII MIPA 5</t>
  </si>
  <si>
    <t>XII MIPA 6</t>
  </si>
  <si>
    <t>XII MIPA 7</t>
  </si>
  <si>
    <t>XII MIPA 8</t>
  </si>
  <si>
    <t>XII MIPA 9</t>
  </si>
  <si>
    <t>XII MIPA 10</t>
  </si>
  <si>
    <t>XII MIPA 11</t>
  </si>
  <si>
    <t>XII MIPA 12</t>
  </si>
  <si>
    <t>Achmad Zuga Al Zhizha</t>
  </si>
  <si>
    <t>Affan Arvid Ramadhan</t>
  </si>
  <si>
    <t>Ahmad Nabil Zainuddin</t>
  </si>
  <si>
    <t>Ammar Abu Bakar</t>
  </si>
  <si>
    <t>Azkha Gibran Isnulhadi</t>
  </si>
  <si>
    <t>Belvan Muhammad Nizam</t>
  </si>
  <si>
    <t>Brian Hafizh Mariotama</t>
  </si>
  <si>
    <t>Damar Prabandono</t>
  </si>
  <si>
    <t>Fahrizal Harfi Rozan</t>
  </si>
  <si>
    <t>Faldy Ahnaf Rasendria</t>
  </si>
  <si>
    <t>Febriano Dzaki Aufaa Kumudani</t>
  </si>
  <si>
    <t>Feroz Shahrul Ramadhan</t>
  </si>
  <si>
    <t>Heza Habibie Agastya</t>
  </si>
  <si>
    <t>Junda Ahmad Sidiq</t>
  </si>
  <si>
    <t>Luthfi Khairul Ikhwan</t>
  </si>
  <si>
    <t>Maulana Abhy Khasyy</t>
  </si>
  <si>
    <t>Maulana Maalikul Fattah</t>
  </si>
  <si>
    <t>Muhammad Rio Armansyah</t>
  </si>
  <si>
    <t>Muhammad Adil Fathi Al Ghifari</t>
  </si>
  <si>
    <t>Muhammad Bayu Samodro</t>
  </si>
  <si>
    <t>Muhammad Dzaky Al-Aziz</t>
  </si>
  <si>
    <t>Muhammad Farhan Al-Muttaqin</t>
  </si>
  <si>
    <t>Muhammad Fauzan</t>
  </si>
  <si>
    <t>Muhammad Haikal Arfa Zackquinta</t>
  </si>
  <si>
    <t>Muhamad Ismail</t>
  </si>
  <si>
    <t>Muhammad Mirza Zill Haqqi</t>
  </si>
  <si>
    <t>Muhammad Rizky Zam Zam</t>
  </si>
  <si>
    <t>Muhammad Syahrir Shidiq Anwari</t>
  </si>
  <si>
    <t>Qazun Uzziella Savero</t>
  </si>
  <si>
    <t>Raffa Shidqi Rendragraha</t>
  </si>
  <si>
    <t>Raihan Dzaky Ahmad</t>
  </si>
  <si>
    <t>Raihan Pashadewa Gunnadi</t>
  </si>
  <si>
    <t>Siddiq Cahya Purnama</t>
  </si>
  <si>
    <t>Yusuf Aziz Nugroho</t>
  </si>
  <si>
    <t>Akira Muhammad Riano</t>
  </si>
  <si>
    <t>Abrar Najwan Al-Muntazhar</t>
  </si>
  <si>
    <t>Andra Surya Atmaja</t>
  </si>
  <si>
    <t>0076287158</t>
  </si>
  <si>
    <t>Ahmad Anas Khusaini</t>
  </si>
  <si>
    <t>0062480147</t>
  </si>
  <si>
    <t>Afifah Thohiroh</t>
  </si>
  <si>
    <t>0065545354</t>
  </si>
  <si>
    <t>Aila Rahima Qanita Heruningtyas</t>
  </si>
  <si>
    <t>0073561223</t>
  </si>
  <si>
    <t>Aisyah Azzahra</t>
  </si>
  <si>
    <t>0079221249</t>
  </si>
  <si>
    <t>Adinda Putri Salsabila</t>
  </si>
  <si>
    <t>0063551689</t>
  </si>
  <si>
    <t>Adilah Syamsa Hatmanti</t>
  </si>
  <si>
    <t>0072415012</t>
  </si>
  <si>
    <t>Aqilla Syifa' Ullinnas</t>
  </si>
  <si>
    <t>0084140355</t>
  </si>
  <si>
    <t>Alodia Juan Nabila</t>
  </si>
  <si>
    <t>0077736474</t>
  </si>
  <si>
    <t>Afifah Nur Inayah</t>
  </si>
  <si>
    <t>0062906378</t>
  </si>
  <si>
    <t>Adena Zahra Tohar</t>
  </si>
  <si>
    <t>Alma Abdillah Yanmar</t>
  </si>
  <si>
    <t>Addiin Fathurroyyan</t>
  </si>
  <si>
    <t>Ardaffi Fatihatul Insan</t>
  </si>
  <si>
    <t>0073619503</t>
  </si>
  <si>
    <t>Aldiansya Okta Permana Putra</t>
  </si>
  <si>
    <t>0074152316</t>
  </si>
  <si>
    <t>Aghnia Syifia Al-Kansa</t>
  </si>
  <si>
    <t>0072383075</t>
  </si>
  <si>
    <t>Aisha Rahmarinda Trianov</t>
  </si>
  <si>
    <t>0061764163</t>
  </si>
  <si>
    <t>Alya Aziza Anandari Santosa</t>
  </si>
  <si>
    <t>0077051269</t>
  </si>
  <si>
    <t>Aisha Avisya Zahra</t>
  </si>
  <si>
    <t>0078127501</t>
  </si>
  <si>
    <t>Ailsa Argavi Sekar Puri</t>
  </si>
  <si>
    <t>0073802477</t>
  </si>
  <si>
    <t>Aqilla Zalfa Maharani</t>
  </si>
  <si>
    <t>0064582530</t>
  </si>
  <si>
    <t>Anisah Hanin</t>
  </si>
  <si>
    <t>0077305448</t>
  </si>
  <si>
    <t>'Afiif 'Aliimuddiin Farhaany</t>
  </si>
  <si>
    <t>0068409115</t>
  </si>
  <si>
    <t xml:space="preserve">0051066572 </t>
  </si>
  <si>
    <t>Azza Bil-haq</t>
  </si>
  <si>
    <t>Ar Rizal Fiqr Cahyo Adi</t>
  </si>
  <si>
    <t>Azra Kayzeda Ozora Pascalazzamta</t>
  </si>
  <si>
    <t>0066976837</t>
  </si>
  <si>
    <t>Anggito Abimanyu Sutarno</t>
  </si>
  <si>
    <t>0079317408</t>
  </si>
  <si>
    <t>Aisyah Alifa Zahra Amatullah</t>
  </si>
  <si>
    <t>0061388444</t>
  </si>
  <si>
    <t>Angela Cantika Ulayya</t>
  </si>
  <si>
    <t>0077105150</t>
  </si>
  <si>
    <t>Amirah Zahratul Jannah</t>
  </si>
  <si>
    <t>0064026836</t>
  </si>
  <si>
    <t>Aliifahza Agustina Sularto</t>
  </si>
  <si>
    <t>0069842674</t>
  </si>
  <si>
    <t>Anez Tian Al Fatihah</t>
  </si>
  <si>
    <t>0073052234</t>
  </si>
  <si>
    <t>Aretha Khairana Gracella</t>
  </si>
  <si>
    <t>0071326568</t>
  </si>
  <si>
    <t>Carina Hiza Putri Prisila</t>
  </si>
  <si>
    <t>0061741046</t>
  </si>
  <si>
    <t>Alhimnie Rusydie</t>
  </si>
  <si>
    <t>0064834570</t>
  </si>
  <si>
    <t>Ahnaf Zuhair Farzaka</t>
  </si>
  <si>
    <t xml:space="preserve"> 'Aidah Hasna Syafi'ah</t>
  </si>
  <si>
    <t>0032967851</t>
  </si>
  <si>
    <t>Chaerul Altan Mandara Ramadhan</t>
  </si>
  <si>
    <t>Arkan Ramadhani Inayatullah</t>
  </si>
  <si>
    <t>Bima Adinata Hermawan</t>
  </si>
  <si>
    <t>0072511318</t>
  </si>
  <si>
    <t>Apisia Mauluda Muhammad</t>
  </si>
  <si>
    <t>0076169601</t>
  </si>
  <si>
    <t>Aleza Oney Syifa Haviant</t>
  </si>
  <si>
    <t>0072720437</t>
  </si>
  <si>
    <t>Arwika Anjarwi</t>
  </si>
  <si>
    <t>0085449773</t>
  </si>
  <si>
    <t>Aqila Najwani Syifa</t>
  </si>
  <si>
    <t>0077395685</t>
  </si>
  <si>
    <t>Alya Chairun Nisha Atmadja</t>
  </si>
  <si>
    <t>0063145513</t>
  </si>
  <si>
    <t>Ayu Sri Fitri Handayani</t>
  </si>
  <si>
    <t>0073840464</t>
  </si>
  <si>
    <t>Athifa Nur Raissya</t>
  </si>
  <si>
    <t>0073673033</t>
  </si>
  <si>
    <t>Destyaviant Miftakhul Adha Avianto</t>
  </si>
  <si>
    <t>0063463736</t>
  </si>
  <si>
    <t>Asy Syifa' Nurrohmah</t>
  </si>
  <si>
    <t>0067835546</t>
  </si>
  <si>
    <t>0052475664</t>
  </si>
  <si>
    <t>Chyco Dito Aji Winarto</t>
  </si>
  <si>
    <t>Ayyas Fathi Islam</t>
  </si>
  <si>
    <t>Dafa Gigih Pratama</t>
  </si>
  <si>
    <t>0079578428</t>
  </si>
  <si>
    <t>Azzamy Mufid</t>
  </si>
  <si>
    <t>0076958934</t>
  </si>
  <si>
    <t>Alik Khusna Rosyada</t>
  </si>
  <si>
    <t>3063347937</t>
  </si>
  <si>
    <t>Asih Rizki Masruroh</t>
  </si>
  <si>
    <t>0058217843</t>
  </si>
  <si>
    <t>Arsyila Zanith Tohar</t>
  </si>
  <si>
    <t>0074540882</t>
  </si>
  <si>
    <t>Andani Tyas Prahasti</t>
  </si>
  <si>
    <t>0069594755</t>
  </si>
  <si>
    <t>Bilqis Rofifa Afif Dhiya'Ulhaq</t>
  </si>
  <si>
    <t>0078623270</t>
  </si>
  <si>
    <t>Atthaya Rozan Nabil</t>
  </si>
  <si>
    <t>0064346067</t>
  </si>
  <si>
    <t>Fadia Nisrina</t>
  </si>
  <si>
    <t>0079065813</t>
  </si>
  <si>
    <t>Aulia Nur Fadila</t>
  </si>
  <si>
    <t>0078863799</t>
  </si>
  <si>
    <t>0057511366</t>
  </si>
  <si>
    <t>Aneira Mahsa Jenar</t>
  </si>
  <si>
    <t>Dimas Arjuna Septhiyan Zivana Putra</t>
  </si>
  <si>
    <t>Aziz Nuur Prasetyo</t>
  </si>
  <si>
    <t>Demas Adiasta Wijaya</t>
  </si>
  <si>
    <t>0075185919</t>
  </si>
  <si>
    <t>Barra Alfikar Risyawan Prakasa</t>
  </si>
  <si>
    <t>0062685617</t>
  </si>
  <si>
    <t>Alisya Hasna Afifah</t>
  </si>
  <si>
    <t>0073081332</t>
  </si>
  <si>
    <t>Enha Mahdiya Daaniys Luqyana</t>
  </si>
  <si>
    <t>0065459544</t>
  </si>
  <si>
    <t>Asma Qonitah Amatulloh</t>
  </si>
  <si>
    <t>0075785306</t>
  </si>
  <si>
    <t>Andrea Amelia Putri</t>
  </si>
  <si>
    <t>0075459105</t>
  </si>
  <si>
    <t>Daania Amelia Binte Abdullah</t>
  </si>
  <si>
    <t>0069984104</t>
  </si>
  <si>
    <t>Azka Nida Mumtazah</t>
  </si>
  <si>
    <t>0067569747</t>
  </si>
  <si>
    <t>Fadiya Khairunnisa Isnaini</t>
  </si>
  <si>
    <t>0062824629</t>
  </si>
  <si>
    <t>Bagas Rehan Alfazli</t>
  </si>
  <si>
    <t>0076858070</t>
  </si>
  <si>
    <t>Ardyan Bagas Trihutama</t>
  </si>
  <si>
    <t>Aufa Fawwaz Aryasatya</t>
  </si>
  <si>
    <t>0049277287</t>
  </si>
  <si>
    <t>Eijaz Altihami Hannania</t>
  </si>
  <si>
    <t>Bhimasya Fitroh Oktavian</t>
  </si>
  <si>
    <t>Elvanando Rizky Harianto</t>
  </si>
  <si>
    <t>0068096771</t>
  </si>
  <si>
    <t>Daffa Helga Adhyasta</t>
  </si>
  <si>
    <t>0068012555</t>
  </si>
  <si>
    <t>Allya Shafia Bimayatri</t>
  </si>
  <si>
    <t>0079520581</t>
  </si>
  <si>
    <t>Faathimah</t>
  </si>
  <si>
    <t>0071139702</t>
  </si>
  <si>
    <t>Aubrey Azzahra Putri Hatmanto</t>
  </si>
  <si>
    <t>0078266500</t>
  </si>
  <si>
    <t>Anindya Mufarrihati Sudarsono</t>
  </si>
  <si>
    <t>0079100459</t>
  </si>
  <si>
    <t>Danica Floretta Djatie</t>
  </si>
  <si>
    <t>0056180270</t>
  </si>
  <si>
    <t>Berliana Kusumastuti</t>
  </si>
  <si>
    <t>0073072309</t>
  </si>
  <si>
    <t>Fathona Aisya Az-Zahra</t>
  </si>
  <si>
    <t>0079500338</t>
  </si>
  <si>
    <t>Dina Artika Sari</t>
  </si>
  <si>
    <t>0064255561</t>
  </si>
  <si>
    <t>0046528038</t>
  </si>
  <si>
    <t>Falah Abdillah Priyono</t>
  </si>
  <si>
    <t>Daffa Abyan Yasykuri</t>
  </si>
  <si>
    <t>Emil Ananta Kautsar</t>
  </si>
  <si>
    <t>0076450163</t>
  </si>
  <si>
    <t>Daffa Yuza Faris Hidayat</t>
  </si>
  <si>
    <t>0064335333</t>
  </si>
  <si>
    <t>Aqilla Firyal Naila Nugroho</t>
  </si>
  <si>
    <t>0066829255</t>
  </si>
  <si>
    <t>Faizah Leyla Bunga Mecca</t>
  </si>
  <si>
    <t>0072494414</t>
  </si>
  <si>
    <t>Aulia Kayana Hari Putri</t>
  </si>
  <si>
    <t>0073950664</t>
  </si>
  <si>
    <t>Asma Nadia</t>
  </si>
  <si>
    <t>0076953010</t>
  </si>
  <si>
    <t>Deraya Ayu Wardani Walimmatul Akasah</t>
  </si>
  <si>
    <t>0087317508</t>
  </si>
  <si>
    <t>Danish Maitreya Maharsi</t>
  </si>
  <si>
    <t>0075705007</t>
  </si>
  <si>
    <t>Fauziyah Nur Azizah</t>
  </si>
  <si>
    <t>0076205012</t>
  </si>
  <si>
    <t>ELROY AFZAL FAUSTINO</t>
  </si>
  <si>
    <t>0076124456</t>
  </si>
  <si>
    <t>0056060162</t>
  </si>
  <si>
    <t xml:space="preserve">0054941655 </t>
  </si>
  <si>
    <t>Aniqah Salwa Salihah</t>
  </si>
  <si>
    <t>Fardhan Nida Islamy</t>
  </si>
  <si>
    <t>Dhani Bidaya Putrayudha Ibmuhakim</t>
  </si>
  <si>
    <t>Fadhillah Adnan Wirayudha</t>
  </si>
  <si>
    <t>0071959181</t>
  </si>
  <si>
    <t>David Abhivanykho Syahputra</t>
  </si>
  <si>
    <t>0073987508</t>
  </si>
  <si>
    <t>Atikah Nur Azizah</t>
  </si>
  <si>
    <t>0065207089</t>
  </si>
  <si>
    <t>Farah Syifa Khaleda</t>
  </si>
  <si>
    <t>0065222405</t>
  </si>
  <si>
    <t>Des Dinita Syachrani Panugroho</t>
  </si>
  <si>
    <t>0061055435</t>
  </si>
  <si>
    <t>Az Zahra Maia Ullil Faizah</t>
  </si>
  <si>
    <t>0074152722</t>
  </si>
  <si>
    <t>Fairuz Yumna Nafira</t>
  </si>
  <si>
    <t>0077133571</t>
  </si>
  <si>
    <t>Elia Elberca Centrino</t>
  </si>
  <si>
    <t>0074597036</t>
  </si>
  <si>
    <t>Filia Hasna Lutfiana</t>
  </si>
  <si>
    <t>0072786248</t>
  </si>
  <si>
    <t>Fasya Najwa Firdaus</t>
  </si>
  <si>
    <t>0062254767</t>
  </si>
  <si>
    <t>Farrell Abrar Zulfikar</t>
  </si>
  <si>
    <t>Eureka Alfa Kamil</t>
  </si>
  <si>
    <t>Faiq Nadhif Al Islamy</t>
  </si>
  <si>
    <t>0071041323</t>
  </si>
  <si>
    <t>Duta Rayyan Habibie</t>
  </si>
  <si>
    <t>0071605009</t>
  </si>
  <si>
    <t>Awwaluna Myrna Aryanti</t>
  </si>
  <si>
    <t>0079454815</t>
  </si>
  <si>
    <t>Fatikah Ayu Susilowati</t>
  </si>
  <si>
    <t>0073530437</t>
  </si>
  <si>
    <t>Febriana Aulia Putri Amor</t>
  </si>
  <si>
    <t>0074084903</t>
  </si>
  <si>
    <t>Chayla Adeeli Wijaya</t>
  </si>
  <si>
    <t>0078572582</t>
  </si>
  <si>
    <t>Fil Sophia Kakiet</t>
  </si>
  <si>
    <t>0077178881</t>
  </si>
  <si>
    <t>Fadhila Nadya Rafifah</t>
  </si>
  <si>
    <t>0067669651</t>
  </si>
  <si>
    <t>Herica Verdani Putri Medytian</t>
  </si>
  <si>
    <t>0076707323</t>
  </si>
  <si>
    <t>Fitri Nur Sifah</t>
  </si>
  <si>
    <t>0058825989</t>
  </si>
  <si>
    <t>0047731065</t>
  </si>
  <si>
    <t>3059070191</t>
  </si>
  <si>
    <t>Furaihan Al-Ghazali</t>
  </si>
  <si>
    <t>Faiz Arifianto</t>
  </si>
  <si>
    <t>Farel Zidan</t>
  </si>
  <si>
    <t>0074358665</t>
  </si>
  <si>
    <t>Fadhilah Rizal</t>
  </si>
  <si>
    <t>0071696699</t>
  </si>
  <si>
    <t xml:space="preserve"> 'Azizah Soffi Fadhilah</t>
  </si>
  <si>
    <t>0079291807</t>
  </si>
  <si>
    <t>Fawwas Salsabila Aini</t>
  </si>
  <si>
    <t>0075892937</t>
  </si>
  <si>
    <t>Halaawah Bilqis Athifah</t>
  </si>
  <si>
    <t>0071856660</t>
  </si>
  <si>
    <t>Delfina Ratna Paramita</t>
  </si>
  <si>
    <t>0079884993</t>
  </si>
  <si>
    <t>Fionna Acintya Fredella</t>
  </si>
  <si>
    <t>0063815545</t>
  </si>
  <si>
    <t>Fadhila Nur Latifah</t>
  </si>
  <si>
    <t>0065151089</t>
  </si>
  <si>
    <t>Isabel Abdad</t>
  </si>
  <si>
    <t>0067156921</t>
  </si>
  <si>
    <t>Khaifa Azzahra</t>
  </si>
  <si>
    <t>0062355914</t>
  </si>
  <si>
    <t>0066934370</t>
  </si>
  <si>
    <t>Ganendra Farrel Radityo Kusumo</t>
  </si>
  <si>
    <t>Fakhri Muafa Zaidan</t>
  </si>
  <si>
    <t>Farras Ramadhan Rizqi Setyawan</t>
  </si>
  <si>
    <t>0078382133</t>
  </si>
  <si>
    <t>Fadlan Wira Yudhawan</t>
  </si>
  <si>
    <t>0079644659</t>
  </si>
  <si>
    <t>Azka Fadhila</t>
  </si>
  <si>
    <t>0073583529</t>
  </si>
  <si>
    <t>Halwa Iffah Insani</t>
  </si>
  <si>
    <t>0079558283</t>
  </si>
  <si>
    <t>Jauza Yumna Aydrina</t>
  </si>
  <si>
    <t>0079732456</t>
  </si>
  <si>
    <t>Fairuz Cahaya Nafi'ah</t>
  </si>
  <si>
    <t>0079567977</t>
  </si>
  <si>
    <t>Griselda Dea Salwa Firdaus</t>
  </si>
  <si>
    <t>0068788027</t>
  </si>
  <si>
    <t>Fellacia Elora Hikmaya Prabowo</t>
  </si>
  <si>
    <t>0079672060</t>
  </si>
  <si>
    <t>Jasmin Amira Salsabila</t>
  </si>
  <si>
    <t>3079512605</t>
  </si>
  <si>
    <t>Markasih</t>
  </si>
  <si>
    <t>Fawwaz Muhamad</t>
  </si>
  <si>
    <t>Chantika Yaasmin A'bidah Tedja</t>
  </si>
  <si>
    <t>Gavindaffa Fairuz Sampe</t>
  </si>
  <si>
    <t>Ferdian Rafqi Salman</t>
  </si>
  <si>
    <t>Fathir Yudistira Aji Setiawan</t>
  </si>
  <si>
    <t>0071913844</t>
  </si>
  <si>
    <t>Faisal Ridha Zulhilmi</t>
  </si>
  <si>
    <t>0071662002</t>
  </si>
  <si>
    <t>Bilqis Sofianisa Assyawal</t>
  </si>
  <si>
    <t>0062465924</t>
  </si>
  <si>
    <t>Hanan Yumna Zakiyya</t>
  </si>
  <si>
    <t>0065678431</t>
  </si>
  <si>
    <t>Kanza Nayla Hartanto</t>
  </si>
  <si>
    <t>0062950747</t>
  </si>
  <si>
    <t>Ghaitsa Salsabila Shofa</t>
  </si>
  <si>
    <t>0073126962</t>
  </si>
  <si>
    <t>Hanannya Qurrotul'ain</t>
  </si>
  <si>
    <t>0078967384</t>
  </si>
  <si>
    <t>Ghina Haya Tsabita</t>
  </si>
  <si>
    <t>0079804301</t>
  </si>
  <si>
    <t>Jihan Nur Aqilla</t>
  </si>
  <si>
    <t>0065577003</t>
  </si>
  <si>
    <t>Muh. Ilham Hidayat</t>
  </si>
  <si>
    <t>3035309480</t>
  </si>
  <si>
    <t>Muhammad Aziz Hidayat</t>
  </si>
  <si>
    <t>Ib,nu Azis Allukman</t>
  </si>
  <si>
    <t>0058288476</t>
  </si>
  <si>
    <t>Jihan Sakdiatul Zahrah</t>
  </si>
  <si>
    <t>0046422908</t>
  </si>
  <si>
    <t>Hanania Farras</t>
  </si>
  <si>
    <t>Ghulam Dany Nasrullah</t>
  </si>
  <si>
    <t>Fatih Ahmad Ghifari</t>
  </si>
  <si>
    <t>0071653257</t>
  </si>
  <si>
    <t>Gindha Wishnu Ardhana</t>
  </si>
  <si>
    <t>0071216888</t>
  </si>
  <si>
    <t>Digta Adhelia Putri</t>
  </si>
  <si>
    <t>0078591147</t>
  </si>
  <si>
    <t>Hanifah Rasyidah</t>
  </si>
  <si>
    <t>0069477160</t>
  </si>
  <si>
    <t>Kayyis Fatia</t>
  </si>
  <si>
    <t>0062717134</t>
  </si>
  <si>
    <t>Ghaitsa Zahira Shofa</t>
  </si>
  <si>
    <t>0076046914</t>
  </si>
  <si>
    <t>Herlina Deviana</t>
  </si>
  <si>
    <t>0052814561</t>
  </si>
  <si>
    <t>Hanifah Fadhilatul Husna</t>
  </si>
  <si>
    <t>0072164384</t>
  </si>
  <si>
    <t>Marwa Mufida Mujinto</t>
  </si>
  <si>
    <t>0066142023</t>
  </si>
  <si>
    <t>Nabila Azka Al Khonsa</t>
  </si>
  <si>
    <t>0076477307</t>
  </si>
  <si>
    <t>3059862700</t>
  </si>
  <si>
    <t>Keitama Fakhri Wijaya</t>
  </si>
  <si>
    <t>Idhar Firdaus Perdana</t>
  </si>
  <si>
    <t>Fawwaz Akmal Kumara</t>
  </si>
  <si>
    <t>0066952890</t>
  </si>
  <si>
    <t>Hafidz Zamirul Nafly</t>
  </si>
  <si>
    <t>0077641870</t>
  </si>
  <si>
    <t>Fara Juan Riqada Aisyul Qoumi</t>
  </si>
  <si>
    <t>0063200326</t>
  </si>
  <si>
    <t>Hanna Khoirunisa Izzati</t>
  </si>
  <si>
    <t>0061329188</t>
  </si>
  <si>
    <t>Khairunnisa Salsabila Febriani</t>
  </si>
  <si>
    <t>0073074430</t>
  </si>
  <si>
    <t>Ilma Maulidya Camelia</t>
  </si>
  <si>
    <t>0066724303</t>
  </si>
  <si>
    <t>Keisha Aziza Nugroho</t>
  </si>
  <si>
    <t>0068662556</t>
  </si>
  <si>
    <t>Intan Putri Caesar Maheswari</t>
  </si>
  <si>
    <t>0061086022</t>
  </si>
  <si>
    <t>Mutia Azzahra Putri Afde Malinting</t>
  </si>
  <si>
    <t>0073963253</t>
  </si>
  <si>
    <t>Nabila Qonita Qurrota A'yun</t>
  </si>
  <si>
    <t>0079370068</t>
  </si>
  <si>
    <t>0055304249</t>
  </si>
  <si>
    <t>Kevin Keynes Octorian Wardono</t>
  </si>
  <si>
    <t>Ihya Akmal Karim</t>
  </si>
  <si>
    <t>Ifrando Juandika</t>
  </si>
  <si>
    <t>3078497228</t>
  </si>
  <si>
    <t>Helmi Arrafif Kanahaya</t>
  </si>
  <si>
    <t>0067899158</t>
  </si>
  <si>
    <t>Fika Maulidina Asyifa</t>
  </si>
  <si>
    <t>0079879802</t>
  </si>
  <si>
    <t>Hanum Khairun Nisa'</t>
  </si>
  <si>
    <t>0079140415</t>
  </si>
  <si>
    <t>Khalisha Rusydan Tsaqib</t>
  </si>
  <si>
    <t>0076363846</t>
  </si>
  <si>
    <t>Ines Salwa Putri</t>
  </si>
  <si>
    <t>0074316137</t>
  </si>
  <si>
    <t>Keisha Nova Azahra</t>
  </si>
  <si>
    <t>0074391520</t>
  </si>
  <si>
    <t>Kayla Ghaisani Nur</t>
  </si>
  <si>
    <t>0068496996</t>
  </si>
  <si>
    <t>Nafisah Nailal Husna</t>
  </si>
  <si>
    <t>0065142665</t>
  </si>
  <si>
    <t>Najwa Sulan Ramadhani</t>
  </si>
  <si>
    <t>0074719064</t>
  </si>
  <si>
    <t>Afifatul Khusna</t>
  </si>
  <si>
    <t>0056403113</t>
  </si>
  <si>
    <t>Navanya Salma Rabbani Haniputri</t>
  </si>
  <si>
    <t>0054791180</t>
  </si>
  <si>
    <t>0048685903</t>
  </si>
  <si>
    <t>Luqman Farros Abdurrohman</t>
  </si>
  <si>
    <t>Imad Rakan Huwaydi</t>
  </si>
  <si>
    <t>Muhammad Azril Maulana</t>
  </si>
  <si>
    <t>0077771504</t>
  </si>
  <si>
    <t>Ikmal</t>
  </si>
  <si>
    <t>0064895877</t>
  </si>
  <si>
    <t>Hanun Raya Nafisa</t>
  </si>
  <si>
    <t>0074273279</t>
  </si>
  <si>
    <t>Hasna Nafi'ah</t>
  </si>
  <si>
    <t>0062273483</t>
  </si>
  <si>
    <t>Naomi Tyar Novari</t>
  </si>
  <si>
    <t>0062862644</t>
  </si>
  <si>
    <t>Laudza Putrinadine Hayfa Candrakanti</t>
  </si>
  <si>
    <t>0069480794</t>
  </si>
  <si>
    <t>Keisya Grandiis Dara Nabila</t>
  </si>
  <si>
    <t>0069676034</t>
  </si>
  <si>
    <t>Khanti Kumalasari</t>
  </si>
  <si>
    <t>0069815865</t>
  </si>
  <si>
    <t>Najla Anlinna Putri</t>
  </si>
  <si>
    <t>0075559475</t>
  </si>
  <si>
    <t>Naura Nurutsani Hapsari</t>
  </si>
  <si>
    <t>0072427062</t>
  </si>
  <si>
    <t>Nayra Lunna Buanareti</t>
  </si>
  <si>
    <t>3051270188</t>
  </si>
  <si>
    <t>M Syaif Rahman Kemaladinata</t>
  </si>
  <si>
    <t>Jovanda Imam Al 'Thaf</t>
  </si>
  <si>
    <t>Muhammad Fathu Aziz Wibawa</t>
  </si>
  <si>
    <t>0064620045</t>
  </si>
  <si>
    <t>Kheiza Sheva Ramadhan</t>
  </si>
  <si>
    <t>0067683928</t>
  </si>
  <si>
    <t>Keysha Giralda Harnawan</t>
  </si>
  <si>
    <t>0063337622</t>
  </si>
  <si>
    <t>Istavania Nadia Mufid</t>
  </si>
  <si>
    <t>0074401506</t>
  </si>
  <si>
    <t>Nashwadila Warastri Rahatnuri</t>
  </si>
  <si>
    <t>0079654797</t>
  </si>
  <si>
    <t>Makayla Zabrina Purisani</t>
  </si>
  <si>
    <t>0075285484</t>
  </si>
  <si>
    <t>Lilis Setiyawati</t>
  </si>
  <si>
    <t>0076037932</t>
  </si>
  <si>
    <t>Magdalena Setya Putri</t>
  </si>
  <si>
    <t>0077370791</t>
  </si>
  <si>
    <t>Natiqa 'Aqila Ramadhani</t>
  </si>
  <si>
    <t>0065631750</t>
  </si>
  <si>
    <t>Putih Rafaellita Yesa Elana</t>
  </si>
  <si>
    <t>0071375838</t>
  </si>
  <si>
    <t>Neyre Lunna Buanareti</t>
  </si>
  <si>
    <t>0057761022</t>
  </si>
  <si>
    <t>Muhammad Akmal Hanif Arofa</t>
  </si>
  <si>
    <t>Lanang Elwas Khawaridzmi</t>
  </si>
  <si>
    <t>Muhammad Gilang Fahlian</t>
  </si>
  <si>
    <t>0075778757</t>
  </si>
  <si>
    <t>Muhammad Aditya Putra Bima Pratama</t>
  </si>
  <si>
    <t>0074005984</t>
  </si>
  <si>
    <t>Khansa Aulia Shabrina</t>
  </si>
  <si>
    <t>0138156209</t>
  </si>
  <si>
    <t>Khafifah Nisa' Arysta</t>
  </si>
  <si>
    <t>0061431799</t>
  </si>
  <si>
    <t>Nuur Rohmah Hakiim</t>
  </si>
  <si>
    <t>3071172856</t>
  </si>
  <si>
    <t>Maulida Nisrina Amru</t>
  </si>
  <si>
    <t>0073030005</t>
  </si>
  <si>
    <t>Mayla Arawinda Putri</t>
  </si>
  <si>
    <t>0079466693</t>
  </si>
  <si>
    <t>Mahdiya Rifaya Safa</t>
  </si>
  <si>
    <t>0073926963</t>
  </si>
  <si>
    <t>Nisrina Hasna Nur Izza</t>
  </si>
  <si>
    <t>0071824127</t>
  </si>
  <si>
    <t>Rohmatan Lil 'Alamin</t>
  </si>
  <si>
    <t>0079037586</t>
  </si>
  <si>
    <t>0044193368</t>
  </si>
  <si>
    <t>0056725680</t>
  </si>
  <si>
    <t>M. Guntur Faiz Prasetio</t>
  </si>
  <si>
    <t>Michael Zahron Aurellio</t>
  </si>
  <si>
    <t>M. Jamidi</t>
  </si>
  <si>
    <t>0076777213</t>
  </si>
  <si>
    <t>Muhammad Ammar Mu'aafii</t>
  </si>
  <si>
    <t>0067088704</t>
  </si>
  <si>
    <t>Khoirunisa Az Zahra</t>
  </si>
  <si>
    <t>0073535061</t>
  </si>
  <si>
    <t>Khairina Nashita Salim</t>
  </si>
  <si>
    <t>0078209334</t>
  </si>
  <si>
    <t>Ratu Balqis Muthia Rahma</t>
  </si>
  <si>
    <t>0078500076</t>
  </si>
  <si>
    <t>Mutiara Zalikha Purisani</t>
  </si>
  <si>
    <t>0074089366</t>
  </si>
  <si>
    <t>Nabila Naila Husna</t>
  </si>
  <si>
    <t>0064139308</t>
  </si>
  <si>
    <t>Nadiya Khoirunnisa</t>
  </si>
  <si>
    <t>0077162560</t>
  </si>
  <si>
    <t>Nurul Aini Atikah</t>
  </si>
  <si>
    <t>0064486712</t>
  </si>
  <si>
    <t>Said Abdullah</t>
  </si>
  <si>
    <t>3123125982</t>
  </si>
  <si>
    <t>Ridwanurauuf Brahmanto Tejo Pramono</t>
  </si>
  <si>
    <t>0046776042</t>
  </si>
  <si>
    <t>0051453256</t>
  </si>
  <si>
    <t>0059804113</t>
  </si>
  <si>
    <t>Muhammad Haidar Athallah</t>
  </si>
  <si>
    <t>Muhammad Faris Ichsanuddin</t>
  </si>
  <si>
    <t>Muhammad Zaaki Fadhillah</t>
  </si>
  <si>
    <t>0074418491</t>
  </si>
  <si>
    <t>Muhammad Arya Khoirulloh Nugroho</t>
  </si>
  <si>
    <t>0077968799</t>
  </si>
  <si>
    <t>Kisyha Rifan Maysi Putri</t>
  </si>
  <si>
    <t>0079624723</t>
  </si>
  <si>
    <t>Kharisma Jannatul Makwa</t>
  </si>
  <si>
    <t>0079437242</t>
  </si>
  <si>
    <t>Salsabila Assyifa Istiawan</t>
  </si>
  <si>
    <t>0077789315</t>
  </si>
  <si>
    <t>Nadila Putri Winata</t>
  </si>
  <si>
    <t>0072844868</t>
  </si>
  <si>
    <t>Nahiza Ara Ramadhani Putri</t>
  </si>
  <si>
    <t>0079113715</t>
  </si>
  <si>
    <t>Nadiya Shidqiya Hania</t>
  </si>
  <si>
    <t>0064591076</t>
  </si>
  <si>
    <t>Putri Andari Rahmania</t>
  </si>
  <si>
    <t>0077523470</t>
  </si>
  <si>
    <t>Syifa Amalia</t>
  </si>
  <si>
    <t>0061685398</t>
  </si>
  <si>
    <t>0053773851</t>
  </si>
  <si>
    <t>0052357037</t>
  </si>
  <si>
    <t>Muhammad Nafis Al Khalifi</t>
  </si>
  <si>
    <t>Muhammad Gaffar Abimanyu</t>
  </si>
  <si>
    <t>Muhammad Zulvan Nur</t>
  </si>
  <si>
    <t xml:space="preserve">0068380520	</t>
  </si>
  <si>
    <t>Muhammad Faturochman</t>
  </si>
  <si>
    <t>0077594966</t>
  </si>
  <si>
    <t>Latifah Musyifa' Nur Wardani</t>
  </si>
  <si>
    <t>0075356084</t>
  </si>
  <si>
    <t>Khofifa Dimelfa Saputri</t>
  </si>
  <si>
    <t>3070228720</t>
  </si>
  <si>
    <t>Sang Pradnya Ayu Mahesa</t>
  </si>
  <si>
    <t>0069542365</t>
  </si>
  <si>
    <t>Nokiacitra Amanda Kilano</t>
  </si>
  <si>
    <t>0077397758</t>
  </si>
  <si>
    <t>Nanda Trinadewi</t>
  </si>
  <si>
    <t>0079233121</t>
  </si>
  <si>
    <t>Nayla Khoirin</t>
  </si>
  <si>
    <t>0074227325</t>
  </si>
  <si>
    <t>Qonita Rumaisa Salma</t>
  </si>
  <si>
    <t>0077929561</t>
  </si>
  <si>
    <t>Trinty Kurnia Putri</t>
  </si>
  <si>
    <t>0063838455</t>
  </si>
  <si>
    <t>0047550264</t>
  </si>
  <si>
    <t>Nawal Wardatuz Zaini</t>
  </si>
  <si>
    <t xml:space="preserve">0053818820 </t>
  </si>
  <si>
    <t>0051197503</t>
  </si>
  <si>
    <t>Muhammad Nur Fa'iz</t>
  </si>
  <si>
    <t>Muhammad Haidar Az Zacky</t>
  </si>
  <si>
    <t>Naufal Army Esa Ariefian</t>
  </si>
  <si>
    <t>0076580698</t>
  </si>
  <si>
    <t>Muhammad Iqbal Sesar Wahyu Nugroho</t>
  </si>
  <si>
    <t>0067731156</t>
  </si>
  <si>
    <t>Meyla Putri Rahmadania</t>
  </si>
  <si>
    <t>0074668936</t>
  </si>
  <si>
    <t>Maritza Carolina Syahbani</t>
  </si>
  <si>
    <t>0065243957</t>
  </si>
  <si>
    <t>Sekar Asyifa Mustika Wening</t>
  </si>
  <si>
    <t>0079061303</t>
  </si>
  <si>
    <t>Rafida Athayana Muthmainnah</t>
  </si>
  <si>
    <t>0077083456</t>
  </si>
  <si>
    <t>Nevia Fadilah Zahra</t>
  </si>
  <si>
    <t>0069228913</t>
  </si>
  <si>
    <t>Rifqah Nailah Rasyid</t>
  </si>
  <si>
    <t>0076606914</t>
  </si>
  <si>
    <t>Rofilah Syifa Fadilatul Fitriyah</t>
  </si>
  <si>
    <t>0077168514</t>
  </si>
  <si>
    <t>Usama Az Zakhi</t>
  </si>
  <si>
    <t>0063569504</t>
  </si>
  <si>
    <t xml:space="preserve">0051648718 </t>
  </si>
  <si>
    <t>Naryama Rasya Athaillah</t>
  </si>
  <si>
    <t>Muhammad Rasyaad Habibie</t>
  </si>
  <si>
    <t>Raditya Aryo Wibowo</t>
  </si>
  <si>
    <t>0073802358</t>
  </si>
  <si>
    <t>Muhammad Raja' Asyraf</t>
  </si>
  <si>
    <t>0085810400</t>
  </si>
  <si>
    <t>Naailah A'ziizah Fatmawati</t>
  </si>
  <si>
    <t>0062357649</t>
  </si>
  <si>
    <t>Nabila Zahra Maliha Putri</t>
  </si>
  <si>
    <t>0077030848</t>
  </si>
  <si>
    <t>Shafira Maulidina</t>
  </si>
  <si>
    <t>0061388438</t>
  </si>
  <si>
    <t>Revalina Afroza Adani</t>
  </si>
  <si>
    <t xml:space="preserve">0073774484	</t>
  </si>
  <si>
    <t>Neisiya Olivia Rahma Zulfa</t>
  </si>
  <si>
    <t>0079299039</t>
  </si>
  <si>
    <t>Svetna Dayaningtyas</t>
  </si>
  <si>
    <t>0076002521</t>
  </si>
  <si>
    <t>Safira Nur Cahyani</t>
  </si>
  <si>
    <t>0075139563</t>
  </si>
  <si>
    <t>3046583781</t>
  </si>
  <si>
    <t>0045576520</t>
  </si>
  <si>
    <t>Pristya Ilyas Fadilah Majid</t>
  </si>
  <si>
    <t>Muhammad Rizqi Zainfani Putra</t>
  </si>
  <si>
    <t>Raffa Hayden Putra Hendrawan</t>
  </si>
  <si>
    <t>0073444927</t>
  </si>
  <si>
    <t>Naufal Fadliyan Rafly</t>
  </si>
  <si>
    <t>0071888011</t>
  </si>
  <si>
    <t>Nadifa Asharia Pasya</t>
  </si>
  <si>
    <t>0069706809</t>
  </si>
  <si>
    <t>Naifah Naura Zailani</t>
  </si>
  <si>
    <t>0075021503</t>
  </si>
  <si>
    <t>Shiva Cantika Pramuditha</t>
  </si>
  <si>
    <t>0077425357</t>
  </si>
  <si>
    <t>Sarah Amilati Hyacinta Pelangi</t>
  </si>
  <si>
    <t>0079315537</t>
  </si>
  <si>
    <t>Salsa Sagina</t>
  </si>
  <si>
    <t>0073934038</t>
  </si>
  <si>
    <t>Syahla Shafa Adilla</t>
  </si>
  <si>
    <t>0074857078</t>
  </si>
  <si>
    <t>Salma Mufida Mujinto</t>
  </si>
  <si>
    <t>0061618193</t>
  </si>
  <si>
    <t>Rasendriya Archy Waratmaja</t>
  </si>
  <si>
    <t>0046472565</t>
  </si>
  <si>
    <t>Zaky Isa Parahita Yusuf</t>
  </si>
  <si>
    <t>Rayhan Umar Azizihaq Ahmad</t>
  </si>
  <si>
    <t>Muhammad Triananda Putra Royyan</t>
  </si>
  <si>
    <t>Said Adli Fuadi</t>
  </si>
  <si>
    <t>0061161600</t>
  </si>
  <si>
    <t>Naufal Hafizh Rahman</t>
  </si>
  <si>
    <t>0074696087</t>
  </si>
  <si>
    <t>Naila Qurrota A'yun</t>
  </si>
  <si>
    <t>3071180694</t>
  </si>
  <si>
    <t>Najwa Shafiyyah Zahratunnisa</t>
  </si>
  <si>
    <t>0066374814</t>
  </si>
  <si>
    <t>Yura Aling Vatsabel Putri Andicha</t>
  </si>
  <si>
    <t>0076432263</t>
  </si>
  <si>
    <t>Shafa Aulia Yasmin Purohita</t>
  </si>
  <si>
    <t>0077395850</t>
  </si>
  <si>
    <t>Salsabila Beryl Calista Azzahra</t>
  </si>
  <si>
    <t>0077850885</t>
  </si>
  <si>
    <t>Syifa' Al Adzkya' Ash-Shodiqoh</t>
  </si>
  <si>
    <t>0077251146</t>
  </si>
  <si>
    <t>Salwa Aufani Darmastuti</t>
  </si>
  <si>
    <t>0066689161</t>
  </si>
  <si>
    <t>Talitha Sani Fawwaz</t>
  </si>
  <si>
    <t>0051097935</t>
  </si>
  <si>
    <t>Ridho Berlian Rosyid</t>
  </si>
  <si>
    <t>Muhammad Zaidan Iben Naufal</t>
  </si>
  <si>
    <t>Syahrial Syarif Hidayat</t>
  </si>
  <si>
    <t>0076586920</t>
  </si>
  <si>
    <t>Radja Scientist Rich</t>
  </si>
  <si>
    <t>0067338337</t>
  </si>
  <si>
    <t>Nayla Aurora Khairunnisa Andrian</t>
  </si>
  <si>
    <t>0074658235</t>
  </si>
  <si>
    <t>Nakeisha Ara Widarini</t>
  </si>
  <si>
    <t>0063536361</t>
  </si>
  <si>
    <t>Zaskia Aurella Handoyo</t>
  </si>
  <si>
    <t>0066724869</t>
  </si>
  <si>
    <t>Zana Alayya Bintang Laksita</t>
  </si>
  <si>
    <t>0065816127</t>
  </si>
  <si>
    <t>Sheilla Amalia Syakina</t>
  </si>
  <si>
    <t>0065772487</t>
  </si>
  <si>
    <t>Tazakka Salsabila</t>
  </si>
  <si>
    <t>0061618671</t>
  </si>
  <si>
    <t>Tsania Wildatinnabila</t>
  </si>
  <si>
    <t>0065469033</t>
  </si>
  <si>
    <t>0045442063</t>
  </si>
  <si>
    <t>Oriegano Kanahaya Siagian</t>
  </si>
  <si>
    <t>0051837216</t>
  </si>
  <si>
    <t>Ramanedi Barma</t>
  </si>
  <si>
    <t>Sabrina Yusrin Al Husna</t>
  </si>
  <si>
    <t>0044692299</t>
  </si>
  <si>
    <t>Rozzin Atsal Farizi Ramadhan</t>
  </si>
  <si>
    <t>Qois Ahmad</t>
  </si>
  <si>
    <t>Vipassa Raya Kresna</t>
  </si>
  <si>
    <t>0077010863</t>
  </si>
  <si>
    <t>Saloka Abimanyu Syarifudin</t>
  </si>
  <si>
    <t>0061719887</t>
  </si>
  <si>
    <t>Nazira Adina Rianti</t>
  </si>
  <si>
    <t>0067115948</t>
  </si>
  <si>
    <t>Naura Athaya Tsanindita</t>
  </si>
  <si>
    <t>0062752401</t>
  </si>
  <si>
    <t>Zahwa Laily Shalima</t>
  </si>
  <si>
    <t>0077169341</t>
  </si>
  <si>
    <t>Zakhiya Ramadhani Rusdi</t>
  </si>
  <si>
    <t>0066158069</t>
  </si>
  <si>
    <t>Mirza Anas Fauzi</t>
  </si>
  <si>
    <t>0054121932</t>
  </si>
  <si>
    <t>Muhammad Abiyyu Farhan</t>
  </si>
  <si>
    <t>0052248409</t>
  </si>
  <si>
    <t>Salman Al-Farisi</t>
  </si>
  <si>
    <t>Raditya Danish Nurrahmansyah</t>
  </si>
  <si>
    <t>Zein Fuadi Sirot</t>
  </si>
  <si>
    <t>0062526538</t>
  </si>
  <si>
    <t>Syarif Fadhlurohman</t>
  </si>
  <si>
    <t>0072718361</t>
  </si>
  <si>
    <t>Sabrina Al-Khansa</t>
  </si>
  <si>
    <t>0055566283</t>
  </si>
  <si>
    <t>Nayla Evelyn Zerlina Firdaus</t>
  </si>
  <si>
    <t>0079448295</t>
  </si>
  <si>
    <t>Zakiyyah Fitri Hasna</t>
  </si>
  <si>
    <t>0075462158</t>
  </si>
  <si>
    <t>Awzikni Anasykuro Nikmataka</t>
  </si>
  <si>
    <t>0062938627</t>
  </si>
  <si>
    <t>Sangaji Teguhdjati Kencono</t>
  </si>
  <si>
    <t>Rama Fieta Pratama</t>
  </si>
  <si>
    <t>Naafi Abhinaya</t>
  </si>
  <si>
    <t>0069011244</t>
  </si>
  <si>
    <t>Syauqi Dzul Rahman</t>
  </si>
  <si>
    <t>0067783456</t>
  </si>
  <si>
    <t>Silvya Lielyani Putri Mulyana</t>
  </si>
  <si>
    <t>0076403112</t>
  </si>
  <si>
    <t>Qonita Faiza Heryani</t>
  </si>
  <si>
    <t>0065355915</t>
  </si>
  <si>
    <t>Satrio Wibisono</t>
  </si>
  <si>
    <t>Realfitho Ridho</t>
  </si>
  <si>
    <t>Teuku Ramzi Rahmadi</t>
  </si>
  <si>
    <t>0079195406</t>
  </si>
  <si>
    <t>Syakira Rafida Zahri</t>
  </si>
  <si>
    <t>0072868159</t>
  </si>
  <si>
    <t>Safitri Wulandari</t>
  </si>
  <si>
    <t>0066869671</t>
  </si>
  <si>
    <t>Luthfi Adiyatma</t>
  </si>
  <si>
    <t>0052489884</t>
  </si>
  <si>
    <t>Titto Febry Pradana</t>
  </si>
  <si>
    <t>Reza Syah Putra Ramadhan</t>
  </si>
  <si>
    <t>Wahyudi Agani</t>
  </si>
  <si>
    <t>0075821612</t>
  </si>
  <si>
    <t>Villeta 'Ammara Putri</t>
  </si>
  <si>
    <t>0065251987</t>
  </si>
  <si>
    <t>Sausan Nisa Zhaafirah</t>
  </si>
  <si>
    <t>0071758341</t>
  </si>
  <si>
    <t>Naila Salsabila Arifin</t>
  </si>
  <si>
    <t>0063841454</t>
  </si>
  <si>
    <t>Wafi Yoga Pratama</t>
  </si>
  <si>
    <t>Rozan Muhammad Anggara Saecar</t>
  </si>
  <si>
    <t>Yoshio Faza Clearesta</t>
  </si>
  <si>
    <t>0063515956</t>
  </si>
  <si>
    <t>Yumna Zain</t>
  </si>
  <si>
    <t>0078865909</t>
  </si>
  <si>
    <t>Syifaul Auliya' Tashdiq</t>
  </si>
  <si>
    <t>0077532786</t>
  </si>
  <si>
    <t>Zainab Nabila Yasmin</t>
  </si>
  <si>
    <t>0063594409</t>
  </si>
  <si>
    <t>Tiara Aqila Kayana</t>
  </si>
  <si>
    <t>0073554291</t>
  </si>
  <si>
    <t>XII MIPA 13</t>
  </si>
  <si>
    <t>2022/2023</t>
  </si>
  <si>
    <t>17 Desember 2022</t>
  </si>
  <si>
    <t>Alfi Suryani Yusuf, S.Pd.</t>
  </si>
  <si>
    <t>2020 04 3 481</t>
  </si>
  <si>
    <t>Memiliki kemampuan menelaah teks serat Wedhatama pupuh Pangkur, namun perlu meningkatkan kemampuan menelaah teks sesorah</t>
  </si>
  <si>
    <t>Memiliki keterampilan menceritakan kembali teks deskriptif tentang rumah adat Jawa</t>
  </si>
  <si>
    <t>Memiliki kemampuan mengidentifikasi isi dan  sistematika surat lamaran pekerjaan yang dibaca, namun perlu peningkatan menganalisis  struktur dan kebahasaan teks editorial</t>
  </si>
  <si>
    <t xml:space="preserve">Memiliki keterampilan menyusun surat lamaran pekerjaan dengan memerhatikan isi, sistematika dan kebahasaan
</t>
  </si>
  <si>
    <t>Memiliki kemampuan mengidentifikasi informasi (pendapat, alternatif solusi  dan simpulan terhadap suatu isu) dalam teks editorial, namun perlu peningkatan menilai isi dua buku fiksi (kumpulan cerita pendek atau kumpulan puisi) dan satu buku pengayaan (nonfiksi) yang dibaca</t>
  </si>
  <si>
    <t>Memiliki kemampuan mengidentifikasi isi dan  sistematika surat lamaran pekerjaan yang dibaca, namun perlu peningkatan menilai isi dua buku fiksi (kumpulan cerita pendek atau kumpulan puisi) dan satu buku pengayaan (nonfiksi) yang dibaca</t>
  </si>
  <si>
    <t>Memiliki kemampuan Menganalisis proses pembelahan sel sebagai dasar penurunan sifat dari induk kepada keturunannya berdasarkan pengamatan, namun perlu peningkatan Menjelaskan pengaruh faktor internal dan faktor eksternal terhadap pertumbuhan dan perkembangan makhluk hidup</t>
  </si>
  <si>
    <t>Memiliki keterampilan Menyusun laporan hasil percobaan tentang mekanisme kerja enzim, fotosintesis dan respirasi aerob</t>
  </si>
  <si>
    <t>Memiliki kemampuan Menjelaskan proses metabolisme sebagai reaksi enzimatis dalam makhluk hidup, namun perlu peningkatan Menganalisis  keterkaitan antara struktur dan fungsi gen, DNA, kromosom dalam proses penurunan sifat pada mahluk hidup serta menerapkan prinsi-prinsip pewarisan sifat dalam kehidupan.</t>
  </si>
  <si>
    <t>Memiliki kemampuan Menjelaskan pengaruh faktor internal dan faktor eksternal terhadap pertumbuhan dan perkembangan makhluk hidup, namun perlu peningkatan Menganalisis  keterkaitan antara struktur dan fungsi gen, DNA, kromosom dalam proses penurunan sifat pada mahluk hidup serta menerapkan prinsi-prinsip pewarisan sifat dalam kehidupan.</t>
  </si>
  <si>
    <t>Memiliki kemampuan Menganalisis  keterkaitan antara struktur dan fungsi gen, DNA, kromosom dalam proses penurunan sifat pada mahluk hidup serta menerapkan prinsi-prinsip pewarisan sifat dalam kehidupan., namun perlu peningkatan Menjelaskan pengaruh faktor internal dan faktor eksternal terhadap pertumbuhan dan perkembangan makhluk hidup</t>
  </si>
  <si>
    <t>Memiliki kemampuan Menjelaskan pengaruh faktor internal dan faktor eksternal terhadap pertumbuhan dan perkembangan makhluk hidup, namun perlu peningkatan Menjelaskan pengaruh faktor internal dan faktor eksternal terhadap pertumbuhan dan perkembangan makhluk hidup</t>
  </si>
  <si>
    <t>Memiliki kemampuan membedakan fungsi sosial, struktur teks, dan unsur kebahasaan beberapa teks khusus dalam bentuk teks caption, dengan memberi informasi terkait gambar /foto /tabel/ grafik/ bagan, sesuai dengan konteks penggunaannya, namun perlu peningkatan Membedakan fungsi sosial, struktur teks, dan unsur kebahasaan beberapa teks news item lisan dan tulis dengan memberi dan meminta informasi terkait berita sederhana dari koran/radio/TV, sesuai dengan konteks penggunaannya.</t>
  </si>
  <si>
    <t xml:space="preserve">Memiliki keterampilan menangkap makna secara kontekstual terkait fungsi sosial, struktur teks, dan unsur kebahasaan teks khusus dalam bentuk caption terkait gambar/foto/ tabel/grafik/ bagan. menyusun teks khusus dalam bentuk teks caption terkait gambar/foto/ tabel/grafik/bagan, dengan memperhatikan fungsi sosial, struktur teks, dan unsur kebahasaan, secara benar dan sesuai konteks                                                                                  </t>
  </si>
  <si>
    <t>Memiliki kemampuan membedakan fungsi sosial, struktur teks, dan unsur kebahasaan beberapa teks explanation lisan dan tulis dengan memberi dan meminta informasi terkait gejala alam atau sosial yang tercakup dalam mata pelajaran lain di kelas XII, sesuai dengan konteks penggunaannya, namun perlu peningkatan membedakan fungsi sosial, struktur teks, dan unsur kebahasaan beberapa teks khusus dalam bentuk teks caption, dengan memberi informasi terkait gambar /foto /tabel/ grafik/ bagan, sesuai dengan konteks penggunaannya</t>
  </si>
  <si>
    <t>Memiliki kemampuan membedakan fungsi sosial, struktur teks, dan unsur kebahasaan beberapa teks khusus dalam bentuk teks caption, dengan memberi informasi terkait gambar /foto /tabel/ grafik/ bagan, sesuai dengan konteks penggunaannya, namun perlu peningkatan membedakan fungsi sosial, struktur teks, dan unsur kebahasaan beberapa teks khusus dalam bentuk surat lamaran kerja, dengan memberi dan meminta informasi terkait jati diri, latar belakang pendidikan/pengalaman kerja, sesuai dengan konteks penggunaannya pendidikan/pengalaman kerja, sesuai dengan konteks penggunaannya</t>
  </si>
  <si>
    <t>Memiliki kemampuan membedakan fungsi sosial, struktur teks, dan unsur kebahasaan beberapa teks khusus dalam bentuk teks caption, dengan memberi informasi terkait gambar /foto /tabel/ grafik/ bagan, sesuai dengan konteks penggunaannya, namun perlu peningkatan membedakan fungsi sosial, struktur teks, dan unsur kebahasaan beberapa teks explanation lisan dan tulis dengan memberi dan meminta informasi terkait gejala alam atau sosial yang tercakup dalam mata pelajaran lain di kelas XII, sesuai dengan konteks penggunaannya</t>
  </si>
  <si>
    <t>Memiliki kemampuan Membedakan fungsi sosial, struktur teks, dan unsur kebahasaan beberapa teks news item lisan dan tulis dengan memberi dan meminta informasi terkait berita sederhana dari koran/radio/TV, sesuai dengan konteks penggunaannya., namun perlu peningkatan membedakan fungsi sosial, struktur teks, dan unsur kebahasaan beberapa teks khusus dalam bentuk surat lamaran kerja, dengan memberi dan meminta informasi terkait jati diri, latar belakang pendidikan/pengalaman kerja, sesuai dengan konteks penggunaannya pendidikan/pengalaman kerja, sesuai dengan konteks penggunaannya</t>
  </si>
  <si>
    <t>Memiliki kemampuan membedakan fungsi sosial, struktur teks, dan unsur kebahasaan beberapa teks explanation lisan dan tulis dengan memberi dan meminta informasi terkait gejala alam atau sosial yang tercakup dalam mata pelajaran lain di kelas XII, sesuai dengan konteks penggunaannya, namun perlu peningkatan Membedakan fungsi sosial, struktur teks, dan unsur kebahasaan beberapa teks news item lisan dan tulis dengan memberi dan meminta informasi terkait berita sederhana dari koran/radio/TV, sesuai dengan konteks penggunaannya.</t>
  </si>
  <si>
    <t>Memiliki kemampuan Membedakan fungsi sosial, struktur teks, dan unsur kebahasaan beberapa teks news item lisan dan tulis dengan memberi dan meminta informasi terkait berita sederhana dari koran/radio/TV, sesuai dengan konteks penggunaannya., namun perlu peningkatan membedakan fungsi sosial, struktur teks, dan unsur kebahasaan beberapa teks explanation lisan dan tulis dengan memberi dan meminta informasi terkait gejala alam atau sosial yang tercakup dalam mata pelajaran lain di kelas XII, sesuai dengan konteks penggunaannya</t>
  </si>
  <si>
    <t>Memiliki kemampuan memahami proses perencanaan usaha produk teknologi terapan , namun perlu peningkatan menganalisis sistem produksi usaha peralatan teknologi terapan</t>
  </si>
  <si>
    <t>Memiliki keterampilan menyusun perencanaan usaha produk teknologi terapan</t>
  </si>
  <si>
    <t xml:space="preserve">Memiliki kemampuan menganalisis sistem produksi usaha peralatan teknologi terapan, namun perlu peningkatan memahami proses perencanaan usaha produk teknologi terapan </t>
  </si>
  <si>
    <t>Memiliki keterampilan memproduksi peralatan teknologi terapan</t>
  </si>
  <si>
    <t>Memiliki kemampuan membedakan sifat koligatif larutan elektrolit dan larutan nonelektrolit., namun perlu peningkatan menerapkan hukum/aturan dalam perhitungan terkait sel elektrokimia</t>
  </si>
  <si>
    <t>Memiliki keterampilan menyajikan hasil analisis berdasarkan data percobaan terkait penurunan  tekanan uap, kenaikan titik didih, penurunan titik beku, dan tekanan osmosis larutan.</t>
  </si>
  <si>
    <t>Memiliki kemampuan menganalisis penyebab adanya fenomena sifat koligatif larutan pada penurunan tekanan uap, kenaikan titik didih, penurunan titik beku dan tekanan osmosis., namun perlu peningkatan menganalisis faktor-faktor yang mempengaruhi terjadinya korosi dan  mengajukan ide/gagasan untuk mengatasinya.</t>
  </si>
  <si>
    <t>Memiliki kemampuan mengevaluasi gejala atau proses yang terjadi dalam contoh sel elektrokimia (sel volta dan sel elektrolisis) yang digunakan dalam kehidupan. , namun perlu peningkatan menerapkan hukum/aturan dalam perhitungan terkait sel elektrokimia</t>
  </si>
  <si>
    <t>Memiliki kemampuan menganalisis penyebab adanya fenomena sifat koligatif larutan pada penurunan tekanan uap, kenaikan titik didih, penurunan titik beku dan tekanan osmosis., namun perlu peningkatan menerapkan hukum/aturan dalam perhitungan terkait sel elektrokimia</t>
  </si>
  <si>
    <t>Memiliki kemampuan menerapkan hukum/aturan dalam perhitungan terkait sel elektrokimia, namun perlu peningkatan menganalisis faktor-faktor yang mempengaruhi terjadinya korosi dan  mengajukan ide/gagasan untuk mengatasinya.</t>
  </si>
  <si>
    <t>Memiliki kemampuan menganalisis penyebab adanya fenomena sifat koligatif larutan pada penurunan tekanan uap, kenaikan titik didih, penurunan titik beku dan tekanan osmosis., namun perlu peningkatan membedakan sifat koligatif larutan elektrolit dan larutan nonelektrolit.</t>
  </si>
  <si>
    <t>Memiliki kemampuan menganalisis faktor-faktor yang mempengaruhi terjadinya korosi dan  mengajukan ide/gagasan untuk mengatasinya., namun perlu peningkatan menerapkan hukum/aturan dalam perhitungan terkait sel elektrokimia</t>
  </si>
  <si>
    <t>Memiliki kemampuan menerapkan hukum/aturan dalam perhitungan terkait sel elektrokimia, namun perlu peningkatan menganalisis penyebab adanya fenomena sifat koligatif larutan pada penurunan tekanan uap, kenaikan titik didih, penurunan titik beku dan tekanan osmosis.</t>
  </si>
  <si>
    <t>Memiliki kemampuan membedakan sifat koligatif larutan elektrolit dan larutan nonelektrolit., namun perlu peningkatan menganalisis struktur, tata nama, sifat dan kegunaan senyawa karbon (halo alkana, alkanol, alkoksi alkana, alkanal, alkanon, asam alkanoat, dan alkil alkanoat</t>
  </si>
  <si>
    <t>Memiliki kemampuan menganalisis faktor-faktor yang mempengaruhi terjadinya korosi dan  mengajukan ide/gagasan untuk mengatasinya., namun perlu peningkatan membedakan sifat koligatif larutan elektrolit dan larutan nonelektrolit.</t>
  </si>
  <si>
    <t>Memiliki kemampuan menganalisis struktur, tata nama, sifat dan kegunaan senyawa karbon (halo alkana, alkanol, alkoksi alkana, alkanal, alkanon, asam alkanoat, dan alkil alkanoat, namun perlu peningkatan menerapkan hukum/aturan dalam perhitungan terkait sel elektrokimia</t>
  </si>
  <si>
    <t>Memiliki kemampuan menerapkan hukum/aturan dalam perhitungan terkait sel elektrokimia, namun perlu peningkatan membedakan sifat koligatif larutan elektrolit dan larutan nonelektrolit.</t>
  </si>
  <si>
    <t>Memiliki kemampuan membedakan sifat koligatif larutan elektrolit dan larutan nonelektrolit., namun perlu peningkatan menganalisis faktor-faktor yang mempengaruhi terjadinya korosi dan  mengajukan ide/gagasan untuk mengatasinya.</t>
  </si>
  <si>
    <t>Memiliki kemampuan menganalisis faktor-faktor yang mempengaruhi terjadinya korosi dan  mengajukan ide/gagasan untuk mengatasinya., namun perlu peningkatan menganalisis penyebab adanya fenomena sifat koligatif larutan pada penurunan tekanan uap, kenaikan titik didih, penurunan titik beku dan tekanan osmosis.</t>
  </si>
  <si>
    <t>Memiliki kemampuan menganalisis struktur, tata nama, sifat dan kegunaan senyawa karbon (halo alkana, alkanol, alkoksi alkana, alkanal, alkanon, asam alkanoat, dan alkil alkanoat, namun perlu peningkatan menganalisis faktor-faktor yang mempengaruhi terjadinya korosi dan  mengajukan ide/gagasan untuk mengatasinya.</t>
  </si>
  <si>
    <t xml:space="preserve">Memiliki kemampuan membedakan sifat koligatif larutan elektrolit dan larutan nonelektrolit., namun perlu peningkatan mengevaluasi gejala atau proses yang terjadi dalam contoh sel elektrokimia (sel volta dan sel elektrolisis) yang digunakan dalam kehidupan. </t>
  </si>
  <si>
    <t>Memiliki kemampuan Menjelaskan dan menentukan limit fungsi trigonometri, namun perlu peningkatan Menjelaskan keberkaitan turunan pertama dan kedua fungsi dengan nilai maksimum, nilai minimum, selang kemonotonan fungsi, kemiringan garis singgung serta titik belok dan selang kecekungan kurva fungsi trigonometri</t>
  </si>
  <si>
    <t>Memiliki keterampilan Menyelesaikan masalah yang berkaitan dengan nilai maksimum, nilai minimum, selang kemonotonan fungsi, dan kemiringan garis singgung serta titik belok dan selang kecekungan kurva fungsi trigonometri</t>
  </si>
  <si>
    <t>Memiliki kemampuan Menjelaskan dan menentukan limit ketakhinggan pada fungsi aljabar dan fungsi trigonometri, namun perlu peningkatan Menjelaskan keberkaitan turunan pertama dan kedua fungsi dengan nilai maksimum, nilai minimum, selang kemonotonan fungsi, kemiringan garis singgung serta titik belok dan selang kecekungan kurva fungsi trigonometri</t>
  </si>
  <si>
    <t>Memiliki kemampuan Menggunakan prinsip turunan    ke fungsi trigonometri sederhana, namun perlu peningkatan Menjelaskan keberkaitan turunan pertama dan kedua fungsi dengan nilai maksimum, nilai minimum, selang kemonotonan fungsi, kemiringan garis singgung serta titik belok dan selang kecekungan kurva fungsi trigonometri</t>
  </si>
  <si>
    <t>Memiliki kemampuan Menjelaskan dan menentukan limit fungsi trigonometri, namun perlu peningkatan Menjelaskan dan menentukan limit ketakhinggan pada fungsi aljabar dan fungsi trigonometri</t>
  </si>
  <si>
    <t>Memiliki kemampuan Menjelaskan keberkaitan turunan pertama dan kedua fungsi dengan nilai maksimum, nilai minimum, selang kemonotonan fungsi, kemiringan garis singgung serta titik belok dan selang kecekungan kurva fungsi trigonometri, namun perlu peningkatan Menjelaskan dan menentukan limit ketakhinggan pada fungsi aljabar dan fungsi trigonometri</t>
  </si>
  <si>
    <t>Memiliki kemampuan Menjelaskan dan menentukan limit fungsi trigonometri, namun perlu peningkatan Menggunakan prinsip turunan    ke fungsi trigonometri sederhana</t>
  </si>
  <si>
    <t>Memiliki kemampuan Menjelaskan dan menentukan limit ketakhinggan pada fungsi aljabar dan fungsi trigonometri, namun perlu peningkatan Menggunakan prinsip turunan    ke fungsi trigonometri sederhana</t>
  </si>
  <si>
    <t>Memiliki kemampuan Menjelaskan dan menentukan limit ketakhinggan pada fungsi aljabar dan fungsi trigonometri, namun perlu peningkatan Menjelaskan dan menentukan limit fungsi trigonometri</t>
  </si>
  <si>
    <t>Memiliki kemampuan Menentukan dan menganalisis ukuran pemusatan dan penyebaran data yang disajikan dalam bentuk tabel distribusi frekuensi dan histogram, namun perlu peningkatan Mendeskripsikan jarak dalam ruang (antar titik, titik ke garis, dan titik ke bidang)</t>
  </si>
  <si>
    <t>Memiliki keterampilan Menentukan dan menganalisis ukuran pemusatan dan penyebaran data yang disajikan dalam bentuk tabel distribusi frekuensi dan histogram</t>
  </si>
  <si>
    <t>Memiliki kemampuan Mendeskripsikan jarak dalam ruang (antar titik, titik ke garis, dan titik ke bidang), namun perlu peningkatan Menentukan dan menganalisis ukuran pemusatan dan penyebaran data yang disajikan dalam bentuk tabel distribusi frekuensi dan histogram</t>
  </si>
  <si>
    <t>Memiliki keterampilan Mendeskripsikan jarak dalam ruang (antar titik, titik ke garis, dan titik ke bidang)</t>
  </si>
  <si>
    <t>Memiliki kemampuan Menganalisis dan mengevaluasi makna Q.S. Ali Imran/3: 190-191, dan Q.S. Ali Imran/3: 159, serta hadis tentang, berpikir kritis dan bersikap demokratis., namun perlu peningkatan Menganalisis dan mengevaluasi makna Q.S. Luqman/31: 13-14 dan Q.S. al-Baqarah/2: 83, serta hadis  tentang kewajiban beribadah dan bersyukur kepada Allah dan berbuat baik kepada sesama manusia.</t>
  </si>
  <si>
    <t>Memiliki keterampilan Menyajikan keterkaitan antara kewajiban beribadah dan bersyukur kepada Allah dengan berbuat baik terhadap sesama manusia sesuai pesan Q.S. Luqman/31: 13-14 dan Q.S. al-Baqarah/2: 83 .</t>
  </si>
  <si>
    <t>Memiliki kemampuan menganalisis medan magnetik, induksi magnetik, dan gaya magnetik pada berbagai produk teknologi, namun perlu peningkatan menganalisis prinsip kerja peralatan listrik searah (DC) berikut keselamatannya dalam kehidupan sehari-hari</t>
  </si>
  <si>
    <t>Memiliki keterampilan melakukan percobaan tentang induksi magnetik dan gaya magnetik disekitar kawat berarus listrik berikut presentasi hasilnya</t>
  </si>
  <si>
    <t>Memiliki kemampuan menganalisis medan magnetik, induksi magnetik, dan gaya magnetik pada berbagai produk teknologi, namun perlu peningkatan menganalisis muatan listrik, gaya listrik, kuat medan listrik, fluks, potensial listrik, energi potensial listrik serta penerapannya pada berbagai kasus</t>
  </si>
  <si>
    <t>Memiliki kemampuan menganalisis prinsip kerja peralatan listrik searah (DC) berikut keselamatannya dalam kehidupan sehari-hari, namun perlu peningkatan menganalisis fenomena induksi elektromagnetik dalam kehidupan sehari-hari</t>
  </si>
  <si>
    <t>Memiliki kemampuan menganalisis fenomena induksi elektromagnetik dalam kehidupan sehari-hari, namun perlu peningkatan menganalisis prinsip kerja peralatan listrik searah (DC) berikut keselamatannya dalam kehidupan sehari-hari</t>
  </si>
  <si>
    <t>Memiliki kemampuan menganalisis medan magnetik, induksi magnetik, dan gaya magnetik pada berbagai produk teknologi, namun perlu peningkatan menganalisis fenomena induksi elektromagnetik dalam kehidupan sehari-hari</t>
  </si>
  <si>
    <t>Memiliki kemampuan menganalisis prinsip kerja peralatan listrik searah (DC) berikut keselamatannya dalam kehidupan sehari-hari, namun perlu peningkatan menganalisis muatan listrik, gaya listrik, kuat medan listrik, fluks, potensial listrik, energi potensial listrik serta penerapannya pada berbagai kasus</t>
  </si>
  <si>
    <t>Memiliki kemampuan menganalisis fenomena induksi elektromagnetik dalam kehidupan sehari-hari, namun perlu peningkatan menganalisis muatan listrik, gaya listrik, kuat medan listrik, fluks, potensial listrik, energi potensial listrik serta penerapannya pada berbagai kasus</t>
  </si>
  <si>
    <t>Memiliki kemampuan menganalisis fenomena induksi elektromagnetik dalam kehidupan sehari-hari, namun perlu peningkatan menganalisis medan magnetik, induksi magnetik, dan gaya magnetik pada berbagai produk teknologi</t>
  </si>
  <si>
    <t>Memiliki kemampuan menganalisis muatan listrik, gaya listrik, kuat medan listrik, fluks, potensial listrik, energi potensial listrik serta penerapannya pada berbagai kasus, namun perlu peningkatan menganalisis fenomena induksi elektromagnetik dalam kehidupan sehari-hari</t>
  </si>
  <si>
    <t>Memiliki kemampuan menganalisis muatan listrik, gaya listrik, kuat medan listrik, fluks, potensial listrik, energi potensial listrik serta penerapannya pada berbagai kasus, namun perlu peningkatan menganalisis medan magnetik, induksi magnetik, dan gaya magnetik pada berbagai produk teknologi</t>
  </si>
  <si>
    <t>Memiliki kemampuan menganalisis prinsip kerja peralatan listrik searah (DC) berikut keselamatannya dalam kehidupan sehari-hari, namun perlu peningkatan menganalisis medan magnetik, induksi magnetik, dan gaya magnetik pada berbagai produk teknologi</t>
  </si>
  <si>
    <t>Memiliki kemampuan mengevaluasi praktik perlindungan dan penegakan hukum untuk menjamin keadilan dan kedamaian, namun perlu peningkatan menganalisis nilai-nilai Pancasila terkait dengan kasus-kasus pelanggaran hak dan pengingkaran kewajiban warga negara dalam kehidupan berbangsa dan bernegara</t>
  </si>
  <si>
    <t>Memiliki keterampilan mendemonstrasikan hasil evaluasi praktik perlindungan dan penegakan hukum untuk menjamin keadilan dan kedamaian</t>
  </si>
  <si>
    <t>Memiliki kemampuan menganalisis nilai-nilai Pancasila terkait dengan kasus-kasus pelanggaran hak dan pengingkaran kewajiban warga negara dalam kehidupan berbangsa dan bernegara, namun perlu peningkatan mengevaluasi praktik perlindungan dan penegakan hukum untuk menjamin keadilan dan kedamaian</t>
  </si>
  <si>
    <t>memiliki kemampuan menelaah karya seni rupa dua dimensi menggunakan media perangkat lunak maupun menggunakan media kertas</t>
  </si>
  <si>
    <t>memiliki keterampilan membuat karya seni rupa dua dimensi menggunakan media perangkat lunak maupun menggunakan media kertas</t>
  </si>
  <si>
    <t>Memiliki kemampuan menganalisis upaya bangsa Indonesia dalam menghadapi ancaman disintegrasi bangsa antara lain PKI Madiun 1948, DI/TII, APRA, Andi Aziz, RMS, PRRI, Permesta, G-30-S/PKI, namun perlu peningkatan menganalisis perkembangan kehidupan politik dan ekonomi Bangsa Indonesia pada masa awal kemerdekaan sampai masa Demokrasi Liberal</t>
  </si>
  <si>
    <t>Memiliki keterampilan merekonstruksi upaya bangsa Indonesia dalam menghadapi ancaman disintegrasi bangsa dan menyajikannya dalam bentuk cerita sejarah</t>
  </si>
  <si>
    <t>Memiliki kemampuan menganalisis perkembangan kehidupan politik dan ekonomi Bangsa Indonesia pada masa awal kemerdekaan sampai masa Demokrasi Liberal, namun perlu peningkatan menganalisis upaya bangsa Indonesia dalam menghadapi ancaman disintegrasi bangsa antara lain PKI Madiun 1948, DI/TII, APRA, Andi Aziz, RMS, PRRI, Permesta, G-30-S/PKI</t>
  </si>
  <si>
    <t>Peserta didik terampil membuat pionering, mampu menguasai gerakan PBB dan mengetahui salah satu kesenian daerah</t>
  </si>
  <si>
    <t>Peserta didik mampu mengikuti kegiatan ekstrakurikuler IT club dengan baik</t>
  </si>
  <si>
    <t>Peserta didik mampu mengikuti kegiatan ekstrakurikuler basket dengan amat baik</t>
  </si>
  <si>
    <t>Peserta didik mampu mengikuti kegiatan ekstrakurikuler basket dengan baik</t>
  </si>
  <si>
    <t>Peserta didik mampu mengikuti kegiatan ekstrakurikuler futsal dengan amat baik</t>
  </si>
  <si>
    <t>Peserta didik mampu mengikuti kegiatan ekstrakurikuler english club dengan amat baik</t>
  </si>
  <si>
    <t>Peserta didik mampu mengikuti kegiatan ekstrakurikuler airsoft gun dengan baik</t>
  </si>
  <si>
    <t>Peserta didik mampu mengikuti kegiatan ekstrakurikuler fotografi dengan baik</t>
  </si>
  <si>
    <t>Peserta didik mampu mengikuti kegiatan ekstrakurikuler voli dengan baik</t>
  </si>
  <si>
    <t>Peserta didik mampu mengikuti kegiatan ekstrakurikuler badminton dengan baik</t>
  </si>
  <si>
    <t>Peserta didik mampu mengikuti kegiatan ekstrakurikuler akustik dengan baik</t>
  </si>
  <si>
    <t>Peserta didik mampu mengikuti kegiatan ekstrakurikuler taekwondo dengan baik</t>
  </si>
  <si>
    <t>Peserta didik mampu mengikuti kegiatan ekstrakurikuler manga dengan baik</t>
  </si>
  <si>
    <t>Peserta didik mampu mengikuti kegiatan ekstrakurikuler voli dengan amat baik</t>
  </si>
  <si>
    <t>Peserta didik mampu mengikuti kegiatan ekstrakurikuler karate dengan baik</t>
  </si>
  <si>
    <t>Peserta didik mampu mengikuti kegiatan ekstrakurikuler futsal dengan baik</t>
  </si>
  <si>
    <t>Peserta didik mampu mengikuti kegiatan ekstrakurikuler video editing dengan amat baik</t>
  </si>
  <si>
    <t>Peserta didik mampu mengikuti kegiatan ekstrakurikuler badminton dengan amat baik</t>
  </si>
  <si>
    <t>IT Club</t>
  </si>
  <si>
    <t>Basket</t>
  </si>
  <si>
    <t>Futsal</t>
  </si>
  <si>
    <t>English Club</t>
  </si>
  <si>
    <t>Airsoft Gun</t>
  </si>
  <si>
    <t>Fotografi</t>
  </si>
  <si>
    <t>Voli</t>
  </si>
  <si>
    <t>Badminton</t>
  </si>
  <si>
    <t>Akustik</t>
  </si>
  <si>
    <t>Taekwondo</t>
  </si>
  <si>
    <t>Manga</t>
  </si>
  <si>
    <t>Karate</t>
  </si>
  <si>
    <t>Video Editing</t>
  </si>
  <si>
    <t>Mengikuti rutinitas ibadah dengan tertib dan mengamalkan nilai-nilai agama dalam kegiatan pembelajaran.</t>
  </si>
  <si>
    <t>Mengikuti rutinitas ibadah dengan baik dan mengamalkan nilai-nilai agama dalam kegiatan pembelajaran.</t>
  </si>
  <si>
    <t>Peserta didik sudah mampu menempatkan diri dengan baik. Pertahankan kepribadian yang mampu menggerakkan teman-teman dalam kebaikan.</t>
  </si>
  <si>
    <t>Memiliki kemampuan menerapkan fungsi sosial, struktur teks, dan unsur kebahasaan teks interaksi transaksional lisan dan tulis yang melibatkan tindakan  memberi dan meminta informasi terkait hubungan sebab akibat, namun perlu peningkatan benda dengan pewatas berupa sifat, jenis, dan fakta keadaan/kejadian</t>
  </si>
  <si>
    <t>Memiliki keterampilan menangkap makna secara kontekstual terkait fungsi sosial, struktur teks, dan unsur kebahasaan teks pembahasan ilmiah lisan dan tulis, dan menyusunnya, terkait isu kontroversial dan aktual</t>
  </si>
  <si>
    <t>Memiliki kemampuan menerapkan fungsi sosial, struktur teks, dan unsur kebahasaan teks interaksi transaksional lisan dan tulis yang melibatkan tindakan  memberi dan meminta informasi terkait hubungan sebab akibat, namun perlu peningkatan membedakan fungsi sosial, struktur teks, dan unsur kebahasaan beberapa teks pembahasan ilmiah lisan dan tulis dengan memberi dan meminta informasi terkait pembahasan isu kontrovesial dan aktual dari beberapa sudut pandang</t>
  </si>
  <si>
    <t>Memiliki kemampuan membedakan fungsi sosial, struktur teks, dan unsur kebahasaan beberapa teks pembahasan ilmiah lisan dan tulis dengan memberi dan meminta informasi terkait pembahasan isu kontrovesial dan aktual dari beberapa sudut pandang, namun perlu peningkatan benda dengan pewatas berupa sifat, jenis, dan fakta keadaan/kejadian</t>
  </si>
  <si>
    <t>Memiliki kemampuan membedakan fungsi sosial, struktur teks, dan unsur kebahasaan beberapa teks pembahasan ilmiah lisan dan tulis dengan memberi dan meminta informasi terkait pembahasan isu kontrovesial dan aktual dari beberapa sudut pandang, namun perlu peningkatan menerapkan fungsi sosial, struktur teks, dan unsur kebahasaan teks interaksi transaksional lisan dan tulis yang melibatkan tindakan  memberi dan meminta informasi terkait hubungan sebab akibat</t>
  </si>
  <si>
    <t>Memiliki kemampuan benda dengan pewatas berupa sifat, jenis, dan fakta keadaan/kejadian, namun perlu peningkatan menerapkan fungsi sosial, struktur teks, dan unsur kebahasaan teks interaksi transaksional lisan dan tulis yang melibatkan tindakan  memberi dan meminta informasi terkait hubungan sebab akibat</t>
  </si>
  <si>
    <t>Memiliki kemampuan benda dengan pewatas berupa sifat, jenis, dan fakta keadaan/kejadian, namun perlu peningkatan membedakan fungsi sosial, struktur teks, dan unsur kebahasaan beberapa teks pembahasan ilmiah lisan dan tulis dengan memberi dan meminta informasi terkait pembahasan isu kontrovesial dan aktual dari beberapa sudut pandang</t>
  </si>
  <si>
    <t>Memiliki kemampuan merancang pola penyerangan dan pertahanan salah satu permainan bola besar, namun perlu peningkatan mempraktikkan hasil rancangan pola penyerangan dan pertahanan salah satu permainan bola besar</t>
  </si>
  <si>
    <t>Memiliki keterampilan mempraktikkan hasil rancangan pola penyerangan dan pertahanan salah satu permainan bola besar</t>
  </si>
  <si>
    <t>Memiliki kemampuan permainan bola kecil, namun perlu peningkatan mempraktikkan hasil rancangan pola penyerangan dan pertahanan salah satu permainan bola besar</t>
  </si>
  <si>
    <t>Memiliki kemampuan permainan bola kecil, namun perlu peningkatan merancang pola penyerangan dan pertahanan salah satu permainan bola besar</t>
  </si>
  <si>
    <t>Memiliki kemampuan merancang pola penyerangan dan pertahanan salah satu permainan bola besar, namun perlu peningkatan permainan bola kecil</t>
  </si>
  <si>
    <t>Memiliki kemampuan mempraktikkan hasil rancangan pola penyerangan dan pertahanan salah satu permainan bola besar, namun perlu peningkatan permainan bola kecil</t>
  </si>
  <si>
    <t>Memiliki kemampuan mempraktikkan hasil rancangan pola penyerangan dan pertahanan salah satu permainan bola besar, namun perlu peningkatan merancang pola penyerangan dan pertahanan salah satu permainan bola besar</t>
  </si>
  <si>
    <t>Memiliki kemampuan merancang pola penyerangan dan pertahanan salah satu permainan bola besar, namun perlu peningkatan merancang pola penyerangan dan pertahanan salah satu permainan bola besar</t>
  </si>
  <si>
    <t>Memiliki kemampuan menganalisis kebahasaan cerita atau novel sejarah, namun perlu peningkatan menganalisis  struktur dan kebahasaan teks editorial</t>
  </si>
  <si>
    <t>Memiliki kemampuan menganalisis kebahasaan cerita atau novel sejarah, namun perlu peningkatan menyajikan simpulan sistematika dan unsur-unsur isi surat lamaran baik secara lisan maupun tulis</t>
  </si>
  <si>
    <t>Memiliki kemampuan menyajikan simpulan sistematika dan unsur-unsur isi surat lamaran baik secara lisan maupun tulis, namun perlu peningkatan menilai isi dua buku fiksi (kumpulan cerita pendek atau kumpulan puisi) dan satu buku pengayaan (nonfiksi) yang dibaca</t>
  </si>
  <si>
    <t>Memiliki kemampuan mengidentifikasi informasi (pendapat, alternatif solusi  dan simpulan terhadap suatu isu) dalam teks editorial, namun perlu peningkatan menganalisis kebahasaan cerita atau novel sejarah</t>
  </si>
  <si>
    <t>Memiliki kemampuan menganalisis kebahasaan cerita atau novel sejarah, namun perlu peningkatan menilai isi dua buku fiksi (kumpulan cerita pendek atau kumpulan puisi) dan satu buku pengayaan (nonfiksi) yang dibaca</t>
  </si>
  <si>
    <t>Memiliki kemampuan mengidentifikasi informasi, yang mencakup orientasi, rangkaian kejadian yang saling berkaitan, komplikasi dan resolusi, dalam cerita sejarah lisan atau tulis
, namun perlu peningkatan menganalisis kebahasaan cerita atau novel sejarah</t>
  </si>
  <si>
    <t>Memiliki kemampuan mengidentifikasi isi dan  sistematika surat lamaran pekerjaan yang dibaca, namun perlu peningkatan menganalisis kebahasaan cerita atau novel sejarah</t>
  </si>
  <si>
    <t>Memiliki kemampuan mengidentifikasi isi dan  sistematika surat lamaran pekerjaan yang dibaca, namun perlu peningkatan menyajikan simpulan sistematika dan unsur-unsur isi surat lamaran baik secara lisan maupun tulis</t>
  </si>
  <si>
    <t>Memiliki kemampuan menganalisis  struktur dan kebahasaan teks editorial, namun perlu peningkatan menyajikan simpulan sistematika dan unsur-unsur isi surat lamaran baik secara lisan maupun tulis</t>
  </si>
  <si>
    <t>Memiliki kemampuan mengidentifikasi informasi, yang mencakup orientasi, rangkaian kejadian yang saling berkaitan, komplikasi dan resolusi, dalam cerita sejarah lisan atau tulis, namun perlu peningkatan menyajikan simpulan sistematika dan unsur-unsur isi surat lamaran baik secara lisan maupun tulis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</si>
</sst>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Rp&quot;* #,##0_);_(&quot;Rp&quot;* \(#,##0\);_(&quot;Rp&quot;* &quot;-&quot;_);_(@_)"/>
  </numFmts>
  <fonts count="3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0"/>
      <name val="Arial"/>
      <family val="2"/>
    </font>
    <font>
      <sz val="12"/>
      <name val="Arial"/>
      <family val="2"/>
    </font>
    <font>
      <sz val="11"/>
      <color theme="1"/>
      <name val="Arial"/>
      <family val="2"/>
      <charset val="1"/>
    </font>
    <font>
      <sz val="11"/>
      <color theme="1"/>
      <name val="Calibri"/>
      <family val="2"/>
      <charset val="1"/>
      <scheme val="minor"/>
    </font>
    <font>
      <sz val="11"/>
      <color theme="1"/>
      <name val="Arial"/>
      <family val="2"/>
    </font>
    <font>
      <b/>
      <sz val="12"/>
      <color indexed="8"/>
      <name val="Arial"/>
      <family val="2"/>
    </font>
    <font>
      <sz val="12"/>
      <color theme="1"/>
      <name val="Arial"/>
      <family val="2"/>
    </font>
    <font>
      <sz val="12"/>
      <color indexed="8"/>
      <name val="Arial"/>
      <family val="2"/>
    </font>
    <font>
      <b/>
      <sz val="12"/>
      <color theme="1"/>
      <name val="Arial"/>
      <family val="2"/>
    </font>
    <font>
      <i/>
      <sz val="12"/>
      <color theme="1"/>
      <name val="Arial"/>
      <family val="2"/>
    </font>
    <font>
      <b/>
      <sz val="11"/>
      <color theme="0"/>
      <name val="Calibri"/>
      <family val="2"/>
      <scheme val="minor"/>
    </font>
    <font>
      <b/>
      <sz val="20"/>
      <color theme="1"/>
      <name val="Calibri"/>
      <family val="2"/>
      <scheme val="minor"/>
    </font>
    <font>
      <b/>
      <sz val="14"/>
      <color theme="0"/>
      <name val="Calibri"/>
      <family val="2"/>
      <scheme val="minor"/>
    </font>
    <font>
      <b/>
      <sz val="16"/>
      <color theme="1"/>
      <name val="Calibri"/>
      <family val="2"/>
      <scheme val="minor"/>
    </font>
    <font>
      <sz val="12"/>
      <color theme="1"/>
      <name val="Calibri"/>
      <family val="2"/>
      <scheme val="minor"/>
    </font>
    <font>
      <sz val="16"/>
      <color theme="1"/>
      <name val="Calibri"/>
      <family val="2"/>
      <scheme val="minor"/>
    </font>
    <font>
      <b/>
      <sz val="18"/>
      <color theme="1"/>
      <name val="Calibri"/>
      <family val="2"/>
      <scheme val="minor"/>
    </font>
    <font>
      <sz val="10"/>
      <color theme="1"/>
      <name val="Calibri"/>
      <family val="2"/>
      <scheme val="minor"/>
    </font>
    <font>
      <b/>
      <sz val="10"/>
      <color theme="1"/>
      <name val="Calibri"/>
      <family val="2"/>
      <scheme val="minor"/>
    </font>
    <font>
      <sz val="10.5"/>
      <color theme="1"/>
      <name val="Arial"/>
      <family val="2"/>
    </font>
    <font>
      <i/>
      <sz val="11"/>
      <color indexed="8"/>
      <name val="Arial"/>
      <family val="2"/>
    </font>
    <font>
      <sz val="12"/>
      <color theme="5" tint="-0.249977111117893"/>
      <name val="Arial Rounded MT Bold"/>
      <family val="2"/>
    </font>
    <font>
      <i/>
      <sz val="10"/>
      <color theme="1"/>
      <name val="Arial"/>
      <family val="2"/>
    </font>
    <font>
      <b/>
      <sz val="28"/>
      <color theme="0" tint="-0.34998626667073579"/>
      <name val="Arial Black"/>
      <family val="2"/>
    </font>
    <font>
      <sz val="10"/>
      <color theme="1"/>
      <name val="Arial"/>
      <family val="2"/>
    </font>
    <font>
      <sz val="12"/>
      <color theme="1"/>
      <name val="Arial"/>
      <family val="2"/>
    </font>
    <font>
      <sz val="11"/>
      <color theme="0"/>
      <name val="Calibri"/>
      <family val="2"/>
      <scheme val="minor"/>
    </font>
    <font>
      <b/>
      <sz val="12"/>
      <name val="Calibri"/>
      <family val="2"/>
      <scheme val="minor"/>
    </font>
    <font>
      <sz val="11"/>
      <name val="Calibri"/>
      <family val="2"/>
      <scheme val="minor"/>
    </font>
    <font>
      <sz val="12"/>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1"/>
        <bgColor indexed="64"/>
      </patternFill>
    </fill>
    <fill>
      <patternFill patternType="solid">
        <fgColor rgb="FF0070C0"/>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66"/>
        <bgColor indexed="64"/>
      </patternFill>
    </fill>
    <fill>
      <patternFill patternType="solid">
        <fgColor theme="4" tint="0.59999389629810485"/>
        <bgColor indexed="64"/>
      </patternFill>
    </fill>
    <fill>
      <patternFill patternType="solid">
        <fgColor rgb="FFCC99FF"/>
        <bgColor indexed="64"/>
      </patternFill>
    </fill>
    <fill>
      <patternFill patternType="solid">
        <fgColor indexed="2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right/>
      <top/>
      <bottom style="double">
        <color indexed="64"/>
      </bottom>
      <diagonal/>
    </border>
  </borders>
  <cellStyleXfs count="13">
    <xf numFmtId="0" fontId="0" fillId="0" borderId="0"/>
    <xf numFmtId="0" fontId="1" fillId="0" borderId="0"/>
    <xf numFmtId="0" fontId="4" fillId="0" borderId="0"/>
    <xf numFmtId="164" fontId="6" fillId="0" borderId="0" applyFont="0" applyFill="0" applyBorder="0" applyAlignment="0" applyProtection="0"/>
    <xf numFmtId="0" fontId="4" fillId="0" borderId="0"/>
    <xf numFmtId="0" fontId="4" fillId="0" borderId="0"/>
    <xf numFmtId="0" fontId="4" fillId="0" borderId="0"/>
    <xf numFmtId="0" fontId="7" fillId="0" borderId="0"/>
    <xf numFmtId="9" fontId="4" fillId="0" borderId="0" applyFont="0" applyFill="0" applyBorder="0" applyAlignment="0" applyProtection="0"/>
    <xf numFmtId="0" fontId="8" fillId="0" borderId="0"/>
    <xf numFmtId="0" fontId="4" fillId="0" borderId="0"/>
    <xf numFmtId="0" fontId="29" fillId="0" borderId="0"/>
    <xf numFmtId="0" fontId="7" fillId="0" borderId="0"/>
  </cellStyleXfs>
  <cellXfs count="329">
    <xf numFmtId="0" fontId="0" fillId="0" borderId="0" xfId="0"/>
    <xf numFmtId="0" fontId="0" fillId="0" borderId="0" xfId="0" applyAlignment="1">
      <alignment horizontal="center" vertical="center"/>
    </xf>
    <xf numFmtId="0" fontId="0" fillId="0" borderId="0" xfId="0" applyFont="1"/>
    <xf numFmtId="0" fontId="2" fillId="0" borderId="0" xfId="0" applyFont="1"/>
    <xf numFmtId="0" fontId="0" fillId="0" borderId="0" xfId="0" applyAlignment="1">
      <alignment horizontal="left"/>
    </xf>
    <xf numFmtId="0" fontId="2" fillId="9"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1" xfId="0" applyBorder="1" applyAlignment="1">
      <alignment horizontal="center" vertical="center"/>
    </xf>
    <xf numFmtId="0" fontId="0" fillId="0" borderId="0" xfId="0"/>
    <xf numFmtId="0" fontId="0" fillId="0" borderId="0" xfId="0" applyAlignment="1">
      <alignment horizontal="center"/>
    </xf>
    <xf numFmtId="0" fontId="10" fillId="0" borderId="0" xfId="0" applyFont="1"/>
    <xf numFmtId="0" fontId="10" fillId="0" borderId="0" xfId="0" applyFont="1" applyBorder="1"/>
    <xf numFmtId="0" fontId="0" fillId="6" borderId="5" xfId="0" applyFill="1" applyBorder="1" applyAlignment="1">
      <alignment horizontal="center" vertical="center"/>
    </xf>
    <xf numFmtId="0" fontId="2" fillId="0" borderId="0" xfId="0" applyFont="1" applyAlignment="1">
      <alignment vertical="center"/>
    </xf>
    <xf numFmtId="0" fontId="2" fillId="2" borderId="1" xfId="0" applyFont="1" applyFill="1" applyBorder="1" applyAlignment="1">
      <alignment horizontal="center" vertical="center" wrapText="1"/>
    </xf>
    <xf numFmtId="0" fontId="0" fillId="0" borderId="1" xfId="0" applyFill="1" applyBorder="1" applyAlignment="1">
      <alignment horizontal="center" vertical="center"/>
    </xf>
    <xf numFmtId="0" fontId="2" fillId="6" borderId="1" xfId="0" applyFont="1" applyFill="1" applyBorder="1" applyAlignment="1">
      <alignment horizontal="center" vertical="center" wrapText="1"/>
    </xf>
    <xf numFmtId="0" fontId="2" fillId="0" borderId="0" xfId="0" applyFont="1" applyAlignment="1">
      <alignment horizontal="center" vertical="center" wrapText="1"/>
    </xf>
    <xf numFmtId="0" fontId="2" fillId="6" borderId="1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0" fillId="0" borderId="1" xfId="0" applyFill="1" applyBorder="1" applyAlignment="1">
      <alignment horizontal="left"/>
    </xf>
    <xf numFmtId="0" fontId="0" fillId="12" borderId="0" xfId="0" applyFill="1" applyProtection="1"/>
    <xf numFmtId="0" fontId="14" fillId="13" borderId="10" xfId="0" applyFont="1" applyFill="1" applyBorder="1" applyAlignment="1" applyProtection="1">
      <alignment vertical="center"/>
    </xf>
    <xf numFmtId="0" fontId="15" fillId="0" borderId="0" xfId="0" applyFont="1"/>
    <xf numFmtId="0" fontId="0" fillId="0" borderId="0" xfId="0" applyFill="1" applyBorder="1"/>
    <xf numFmtId="0" fontId="0" fillId="0" borderId="1" xfId="0" applyFill="1" applyBorder="1" applyAlignment="1">
      <alignment horizontal="center"/>
    </xf>
    <xf numFmtId="0" fontId="14" fillId="14" borderId="10" xfId="0" applyFont="1" applyFill="1" applyBorder="1" applyAlignment="1" applyProtection="1">
      <alignment vertical="center"/>
    </xf>
    <xf numFmtId="0" fontId="14" fillId="14" borderId="4" xfId="0" applyFont="1" applyFill="1" applyBorder="1" applyAlignment="1" applyProtection="1">
      <alignment vertical="center"/>
      <protection locked="0"/>
    </xf>
    <xf numFmtId="0" fontId="14" fillId="15" borderId="10" xfId="0" applyFont="1" applyFill="1" applyBorder="1" applyAlignment="1" applyProtection="1">
      <alignment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16" borderId="1" xfId="0" applyFont="1" applyFill="1" applyBorder="1" applyAlignment="1">
      <alignment horizontal="center" vertical="center"/>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 xfId="0" applyFont="1" applyFill="1" applyBorder="1" applyAlignment="1">
      <alignment horizontal="left" vertical="center" wrapText="1"/>
    </xf>
    <xf numFmtId="0" fontId="0" fillId="17" borderId="1" xfId="0" applyFont="1" applyFill="1" applyBorder="1" applyAlignment="1">
      <alignment horizontal="center" vertical="center"/>
    </xf>
    <xf numFmtId="0" fontId="0" fillId="17" borderId="1" xfId="0" applyFont="1" applyFill="1" applyBorder="1" applyAlignment="1">
      <alignment vertical="center" wrapText="1"/>
    </xf>
    <xf numFmtId="0" fontId="0" fillId="10" borderId="1" xfId="0" applyFont="1" applyFill="1" applyBorder="1" applyAlignment="1">
      <alignment vertical="center" wrapText="1"/>
    </xf>
    <xf numFmtId="0" fontId="0" fillId="18" borderId="1" xfId="0" applyFont="1" applyFill="1" applyBorder="1" applyAlignment="1">
      <alignment horizontal="center" vertical="center"/>
    </xf>
    <xf numFmtId="0" fontId="0" fillId="18" borderId="1" xfId="0" applyFont="1" applyFill="1" applyBorder="1" applyAlignment="1">
      <alignment vertical="center" wrapText="1"/>
    </xf>
    <xf numFmtId="0" fontId="2" fillId="8" borderId="1"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0" fillId="0" borderId="1" xfId="0" applyFill="1" applyBorder="1" applyAlignment="1">
      <alignment horizontal="left" vertical="center"/>
    </xf>
    <xf numFmtId="0" fontId="17" fillId="0" borderId="0" xfId="0" applyFont="1"/>
    <xf numFmtId="0" fontId="19" fillId="0" borderId="0" xfId="0" applyFont="1"/>
    <xf numFmtId="0" fontId="19" fillId="0" borderId="0" xfId="0" applyFont="1" applyAlignment="1">
      <alignment horizontal="center" vertical="center"/>
    </xf>
    <xf numFmtId="2" fontId="0" fillId="2" borderId="1" xfId="0" applyNumberFormat="1" applyFill="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2" fontId="0" fillId="19" borderId="1" xfId="0" applyNumberFormat="1" applyFill="1" applyBorder="1" applyAlignment="1" applyProtection="1">
      <alignment horizontal="center" vertical="center"/>
      <protection locked="0"/>
    </xf>
    <xf numFmtId="0" fontId="18" fillId="0" borderId="0" xfId="0" applyFont="1" applyAlignment="1">
      <alignment vertical="center"/>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wrapText="1"/>
      <protection locked="0"/>
    </xf>
    <xf numFmtId="0" fontId="0" fillId="2" borderId="1" xfId="0" applyFill="1" applyBorder="1" applyAlignment="1" applyProtection="1">
      <alignment horizontal="left"/>
      <protection locked="0"/>
    </xf>
    <xf numFmtId="0" fontId="2" fillId="6" borderId="7"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2" borderId="1" xfId="0" applyFill="1" applyBorder="1" applyAlignment="1" applyProtection="1">
      <alignment horizontal="left" vertical="top"/>
      <protection locked="0"/>
    </xf>
    <xf numFmtId="0" fontId="20" fillId="0" borderId="0" xfId="0" applyFont="1" applyAlignment="1">
      <alignment horizontal="left" vertical="center"/>
    </xf>
    <xf numFmtId="0" fontId="14" fillId="15" borderId="5" xfId="0" applyFont="1" applyFill="1" applyBorder="1" applyAlignment="1" applyProtection="1">
      <alignment vertical="center"/>
    </xf>
    <xf numFmtId="0" fontId="0" fillId="0" borderId="0" xfId="0" applyProtection="1"/>
    <xf numFmtId="0" fontId="14" fillId="13" borderId="5" xfId="0" applyFont="1" applyFill="1" applyBorder="1" applyAlignment="1" applyProtection="1">
      <alignment vertical="center"/>
    </xf>
    <xf numFmtId="0" fontId="14" fillId="14" borderId="5" xfId="0" applyFont="1" applyFill="1" applyBorder="1" applyAlignment="1" applyProtection="1">
      <alignment vertical="center"/>
    </xf>
    <xf numFmtId="0" fontId="2" fillId="9" borderId="4" xfId="0" applyFont="1" applyFill="1" applyBorder="1" applyAlignment="1">
      <alignment horizontal="center" vertical="center" textRotation="90" wrapText="1"/>
    </xf>
    <xf numFmtId="0" fontId="2" fillId="9" borderId="1" xfId="0" applyFont="1" applyFill="1" applyBorder="1" applyAlignment="1">
      <alignment horizontal="center" vertical="center" textRotation="90" wrapText="1"/>
    </xf>
    <xf numFmtId="0" fontId="3" fillId="9" borderId="1" xfId="0" applyFont="1" applyFill="1" applyBorder="1" applyAlignment="1">
      <alignment horizontal="center" vertical="center" textRotation="90" wrapText="1"/>
    </xf>
    <xf numFmtId="0" fontId="2" fillId="5" borderId="5" xfId="0" applyFont="1" applyFill="1" applyBorder="1" applyAlignment="1">
      <alignment horizontal="center" vertical="center" textRotation="90" wrapText="1"/>
    </xf>
    <xf numFmtId="0" fontId="2" fillId="5" borderId="1" xfId="0" applyFont="1" applyFill="1" applyBorder="1" applyAlignment="1">
      <alignment horizontal="center" vertical="center" textRotation="90" wrapText="1"/>
    </xf>
    <xf numFmtId="0" fontId="2" fillId="9" borderId="5" xfId="0" applyFont="1" applyFill="1" applyBorder="1" applyAlignment="1">
      <alignment horizontal="center" vertical="center" textRotation="90" wrapText="1"/>
    </xf>
    <xf numFmtId="0" fontId="2" fillId="10" borderId="1" xfId="0" applyFont="1" applyFill="1" applyBorder="1" applyAlignment="1">
      <alignment horizontal="center" vertical="center" textRotation="90" wrapText="1"/>
    </xf>
    <xf numFmtId="0" fontId="0" fillId="0" borderId="1" xfId="0" applyBorder="1" applyAlignment="1">
      <alignment horizontal="center"/>
    </xf>
    <xf numFmtId="0" fontId="17" fillId="0" borderId="0" xfId="0" applyFont="1" applyAlignment="1" applyProtection="1"/>
    <xf numFmtId="0" fontId="0" fillId="0" borderId="0" xfId="0" applyFont="1" applyProtection="1"/>
    <xf numFmtId="0" fontId="21" fillId="0" borderId="0" xfId="0" applyFont="1" applyProtection="1"/>
    <xf numFmtId="0" fontId="2" fillId="0" borderId="1" xfId="0" applyFont="1" applyBorder="1" applyAlignment="1">
      <alignment horizontal="center" vertical="center" wrapText="1"/>
    </xf>
    <xf numFmtId="0" fontId="0" fillId="0" borderId="1" xfId="0" applyBorder="1"/>
    <xf numFmtId="0" fontId="0" fillId="0" borderId="1" xfId="0" applyBorder="1" applyAlignment="1">
      <alignment wrapText="1"/>
    </xf>
    <xf numFmtId="0" fontId="0" fillId="0" borderId="0" xfId="0" applyAlignment="1" applyProtection="1">
      <alignment horizontal="left"/>
    </xf>
    <xf numFmtId="0" fontId="0" fillId="0" borderId="0" xfId="0" applyAlignment="1" applyProtection="1">
      <alignment horizontal="center"/>
    </xf>
    <xf numFmtId="0" fontId="2" fillId="0" borderId="0" xfId="0" applyFont="1" applyAlignment="1" applyProtection="1">
      <alignment horizontal="left"/>
    </xf>
    <xf numFmtId="0" fontId="22" fillId="0" borderId="0" xfId="0" applyFont="1" applyProtection="1"/>
    <xf numFmtId="0" fontId="2" fillId="0" borderId="0" xfId="0" applyFont="1" applyBorder="1"/>
    <xf numFmtId="0" fontId="0" fillId="0" borderId="0" xfId="0" applyFont="1" applyAlignment="1">
      <alignment horizontal="center"/>
    </xf>
    <xf numFmtId="0" fontId="0" fillId="2" borderId="1" xfId="0" applyFont="1" applyFill="1" applyBorder="1" applyAlignment="1" applyProtection="1">
      <alignment horizontal="center" vertical="center" wrapText="1"/>
      <protection locked="0"/>
    </xf>
    <xf numFmtId="0" fontId="9" fillId="3" borderId="0" xfId="0" applyFont="1" applyFill="1" applyBorder="1" applyAlignment="1" applyProtection="1">
      <alignment horizontal="right" vertical="center" wrapText="1"/>
    </xf>
    <xf numFmtId="0" fontId="9" fillId="3" borderId="0" xfId="0" applyFont="1" applyFill="1" applyBorder="1" applyAlignment="1" applyProtection="1">
      <alignment vertical="center" wrapText="1"/>
    </xf>
    <xf numFmtId="0" fontId="10" fillId="3" borderId="0" xfId="1" applyFont="1" applyFill="1"/>
    <xf numFmtId="0" fontId="11" fillId="3" borderId="0" xfId="0" applyFont="1" applyFill="1" applyAlignment="1" applyProtection="1">
      <alignment horizontal="left" vertical="center"/>
    </xf>
    <xf numFmtId="0" fontId="9" fillId="3" borderId="0" xfId="0" applyFont="1" applyFill="1" applyBorder="1" applyAlignment="1" applyProtection="1">
      <alignment vertical="center"/>
    </xf>
    <xf numFmtId="0" fontId="12" fillId="0" borderId="0" xfId="0" applyFont="1" applyBorder="1" applyAlignment="1">
      <alignment horizontal="left" vertical="top"/>
    </xf>
    <xf numFmtId="0" fontId="9" fillId="3" borderId="0" xfId="0" applyFont="1" applyFill="1" applyProtection="1"/>
    <xf numFmtId="0" fontId="11" fillId="3" borderId="0" xfId="1" applyFont="1" applyFill="1" applyAlignment="1" applyProtection="1">
      <alignment horizontal="left" vertical="center"/>
    </xf>
    <xf numFmtId="0" fontId="10" fillId="3" borderId="0" xfId="1" applyFont="1" applyFill="1" applyAlignment="1">
      <alignment vertical="top"/>
    </xf>
    <xf numFmtId="0" fontId="9" fillId="3" borderId="0" xfId="0" applyFont="1" applyFill="1" applyBorder="1" applyAlignment="1" applyProtection="1">
      <alignment vertical="top"/>
    </xf>
    <xf numFmtId="0" fontId="10" fillId="0" borderId="0" xfId="0" applyFont="1" applyAlignment="1">
      <alignment vertical="top"/>
    </xf>
    <xf numFmtId="1" fontId="0" fillId="0" borderId="1" xfId="0" applyNumberFormat="1" applyFill="1" applyBorder="1" applyAlignment="1">
      <alignment horizontal="center" vertical="center"/>
    </xf>
    <xf numFmtId="0" fontId="18" fillId="20" borderId="1" xfId="0" applyFont="1" applyFill="1" applyBorder="1" applyProtection="1">
      <protection locked="0"/>
    </xf>
    <xf numFmtId="0" fontId="18" fillId="20" borderId="1" xfId="0" applyFont="1" applyFill="1" applyBorder="1" applyAlignment="1" applyProtection="1">
      <alignment horizontal="center"/>
      <protection locked="0"/>
    </xf>
    <xf numFmtId="0" fontId="0" fillId="15" borderId="0" xfId="0" applyFill="1" applyProtection="1"/>
    <xf numFmtId="0" fontId="9" fillId="0" borderId="0" xfId="0" applyFont="1" applyFill="1" applyProtection="1">
      <protection locked="0"/>
    </xf>
    <xf numFmtId="0" fontId="10" fillId="0" borderId="0" xfId="0" applyFont="1" applyFill="1" applyProtection="1">
      <protection locked="0"/>
    </xf>
    <xf numFmtId="0" fontId="11" fillId="0" borderId="0" xfId="0" applyFont="1" applyFill="1" applyAlignment="1" applyProtection="1">
      <alignment horizontal="left" vertical="center"/>
      <protection locked="0"/>
    </xf>
    <xf numFmtId="0" fontId="9" fillId="0" borderId="0" xfId="0" applyFont="1" applyFill="1" applyAlignment="1" applyProtection="1">
      <alignment horizontal="right"/>
      <protection locked="0"/>
    </xf>
    <xf numFmtId="0" fontId="10" fillId="0" borderId="0" xfId="0" applyFont="1" applyProtection="1">
      <protection locked="0"/>
    </xf>
    <xf numFmtId="0" fontId="9" fillId="0" borderId="0" xfId="0" applyFont="1" applyFill="1" applyAlignment="1" applyProtection="1">
      <alignment horizontal="left"/>
      <protection locked="0"/>
    </xf>
    <xf numFmtId="0" fontId="10" fillId="0" borderId="0" xfId="0" applyFont="1" applyFill="1" applyAlignment="1" applyProtection="1">
      <alignment horizontal="left" vertical="center"/>
      <protection locked="0"/>
    </xf>
    <xf numFmtId="0" fontId="10" fillId="0" borderId="0" xfId="1" applyFont="1" applyFill="1" applyAlignment="1" applyProtection="1">
      <protection locked="0"/>
    </xf>
    <xf numFmtId="0" fontId="9" fillId="0" borderId="0" xfId="0" applyFont="1" applyFill="1" applyAlignment="1" applyProtection="1">
      <alignment horizontal="left" vertical="top"/>
      <protection locked="0"/>
    </xf>
    <xf numFmtId="0" fontId="11" fillId="0" borderId="0" xfId="0" applyNumberFormat="1" applyFont="1" applyFill="1" applyBorder="1" applyAlignment="1" applyProtection="1">
      <alignment horizontal="left" vertical="center"/>
      <protection locked="0"/>
    </xf>
    <xf numFmtId="0" fontId="9" fillId="0" borderId="19" xfId="0" applyFont="1" applyFill="1" applyBorder="1" applyAlignment="1" applyProtection="1">
      <alignment horizontal="left" vertical="top"/>
      <protection locked="0"/>
    </xf>
    <xf numFmtId="0" fontId="10" fillId="0" borderId="19" xfId="0" applyFont="1" applyFill="1" applyBorder="1" applyAlignment="1" applyProtection="1">
      <alignment vertical="top"/>
      <protection locked="0"/>
    </xf>
    <xf numFmtId="0" fontId="10" fillId="0" borderId="19" xfId="0" applyFont="1" applyBorder="1" applyAlignment="1" applyProtection="1">
      <alignment vertical="top"/>
      <protection locked="0"/>
    </xf>
    <xf numFmtId="0" fontId="9" fillId="0" borderId="19" xfId="0" applyFont="1" applyFill="1" applyBorder="1" applyAlignment="1" applyProtection="1">
      <alignment horizontal="right" vertical="top"/>
      <protection locked="0"/>
    </xf>
    <xf numFmtId="0" fontId="11" fillId="0" borderId="19" xfId="0" applyNumberFormat="1" applyFont="1" applyFill="1" applyBorder="1" applyAlignment="1" applyProtection="1">
      <alignment horizontal="left" vertical="top"/>
      <protection locked="0"/>
    </xf>
    <xf numFmtId="0" fontId="11" fillId="0" borderId="19" xfId="0" applyFont="1" applyFill="1" applyBorder="1" applyAlignment="1" applyProtection="1">
      <alignment horizontal="left" vertical="top"/>
      <protection locked="0"/>
    </xf>
    <xf numFmtId="0" fontId="12" fillId="0" borderId="0" xfId="0" applyFont="1" applyFill="1" applyProtection="1">
      <protection locked="0"/>
    </xf>
    <xf numFmtId="0" fontId="12" fillId="0" borderId="0" xfId="0" applyFont="1" applyProtection="1">
      <protection locked="0"/>
    </xf>
    <xf numFmtId="0" fontId="12" fillId="0" borderId="3" xfId="0" applyFont="1" applyBorder="1" applyProtection="1">
      <protection locked="0"/>
    </xf>
    <xf numFmtId="0" fontId="10" fillId="0" borderId="18" xfId="0" applyFont="1" applyBorder="1" applyProtection="1">
      <protection locked="0"/>
    </xf>
    <xf numFmtId="0" fontId="10" fillId="0" borderId="6" xfId="0" applyFont="1" applyBorder="1" applyProtection="1">
      <protection locked="0"/>
    </xf>
    <xf numFmtId="0" fontId="10" fillId="0" borderId="7" xfId="0" applyFont="1" applyBorder="1" applyProtection="1">
      <protection locked="0"/>
    </xf>
    <xf numFmtId="0" fontId="10" fillId="0" borderId="17" xfId="0" applyFont="1" applyBorder="1" applyProtection="1">
      <protection locked="0"/>
    </xf>
    <xf numFmtId="0" fontId="10" fillId="0" borderId="8" xfId="0" applyFont="1" applyBorder="1" applyProtection="1">
      <protection locked="0"/>
    </xf>
    <xf numFmtId="0" fontId="10" fillId="0" borderId="0" xfId="0" applyFont="1" applyBorder="1" applyAlignment="1" applyProtection="1">
      <alignment horizontal="center"/>
      <protection locked="0"/>
    </xf>
    <xf numFmtId="0" fontId="12" fillId="0" borderId="1" xfId="0" applyFont="1" applyBorder="1" applyAlignment="1" applyProtection="1">
      <alignment horizontal="center"/>
      <protection locked="0"/>
    </xf>
    <xf numFmtId="0" fontId="12" fillId="0" borderId="4" xfId="0" applyFont="1" applyBorder="1" applyAlignment="1" applyProtection="1">
      <alignment horizontal="center"/>
      <protection locked="0"/>
    </xf>
    <xf numFmtId="0" fontId="10" fillId="0" borderId="1" xfId="0" applyFont="1" applyBorder="1" applyAlignment="1" applyProtection="1">
      <alignment horizontal="center" vertical="center"/>
      <protection locked="0"/>
    </xf>
    <xf numFmtId="1" fontId="10" fillId="0" borderId="1" xfId="0" applyNumberFormat="1" applyFont="1" applyBorder="1" applyAlignment="1" applyProtection="1">
      <alignment horizontal="center" vertical="center"/>
      <protection locked="0"/>
    </xf>
    <xf numFmtId="1" fontId="10" fillId="0" borderId="4" xfId="0" applyNumberFormat="1" applyFont="1" applyBorder="1" applyAlignment="1" applyProtection="1">
      <alignment horizontal="center" vertical="center"/>
      <protection locked="0"/>
    </xf>
    <xf numFmtId="0" fontId="10" fillId="0" borderId="1" xfId="0" applyFont="1" applyBorder="1" applyAlignment="1" applyProtection="1">
      <alignment vertical="center"/>
      <protection locked="0"/>
    </xf>
    <xf numFmtId="0" fontId="9" fillId="0" borderId="0" xfId="0" applyFont="1" applyFill="1" applyBorder="1" applyProtection="1">
      <protection locked="0"/>
    </xf>
    <xf numFmtId="0" fontId="10" fillId="0" borderId="0" xfId="0" applyFont="1" applyFill="1" applyBorder="1" applyProtection="1">
      <protection locked="0"/>
    </xf>
    <xf numFmtId="0" fontId="9" fillId="0" borderId="0" xfId="0" applyFont="1" applyFill="1" applyBorder="1" applyAlignment="1" applyProtection="1">
      <alignment horizontal="left"/>
      <protection locked="0"/>
    </xf>
    <xf numFmtId="0" fontId="10" fillId="0" borderId="0" xfId="0" applyFont="1" applyFill="1" applyBorder="1" applyAlignment="1" applyProtection="1">
      <alignment horizontal="left" vertical="center"/>
      <protection locked="0"/>
    </xf>
    <xf numFmtId="0" fontId="10" fillId="0" borderId="0" xfId="0" applyFont="1" applyBorder="1" applyProtection="1">
      <protection locked="0"/>
    </xf>
    <xf numFmtId="0" fontId="10" fillId="0" borderId="0" xfId="1" applyFont="1" applyFill="1" applyBorder="1" applyAlignment="1" applyProtection="1">
      <protection locked="0"/>
    </xf>
    <xf numFmtId="0" fontId="9" fillId="0" borderId="0" xfId="0" applyFont="1" applyFill="1" applyBorder="1" applyAlignment="1" applyProtection="1">
      <alignment horizontal="left" vertical="top"/>
      <protection locked="0"/>
    </xf>
    <xf numFmtId="0" fontId="11" fillId="0" borderId="0" xfId="0" applyFont="1" applyFill="1" applyBorder="1" applyAlignment="1" applyProtection="1">
      <alignment horizontal="left" vertical="center"/>
      <protection locked="0"/>
    </xf>
    <xf numFmtId="0" fontId="9" fillId="0" borderId="0" xfId="0" applyFont="1" applyFill="1" applyBorder="1" applyAlignment="1" applyProtection="1">
      <alignment horizontal="right"/>
      <protection locked="0"/>
    </xf>
    <xf numFmtId="0" fontId="10" fillId="0" borderId="0" xfId="0" applyFont="1" applyBorder="1" applyAlignment="1" applyProtection="1">
      <alignment horizontal="center" vertical="center"/>
      <protection locked="0"/>
    </xf>
    <xf numFmtId="0" fontId="10" fillId="0" borderId="0" xfId="0" applyFont="1" applyBorder="1" applyAlignment="1" applyProtection="1">
      <alignment horizontal="left" vertical="center" wrapText="1"/>
      <protection locked="0"/>
    </xf>
    <xf numFmtId="0" fontId="10" fillId="0" borderId="0" xfId="0" applyFont="1" applyBorder="1" applyAlignment="1" applyProtection="1">
      <alignment vertical="center"/>
      <protection locked="0"/>
    </xf>
    <xf numFmtId="0" fontId="10" fillId="0" borderId="0" xfId="0" applyFont="1" applyBorder="1" applyAlignment="1" applyProtection="1">
      <alignment horizontal="left" vertical="top" wrapText="1"/>
      <protection locked="0"/>
    </xf>
    <xf numFmtId="2" fontId="10" fillId="0" borderId="0" xfId="0" applyNumberFormat="1" applyFont="1" applyBorder="1" applyAlignment="1" applyProtection="1">
      <alignment vertical="center"/>
      <protection locked="0"/>
    </xf>
    <xf numFmtId="0" fontId="12" fillId="0" borderId="1" xfId="0" applyFont="1" applyBorder="1" applyAlignment="1" applyProtection="1">
      <alignment horizontal="center" vertical="center" wrapText="1"/>
      <protection locked="0"/>
    </xf>
    <xf numFmtId="0" fontId="10" fillId="0" borderId="0" xfId="0" applyFont="1" applyAlignment="1" applyProtection="1">
      <alignment horizontal="center" vertical="center"/>
      <protection locked="0"/>
    </xf>
    <xf numFmtId="0" fontId="5" fillId="0" borderId="0" xfId="0" applyFont="1" applyAlignment="1" applyProtection="1">
      <alignment horizontal="center" vertical="center"/>
      <protection locked="0"/>
    </xf>
    <xf numFmtId="0" fontId="12" fillId="0" borderId="1" xfId="0" applyFont="1" applyBorder="1" applyAlignment="1" applyProtection="1">
      <protection locked="0"/>
    </xf>
    <xf numFmtId="0" fontId="10" fillId="0" borderId="10" xfId="0" applyFont="1" applyBorder="1" applyAlignment="1" applyProtection="1">
      <alignment horizontal="center" vertical="center"/>
      <protection locked="0"/>
    </xf>
    <xf numFmtId="0" fontId="10" fillId="0" borderId="10" xfId="0" applyFont="1" applyBorder="1" applyAlignment="1" applyProtection="1">
      <alignment horizontal="left" vertical="center"/>
      <protection locked="0"/>
    </xf>
    <xf numFmtId="0" fontId="10" fillId="0" borderId="4" xfId="0" applyFont="1" applyBorder="1" applyAlignment="1" applyProtection="1">
      <alignment vertical="center"/>
      <protection locked="0"/>
    </xf>
    <xf numFmtId="0" fontId="10" fillId="0" borderId="0" xfId="0" applyFont="1" applyBorder="1" applyAlignment="1" applyProtection="1">
      <protection locked="0"/>
    </xf>
    <xf numFmtId="0" fontId="12" fillId="0" borderId="0" xfId="0" applyFont="1" applyBorder="1" applyAlignment="1" applyProtection="1">
      <protection locked="0"/>
    </xf>
    <xf numFmtId="1" fontId="10" fillId="0" borderId="0" xfId="0" applyNumberFormat="1" applyFont="1" applyBorder="1" applyAlignment="1" applyProtection="1">
      <alignment horizontal="center" vertical="center"/>
      <protection locked="0"/>
    </xf>
    <xf numFmtId="0" fontId="10" fillId="0" borderId="0" xfId="0" applyFont="1" applyBorder="1" applyAlignment="1" applyProtection="1">
      <alignment horizontal="left" vertical="center"/>
      <protection locked="0"/>
    </xf>
    <xf numFmtId="0" fontId="26" fillId="0" borderId="0" xfId="0" applyFont="1" applyBorder="1" applyAlignment="1" applyProtection="1">
      <alignment horizontal="left" vertical="center"/>
      <protection locked="0"/>
    </xf>
    <xf numFmtId="0" fontId="2" fillId="0" borderId="1" xfId="0" applyFont="1" applyBorder="1" applyAlignment="1">
      <alignment horizontal="center"/>
    </xf>
    <xf numFmtId="0" fontId="27" fillId="2" borderId="0" xfId="0" applyFont="1" applyFill="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0" fillId="0" borderId="1" xfId="0" applyBorder="1" applyAlignment="1">
      <alignment horizontal="center"/>
    </xf>
    <xf numFmtId="1" fontId="0" fillId="16" borderId="1" xfId="0" applyNumberFormat="1" applyFill="1" applyBorder="1" applyAlignment="1" applyProtection="1">
      <alignment horizontal="center"/>
      <protection locked="0"/>
    </xf>
    <xf numFmtId="0" fontId="0" fillId="16" borderId="1" xfId="0" applyFill="1" applyBorder="1" applyAlignment="1" applyProtection="1">
      <alignment horizontal="center"/>
      <protection locked="0"/>
    </xf>
    <xf numFmtId="0" fontId="0" fillId="16" borderId="1" xfId="0" applyFill="1" applyBorder="1" applyAlignment="1" applyProtection="1">
      <alignment horizontal="left"/>
      <protection locked="0"/>
    </xf>
    <xf numFmtId="0" fontId="0" fillId="16" borderId="1" xfId="0" applyFill="1" applyBorder="1" applyProtection="1">
      <protection locked="0"/>
    </xf>
    <xf numFmtId="0" fontId="2" fillId="6" borderId="7" xfId="0" applyFont="1" applyFill="1" applyBorder="1" applyAlignment="1">
      <alignment horizontal="center" vertical="center" wrapText="1"/>
    </xf>
    <xf numFmtId="0" fontId="31" fillId="0" borderId="0" xfId="2" applyFont="1" applyFill="1" applyBorder="1" applyAlignment="1">
      <alignment horizontal="left" vertical="center"/>
    </xf>
    <xf numFmtId="0" fontId="32" fillId="0" borderId="0" xfId="2" applyFont="1" applyFill="1" applyBorder="1" applyAlignment="1">
      <alignment horizontal="center" vertical="center"/>
    </xf>
    <xf numFmtId="0" fontId="0" fillId="0" borderId="0" xfId="0" applyProtection="1">
      <protection locked="0"/>
    </xf>
    <xf numFmtId="0" fontId="31" fillId="22" borderId="1" xfId="2" applyFont="1" applyFill="1" applyBorder="1" applyAlignment="1">
      <alignment horizontal="center" vertical="center"/>
    </xf>
    <xf numFmtId="0" fontId="31" fillId="22" borderId="1" xfId="2" applyFont="1" applyFill="1" applyBorder="1" applyAlignment="1">
      <alignment horizontal="center" vertical="center" wrapText="1"/>
    </xf>
    <xf numFmtId="0" fontId="33" fillId="0" borderId="9" xfId="5" applyFont="1" applyFill="1" applyBorder="1" applyAlignment="1">
      <alignment horizontal="center" vertical="center"/>
    </xf>
    <xf numFmtId="0" fontId="18" fillId="3" borderId="1" xfId="5" quotePrefix="1" applyNumberFormat="1" applyFont="1" applyFill="1" applyBorder="1" applyAlignment="1" applyProtection="1">
      <alignment horizontal="center" vertical="center"/>
      <protection locked="0"/>
    </xf>
    <xf numFmtId="0" fontId="18" fillId="0" borderId="1" xfId="0" applyFont="1" applyBorder="1" applyAlignment="1" applyProtection="1">
      <alignment horizontal="left" vertical="center"/>
      <protection locked="0"/>
    </xf>
    <xf numFmtId="0" fontId="18" fillId="0" borderId="9" xfId="0" applyFont="1" applyBorder="1" applyAlignment="1" applyProtection="1">
      <alignment horizontal="left" vertical="center"/>
      <protection locked="0"/>
    </xf>
    <xf numFmtId="1" fontId="1" fillId="3" borderId="1" xfId="5" quotePrefix="1" applyNumberFormat="1" applyFont="1" applyFill="1" applyBorder="1" applyAlignment="1" applyProtection="1">
      <alignment vertical="center"/>
      <protection locked="0"/>
    </xf>
    <xf numFmtId="0" fontId="1" fillId="0" borderId="1" xfId="0" applyFont="1" applyBorder="1" applyAlignment="1" applyProtection="1">
      <alignment vertical="center"/>
      <protection locked="0"/>
    </xf>
    <xf numFmtId="0" fontId="1" fillId="0" borderId="9" xfId="0" applyFont="1" applyBorder="1" applyAlignment="1" applyProtection="1">
      <alignment vertical="center"/>
      <protection locked="0"/>
    </xf>
    <xf numFmtId="0" fontId="0" fillId="0" borderId="1" xfId="0" applyBorder="1" applyAlignment="1" applyProtection="1">
      <alignment vertical="center"/>
      <protection locked="0"/>
    </xf>
    <xf numFmtId="0" fontId="0" fillId="0" borderId="9" xfId="0" applyBorder="1" applyAlignment="1" applyProtection="1">
      <alignment vertical="center"/>
      <protection locked="0"/>
    </xf>
    <xf numFmtId="0" fontId="1" fillId="3" borderId="1" xfId="10" applyFont="1" applyFill="1" applyBorder="1" applyAlignment="1" applyProtection="1">
      <alignment vertical="center"/>
      <protection locked="0"/>
    </xf>
    <xf numFmtId="0" fontId="1" fillId="3" borderId="9" xfId="10" applyFont="1" applyFill="1" applyBorder="1" applyAlignment="1" applyProtection="1">
      <alignment vertical="center"/>
      <protection locked="0"/>
    </xf>
    <xf numFmtId="49" fontId="18" fillId="3" borderId="1" xfId="5" quotePrefix="1" applyNumberFormat="1" applyFont="1" applyFill="1" applyBorder="1" applyAlignment="1" applyProtection="1">
      <alignment horizontal="center" vertical="center"/>
      <protection locked="0"/>
    </xf>
    <xf numFmtId="0" fontId="18" fillId="0" borderId="1" xfId="0" applyFont="1" applyBorder="1" applyAlignment="1" applyProtection="1">
      <alignment vertical="center"/>
      <protection locked="0"/>
    </xf>
    <xf numFmtId="0" fontId="18" fillId="0" borderId="9" xfId="0" applyFont="1" applyBorder="1" applyAlignment="1" applyProtection="1">
      <alignment vertical="center"/>
      <protection locked="0"/>
    </xf>
    <xf numFmtId="0" fontId="31" fillId="0" borderId="0" xfId="2" applyFont="1" applyFill="1" applyBorder="1" applyAlignment="1">
      <alignment vertical="center"/>
    </xf>
    <xf numFmtId="0" fontId="30" fillId="0" borderId="0" xfId="0" applyFont="1"/>
    <xf numFmtId="11" fontId="1" fillId="0" borderId="1" xfId="0" applyNumberFormat="1" applyFont="1" applyBorder="1" applyAlignment="1" applyProtection="1">
      <alignment vertical="center"/>
      <protection locked="0"/>
    </xf>
    <xf numFmtId="11" fontId="0" fillId="0" borderId="1" xfId="0" applyNumberFormat="1" applyBorder="1" applyAlignment="1" applyProtection="1">
      <alignment vertical="center"/>
      <protection locked="0"/>
    </xf>
    <xf numFmtId="11" fontId="1" fillId="3" borderId="1" xfId="10" applyNumberFormat="1" applyFont="1" applyFill="1" applyBorder="1" applyAlignment="1" applyProtection="1">
      <alignment vertical="center"/>
      <protection locked="0"/>
    </xf>
    <xf numFmtId="0" fontId="1" fillId="0" borderId="1" xfId="12" applyFont="1" applyFill="1" applyBorder="1"/>
    <xf numFmtId="0" fontId="32" fillId="0" borderId="1" xfId="12" applyFont="1" applyFill="1" applyBorder="1"/>
    <xf numFmtId="0" fontId="32" fillId="0" borderId="1" xfId="4" quotePrefix="1" applyFont="1" applyFill="1" applyBorder="1" applyAlignment="1">
      <alignment vertical="center"/>
    </xf>
    <xf numFmtId="11" fontId="18" fillId="0" borderId="1" xfId="0" applyNumberFormat="1" applyFont="1" applyBorder="1" applyAlignment="1" applyProtection="1">
      <alignment vertical="center"/>
      <protection locked="0"/>
    </xf>
    <xf numFmtId="0" fontId="25" fillId="21" borderId="0" xfId="0" applyFont="1" applyFill="1" applyAlignment="1" applyProtection="1">
      <alignment horizontal="center"/>
    </xf>
    <xf numFmtId="0" fontId="2" fillId="6" borderId="1" xfId="0" applyFont="1" applyFill="1" applyBorder="1" applyAlignment="1">
      <alignment horizontal="center" vertical="center" textRotation="90" wrapText="1"/>
    </xf>
    <xf numFmtId="0" fontId="2" fillId="9" borderId="10"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4" fillId="14" borderId="10" xfId="0" applyFont="1" applyFill="1" applyBorder="1" applyAlignment="1" applyProtection="1">
      <alignment horizontal="left" vertical="center"/>
      <protection locked="0"/>
    </xf>
    <xf numFmtId="0" fontId="14" fillId="14" borderId="4" xfId="0" applyFont="1" applyFill="1" applyBorder="1" applyAlignment="1" applyProtection="1">
      <alignment horizontal="left" vertical="center"/>
      <protection locked="0"/>
    </xf>
    <xf numFmtId="0" fontId="14" fillId="14" borderId="5" xfId="0" applyFont="1" applyFill="1" applyBorder="1" applyAlignment="1" applyProtection="1">
      <alignment horizontal="left" vertical="center"/>
      <protection locked="0"/>
    </xf>
    <xf numFmtId="15" fontId="14" fillId="14" borderId="10" xfId="0" quotePrefix="1" applyNumberFormat="1" applyFont="1" applyFill="1" applyBorder="1" applyAlignment="1" applyProtection="1">
      <alignment horizontal="left" vertical="center"/>
      <protection locked="0"/>
    </xf>
    <xf numFmtId="0" fontId="14" fillId="15" borderId="10" xfId="0" applyFont="1" applyFill="1" applyBorder="1" applyAlignment="1" applyProtection="1">
      <alignment horizontal="left" vertical="center"/>
      <protection locked="0"/>
    </xf>
    <xf numFmtId="0" fontId="14" fillId="15" borderId="4" xfId="0" applyFont="1" applyFill="1" applyBorder="1" applyAlignment="1" applyProtection="1">
      <alignment horizontal="left" vertical="center"/>
      <protection locked="0"/>
    </xf>
    <xf numFmtId="0" fontId="14" fillId="13" borderId="10" xfId="0" applyFont="1" applyFill="1" applyBorder="1" applyAlignment="1" applyProtection="1">
      <alignment horizontal="left" vertical="center"/>
      <protection locked="0"/>
    </xf>
    <xf numFmtId="0" fontId="14" fillId="13" borderId="4" xfId="0" applyFont="1" applyFill="1" applyBorder="1" applyAlignment="1" applyProtection="1">
      <alignment horizontal="left" vertical="center"/>
      <protection locked="0"/>
    </xf>
    <xf numFmtId="0" fontId="14" fillId="15" borderId="18" xfId="0" applyFont="1" applyFill="1" applyBorder="1" applyAlignment="1" applyProtection="1">
      <alignment horizontal="left" vertical="center" wrapText="1"/>
      <protection locked="0"/>
    </xf>
    <xf numFmtId="0" fontId="14" fillId="15" borderId="0" xfId="0" applyFont="1" applyFill="1" applyBorder="1" applyAlignment="1" applyProtection="1">
      <alignment horizontal="left" vertical="center" wrapText="1"/>
      <protection locked="0"/>
    </xf>
    <xf numFmtId="0" fontId="14" fillId="15" borderId="17" xfId="0" applyFont="1" applyFill="1" applyBorder="1" applyAlignment="1" applyProtection="1">
      <alignment horizontal="left" vertical="center" wrapText="1"/>
      <protection locked="0"/>
    </xf>
    <xf numFmtId="0" fontId="16" fillId="11" borderId="0" xfId="0" applyFont="1" applyFill="1" applyAlignment="1">
      <alignment horizontal="center"/>
    </xf>
    <xf numFmtId="0" fontId="2" fillId="0" borderId="0" xfId="0" applyFont="1" applyAlignment="1">
      <alignment horizontal="center" vertical="center"/>
    </xf>
    <xf numFmtId="0" fontId="31" fillId="0" borderId="0" xfId="2" applyFont="1" applyFill="1" applyBorder="1" applyAlignment="1">
      <alignment horizontal="center" vertical="center"/>
    </xf>
    <xf numFmtId="0" fontId="12" fillId="0" borderId="0" xfId="0" applyFont="1" applyBorder="1" applyAlignment="1" applyProtection="1">
      <alignment horizontal="center"/>
      <protection locked="0"/>
    </xf>
    <xf numFmtId="0" fontId="10" fillId="0" borderId="0" xfId="0" applyFont="1" applyBorder="1" applyAlignment="1" applyProtection="1">
      <alignment horizontal="center"/>
      <protection locked="0"/>
    </xf>
    <xf numFmtId="0" fontId="9" fillId="0" borderId="5" xfId="0" applyFont="1" applyFill="1" applyBorder="1" applyAlignment="1" applyProtection="1">
      <alignment horizontal="left" vertical="center"/>
      <protection locked="0"/>
    </xf>
    <xf numFmtId="0" fontId="9" fillId="0" borderId="10" xfId="0" applyFont="1" applyFill="1" applyBorder="1" applyAlignment="1" applyProtection="1">
      <alignment horizontal="left" vertical="center"/>
      <protection locked="0"/>
    </xf>
    <xf numFmtId="0" fontId="11" fillId="0" borderId="10" xfId="0" applyFont="1" applyFill="1" applyBorder="1" applyAlignment="1" applyProtection="1">
      <alignment horizontal="left" vertical="center"/>
      <protection locked="0"/>
    </xf>
    <xf numFmtId="0" fontId="11" fillId="0" borderId="4" xfId="0" applyFont="1" applyFill="1" applyBorder="1" applyAlignment="1" applyProtection="1">
      <alignment horizontal="left" vertical="center"/>
      <protection locked="0"/>
    </xf>
    <xf numFmtId="0" fontId="10" fillId="0" borderId="0" xfId="0" applyFont="1" applyFill="1" applyAlignment="1" applyProtection="1">
      <alignment horizontal="center" vertical="center"/>
      <protection locked="0"/>
    </xf>
    <xf numFmtId="0" fontId="13" fillId="0" borderId="0" xfId="0" applyFont="1" applyFill="1" applyAlignment="1" applyProtection="1">
      <alignment horizontal="center" vertical="center"/>
      <protection locked="0"/>
    </xf>
    <xf numFmtId="0" fontId="12" fillId="0" borderId="0" xfId="0" applyFont="1" applyFill="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3" fillId="0" borderId="0" xfId="0" applyFont="1" applyFill="1" applyBorder="1" applyAlignment="1" applyProtection="1">
      <alignment horizontal="center" vertical="center"/>
      <protection locked="0"/>
    </xf>
    <xf numFmtId="0" fontId="28" fillId="0" borderId="0" xfId="0" applyFont="1" applyFill="1" applyBorder="1" applyAlignment="1" applyProtection="1">
      <alignment horizontal="center"/>
      <protection locked="0"/>
    </xf>
    <xf numFmtId="0" fontId="28" fillId="0" borderId="0" xfId="0" applyFont="1" applyBorder="1" applyAlignment="1" applyProtection="1">
      <alignment horizontal="center"/>
      <protection locked="0"/>
    </xf>
    <xf numFmtId="0" fontId="11" fillId="0" borderId="0" xfId="0" applyFont="1" applyFill="1" applyAlignment="1" applyProtection="1">
      <alignment horizontal="left" wrapText="1"/>
      <protection locked="0"/>
    </xf>
    <xf numFmtId="0" fontId="11" fillId="0" borderId="0" xfId="0" applyFont="1" applyFill="1" applyBorder="1" applyAlignment="1" applyProtection="1">
      <alignment horizontal="left" wrapText="1"/>
      <protection locked="0"/>
    </xf>
    <xf numFmtId="0" fontId="10" fillId="0" borderId="1" xfId="0" applyFont="1" applyBorder="1" applyAlignment="1" applyProtection="1">
      <alignment horizontal="left" vertical="center" wrapText="1"/>
      <protection locked="0"/>
    </xf>
    <xf numFmtId="0" fontId="12" fillId="0" borderId="1" xfId="0" applyFont="1" applyBorder="1" applyAlignment="1" applyProtection="1">
      <alignment horizontal="center"/>
      <protection locked="0"/>
    </xf>
    <xf numFmtId="0" fontId="12" fillId="0" borderId="1" xfId="0" applyFont="1" applyBorder="1" applyAlignment="1" applyProtection="1">
      <alignment horizontal="left"/>
      <protection locked="0"/>
    </xf>
    <xf numFmtId="0" fontId="12" fillId="0" borderId="1" xfId="0" applyFont="1" applyBorder="1" applyAlignment="1" applyProtection="1">
      <alignment horizontal="center" vertical="center"/>
      <protection locked="0"/>
    </xf>
    <xf numFmtId="0" fontId="10" fillId="0" borderId="2" xfId="0" applyFont="1" applyBorder="1" applyAlignment="1" applyProtection="1">
      <alignment horizontal="center" vertical="center"/>
      <protection locked="0"/>
    </xf>
    <xf numFmtId="0" fontId="10" fillId="0" borderId="9" xfId="0" applyFont="1" applyBorder="1" applyAlignment="1" applyProtection="1">
      <alignment horizontal="center" vertical="center"/>
      <protection locked="0"/>
    </xf>
    <xf numFmtId="0" fontId="10" fillId="0" borderId="3" xfId="0" applyFont="1" applyBorder="1" applyAlignment="1" applyProtection="1">
      <alignment horizontal="left" vertical="center" wrapText="1"/>
      <protection locked="0"/>
    </xf>
    <xf numFmtId="0" fontId="10" fillId="0" borderId="18" xfId="0" applyFont="1" applyBorder="1" applyAlignment="1" applyProtection="1">
      <alignment horizontal="left" vertical="center" wrapText="1"/>
      <protection locked="0"/>
    </xf>
    <xf numFmtId="0" fontId="10" fillId="0" borderId="7" xfId="0" applyFont="1" applyBorder="1" applyAlignment="1" applyProtection="1">
      <alignment horizontal="left" vertical="center" wrapText="1"/>
      <protection locked="0"/>
    </xf>
    <xf numFmtId="0" fontId="10" fillId="0" borderId="17" xfId="0" applyFont="1" applyBorder="1" applyAlignment="1" applyProtection="1">
      <alignment horizontal="left" vertical="center" wrapText="1"/>
      <protection locked="0"/>
    </xf>
    <xf numFmtId="0" fontId="5" fillId="0" borderId="5"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0"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5"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4" xfId="0" applyFont="1" applyBorder="1" applyAlignment="1" applyProtection="1">
      <alignment horizontal="left" vertical="center" wrapText="1"/>
      <protection locked="0"/>
    </xf>
    <xf numFmtId="0" fontId="13" fillId="0" borderId="5" xfId="0" applyFont="1" applyBorder="1" applyAlignment="1" applyProtection="1">
      <alignment horizontal="center" vertical="center" wrapText="1"/>
      <protection locked="0"/>
    </xf>
    <xf numFmtId="0" fontId="13" fillId="0" borderId="10" xfId="0" applyFont="1" applyBorder="1" applyAlignment="1" applyProtection="1">
      <alignment horizontal="center" vertical="center" wrapText="1"/>
      <protection locked="0"/>
    </xf>
    <xf numFmtId="0" fontId="9" fillId="3" borderId="0" xfId="0" applyFont="1" applyFill="1" applyBorder="1" applyAlignment="1" applyProtection="1">
      <alignment horizontal="center" vertical="center"/>
    </xf>
    <xf numFmtId="0" fontId="10" fillId="0" borderId="11" xfId="0" applyFont="1" applyBorder="1" applyAlignment="1">
      <alignment horizontal="left" vertical="center" wrapText="1"/>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0" xfId="0" applyFont="1" applyBorder="1" applyAlignment="1">
      <alignment horizontal="left" vertical="center" wrapText="1"/>
    </xf>
    <xf numFmtId="0" fontId="10" fillId="0" borderId="15" xfId="0" applyFont="1" applyBorder="1" applyAlignment="1">
      <alignment horizontal="left" vertical="center" wrapText="1"/>
    </xf>
    <xf numFmtId="0" fontId="12" fillId="0" borderId="5" xfId="0" applyFont="1" applyBorder="1" applyAlignment="1" applyProtection="1">
      <alignment horizontal="left"/>
      <protection locked="0"/>
    </xf>
    <xf numFmtId="0" fontId="12" fillId="0" borderId="10" xfId="0" applyFont="1" applyBorder="1" applyAlignment="1" applyProtection="1">
      <alignment horizontal="left"/>
      <protection locked="0"/>
    </xf>
    <xf numFmtId="0" fontId="8" fillId="0" borderId="5" xfId="0" applyFont="1" applyBorder="1" applyAlignment="1" applyProtection="1">
      <alignment horizontal="left" vertical="center" wrapText="1"/>
      <protection locked="0"/>
    </xf>
    <xf numFmtId="0" fontId="8" fillId="0" borderId="10" xfId="0" applyFont="1" applyBorder="1" applyAlignment="1" applyProtection="1">
      <alignment horizontal="left" vertical="center" wrapText="1"/>
      <protection locked="0"/>
    </xf>
    <xf numFmtId="0" fontId="8" fillId="0" borderId="4" xfId="0" applyFont="1" applyBorder="1" applyAlignment="1" applyProtection="1">
      <alignment horizontal="left" vertical="center" wrapText="1"/>
      <protection locked="0"/>
    </xf>
    <xf numFmtId="0" fontId="11" fillId="0" borderId="5" xfId="0" applyFont="1" applyFill="1" applyBorder="1" applyAlignment="1" applyProtection="1">
      <alignment horizontal="left" vertical="top" wrapText="1"/>
      <protection locked="0"/>
    </xf>
    <xf numFmtId="0" fontId="11" fillId="0" borderId="10" xfId="0" applyFont="1" applyFill="1" applyBorder="1" applyAlignment="1" applyProtection="1">
      <alignment horizontal="left" vertical="top" wrapText="1"/>
      <protection locked="0"/>
    </xf>
    <xf numFmtId="0" fontId="11" fillId="0" borderId="4" xfId="0" applyFont="1" applyFill="1" applyBorder="1" applyAlignment="1" applyProtection="1">
      <alignment horizontal="left" vertical="top" wrapText="1"/>
      <protection locked="0"/>
    </xf>
    <xf numFmtId="0" fontId="12" fillId="0" borderId="4" xfId="0" applyFont="1" applyBorder="1" applyAlignment="1" applyProtection="1">
      <alignment horizontal="left"/>
      <protection locked="0"/>
    </xf>
    <xf numFmtId="0" fontId="10" fillId="0" borderId="1" xfId="0" applyFont="1" applyBorder="1" applyAlignment="1" applyProtection="1">
      <alignment horizontal="left" vertical="center"/>
      <protection locked="0"/>
    </xf>
    <xf numFmtId="0" fontId="10" fillId="0" borderId="1" xfId="0" applyFont="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9" fillId="0" borderId="0" xfId="0" applyFont="1" applyFill="1" applyAlignment="1" applyProtection="1">
      <alignment horizontal="left" vertical="top" wrapText="1"/>
      <protection locked="0"/>
    </xf>
    <xf numFmtId="0" fontId="9" fillId="0" borderId="0" xfId="0" applyFont="1" applyFill="1" applyBorder="1" applyAlignment="1" applyProtection="1">
      <alignment horizontal="left" vertical="top" wrapText="1"/>
      <protection locked="0"/>
    </xf>
    <xf numFmtId="0" fontId="23" fillId="0" borderId="5" xfId="0" applyFont="1" applyBorder="1" applyAlignment="1" applyProtection="1">
      <alignment horizontal="left" vertical="center" wrapText="1"/>
      <protection locked="0"/>
    </xf>
    <xf numFmtId="0" fontId="23" fillId="0" borderId="10" xfId="0" applyFont="1" applyBorder="1" applyAlignment="1" applyProtection="1">
      <alignment horizontal="left" vertical="center" wrapText="1"/>
      <protection locked="0"/>
    </xf>
    <xf numFmtId="0" fontId="23" fillId="0" borderId="4" xfId="0" applyFont="1" applyBorder="1" applyAlignment="1" applyProtection="1">
      <alignment horizontal="left" vertical="center" wrapText="1"/>
      <protection locked="0"/>
    </xf>
    <xf numFmtId="0" fontId="10" fillId="0" borderId="1" xfId="0" applyFont="1" applyBorder="1" applyAlignment="1" applyProtection="1">
      <alignment horizontal="center" vertical="center"/>
      <protection locked="0"/>
    </xf>
    <xf numFmtId="0" fontId="24" fillId="0" borderId="5" xfId="0" applyFont="1" applyFill="1" applyBorder="1" applyAlignment="1" applyProtection="1">
      <alignment horizontal="center" vertical="center" wrapText="1"/>
      <protection locked="0"/>
    </xf>
    <xf numFmtId="0" fontId="24" fillId="0" borderId="10" xfId="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wrapText="1"/>
      <protection locked="0"/>
    </xf>
    <xf numFmtId="0" fontId="23" fillId="0" borderId="5" xfId="0" applyFont="1" applyBorder="1" applyAlignment="1" applyProtection="1">
      <alignment horizontal="left" vertical="top" wrapText="1"/>
      <protection locked="0"/>
    </xf>
    <xf numFmtId="0" fontId="23" fillId="0" borderId="10" xfId="0" applyFont="1" applyBorder="1" applyAlignment="1" applyProtection="1">
      <alignment horizontal="left" vertical="top" wrapText="1"/>
      <protection locked="0"/>
    </xf>
    <xf numFmtId="0" fontId="23" fillId="0" borderId="4" xfId="0" applyFont="1" applyBorder="1" applyAlignment="1" applyProtection="1">
      <alignment horizontal="left" vertical="top" wrapText="1"/>
      <protection locked="0"/>
    </xf>
    <xf numFmtId="0" fontId="2"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2" fillId="8" borderId="1"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10" xfId="0" applyFont="1" applyFill="1" applyBorder="1" applyAlignment="1">
      <alignment horizontal="center" vertical="center"/>
    </xf>
    <xf numFmtId="0" fontId="2" fillId="9"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8"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 fillId="9" borderId="10" xfId="0" applyFont="1" applyFill="1" applyBorder="1" applyAlignment="1">
      <alignment horizontal="center"/>
    </xf>
    <xf numFmtId="0" fontId="2" fillId="5" borderId="1" xfId="0" applyFont="1" applyFill="1" applyBorder="1" applyAlignment="1">
      <alignment horizontal="center"/>
    </xf>
    <xf numFmtId="0" fontId="2" fillId="9" borderId="5" xfId="0" applyFont="1" applyFill="1" applyBorder="1" applyAlignment="1">
      <alignment horizontal="center"/>
    </xf>
    <xf numFmtId="0" fontId="2" fillId="10" borderId="1" xfId="0" applyFont="1" applyFill="1" applyBorder="1" applyAlignment="1">
      <alignment horizontal="center"/>
    </xf>
    <xf numFmtId="0" fontId="2" fillId="5" borderId="5"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4"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10" borderId="5" xfId="0" applyFont="1" applyFill="1" applyBorder="1" applyAlignment="1">
      <alignment horizontal="center" vertical="center"/>
    </xf>
    <xf numFmtId="0" fontId="2" fillId="10" borderId="10" xfId="0" applyFont="1" applyFill="1" applyBorder="1" applyAlignment="1">
      <alignment horizontal="center" vertical="center"/>
    </xf>
    <xf numFmtId="0" fontId="2" fillId="10" borderId="4"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7" fillId="0" borderId="0" xfId="0" applyFont="1" applyAlignment="1" applyProtection="1">
      <alignment horizontal="center"/>
    </xf>
    <xf numFmtId="0" fontId="0" fillId="7" borderId="1" xfId="0" applyFill="1"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xf>
  </cellXfs>
  <cellStyles count="13">
    <cellStyle name="Currency [0] 2" xfId="3"/>
    <cellStyle name="Normal" xfId="0" builtinId="0"/>
    <cellStyle name="Normal 2" xfId="1"/>
    <cellStyle name="Normal 2 2" xfId="5"/>
    <cellStyle name="Normal 2 3" xfId="10"/>
    <cellStyle name="Normal 2 4" xfId="9"/>
    <cellStyle name="Normal 3" xfId="4"/>
    <cellStyle name="Normal 3 2" xfId="12"/>
    <cellStyle name="Normal 4" xfId="2"/>
    <cellStyle name="Normal 4 2" xfId="6"/>
    <cellStyle name="Normal 5" xfId="7"/>
    <cellStyle name="Normal 6" xfId="11"/>
    <cellStyle name="Percent 2" xfId="8"/>
  </cellStyles>
  <dxfs count="49">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numFmt numFmtId="0" formatCode="General"/>
      <fill>
        <patternFill>
          <bgColor theme="0"/>
        </patternFill>
      </fill>
    </dxf>
    <dxf>
      <font>
        <color theme="0"/>
      </font>
      <numFmt numFmtId="0" formatCode="General"/>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ont>
        <color theme="0"/>
      </font>
      <numFmt numFmtId="0" formatCode="General"/>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23ECF1"/>
      <color rgb="FF808080"/>
      <color rgb="FFE923DB"/>
      <color rgb="FF8A19E7"/>
      <color rgb="FFFDFD2F"/>
      <color rgb="FFF39125"/>
      <color rgb="FFE92323"/>
      <color rgb="FFE719CE"/>
      <color rgb="FF6B20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Lines="38" dropStyle="combo" dx="16" fmlaLink="$M$15" fmlaRange="'DATA SISWA LENGKAP'!$B$4:$B$41" sel="30" val="0"/>
</file>

<file path=xl/ctrlProps/ctrlProp2.xml><?xml version="1.0" encoding="utf-8"?>
<formControlPr xmlns="http://schemas.microsoft.com/office/spreadsheetml/2009/9/main" objectType="Drop" dropStyle="combo" dx="16" fmlaLink="$E$17" fmlaRange="'DATA SISWA LENGKAP'!$A$43:$A$48" sel="5" val="0"/>
</file>

<file path=xl/ctrlProps/ctrlProp3.xml><?xml version="1.0" encoding="utf-8"?>
<formControlPr xmlns="http://schemas.microsoft.com/office/spreadsheetml/2009/9/main" objectType="Drop" dropLines="40" dropStyle="combo" dx="16" fmlaLink="$J$1" fmlaRange="Legger!$B$9:$B$48" sel="31" val="0"/>
</file>

<file path=xl/drawings/_rels/drawing1.xml.rels><?xml version="1.0" encoding="UTF-8" standalone="yes"?>
<Relationships xmlns="http://schemas.openxmlformats.org/package/2006/relationships"><Relationship Id="rId8" Type="http://schemas.openxmlformats.org/officeDocument/2006/relationships/hyperlink" Target="#'Catatan Sikap'!A1"/><Relationship Id="rId13" Type="http://schemas.openxmlformats.org/officeDocument/2006/relationships/hyperlink" Target="#'DATA SISWA LENGKAP'!A1"/><Relationship Id="rId3" Type="http://schemas.openxmlformats.org/officeDocument/2006/relationships/hyperlink" Target="#'Input Ekstra'!A1"/><Relationship Id="rId7" Type="http://schemas.openxmlformats.org/officeDocument/2006/relationships/hyperlink" Target="#Legger!A1"/><Relationship Id="rId12" Type="http://schemas.openxmlformats.org/officeDocument/2006/relationships/image" Target="../media/image3.jpeg"/><Relationship Id="rId2" Type="http://schemas.openxmlformats.org/officeDocument/2006/relationships/image" Target="../media/image2.tiff"/><Relationship Id="rId1" Type="http://schemas.openxmlformats.org/officeDocument/2006/relationships/image" Target="../media/image1.jpeg"/><Relationship Id="rId6" Type="http://schemas.openxmlformats.org/officeDocument/2006/relationships/hyperlink" Target="#'Input Prestasi'!A1"/><Relationship Id="rId11" Type="http://schemas.openxmlformats.org/officeDocument/2006/relationships/hyperlink" Target="#'Legger Dinas'!A1"/><Relationship Id="rId5" Type="http://schemas.openxmlformats.org/officeDocument/2006/relationships/hyperlink" Target="#'Input Kehadiran'!A1"/><Relationship Id="rId10" Type="http://schemas.openxmlformats.org/officeDocument/2006/relationships/hyperlink" Target="#Raport!A1"/><Relationship Id="rId4" Type="http://schemas.openxmlformats.org/officeDocument/2006/relationships/hyperlink" Target="#'Input Nilai Sikap dan Catatan'!A1"/><Relationship Id="rId9" Type="http://schemas.openxmlformats.org/officeDocument/2006/relationships/hyperlink" Target="#Setting!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Home!A1"/><Relationship Id="rId1" Type="http://schemas.openxmlformats.org/officeDocument/2006/relationships/hyperlink" Target="#Legger!A1"/><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8" Type="http://schemas.openxmlformats.org/officeDocument/2006/relationships/hyperlink" Target="#Legger!AT9"/><Relationship Id="rId13" Type="http://schemas.openxmlformats.org/officeDocument/2006/relationships/hyperlink" Target="#Legger!BX9"/><Relationship Id="rId18" Type="http://schemas.openxmlformats.org/officeDocument/2006/relationships/hyperlink" Target="#Home!A1"/><Relationship Id="rId3" Type="http://schemas.openxmlformats.org/officeDocument/2006/relationships/hyperlink" Target="#Legger!P9"/><Relationship Id="rId7" Type="http://schemas.openxmlformats.org/officeDocument/2006/relationships/hyperlink" Target="#Legger!AN9"/><Relationship Id="rId12" Type="http://schemas.openxmlformats.org/officeDocument/2006/relationships/hyperlink" Target="#Legger!BR9"/><Relationship Id="rId17" Type="http://schemas.openxmlformats.org/officeDocument/2006/relationships/hyperlink" Target="#Legger!CV9"/><Relationship Id="rId2" Type="http://schemas.openxmlformats.org/officeDocument/2006/relationships/hyperlink" Target="#Legger!J9"/><Relationship Id="rId16" Type="http://schemas.openxmlformats.org/officeDocument/2006/relationships/hyperlink" Target="#Legger!CP9"/><Relationship Id="rId1" Type="http://schemas.openxmlformats.org/officeDocument/2006/relationships/hyperlink" Target="#raport!A1"/><Relationship Id="rId6" Type="http://schemas.openxmlformats.org/officeDocument/2006/relationships/hyperlink" Target="#Legger!AH9"/><Relationship Id="rId11" Type="http://schemas.openxmlformats.org/officeDocument/2006/relationships/hyperlink" Target="#Legger!BL9"/><Relationship Id="rId5" Type="http://schemas.openxmlformats.org/officeDocument/2006/relationships/hyperlink" Target="#Legger!AB9"/><Relationship Id="rId15" Type="http://schemas.openxmlformats.org/officeDocument/2006/relationships/hyperlink" Target="#Legger!CJ9"/><Relationship Id="rId10" Type="http://schemas.openxmlformats.org/officeDocument/2006/relationships/hyperlink" Target="#Legger!BF9"/><Relationship Id="rId4" Type="http://schemas.openxmlformats.org/officeDocument/2006/relationships/hyperlink" Target="#Legger!V9"/><Relationship Id="rId9" Type="http://schemas.openxmlformats.org/officeDocument/2006/relationships/hyperlink" Target="#Legger!AZ9"/><Relationship Id="rId14" Type="http://schemas.openxmlformats.org/officeDocument/2006/relationships/hyperlink" Target="#Legger!CD9"/></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211668</xdr:colOff>
      <xdr:row>0</xdr:row>
      <xdr:rowOff>178594</xdr:rowOff>
    </xdr:from>
    <xdr:to>
      <xdr:col>7</xdr:col>
      <xdr:colOff>428627</xdr:colOff>
      <xdr:row>25</xdr:row>
      <xdr:rowOff>0</xdr:rowOff>
    </xdr:to>
    <xdr:sp macro="" textlink="">
      <xdr:nvSpPr>
        <xdr:cNvPr id="52" name="Rounded Rectangle 51">
          <a:extLst>
            <a:ext uri="{FF2B5EF4-FFF2-40B4-BE49-F238E27FC236}">
              <a16:creationId xmlns:a16="http://schemas.microsoft.com/office/drawing/2014/main" id="{00000000-0008-0000-0000-000034000000}"/>
            </a:ext>
          </a:extLst>
        </xdr:cNvPr>
        <xdr:cNvSpPr/>
      </xdr:nvSpPr>
      <xdr:spPr>
        <a:xfrm>
          <a:off x="1439335" y="369094"/>
          <a:ext cx="3254375" cy="4583906"/>
        </a:xfrm>
        <a:prstGeom prst="roundRect">
          <a:avLst/>
        </a:prstGeom>
        <a:blipFill>
          <a:blip xmlns:r="http://schemas.openxmlformats.org/officeDocument/2006/relationships" r:embed="rId1"/>
          <a:tile tx="0" ty="0" sx="100000" sy="100000" flip="none" algn="tl"/>
        </a:blip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id-ID" sz="1100">
            <a:ln>
              <a:solidFill>
                <a:schemeClr val="tx1"/>
              </a:solidFill>
              <a:prstDash val="solid"/>
            </a:ln>
          </a:endParaRPr>
        </a:p>
      </xdr:txBody>
    </xdr:sp>
    <xdr:clientData/>
  </xdr:twoCellAnchor>
  <xdr:twoCellAnchor>
    <xdr:from>
      <xdr:col>2</xdr:col>
      <xdr:colOff>331258</xdr:colOff>
      <xdr:row>14</xdr:row>
      <xdr:rowOff>116417</xdr:rowOff>
    </xdr:from>
    <xdr:to>
      <xdr:col>7</xdr:col>
      <xdr:colOff>331258</xdr:colOff>
      <xdr:row>20</xdr:row>
      <xdr:rowOff>0</xdr:rowOff>
    </xdr:to>
    <xdr:sp macro="" textlink="">
      <xdr:nvSpPr>
        <xdr:cNvPr id="53" name="Rectangle 52">
          <a:extLst>
            <a:ext uri="{FF2B5EF4-FFF2-40B4-BE49-F238E27FC236}">
              <a16:creationId xmlns:a16="http://schemas.microsoft.com/office/drawing/2014/main" id="{00000000-0008-0000-0000-000035000000}"/>
            </a:ext>
          </a:extLst>
        </xdr:cNvPr>
        <xdr:cNvSpPr/>
      </xdr:nvSpPr>
      <xdr:spPr>
        <a:xfrm>
          <a:off x="1558925" y="2973917"/>
          <a:ext cx="3037416" cy="1026583"/>
        </a:xfrm>
        <a:prstGeom prst="rect">
          <a:avLst/>
        </a:prstGeom>
        <a:noFill/>
        <a:effectLst>
          <a:outerShdw blurRad="50800" dist="38100" dir="5400000" algn="t" rotWithShape="0">
            <a:prstClr val="black">
              <a:alpha val="40000"/>
            </a:prstClr>
          </a:outerShdw>
        </a:effectLst>
      </xdr:spPr>
      <xdr:txBody>
        <a:bodyPr wrap="none" lIns="91440" tIns="45720" rIns="91440" bIns="45720" anchor="ctr">
          <a:noAutofit/>
        </a:bodyPr>
        <a:lstStyle/>
        <a:p>
          <a:pPr algn="ctr"/>
          <a:r>
            <a:rPr lang="en-US" sz="2800" b="1" cap="none" spc="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rPr>
            <a:t>Legger </a:t>
          </a:r>
          <a:r>
            <a:rPr lang="en-US" sz="2800" b="1" cap="none" spc="0" baseline="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rPr>
            <a:t>Rapor</a:t>
          </a:r>
          <a:endParaRPr lang="id-ID" sz="2800" b="1" cap="none" spc="0" baseline="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endParaRPr>
        </a:p>
        <a:p>
          <a:pPr algn="ctr"/>
          <a:r>
            <a:rPr lang="en-US" sz="2800" b="1" cap="none" spc="0" baseline="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rPr>
            <a:t>Wali Kelas</a:t>
          </a:r>
          <a:endParaRPr lang="en-US" sz="2800" b="1" cap="none" spc="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endParaRPr>
        </a:p>
      </xdr:txBody>
    </xdr:sp>
    <xdr:clientData/>
  </xdr:twoCellAnchor>
  <xdr:twoCellAnchor>
    <xdr:from>
      <xdr:col>3</xdr:col>
      <xdr:colOff>190552</xdr:colOff>
      <xdr:row>2</xdr:row>
      <xdr:rowOff>164043</xdr:rowOff>
    </xdr:from>
    <xdr:to>
      <xdr:col>6</xdr:col>
      <xdr:colOff>464524</xdr:colOff>
      <xdr:row>13</xdr:row>
      <xdr:rowOff>58209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12208" y="545043"/>
          <a:ext cx="2071816" cy="1989666"/>
        </a:xfrm>
        <a:prstGeom prst="rect">
          <a:avLst/>
        </a:prstGeom>
        <a:noFill/>
        <a:ln>
          <a:noFill/>
        </a:ln>
        <a:effectLst>
          <a:outerShdw blurRad="190500" dist="38100" sx="103000" sy="103000" algn="l" rotWithShape="0">
            <a:schemeClr val="tx1"/>
          </a:outerShdw>
        </a:effectLst>
      </xdr:spPr>
    </xdr:pic>
    <xdr:clientData/>
  </xdr:twoCellAnchor>
  <xdr:twoCellAnchor>
    <xdr:from>
      <xdr:col>2</xdr:col>
      <xdr:colOff>332846</xdr:colOff>
      <xdr:row>20</xdr:row>
      <xdr:rowOff>71677</xdr:rowOff>
    </xdr:from>
    <xdr:to>
      <xdr:col>7</xdr:col>
      <xdr:colOff>332846</xdr:colOff>
      <xdr:row>23</xdr:row>
      <xdr:rowOff>21167</xdr:rowOff>
    </xdr:to>
    <xdr:sp macro="" textlink="">
      <xdr:nvSpPr>
        <xdr:cNvPr id="82" name="Rectangle 81">
          <a:extLst>
            <a:ext uri="{FF2B5EF4-FFF2-40B4-BE49-F238E27FC236}">
              <a16:creationId xmlns:a16="http://schemas.microsoft.com/office/drawing/2014/main" id="{00000000-0008-0000-0000-000052000000}"/>
            </a:ext>
          </a:extLst>
        </xdr:cNvPr>
        <xdr:cNvSpPr/>
      </xdr:nvSpPr>
      <xdr:spPr>
        <a:xfrm>
          <a:off x="1560513" y="4072177"/>
          <a:ext cx="3037416" cy="520990"/>
        </a:xfrm>
        <a:prstGeom prst="rect">
          <a:avLst/>
        </a:prstGeom>
        <a:noFill/>
        <a:effectLst>
          <a:outerShdw blurRad="50800" dist="38100" dir="5400000" algn="t" rotWithShape="0">
            <a:prstClr val="black">
              <a:alpha val="40000"/>
            </a:prstClr>
          </a:outerShdw>
        </a:effectLst>
      </xdr:spPr>
      <xdr:txBody>
        <a:bodyPr wrap="none" lIns="91440" tIns="45720" rIns="91440" bIns="45720" anchor="ctr">
          <a:noAutofit/>
        </a:bodyPr>
        <a:lstStyle/>
        <a:p>
          <a:pPr marL="0" indent="0" algn="ctr"/>
          <a:r>
            <a:rPr lang="en-US" sz="2000" b="1" cap="none" spc="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ea typeface="+mn-ea"/>
              <a:cs typeface="+mn-cs"/>
            </a:rPr>
            <a:t>SMA ABBS Surakarta</a:t>
          </a:r>
        </a:p>
      </xdr:txBody>
    </xdr:sp>
    <xdr:clientData/>
  </xdr:twoCellAnchor>
  <xdr:twoCellAnchor>
    <xdr:from>
      <xdr:col>13</xdr:col>
      <xdr:colOff>419702</xdr:colOff>
      <xdr:row>22</xdr:row>
      <xdr:rowOff>170746</xdr:rowOff>
    </xdr:from>
    <xdr:to>
      <xdr:col>15</xdr:col>
      <xdr:colOff>476433</xdr:colOff>
      <xdr:row>26</xdr:row>
      <xdr:rowOff>50009</xdr:rowOff>
    </xdr:to>
    <xdr:sp macro="" textlink="">
      <xdr:nvSpPr>
        <xdr:cNvPr id="60" name="Hexagon 59">
          <a:hlinkClick xmlns:r="http://schemas.openxmlformats.org/officeDocument/2006/relationships" r:id="rId3"/>
          <a:extLst>
            <a:ext uri="{FF2B5EF4-FFF2-40B4-BE49-F238E27FC236}">
              <a16:creationId xmlns:a16="http://schemas.microsoft.com/office/drawing/2014/main" id="{00000000-0008-0000-0000-00003C000000}"/>
            </a:ext>
          </a:extLst>
        </xdr:cNvPr>
        <xdr:cNvSpPr/>
      </xdr:nvSpPr>
      <xdr:spPr>
        <a:xfrm>
          <a:off x="8718358" y="4361746"/>
          <a:ext cx="1271169" cy="641263"/>
        </a:xfrm>
        <a:prstGeom prst="hexagon">
          <a:avLst/>
        </a:prstGeom>
        <a:gradFill flip="none" rotWithShape="1">
          <a:gsLst>
            <a:gs pos="51000">
              <a:srgbClr val="00FF00"/>
            </a:gs>
            <a:gs pos="0">
              <a:srgbClr val="FDFD2F"/>
            </a:gs>
            <a:gs pos="100000">
              <a:schemeClr val="accent1">
                <a:shade val="100000"/>
                <a:satMod val="115000"/>
              </a:schemeClr>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Nilai</a:t>
          </a:r>
          <a:r>
            <a:rPr lang="en-US" sz="1200" b="1" baseline="0">
              <a:solidFill>
                <a:schemeClr val="bg1"/>
              </a:solidFill>
            </a:rPr>
            <a:t> Ekstra</a:t>
          </a:r>
          <a:endParaRPr lang="en-US" sz="1200" b="1">
            <a:solidFill>
              <a:schemeClr val="bg1"/>
            </a:solidFill>
          </a:endParaRPr>
        </a:p>
      </xdr:txBody>
    </xdr:sp>
    <xdr:clientData/>
  </xdr:twoCellAnchor>
  <xdr:twoCellAnchor>
    <xdr:from>
      <xdr:col>9</xdr:col>
      <xdr:colOff>854871</xdr:colOff>
      <xdr:row>26</xdr:row>
      <xdr:rowOff>148456</xdr:rowOff>
    </xdr:from>
    <xdr:to>
      <xdr:col>11</xdr:col>
      <xdr:colOff>566321</xdr:colOff>
      <xdr:row>29</xdr:row>
      <xdr:rowOff>182500</xdr:rowOff>
    </xdr:to>
    <xdr:sp macro="" textlink="">
      <xdr:nvSpPr>
        <xdr:cNvPr id="62" name="Hexagon 61">
          <a:hlinkClick xmlns:r="http://schemas.openxmlformats.org/officeDocument/2006/relationships" r:id="rId4"/>
          <a:extLst>
            <a:ext uri="{FF2B5EF4-FFF2-40B4-BE49-F238E27FC236}">
              <a16:creationId xmlns:a16="http://schemas.microsoft.com/office/drawing/2014/main" id="{00000000-0008-0000-0000-00003E000000}"/>
            </a:ext>
          </a:extLst>
        </xdr:cNvPr>
        <xdr:cNvSpPr/>
      </xdr:nvSpPr>
      <xdr:spPr>
        <a:xfrm>
          <a:off x="6296027" y="5101456"/>
          <a:ext cx="1271169" cy="641263"/>
        </a:xfrm>
        <a:prstGeom prst="hexagon">
          <a:avLst/>
        </a:prstGeom>
        <a:gradFill flip="none" rotWithShape="1">
          <a:gsLst>
            <a:gs pos="0">
              <a:srgbClr val="E92323"/>
            </a:gs>
            <a:gs pos="100000">
              <a:srgbClr val="F39125"/>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Catatan</a:t>
          </a:r>
          <a:r>
            <a:rPr lang="en-US" sz="1200" b="1" baseline="0">
              <a:solidFill>
                <a:schemeClr val="bg1"/>
              </a:solidFill>
            </a:rPr>
            <a:t> Walas</a:t>
          </a:r>
          <a:endParaRPr lang="en-US" sz="1200" b="1">
            <a:solidFill>
              <a:schemeClr val="bg1"/>
            </a:solidFill>
          </a:endParaRPr>
        </a:p>
      </xdr:txBody>
    </xdr:sp>
    <xdr:clientData/>
  </xdr:twoCellAnchor>
  <xdr:twoCellAnchor>
    <xdr:from>
      <xdr:col>11</xdr:col>
      <xdr:colOff>503694</xdr:colOff>
      <xdr:row>20</xdr:row>
      <xdr:rowOff>164210</xdr:rowOff>
    </xdr:from>
    <xdr:to>
      <xdr:col>13</xdr:col>
      <xdr:colOff>477082</xdr:colOff>
      <xdr:row>24</xdr:row>
      <xdr:rowOff>43473</xdr:rowOff>
    </xdr:to>
    <xdr:sp macro="" textlink="">
      <xdr:nvSpPr>
        <xdr:cNvPr id="19" name="Hexagon 18">
          <a:hlinkClick xmlns:r="http://schemas.openxmlformats.org/officeDocument/2006/relationships" r:id="rId5"/>
          <a:extLst>
            <a:ext uri="{FF2B5EF4-FFF2-40B4-BE49-F238E27FC236}">
              <a16:creationId xmlns:a16="http://schemas.microsoft.com/office/drawing/2014/main" id="{00000000-0008-0000-0000-000013000000}"/>
            </a:ext>
          </a:extLst>
        </xdr:cNvPr>
        <xdr:cNvSpPr/>
      </xdr:nvSpPr>
      <xdr:spPr>
        <a:xfrm>
          <a:off x="7504569" y="3974210"/>
          <a:ext cx="1271169" cy="641263"/>
        </a:xfrm>
        <a:prstGeom prst="hexagon">
          <a:avLst/>
        </a:prstGeom>
        <a:gradFill>
          <a:gsLst>
            <a:gs pos="100000">
              <a:srgbClr val="FDFD2F"/>
            </a:gs>
            <a:gs pos="0">
              <a:srgbClr val="F39125"/>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Kehadiran</a:t>
          </a:r>
        </a:p>
      </xdr:txBody>
    </xdr:sp>
    <xdr:clientData/>
  </xdr:twoCellAnchor>
  <xdr:twoCellAnchor>
    <xdr:from>
      <xdr:col>13</xdr:col>
      <xdr:colOff>416284</xdr:colOff>
      <xdr:row>18</xdr:row>
      <xdr:rowOff>169335</xdr:rowOff>
    </xdr:from>
    <xdr:to>
      <xdr:col>15</xdr:col>
      <xdr:colOff>473015</xdr:colOff>
      <xdr:row>22</xdr:row>
      <xdr:rowOff>48598</xdr:rowOff>
    </xdr:to>
    <xdr:sp macro="" textlink="">
      <xdr:nvSpPr>
        <xdr:cNvPr id="20" name="Hexagon 19">
          <a:hlinkClick xmlns:r="http://schemas.openxmlformats.org/officeDocument/2006/relationships" r:id="rId6"/>
          <a:extLst>
            <a:ext uri="{FF2B5EF4-FFF2-40B4-BE49-F238E27FC236}">
              <a16:creationId xmlns:a16="http://schemas.microsoft.com/office/drawing/2014/main" id="{00000000-0008-0000-0000-000014000000}"/>
            </a:ext>
          </a:extLst>
        </xdr:cNvPr>
        <xdr:cNvSpPr/>
      </xdr:nvSpPr>
      <xdr:spPr>
        <a:xfrm>
          <a:off x="8714940" y="3598335"/>
          <a:ext cx="1271169" cy="641263"/>
        </a:xfrm>
        <a:prstGeom prst="hexagon">
          <a:avLst/>
        </a:prstGeom>
        <a:gradFill flip="none" rotWithShape="1">
          <a:gsLst>
            <a:gs pos="51000">
              <a:srgbClr val="00FF00"/>
            </a:gs>
            <a:gs pos="0">
              <a:srgbClr val="FDFD2F"/>
            </a:gs>
            <a:gs pos="100000">
              <a:schemeClr val="accent1">
                <a:shade val="100000"/>
                <a:satMod val="115000"/>
              </a:schemeClr>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Prestasi</a:t>
          </a:r>
        </a:p>
      </xdr:txBody>
    </xdr:sp>
    <xdr:clientData/>
  </xdr:twoCellAnchor>
  <xdr:twoCellAnchor>
    <xdr:from>
      <xdr:col>11</xdr:col>
      <xdr:colOff>503690</xdr:colOff>
      <xdr:row>24</xdr:row>
      <xdr:rowOff>153685</xdr:rowOff>
    </xdr:from>
    <xdr:to>
      <xdr:col>13</xdr:col>
      <xdr:colOff>477078</xdr:colOff>
      <xdr:row>28</xdr:row>
      <xdr:rowOff>9135</xdr:rowOff>
    </xdr:to>
    <xdr:sp macro="" textlink="">
      <xdr:nvSpPr>
        <xdr:cNvPr id="22" name="Hexagon 21">
          <a:hlinkClick xmlns:r="http://schemas.openxmlformats.org/officeDocument/2006/relationships" r:id="rId7"/>
          <a:extLst>
            <a:ext uri="{FF2B5EF4-FFF2-40B4-BE49-F238E27FC236}">
              <a16:creationId xmlns:a16="http://schemas.microsoft.com/office/drawing/2014/main" id="{00000000-0008-0000-0000-000016000000}"/>
            </a:ext>
          </a:extLst>
        </xdr:cNvPr>
        <xdr:cNvSpPr/>
      </xdr:nvSpPr>
      <xdr:spPr>
        <a:xfrm>
          <a:off x="7504565" y="4725685"/>
          <a:ext cx="1271169" cy="641263"/>
        </a:xfrm>
        <a:prstGeom prst="hexagon">
          <a:avLst/>
        </a:prstGeom>
        <a:gradFill>
          <a:gsLst>
            <a:gs pos="100000">
              <a:srgbClr val="FDFD2F"/>
            </a:gs>
            <a:gs pos="0">
              <a:srgbClr val="F39125"/>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Nilai Mapel</a:t>
          </a:r>
        </a:p>
      </xdr:txBody>
    </xdr:sp>
    <xdr:clientData/>
  </xdr:twoCellAnchor>
  <xdr:twoCellAnchor>
    <xdr:from>
      <xdr:col>9</xdr:col>
      <xdr:colOff>854874</xdr:colOff>
      <xdr:row>22</xdr:row>
      <xdr:rowOff>170742</xdr:rowOff>
    </xdr:from>
    <xdr:to>
      <xdr:col>11</xdr:col>
      <xdr:colOff>566324</xdr:colOff>
      <xdr:row>26</xdr:row>
      <xdr:rowOff>50005</xdr:rowOff>
    </xdr:to>
    <xdr:sp macro="" textlink="">
      <xdr:nvSpPr>
        <xdr:cNvPr id="18" name="Hexagon 17">
          <a:hlinkClick xmlns:r="http://schemas.openxmlformats.org/officeDocument/2006/relationships" r:id="rId8"/>
          <a:extLst>
            <a:ext uri="{FF2B5EF4-FFF2-40B4-BE49-F238E27FC236}">
              <a16:creationId xmlns:a16="http://schemas.microsoft.com/office/drawing/2014/main" id="{00000000-0008-0000-0000-000012000000}"/>
            </a:ext>
          </a:extLst>
        </xdr:cNvPr>
        <xdr:cNvSpPr/>
      </xdr:nvSpPr>
      <xdr:spPr>
        <a:xfrm>
          <a:off x="6296030" y="4361742"/>
          <a:ext cx="1271169" cy="641263"/>
        </a:xfrm>
        <a:prstGeom prst="hexagon">
          <a:avLst/>
        </a:prstGeom>
        <a:gradFill flip="none" rotWithShape="1">
          <a:gsLst>
            <a:gs pos="0">
              <a:srgbClr val="E92323"/>
            </a:gs>
            <a:gs pos="100000">
              <a:srgbClr val="F39125"/>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Catatan Sikap</a:t>
          </a:r>
        </a:p>
      </xdr:txBody>
    </xdr:sp>
    <xdr:clientData/>
  </xdr:twoCellAnchor>
  <xdr:twoCellAnchor>
    <xdr:from>
      <xdr:col>8</xdr:col>
      <xdr:colOff>190491</xdr:colOff>
      <xdr:row>25</xdr:row>
      <xdr:rowOff>179748</xdr:rowOff>
    </xdr:from>
    <xdr:to>
      <xdr:col>9</xdr:col>
      <xdr:colOff>672847</xdr:colOff>
      <xdr:row>27</xdr:row>
      <xdr:rowOff>180785</xdr:rowOff>
    </xdr:to>
    <xdr:sp macro="" textlink="">
      <xdr:nvSpPr>
        <xdr:cNvPr id="78" name="Rounded Rectangle 77">
          <a:extLst>
            <a:ext uri="{FF2B5EF4-FFF2-40B4-BE49-F238E27FC236}">
              <a16:creationId xmlns:a16="http://schemas.microsoft.com/office/drawing/2014/main" id="{00000000-0008-0000-0000-00004E000000}"/>
            </a:ext>
          </a:extLst>
        </xdr:cNvPr>
        <xdr:cNvSpPr/>
      </xdr:nvSpPr>
      <xdr:spPr>
        <a:xfrm>
          <a:off x="5024429" y="4942248"/>
          <a:ext cx="1089574" cy="393943"/>
        </a:xfrm>
        <a:prstGeom prst="roundRect">
          <a:avLst/>
        </a:prstGeom>
        <a:solidFill>
          <a:srgbClr val="00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600" b="1">
              <a:solidFill>
                <a:schemeClr val="tx1">
                  <a:lumMod val="85000"/>
                  <a:lumOff val="15000"/>
                </a:schemeClr>
              </a:solidFill>
            </a:rPr>
            <a:t>Output</a:t>
          </a:r>
        </a:p>
      </xdr:txBody>
    </xdr:sp>
    <xdr:clientData/>
  </xdr:twoCellAnchor>
  <xdr:twoCellAnchor>
    <xdr:from>
      <xdr:col>8</xdr:col>
      <xdr:colOff>190492</xdr:colOff>
      <xdr:row>21</xdr:row>
      <xdr:rowOff>53752</xdr:rowOff>
    </xdr:from>
    <xdr:to>
      <xdr:col>9</xdr:col>
      <xdr:colOff>672848</xdr:colOff>
      <xdr:row>23</xdr:row>
      <xdr:rowOff>75662</xdr:rowOff>
    </xdr:to>
    <xdr:sp macro="" textlink="">
      <xdr:nvSpPr>
        <xdr:cNvPr id="83" name="Rounded Rectangle 82">
          <a:extLst>
            <a:ext uri="{FF2B5EF4-FFF2-40B4-BE49-F238E27FC236}">
              <a16:creationId xmlns:a16="http://schemas.microsoft.com/office/drawing/2014/main" id="{00000000-0008-0000-0000-000053000000}"/>
            </a:ext>
          </a:extLst>
        </xdr:cNvPr>
        <xdr:cNvSpPr/>
      </xdr:nvSpPr>
      <xdr:spPr>
        <a:xfrm>
          <a:off x="5024430" y="4054252"/>
          <a:ext cx="1089574" cy="402910"/>
        </a:xfrm>
        <a:prstGeom prst="roundRect">
          <a:avLst/>
        </a:prstGeom>
        <a:solidFill>
          <a:srgbClr val="00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600" b="1">
              <a:solidFill>
                <a:schemeClr val="tx1">
                  <a:lumMod val="85000"/>
                  <a:lumOff val="15000"/>
                </a:schemeClr>
              </a:solidFill>
            </a:rPr>
            <a:t>Setting</a:t>
          </a:r>
        </a:p>
      </xdr:txBody>
    </xdr:sp>
    <xdr:clientData/>
  </xdr:twoCellAnchor>
  <xdr:twoCellAnchor>
    <xdr:from>
      <xdr:col>8</xdr:col>
      <xdr:colOff>193119</xdr:colOff>
      <xdr:row>23</xdr:row>
      <xdr:rowOff>124966</xdr:rowOff>
    </xdr:from>
    <xdr:to>
      <xdr:col>9</xdr:col>
      <xdr:colOff>675475</xdr:colOff>
      <xdr:row>25</xdr:row>
      <xdr:rowOff>128060</xdr:rowOff>
    </xdr:to>
    <xdr:sp macro="" textlink="">
      <xdr:nvSpPr>
        <xdr:cNvPr id="21" name="Rounded Rectangle 20">
          <a:extLst>
            <a:ext uri="{FF2B5EF4-FFF2-40B4-BE49-F238E27FC236}">
              <a16:creationId xmlns:a16="http://schemas.microsoft.com/office/drawing/2014/main" id="{00000000-0008-0000-0000-000015000000}"/>
            </a:ext>
          </a:extLst>
        </xdr:cNvPr>
        <xdr:cNvSpPr/>
      </xdr:nvSpPr>
      <xdr:spPr>
        <a:xfrm>
          <a:off x="5027057" y="4506466"/>
          <a:ext cx="1089574" cy="384094"/>
        </a:xfrm>
        <a:prstGeom prst="roundRect">
          <a:avLst/>
        </a:prstGeom>
        <a:solidFill>
          <a:srgbClr val="00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600" b="1">
              <a:solidFill>
                <a:schemeClr val="tx1">
                  <a:lumMod val="85000"/>
                  <a:lumOff val="15000"/>
                </a:schemeClr>
              </a:solidFill>
            </a:rPr>
            <a:t>Input</a:t>
          </a:r>
          <a:r>
            <a:rPr lang="en-US" sz="1600" b="1" baseline="0">
              <a:solidFill>
                <a:schemeClr val="tx1">
                  <a:lumMod val="85000"/>
                  <a:lumOff val="15000"/>
                </a:schemeClr>
              </a:solidFill>
            </a:rPr>
            <a:t> Data</a:t>
          </a:r>
          <a:endParaRPr lang="en-US" sz="1600" b="1">
            <a:solidFill>
              <a:schemeClr val="tx1">
                <a:lumMod val="85000"/>
                <a:lumOff val="15000"/>
              </a:schemeClr>
            </a:solidFill>
          </a:endParaRPr>
        </a:p>
      </xdr:txBody>
    </xdr:sp>
    <xdr:clientData/>
  </xdr:twoCellAnchor>
  <xdr:twoCellAnchor>
    <xdr:from>
      <xdr:col>9</xdr:col>
      <xdr:colOff>854874</xdr:colOff>
      <xdr:row>18</xdr:row>
      <xdr:rowOff>179935</xdr:rowOff>
    </xdr:from>
    <xdr:to>
      <xdr:col>11</xdr:col>
      <xdr:colOff>566324</xdr:colOff>
      <xdr:row>22</xdr:row>
      <xdr:rowOff>59198</xdr:rowOff>
    </xdr:to>
    <xdr:sp macro="" textlink="">
      <xdr:nvSpPr>
        <xdr:cNvPr id="26" name="Hexagon 25">
          <a:hlinkClick xmlns:r="http://schemas.openxmlformats.org/officeDocument/2006/relationships" r:id="rId9"/>
          <a:extLst>
            <a:ext uri="{FF2B5EF4-FFF2-40B4-BE49-F238E27FC236}">
              <a16:creationId xmlns:a16="http://schemas.microsoft.com/office/drawing/2014/main" id="{00000000-0008-0000-0000-00001A000000}"/>
            </a:ext>
          </a:extLst>
        </xdr:cNvPr>
        <xdr:cNvSpPr/>
      </xdr:nvSpPr>
      <xdr:spPr>
        <a:xfrm>
          <a:off x="6296030" y="3608935"/>
          <a:ext cx="1271169" cy="641263"/>
        </a:xfrm>
        <a:prstGeom prst="hexagon">
          <a:avLst/>
        </a:prstGeom>
        <a:gradFill flip="none" rotWithShape="1">
          <a:gsLst>
            <a:gs pos="0">
              <a:srgbClr val="E92323"/>
            </a:gs>
            <a:gs pos="100000">
              <a:srgbClr val="F39125"/>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Setting</a:t>
          </a:r>
        </a:p>
        <a:p>
          <a:pPr algn="ctr"/>
          <a:r>
            <a:rPr lang="en-US" sz="1200" b="1" baseline="0">
              <a:solidFill>
                <a:schemeClr val="bg1"/>
              </a:solidFill>
            </a:rPr>
            <a:t>Rapor</a:t>
          </a:r>
          <a:endParaRPr lang="en-US" sz="1200" b="1">
            <a:solidFill>
              <a:schemeClr val="bg1"/>
            </a:solidFill>
          </a:endParaRPr>
        </a:p>
      </xdr:txBody>
    </xdr:sp>
    <xdr:clientData/>
  </xdr:twoCellAnchor>
  <xdr:twoCellAnchor>
    <xdr:from>
      <xdr:col>15</xdr:col>
      <xdr:colOff>424651</xdr:colOff>
      <xdr:row>20</xdr:row>
      <xdr:rowOff>173199</xdr:rowOff>
    </xdr:from>
    <xdr:to>
      <xdr:col>17</xdr:col>
      <xdr:colOff>481383</xdr:colOff>
      <xdr:row>24</xdr:row>
      <xdr:rowOff>52462</xdr:rowOff>
    </xdr:to>
    <xdr:sp macro="" textlink="">
      <xdr:nvSpPr>
        <xdr:cNvPr id="28" name="Hexagon 27">
          <a:hlinkClick xmlns:r="http://schemas.openxmlformats.org/officeDocument/2006/relationships" r:id="rId10"/>
          <a:extLst>
            <a:ext uri="{FF2B5EF4-FFF2-40B4-BE49-F238E27FC236}">
              <a16:creationId xmlns:a16="http://schemas.microsoft.com/office/drawing/2014/main" id="{00000000-0008-0000-0000-00001C000000}"/>
            </a:ext>
          </a:extLst>
        </xdr:cNvPr>
        <xdr:cNvSpPr/>
      </xdr:nvSpPr>
      <xdr:spPr>
        <a:xfrm>
          <a:off x="9937745" y="3983199"/>
          <a:ext cx="1271169" cy="641263"/>
        </a:xfrm>
        <a:prstGeom prst="hexagon">
          <a:avLst/>
        </a:prstGeom>
        <a:gradFill>
          <a:gsLst>
            <a:gs pos="51000">
              <a:srgbClr val="8A19E7"/>
            </a:gs>
            <a:gs pos="0">
              <a:srgbClr val="0070C0"/>
            </a:gs>
            <a:gs pos="100000">
              <a:srgbClr val="E923DB"/>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Cetak Rapor</a:t>
          </a:r>
        </a:p>
      </xdr:txBody>
    </xdr:sp>
    <xdr:clientData/>
  </xdr:twoCellAnchor>
  <xdr:twoCellAnchor>
    <xdr:from>
      <xdr:col>13</xdr:col>
      <xdr:colOff>400842</xdr:colOff>
      <xdr:row>26</xdr:row>
      <xdr:rowOff>163677</xdr:rowOff>
    </xdr:from>
    <xdr:to>
      <xdr:col>15</xdr:col>
      <xdr:colOff>488155</xdr:colOff>
      <xdr:row>29</xdr:row>
      <xdr:rowOff>197721</xdr:rowOff>
    </xdr:to>
    <xdr:sp macro="" textlink="">
      <xdr:nvSpPr>
        <xdr:cNvPr id="29" name="Hexagon 28">
          <a:hlinkClick xmlns:r="http://schemas.openxmlformats.org/officeDocument/2006/relationships" r:id="rId11"/>
          <a:extLst>
            <a:ext uri="{FF2B5EF4-FFF2-40B4-BE49-F238E27FC236}">
              <a16:creationId xmlns:a16="http://schemas.microsoft.com/office/drawing/2014/main" id="{00000000-0008-0000-0000-00001D000000}"/>
            </a:ext>
          </a:extLst>
        </xdr:cNvPr>
        <xdr:cNvSpPr/>
      </xdr:nvSpPr>
      <xdr:spPr>
        <a:xfrm>
          <a:off x="8699498" y="5116677"/>
          <a:ext cx="1301751" cy="641263"/>
        </a:xfrm>
        <a:prstGeom prst="hexagon">
          <a:avLst/>
        </a:prstGeom>
        <a:gradFill>
          <a:gsLst>
            <a:gs pos="63686">
              <a:srgbClr val="0070C0"/>
            </a:gs>
            <a:gs pos="33000">
              <a:srgbClr val="00FF00"/>
            </a:gs>
            <a:gs pos="0">
              <a:srgbClr val="FFFF00"/>
            </a:gs>
            <a:gs pos="100000">
              <a:srgbClr val="E923DB"/>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200" b="1" baseline="0">
              <a:solidFill>
                <a:schemeClr val="bg1"/>
              </a:solidFill>
            </a:rPr>
            <a:t>Peringkat Kelas</a:t>
          </a:r>
          <a:endParaRPr lang="en-US" sz="1200" b="1">
            <a:solidFill>
              <a:schemeClr val="bg1"/>
            </a:solidFill>
          </a:endParaRPr>
        </a:p>
      </xdr:txBody>
    </xdr:sp>
    <xdr:clientData/>
  </xdr:twoCellAnchor>
  <xdr:twoCellAnchor editAs="oneCell">
    <xdr:from>
      <xdr:col>8</xdr:col>
      <xdr:colOff>187688</xdr:colOff>
      <xdr:row>1</xdr:row>
      <xdr:rowOff>0</xdr:rowOff>
    </xdr:from>
    <xdr:to>
      <xdr:col>17</xdr:col>
      <xdr:colOff>535782</xdr:colOff>
      <xdr:row>17</xdr:row>
      <xdr:rowOff>135374</xdr:rowOff>
    </xdr:to>
    <xdr:pic>
      <xdr:nvPicPr>
        <xdr:cNvPr id="23" name="Picture 22" descr="guru.jpg">
          <a:extLst>
            <a:ext uri="{FF2B5EF4-FFF2-40B4-BE49-F238E27FC236}">
              <a16:creationId xmlns:a16="http://schemas.microsoft.com/office/drawing/2014/main" id="{00000000-0008-0000-0000-000017000000}"/>
            </a:ext>
          </a:extLst>
        </xdr:cNvPr>
        <xdr:cNvPicPr>
          <a:picLocks noChangeAspect="1"/>
        </xdr:cNvPicPr>
      </xdr:nvPicPr>
      <xdr:blipFill rotWithShape="1">
        <a:blip xmlns:r="http://schemas.openxmlformats.org/officeDocument/2006/relationships" r:embed="rId12"/>
        <a:srcRect t="32681"/>
        <a:stretch/>
      </xdr:blipFill>
      <xdr:spPr>
        <a:xfrm>
          <a:off x="5021626" y="190500"/>
          <a:ext cx="6241687" cy="3183374"/>
        </a:xfrm>
        <a:prstGeom prst="rect">
          <a:avLst/>
        </a:prstGeom>
        <a:ln w="76200">
          <a:solidFill>
            <a:schemeClr val="bg1"/>
          </a:solidFill>
        </a:ln>
      </xdr:spPr>
    </xdr:pic>
    <xdr:clientData/>
  </xdr:twoCellAnchor>
  <xdr:twoCellAnchor>
    <xdr:from>
      <xdr:col>15</xdr:col>
      <xdr:colOff>422270</xdr:colOff>
      <xdr:row>24</xdr:row>
      <xdr:rowOff>170818</xdr:rowOff>
    </xdr:from>
    <xdr:to>
      <xdr:col>17</xdr:col>
      <xdr:colOff>479002</xdr:colOff>
      <xdr:row>28</xdr:row>
      <xdr:rowOff>26268</xdr:rowOff>
    </xdr:to>
    <xdr:sp macro="" textlink="">
      <xdr:nvSpPr>
        <xdr:cNvPr id="24" name="Hexagon 23">
          <a:hlinkClick xmlns:r="http://schemas.openxmlformats.org/officeDocument/2006/relationships" r:id="rId13"/>
          <a:extLst>
            <a:ext uri="{FF2B5EF4-FFF2-40B4-BE49-F238E27FC236}">
              <a16:creationId xmlns:a16="http://schemas.microsoft.com/office/drawing/2014/main" id="{00000000-0008-0000-0000-000018000000}"/>
            </a:ext>
          </a:extLst>
        </xdr:cNvPr>
        <xdr:cNvSpPr/>
      </xdr:nvSpPr>
      <xdr:spPr>
        <a:xfrm>
          <a:off x="9935364" y="4742818"/>
          <a:ext cx="1271169" cy="641263"/>
        </a:xfrm>
        <a:prstGeom prst="hexagon">
          <a:avLst/>
        </a:prstGeom>
        <a:gradFill>
          <a:gsLst>
            <a:gs pos="51000">
              <a:srgbClr val="8A19E7"/>
            </a:gs>
            <a:gs pos="0">
              <a:srgbClr val="0070C0"/>
            </a:gs>
            <a:gs pos="100000">
              <a:srgbClr val="E923DB"/>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Data</a:t>
          </a:r>
          <a:r>
            <a:rPr lang="en-US" sz="1200" b="1" baseline="0">
              <a:solidFill>
                <a:schemeClr val="bg1"/>
              </a:solidFill>
            </a:rPr>
            <a:t> Siswa Lengkap</a:t>
          </a:r>
          <a:endParaRPr lang="en-US" sz="12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1</xdr:col>
      <xdr:colOff>57150</xdr:colOff>
      <xdr:row>0</xdr:row>
      <xdr:rowOff>19050</xdr:rowOff>
    </xdr:from>
    <xdr:ext cx="884464" cy="381708"/>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57150" y="19050"/>
          <a:ext cx="884464"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57150</xdr:colOff>
      <xdr:row>0</xdr:row>
      <xdr:rowOff>38100</xdr:rowOff>
    </xdr:from>
    <xdr:ext cx="895350"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57150" y="38100"/>
          <a:ext cx="895350"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81642</xdr:rowOff>
    </xdr:from>
    <xdr:ext cx="993320" cy="394608"/>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B00-000004000000}"/>
            </a:ext>
          </a:extLst>
        </xdr:cNvPr>
        <xdr:cNvSpPr/>
      </xdr:nvSpPr>
      <xdr:spPr>
        <a:xfrm>
          <a:off x="0" y="81642"/>
          <a:ext cx="993320" cy="3946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111124</xdr:colOff>
      <xdr:row>0</xdr:row>
      <xdr:rowOff>142875</xdr:rowOff>
    </xdr:from>
    <xdr:ext cx="2111375"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317624" y="142875"/>
          <a:ext cx="2111375"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127000</xdr:colOff>
      <xdr:row>0</xdr:row>
      <xdr:rowOff>158750</xdr:rowOff>
    </xdr:from>
    <xdr:ext cx="1349376"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55625" y="158750"/>
          <a:ext cx="1349376"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0</xdr:row>
      <xdr:rowOff>66675</xdr:rowOff>
    </xdr:from>
    <xdr:ext cx="1162050"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619125" y="66675"/>
          <a:ext cx="1162050"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mc:AlternateContent xmlns:mc="http://schemas.openxmlformats.org/markup-compatibility/2006">
    <mc:Choice xmlns:a14="http://schemas.microsoft.com/office/drawing/2010/main" Requires="a14">
      <xdr:twoCellAnchor editAs="oneCell">
        <xdr:from>
          <xdr:col>4</xdr:col>
          <xdr:colOff>0</xdr:colOff>
          <xdr:row>10</xdr:row>
          <xdr:rowOff>19050</xdr:rowOff>
        </xdr:from>
        <xdr:to>
          <xdr:col>6</xdr:col>
          <xdr:colOff>571500</xdr:colOff>
          <xdr:row>10</xdr:row>
          <xdr:rowOff>171450</xdr:rowOff>
        </xdr:to>
        <xdr:sp macro="" textlink="">
          <xdr:nvSpPr>
            <xdr:cNvPr id="4098" name="Drop Dow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14</xdr:row>
          <xdr:rowOff>28575</xdr:rowOff>
        </xdr:from>
        <xdr:to>
          <xdr:col>5</xdr:col>
          <xdr:colOff>0</xdr:colOff>
          <xdr:row>14</xdr:row>
          <xdr:rowOff>180975</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31751</xdr:colOff>
      <xdr:row>0</xdr:row>
      <xdr:rowOff>15876</xdr:rowOff>
    </xdr:from>
    <xdr:to>
      <xdr:col>1</xdr:col>
      <xdr:colOff>1079500</xdr:colOff>
      <xdr:row>0</xdr:row>
      <xdr:rowOff>587376</xdr:rowOff>
    </xdr:to>
    <xdr:sp macro="" textlink="">
      <xdr:nvSpPr>
        <xdr:cNvPr id="3" name="Pentagon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355601" y="15876"/>
          <a:ext cx="1047749" cy="571500"/>
        </a:xfrm>
        <a:prstGeom prst="homePlate">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HOME</a:t>
          </a:r>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xdr:colOff>
      <xdr:row>0</xdr:row>
      <xdr:rowOff>0</xdr:rowOff>
    </xdr:from>
    <xdr:to>
      <xdr:col>4</xdr:col>
      <xdr:colOff>990600</xdr:colOff>
      <xdr:row>0</xdr:row>
      <xdr:rowOff>581024</xdr:rowOff>
    </xdr:to>
    <xdr:sp macro="" textlink="">
      <xdr:nvSpPr>
        <xdr:cNvPr id="4" name="Bevel 3">
          <a:hlinkClick xmlns:r="http://schemas.openxmlformats.org/officeDocument/2006/relationships" r:id="rId1"/>
          <a:extLst>
            <a:ext uri="{FF2B5EF4-FFF2-40B4-BE49-F238E27FC236}">
              <a16:creationId xmlns:a16="http://schemas.microsoft.com/office/drawing/2014/main" id="{00000000-0008-0000-0500-000004000000}"/>
            </a:ext>
          </a:extLst>
        </xdr:cNvPr>
        <xdr:cNvSpPr/>
      </xdr:nvSpPr>
      <xdr:spPr>
        <a:xfrm>
          <a:off x="1647825" y="0"/>
          <a:ext cx="971550" cy="581024"/>
        </a:xfrm>
        <a:prstGeom prst="bevel">
          <a:avLst/>
        </a:prstGeom>
        <a:solidFill>
          <a:schemeClr val="tx2"/>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id-ID" sz="1200" b="1">
              <a:latin typeface="Aharoni" panose="02010803020104030203" pitchFamily="2" charset="-79"/>
              <a:cs typeface="Aharoni" panose="02010803020104030203" pitchFamily="2" charset="-79"/>
            </a:rPr>
            <a:t>CEK </a:t>
          </a:r>
          <a:r>
            <a:rPr lang="en-US" sz="1200" b="1">
              <a:latin typeface="Aharoni" panose="02010803020104030203" pitchFamily="2" charset="-79"/>
              <a:cs typeface="Aharoni" panose="02010803020104030203" pitchFamily="2" charset="-79"/>
            </a:rPr>
            <a:t>LEGGER</a:t>
          </a:r>
        </a:p>
      </xdr:txBody>
    </xdr:sp>
    <xdr:clientData/>
  </xdr:twoCellAnchor>
  <xdr:oneCellAnchor>
    <xdr:from>
      <xdr:col>2</xdr:col>
      <xdr:colOff>57150</xdr:colOff>
      <xdr:row>0</xdr:row>
      <xdr:rowOff>0</xdr:rowOff>
    </xdr:from>
    <xdr:ext cx="1103539" cy="581025"/>
    <xdr:sp macro="" textlink="">
      <xdr:nvSpPr>
        <xdr:cNvPr id="5" name="Rectangle 4">
          <a:hlinkClick xmlns:r="http://schemas.openxmlformats.org/officeDocument/2006/relationships" r:id="rId2"/>
          <a:extLst>
            <a:ext uri="{FF2B5EF4-FFF2-40B4-BE49-F238E27FC236}">
              <a16:creationId xmlns:a16="http://schemas.microsoft.com/office/drawing/2014/main" id="{00000000-0008-0000-0500-000005000000}"/>
            </a:ext>
          </a:extLst>
        </xdr:cNvPr>
        <xdr:cNvSpPr/>
      </xdr:nvSpPr>
      <xdr:spPr>
        <a:xfrm>
          <a:off x="466725" y="0"/>
          <a:ext cx="1103539" cy="581025"/>
        </a:xfrm>
        <a:prstGeom prst="rect">
          <a:avLst/>
        </a:prstGeom>
        <a:solidFill>
          <a:schemeClr val="accent2">
            <a:lumMod val="75000"/>
          </a:schemeClr>
        </a:solidFill>
        <a:scene3d>
          <a:camera prst="orthographicFront"/>
          <a:lightRig rig="threePt" dir="t"/>
        </a:scene3d>
        <a:sp3d>
          <a:bevelT prst="angle"/>
        </a:sp3d>
      </xdr:spPr>
      <xdr:style>
        <a:lnRef idx="1">
          <a:schemeClr val="accent1"/>
        </a:lnRef>
        <a:fillRef idx="3">
          <a:schemeClr val="accent1"/>
        </a:fillRef>
        <a:effectRef idx="2">
          <a:schemeClr val="accent1"/>
        </a:effectRef>
        <a:fontRef idx="minor">
          <a:schemeClr val="lt1"/>
        </a:fontRef>
      </xdr:style>
      <xdr:txBody>
        <a:bodyPr wrap="square" lIns="91440" tIns="45720" rIns="91440" bIns="45720" anchor="ctr">
          <a:noAutofit/>
        </a:bodyPr>
        <a:lstStyle/>
        <a:p>
          <a:pPr algn="ctr"/>
          <a:r>
            <a:rPr lang="en-US" sz="1600" b="0" cap="none" spc="0">
              <a:ln>
                <a:noFill/>
              </a:ln>
              <a:solidFill>
                <a:schemeClr val="bg1"/>
              </a:solidFill>
              <a:effectLst/>
              <a:latin typeface="Aharoni" panose="02010803020104030203" pitchFamily="2" charset="-79"/>
              <a:cs typeface="Aharoni" panose="02010803020104030203" pitchFamily="2" charset="-79"/>
            </a:rPr>
            <a:t>HOME</a:t>
          </a:r>
        </a:p>
      </xdr:txBody>
    </xdr:sp>
    <xdr:clientData/>
  </xdr:oneCellAnchor>
  <mc:AlternateContent xmlns:mc="http://schemas.openxmlformats.org/markup-compatibility/2006">
    <mc:Choice xmlns:a14="http://schemas.microsoft.com/office/drawing/2010/main" Requires="a14">
      <xdr:twoCellAnchor editAs="oneCell">
        <xdr:from>
          <xdr:col>6</xdr:col>
          <xdr:colOff>485775</xdr:colOff>
          <xdr:row>0</xdr:row>
          <xdr:rowOff>266700</xdr:rowOff>
        </xdr:from>
        <xdr:to>
          <xdr:col>8</xdr:col>
          <xdr:colOff>733425</xdr:colOff>
          <xdr:row>0</xdr:row>
          <xdr:rowOff>590550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5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twoCellAnchor editAs="oneCell">
    <xdr:from>
      <xdr:col>7</xdr:col>
      <xdr:colOff>221198</xdr:colOff>
      <xdr:row>138</xdr:row>
      <xdr:rowOff>193344</xdr:rowOff>
    </xdr:from>
    <xdr:to>
      <xdr:col>9</xdr:col>
      <xdr:colOff>670319</xdr:colOff>
      <xdr:row>142</xdr:row>
      <xdr:rowOff>110076</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214375">
          <a:off x="4583648" y="48875619"/>
          <a:ext cx="2458896" cy="1021632"/>
        </a:xfrm>
        <a:prstGeom prst="rect">
          <a:avLst/>
        </a:prstGeom>
      </xdr:spPr>
    </xdr:pic>
    <xdr:clientData/>
  </xdr:twoCellAnchor>
  <xdr:twoCellAnchor editAs="oneCell">
    <xdr:from>
      <xdr:col>4</xdr:col>
      <xdr:colOff>466725</xdr:colOff>
      <xdr:row>143</xdr:row>
      <xdr:rowOff>19050</xdr:rowOff>
    </xdr:from>
    <xdr:to>
      <xdr:col>7</xdr:col>
      <xdr:colOff>68020</xdr:colOff>
      <xdr:row>149</xdr:row>
      <xdr:rowOff>126252</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95500" y="50006250"/>
          <a:ext cx="2334970" cy="162167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285750</xdr:colOff>
      <xdr:row>0</xdr:row>
      <xdr:rowOff>238124</xdr:rowOff>
    </xdr:from>
    <xdr:to>
      <xdr:col>4</xdr:col>
      <xdr:colOff>1381126</xdr:colOff>
      <xdr:row>0</xdr:row>
      <xdr:rowOff>1015999</xdr:rowOff>
    </xdr:to>
    <xdr:sp macro="" textlink="">
      <xdr:nvSpPr>
        <xdr:cNvPr id="2" name="Bevel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984875" y="238124"/>
          <a:ext cx="1095376" cy="777875"/>
        </a:xfrm>
        <a:prstGeom prst="bevel">
          <a:avLst/>
        </a:prstGeom>
        <a:solidFill>
          <a:schemeClr val="tx2"/>
        </a:solidFill>
      </xdr:spPr>
      <xdr:style>
        <a:lnRef idx="0">
          <a:schemeClr val="accent6"/>
        </a:lnRef>
        <a:fillRef idx="3">
          <a:schemeClr val="accent6"/>
        </a:fillRef>
        <a:effectRef idx="3">
          <a:schemeClr val="accent6"/>
        </a:effectRef>
        <a:fontRef idx="minor">
          <a:schemeClr val="lt1"/>
        </a:fontRef>
      </xdr:style>
      <xdr:txBody>
        <a:bodyPr vertOverflow="clip" horzOverflow="clip" lIns="0" tIns="0" rIns="0" bIns="0" rtlCol="0" anchor="ctr"/>
        <a:lstStyle/>
        <a:p>
          <a:pPr algn="ctr"/>
          <a:r>
            <a:rPr lang="id-ID" sz="1400" b="1"/>
            <a:t>CETAK  RAPORT</a:t>
          </a:r>
        </a:p>
      </xdr:txBody>
    </xdr:sp>
    <xdr:clientData/>
  </xdr:twoCellAnchor>
  <xdr:twoCellAnchor>
    <xdr:from>
      <xdr:col>1</xdr:col>
      <xdr:colOff>127000</xdr:colOff>
      <xdr:row>0</xdr:row>
      <xdr:rowOff>63501</xdr:rowOff>
    </xdr:from>
    <xdr:to>
      <xdr:col>1</xdr:col>
      <xdr:colOff>1158875</xdr:colOff>
      <xdr:row>0</xdr:row>
      <xdr:rowOff>317500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00000000-0008-0000-0600-000003000000}"/>
            </a:ext>
          </a:extLst>
        </xdr:cNvPr>
        <xdr:cNvSpPr txBox="1"/>
      </xdr:nvSpPr>
      <xdr:spPr>
        <a:xfrm>
          <a:off x="1333500" y="63501"/>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PAI</a:t>
          </a:r>
        </a:p>
      </xdr:txBody>
    </xdr:sp>
    <xdr:clientData/>
  </xdr:twoCellAnchor>
  <xdr:twoCellAnchor>
    <xdr:from>
      <xdr:col>1</xdr:col>
      <xdr:colOff>120650</xdr:colOff>
      <xdr:row>0</xdr:row>
      <xdr:rowOff>342901</xdr:rowOff>
    </xdr:from>
    <xdr:to>
      <xdr:col>1</xdr:col>
      <xdr:colOff>1152525</xdr:colOff>
      <xdr:row>0</xdr:row>
      <xdr:rowOff>596900</xdr:rowOff>
    </xdr:to>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600-000004000000}"/>
            </a:ext>
          </a:extLst>
        </xdr:cNvPr>
        <xdr:cNvSpPr txBox="1"/>
      </xdr:nvSpPr>
      <xdr:spPr>
        <a:xfrm>
          <a:off x="1327150" y="342901"/>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PKn</a:t>
          </a:r>
        </a:p>
      </xdr:txBody>
    </xdr:sp>
    <xdr:clientData/>
  </xdr:twoCellAnchor>
  <xdr:twoCellAnchor>
    <xdr:from>
      <xdr:col>1</xdr:col>
      <xdr:colOff>130175</xdr:colOff>
      <xdr:row>0</xdr:row>
      <xdr:rowOff>638176</xdr:rowOff>
    </xdr:from>
    <xdr:to>
      <xdr:col>1</xdr:col>
      <xdr:colOff>1162050</xdr:colOff>
      <xdr:row>0</xdr:row>
      <xdr:rowOff>892175</xdr:rowOff>
    </xdr:to>
    <xdr:sp macro="" textlink="">
      <xdr:nvSpPr>
        <xdr:cNvPr id="5" name="TextBox 4">
          <a:hlinkClick xmlns:r="http://schemas.openxmlformats.org/officeDocument/2006/relationships" r:id="rId4"/>
          <a:extLst>
            <a:ext uri="{FF2B5EF4-FFF2-40B4-BE49-F238E27FC236}">
              <a16:creationId xmlns:a16="http://schemas.microsoft.com/office/drawing/2014/main" id="{00000000-0008-0000-0600-000005000000}"/>
            </a:ext>
          </a:extLst>
        </xdr:cNvPr>
        <xdr:cNvSpPr txBox="1"/>
      </xdr:nvSpPr>
      <xdr:spPr>
        <a:xfrm>
          <a:off x="1336675" y="638176"/>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a:t>
          </a:r>
          <a:r>
            <a:rPr lang="en-US" sz="1200" b="1" baseline="0"/>
            <a:t> Indo</a:t>
          </a:r>
          <a:endParaRPr lang="en-US" sz="1200" b="1"/>
        </a:p>
      </xdr:txBody>
    </xdr:sp>
    <xdr:clientData/>
  </xdr:twoCellAnchor>
  <xdr:twoCellAnchor>
    <xdr:from>
      <xdr:col>1</xdr:col>
      <xdr:colOff>123825</xdr:colOff>
      <xdr:row>0</xdr:row>
      <xdr:rowOff>917576</xdr:rowOff>
    </xdr:from>
    <xdr:to>
      <xdr:col>1</xdr:col>
      <xdr:colOff>1155700</xdr:colOff>
      <xdr:row>0</xdr:row>
      <xdr:rowOff>1171575</xdr:rowOff>
    </xdr:to>
    <xdr:sp macro="" textlink="">
      <xdr:nvSpPr>
        <xdr:cNvPr id="6" name="TextBox 5">
          <a:hlinkClick xmlns:r="http://schemas.openxmlformats.org/officeDocument/2006/relationships" r:id="rId5"/>
          <a:extLst>
            <a:ext uri="{FF2B5EF4-FFF2-40B4-BE49-F238E27FC236}">
              <a16:creationId xmlns:a16="http://schemas.microsoft.com/office/drawing/2014/main" id="{00000000-0008-0000-0600-000006000000}"/>
            </a:ext>
          </a:extLst>
        </xdr:cNvPr>
        <xdr:cNvSpPr txBox="1"/>
      </xdr:nvSpPr>
      <xdr:spPr>
        <a:xfrm>
          <a:off x="1330325" y="917576"/>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Mat</a:t>
          </a:r>
          <a:r>
            <a:rPr lang="en-US" sz="1200" b="1" baseline="0"/>
            <a:t> (W)</a:t>
          </a:r>
          <a:endParaRPr lang="en-US" sz="1200" b="1"/>
        </a:p>
      </xdr:txBody>
    </xdr:sp>
    <xdr:clientData/>
  </xdr:twoCellAnchor>
  <xdr:twoCellAnchor>
    <xdr:from>
      <xdr:col>1</xdr:col>
      <xdr:colOff>1200150</xdr:colOff>
      <xdr:row>0</xdr:row>
      <xdr:rowOff>73026</xdr:rowOff>
    </xdr:from>
    <xdr:to>
      <xdr:col>1</xdr:col>
      <xdr:colOff>2232025</xdr:colOff>
      <xdr:row>0</xdr:row>
      <xdr:rowOff>327025</xdr:rowOff>
    </xdr:to>
    <xdr:sp macro="" textlink="">
      <xdr:nvSpPr>
        <xdr:cNvPr id="7" name="TextBox 6">
          <a:hlinkClick xmlns:r="http://schemas.openxmlformats.org/officeDocument/2006/relationships" r:id="rId6"/>
          <a:extLst>
            <a:ext uri="{FF2B5EF4-FFF2-40B4-BE49-F238E27FC236}">
              <a16:creationId xmlns:a16="http://schemas.microsoft.com/office/drawing/2014/main" id="{00000000-0008-0000-0600-000007000000}"/>
            </a:ext>
          </a:extLst>
        </xdr:cNvPr>
        <xdr:cNvSpPr txBox="1"/>
      </xdr:nvSpPr>
      <xdr:spPr>
        <a:xfrm>
          <a:off x="2406650" y="73026"/>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Sejarah</a:t>
          </a:r>
        </a:p>
      </xdr:txBody>
    </xdr:sp>
    <xdr:clientData/>
  </xdr:twoCellAnchor>
  <xdr:twoCellAnchor>
    <xdr:from>
      <xdr:col>1</xdr:col>
      <xdr:colOff>1209675</xdr:colOff>
      <xdr:row>0</xdr:row>
      <xdr:rowOff>352426</xdr:rowOff>
    </xdr:from>
    <xdr:to>
      <xdr:col>1</xdr:col>
      <xdr:colOff>2241550</xdr:colOff>
      <xdr:row>0</xdr:row>
      <xdr:rowOff>606425</xdr:rowOff>
    </xdr:to>
    <xdr:sp macro="" textlink="">
      <xdr:nvSpPr>
        <xdr:cNvPr id="8" name="TextBox 7">
          <a:hlinkClick xmlns:r="http://schemas.openxmlformats.org/officeDocument/2006/relationships" r:id="rId7"/>
          <a:extLst>
            <a:ext uri="{FF2B5EF4-FFF2-40B4-BE49-F238E27FC236}">
              <a16:creationId xmlns:a16="http://schemas.microsoft.com/office/drawing/2014/main" id="{00000000-0008-0000-0600-000008000000}"/>
            </a:ext>
          </a:extLst>
        </xdr:cNvPr>
        <xdr:cNvSpPr txBox="1"/>
      </xdr:nvSpPr>
      <xdr:spPr>
        <a:xfrm>
          <a:off x="2416175" y="352426"/>
          <a:ext cx="1031875" cy="253999"/>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 Ingg (W)</a:t>
          </a:r>
        </a:p>
      </xdr:txBody>
    </xdr:sp>
    <xdr:clientData/>
  </xdr:twoCellAnchor>
  <xdr:twoCellAnchor>
    <xdr:from>
      <xdr:col>1</xdr:col>
      <xdr:colOff>1203325</xdr:colOff>
      <xdr:row>0</xdr:row>
      <xdr:rowOff>647701</xdr:rowOff>
    </xdr:from>
    <xdr:to>
      <xdr:col>1</xdr:col>
      <xdr:colOff>2235200</xdr:colOff>
      <xdr:row>0</xdr:row>
      <xdr:rowOff>901700</xdr:rowOff>
    </xdr:to>
    <xdr:sp macro="" textlink="">
      <xdr:nvSpPr>
        <xdr:cNvPr id="9" name="TextBox 8">
          <a:hlinkClick xmlns:r="http://schemas.openxmlformats.org/officeDocument/2006/relationships" r:id="rId8"/>
          <a:extLst>
            <a:ext uri="{FF2B5EF4-FFF2-40B4-BE49-F238E27FC236}">
              <a16:creationId xmlns:a16="http://schemas.microsoft.com/office/drawing/2014/main" id="{00000000-0008-0000-0600-000009000000}"/>
            </a:ext>
          </a:extLst>
        </xdr:cNvPr>
        <xdr:cNvSpPr txBox="1"/>
      </xdr:nvSpPr>
      <xdr:spPr>
        <a:xfrm>
          <a:off x="2409825" y="647701"/>
          <a:ext cx="1031875" cy="25399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SBK</a:t>
          </a:r>
        </a:p>
      </xdr:txBody>
    </xdr:sp>
    <xdr:clientData/>
  </xdr:twoCellAnchor>
  <xdr:twoCellAnchor>
    <xdr:from>
      <xdr:col>1</xdr:col>
      <xdr:colOff>1212850</xdr:colOff>
      <xdr:row>0</xdr:row>
      <xdr:rowOff>927101</xdr:rowOff>
    </xdr:from>
    <xdr:to>
      <xdr:col>1</xdr:col>
      <xdr:colOff>2244725</xdr:colOff>
      <xdr:row>0</xdr:row>
      <xdr:rowOff>1181100</xdr:rowOff>
    </xdr:to>
    <xdr:sp macro="" textlink="">
      <xdr:nvSpPr>
        <xdr:cNvPr id="10" name="TextBox 9">
          <a:hlinkClick xmlns:r="http://schemas.openxmlformats.org/officeDocument/2006/relationships" r:id="rId9"/>
          <a:extLst>
            <a:ext uri="{FF2B5EF4-FFF2-40B4-BE49-F238E27FC236}">
              <a16:creationId xmlns:a16="http://schemas.microsoft.com/office/drawing/2014/main" id="{00000000-0008-0000-0600-00000A000000}"/>
            </a:ext>
          </a:extLst>
        </xdr:cNvPr>
        <xdr:cNvSpPr txBox="1"/>
      </xdr:nvSpPr>
      <xdr:spPr>
        <a:xfrm>
          <a:off x="2419350" y="927101"/>
          <a:ext cx="1031875" cy="25399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Penjasorkes</a:t>
          </a:r>
        </a:p>
      </xdr:txBody>
    </xdr:sp>
    <xdr:clientData/>
  </xdr:twoCellAnchor>
  <xdr:twoCellAnchor>
    <xdr:from>
      <xdr:col>1</xdr:col>
      <xdr:colOff>2289175</xdr:colOff>
      <xdr:row>0</xdr:row>
      <xdr:rowOff>82551</xdr:rowOff>
    </xdr:from>
    <xdr:to>
      <xdr:col>3</xdr:col>
      <xdr:colOff>415925</xdr:colOff>
      <xdr:row>0</xdr:row>
      <xdr:rowOff>336550</xdr:rowOff>
    </xdr:to>
    <xdr:sp macro="" textlink="">
      <xdr:nvSpPr>
        <xdr:cNvPr id="11" name="TextBox 10">
          <a:hlinkClick xmlns:r="http://schemas.openxmlformats.org/officeDocument/2006/relationships" r:id="rId10"/>
          <a:extLst>
            <a:ext uri="{FF2B5EF4-FFF2-40B4-BE49-F238E27FC236}">
              <a16:creationId xmlns:a16="http://schemas.microsoft.com/office/drawing/2014/main" id="{00000000-0008-0000-0600-00000B000000}"/>
            </a:ext>
          </a:extLst>
        </xdr:cNvPr>
        <xdr:cNvSpPr txBox="1"/>
      </xdr:nvSpPr>
      <xdr:spPr>
        <a:xfrm>
          <a:off x="3495675" y="82551"/>
          <a:ext cx="1031875" cy="25399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TKJ</a:t>
          </a:r>
        </a:p>
      </xdr:txBody>
    </xdr:sp>
    <xdr:clientData/>
  </xdr:twoCellAnchor>
  <xdr:twoCellAnchor>
    <xdr:from>
      <xdr:col>1</xdr:col>
      <xdr:colOff>2282825</xdr:colOff>
      <xdr:row>0</xdr:row>
      <xdr:rowOff>361951</xdr:rowOff>
    </xdr:from>
    <xdr:to>
      <xdr:col>3</xdr:col>
      <xdr:colOff>409575</xdr:colOff>
      <xdr:row>0</xdr:row>
      <xdr:rowOff>615950</xdr:rowOff>
    </xdr:to>
    <xdr:sp macro="" textlink="">
      <xdr:nvSpPr>
        <xdr:cNvPr id="12" name="TextBox 11">
          <a:hlinkClick xmlns:r="http://schemas.openxmlformats.org/officeDocument/2006/relationships" r:id="rId11"/>
          <a:extLst>
            <a:ext uri="{FF2B5EF4-FFF2-40B4-BE49-F238E27FC236}">
              <a16:creationId xmlns:a16="http://schemas.microsoft.com/office/drawing/2014/main" id="{00000000-0008-0000-0600-00000C000000}"/>
            </a:ext>
          </a:extLst>
        </xdr:cNvPr>
        <xdr:cNvSpPr txBox="1"/>
      </xdr:nvSpPr>
      <xdr:spPr>
        <a:xfrm>
          <a:off x="3489325" y="361951"/>
          <a:ext cx="1031875" cy="25399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a:t>
          </a:r>
          <a:r>
            <a:rPr lang="en-US" sz="1200" b="1" baseline="0"/>
            <a:t> Jawa</a:t>
          </a:r>
          <a:endParaRPr lang="en-US" sz="1200" b="1"/>
        </a:p>
      </xdr:txBody>
    </xdr:sp>
    <xdr:clientData/>
  </xdr:twoCellAnchor>
  <xdr:twoCellAnchor>
    <xdr:from>
      <xdr:col>1</xdr:col>
      <xdr:colOff>2292350</xdr:colOff>
      <xdr:row>0</xdr:row>
      <xdr:rowOff>657226</xdr:rowOff>
    </xdr:from>
    <xdr:to>
      <xdr:col>3</xdr:col>
      <xdr:colOff>419100</xdr:colOff>
      <xdr:row>0</xdr:row>
      <xdr:rowOff>911225</xdr:rowOff>
    </xdr:to>
    <xdr:sp macro="" textlink="">
      <xdr:nvSpPr>
        <xdr:cNvPr id="13" name="TextBox 12">
          <a:hlinkClick xmlns:r="http://schemas.openxmlformats.org/officeDocument/2006/relationships" r:id="rId12"/>
          <a:extLst>
            <a:ext uri="{FF2B5EF4-FFF2-40B4-BE49-F238E27FC236}">
              <a16:creationId xmlns:a16="http://schemas.microsoft.com/office/drawing/2014/main" id="{00000000-0008-0000-0600-00000D000000}"/>
            </a:ext>
          </a:extLst>
        </xdr:cNvPr>
        <xdr:cNvSpPr txBox="1"/>
      </xdr:nvSpPr>
      <xdr:spPr>
        <a:xfrm>
          <a:off x="3498850" y="657226"/>
          <a:ext cx="1031875" cy="25399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Mat (P)</a:t>
          </a:r>
        </a:p>
      </xdr:txBody>
    </xdr:sp>
    <xdr:clientData/>
  </xdr:twoCellAnchor>
  <xdr:twoCellAnchor>
    <xdr:from>
      <xdr:col>1</xdr:col>
      <xdr:colOff>2286000</xdr:colOff>
      <xdr:row>0</xdr:row>
      <xdr:rowOff>936626</xdr:rowOff>
    </xdr:from>
    <xdr:to>
      <xdr:col>3</xdr:col>
      <xdr:colOff>412750</xdr:colOff>
      <xdr:row>0</xdr:row>
      <xdr:rowOff>1190625</xdr:rowOff>
    </xdr:to>
    <xdr:sp macro="" textlink="">
      <xdr:nvSpPr>
        <xdr:cNvPr id="14" name="TextBox 13">
          <a:hlinkClick xmlns:r="http://schemas.openxmlformats.org/officeDocument/2006/relationships" r:id="rId13"/>
          <a:extLst>
            <a:ext uri="{FF2B5EF4-FFF2-40B4-BE49-F238E27FC236}">
              <a16:creationId xmlns:a16="http://schemas.microsoft.com/office/drawing/2014/main" id="{00000000-0008-0000-0600-00000E000000}"/>
            </a:ext>
          </a:extLst>
        </xdr:cNvPr>
        <xdr:cNvSpPr txBox="1"/>
      </xdr:nvSpPr>
      <xdr:spPr>
        <a:xfrm>
          <a:off x="3492500" y="936626"/>
          <a:ext cx="1031875" cy="25399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Fisika</a:t>
          </a:r>
        </a:p>
      </xdr:txBody>
    </xdr:sp>
    <xdr:clientData/>
  </xdr:twoCellAnchor>
  <xdr:twoCellAnchor>
    <xdr:from>
      <xdr:col>3</xdr:col>
      <xdr:colOff>444500</xdr:colOff>
      <xdr:row>0</xdr:row>
      <xdr:rowOff>79376</xdr:rowOff>
    </xdr:from>
    <xdr:to>
      <xdr:col>3</xdr:col>
      <xdr:colOff>1476375</xdr:colOff>
      <xdr:row>0</xdr:row>
      <xdr:rowOff>333375</xdr:rowOff>
    </xdr:to>
    <xdr:sp macro="" textlink="">
      <xdr:nvSpPr>
        <xdr:cNvPr id="15" name="TextBox 14">
          <a:hlinkClick xmlns:r="http://schemas.openxmlformats.org/officeDocument/2006/relationships" r:id="rId14"/>
          <a:extLst>
            <a:ext uri="{FF2B5EF4-FFF2-40B4-BE49-F238E27FC236}">
              <a16:creationId xmlns:a16="http://schemas.microsoft.com/office/drawing/2014/main" id="{00000000-0008-0000-0600-00000F000000}"/>
            </a:ext>
          </a:extLst>
        </xdr:cNvPr>
        <xdr:cNvSpPr txBox="1"/>
      </xdr:nvSpPr>
      <xdr:spPr>
        <a:xfrm>
          <a:off x="4556125" y="79376"/>
          <a:ext cx="1031875" cy="25399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Kimia</a:t>
          </a:r>
        </a:p>
      </xdr:txBody>
    </xdr:sp>
    <xdr:clientData/>
  </xdr:twoCellAnchor>
  <xdr:twoCellAnchor>
    <xdr:from>
      <xdr:col>3</xdr:col>
      <xdr:colOff>438150</xdr:colOff>
      <xdr:row>0</xdr:row>
      <xdr:rowOff>358776</xdr:rowOff>
    </xdr:from>
    <xdr:to>
      <xdr:col>3</xdr:col>
      <xdr:colOff>1470025</xdr:colOff>
      <xdr:row>0</xdr:row>
      <xdr:rowOff>612775</xdr:rowOff>
    </xdr:to>
    <xdr:sp macro="" textlink="">
      <xdr:nvSpPr>
        <xdr:cNvPr id="16" name="TextBox 15">
          <a:hlinkClick xmlns:r="http://schemas.openxmlformats.org/officeDocument/2006/relationships" r:id="rId15"/>
          <a:extLst>
            <a:ext uri="{FF2B5EF4-FFF2-40B4-BE49-F238E27FC236}">
              <a16:creationId xmlns:a16="http://schemas.microsoft.com/office/drawing/2014/main" id="{00000000-0008-0000-0600-000010000000}"/>
            </a:ext>
          </a:extLst>
        </xdr:cNvPr>
        <xdr:cNvSpPr txBox="1"/>
      </xdr:nvSpPr>
      <xdr:spPr>
        <a:xfrm>
          <a:off x="4549775" y="358776"/>
          <a:ext cx="1031875" cy="25399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Biologi</a:t>
          </a:r>
        </a:p>
      </xdr:txBody>
    </xdr:sp>
    <xdr:clientData/>
  </xdr:twoCellAnchor>
  <xdr:twoCellAnchor>
    <xdr:from>
      <xdr:col>3</xdr:col>
      <xdr:colOff>438150</xdr:colOff>
      <xdr:row>0</xdr:row>
      <xdr:rowOff>644526</xdr:rowOff>
    </xdr:from>
    <xdr:to>
      <xdr:col>3</xdr:col>
      <xdr:colOff>1470025</xdr:colOff>
      <xdr:row>0</xdr:row>
      <xdr:rowOff>898525</xdr:rowOff>
    </xdr:to>
    <xdr:sp macro="" textlink="">
      <xdr:nvSpPr>
        <xdr:cNvPr id="17" name="TextBox 16">
          <a:hlinkClick xmlns:r="http://schemas.openxmlformats.org/officeDocument/2006/relationships" r:id="rId16"/>
          <a:extLst>
            <a:ext uri="{FF2B5EF4-FFF2-40B4-BE49-F238E27FC236}">
              <a16:creationId xmlns:a16="http://schemas.microsoft.com/office/drawing/2014/main" id="{00000000-0008-0000-0600-000011000000}"/>
            </a:ext>
          </a:extLst>
        </xdr:cNvPr>
        <xdr:cNvSpPr txBox="1"/>
      </xdr:nvSpPr>
      <xdr:spPr>
        <a:xfrm>
          <a:off x="4549775" y="644526"/>
          <a:ext cx="1031875" cy="253999"/>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 Ing (P)</a:t>
          </a:r>
        </a:p>
      </xdr:txBody>
    </xdr:sp>
    <xdr:clientData/>
  </xdr:twoCellAnchor>
  <xdr:twoCellAnchor>
    <xdr:from>
      <xdr:col>3</xdr:col>
      <xdr:colOff>447675</xdr:colOff>
      <xdr:row>0</xdr:row>
      <xdr:rowOff>923926</xdr:rowOff>
    </xdr:from>
    <xdr:to>
      <xdr:col>3</xdr:col>
      <xdr:colOff>1479550</xdr:colOff>
      <xdr:row>0</xdr:row>
      <xdr:rowOff>1177925</xdr:rowOff>
    </xdr:to>
    <xdr:sp macro="" textlink="">
      <xdr:nvSpPr>
        <xdr:cNvPr id="18" name="TextBox 17">
          <a:hlinkClick xmlns:r="http://schemas.openxmlformats.org/officeDocument/2006/relationships" r:id="rId17"/>
          <a:extLst>
            <a:ext uri="{FF2B5EF4-FFF2-40B4-BE49-F238E27FC236}">
              <a16:creationId xmlns:a16="http://schemas.microsoft.com/office/drawing/2014/main" id="{00000000-0008-0000-0600-000012000000}"/>
            </a:ext>
          </a:extLst>
        </xdr:cNvPr>
        <xdr:cNvSpPr txBox="1"/>
      </xdr:nvSpPr>
      <xdr:spPr>
        <a:xfrm>
          <a:off x="4559300" y="923926"/>
          <a:ext cx="1031875" cy="253999"/>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a:t>
          </a:r>
          <a:r>
            <a:rPr lang="en-US" sz="1200" b="1" baseline="0"/>
            <a:t> Arab</a:t>
          </a:r>
          <a:endParaRPr lang="en-US" sz="1200" b="1"/>
        </a:p>
      </xdr:txBody>
    </xdr:sp>
    <xdr:clientData/>
  </xdr:twoCellAnchor>
  <xdr:oneCellAnchor>
    <xdr:from>
      <xdr:col>0</xdr:col>
      <xdr:colOff>142875</xdr:colOff>
      <xdr:row>0</xdr:row>
      <xdr:rowOff>444500</xdr:rowOff>
    </xdr:from>
    <xdr:ext cx="884464" cy="381708"/>
    <xdr:sp macro="" textlink="">
      <xdr:nvSpPr>
        <xdr:cNvPr id="19" name="Rectangle 18">
          <a:hlinkClick xmlns:r="http://schemas.openxmlformats.org/officeDocument/2006/relationships" r:id="rId18"/>
          <a:extLst>
            <a:ext uri="{FF2B5EF4-FFF2-40B4-BE49-F238E27FC236}">
              <a16:creationId xmlns:a16="http://schemas.microsoft.com/office/drawing/2014/main" id="{00000000-0008-0000-0600-000013000000}"/>
            </a:ext>
          </a:extLst>
        </xdr:cNvPr>
        <xdr:cNvSpPr/>
      </xdr:nvSpPr>
      <xdr:spPr>
        <a:xfrm>
          <a:off x="142875" y="444500"/>
          <a:ext cx="884464"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66675</xdr:colOff>
      <xdr:row>0</xdr:row>
      <xdr:rowOff>142875</xdr:rowOff>
    </xdr:from>
    <xdr:ext cx="884464" cy="381708"/>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66675" y="142875"/>
          <a:ext cx="884464"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95250</xdr:colOff>
      <xdr:row>0</xdr:row>
      <xdr:rowOff>63500</xdr:rowOff>
    </xdr:from>
    <xdr:ext cx="884464"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5250" y="63500"/>
          <a:ext cx="884464" cy="381708"/>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A%20ABBS/KURIKULUM/2015%20-%202016/Legger%20Per%20Desember%202015/Legger%20Semester%202%202015-2016/LEGGER%20SMT%202_2015-2016_KELAS_MAP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Data Siswa"/>
      <sheetName val="Data KD"/>
      <sheetName val="Legger Pengetahuan"/>
      <sheetName val="Legger Keterampilan"/>
      <sheetName val="Cover Cetak"/>
      <sheetName val="Pengetahuan Cetak"/>
      <sheetName val="Keterampilan Cetak"/>
      <sheetName val="Sikap Cetak"/>
      <sheetName val="Nilai Raport"/>
      <sheetName val="Data Siswa X"/>
      <sheetName val="Data Siswa XI"/>
      <sheetName val="Data Siswa XII"/>
    </sheetNames>
    <sheetDataSet>
      <sheetData sheetId="0" refreshError="1">
        <row r="5">
          <cell r="L5" t="str">
            <v>Achrudin, S.Pd.</v>
          </cell>
        </row>
        <row r="7">
          <cell r="L7" t="str">
            <v>2014 09 3 163</v>
          </cell>
        </row>
        <row r="9">
          <cell r="L9" t="str">
            <v>Imam Samodra, S.Si</v>
          </cell>
        </row>
        <row r="11">
          <cell r="L11" t="str">
            <v>2014 10 3 172</v>
          </cell>
        </row>
        <row r="15">
          <cell r="L15" t="str">
            <v>XII.MIPA Khawarizmi</v>
          </cell>
        </row>
        <row r="17">
          <cell r="L17" t="str">
            <v>2015/2016</v>
          </cell>
        </row>
        <row r="19">
          <cell r="M19" t="str">
            <v>GENAP</v>
          </cell>
        </row>
        <row r="21">
          <cell r="L21" t="str">
            <v>22 Januari 2016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C1:S31"/>
  <sheetViews>
    <sheetView tabSelected="1" zoomScale="80" zoomScaleNormal="80" workbookViewId="0">
      <selection activeCell="D28" sqref="D28:G28"/>
    </sheetView>
  </sheetViews>
  <sheetFormatPr defaultColWidth="9.140625" defaultRowHeight="15" x14ac:dyDescent="0.25"/>
  <cols>
    <col min="1" max="3" width="9.140625" style="24"/>
    <col min="4" max="4" width="8.7109375" style="24" customWidth="1"/>
    <col min="5" max="5" width="9.140625" style="24"/>
    <col min="6" max="7" width="9.140625" style="24" customWidth="1"/>
    <col min="8" max="9" width="9.140625" style="24"/>
    <col min="10" max="10" width="14.28515625" style="24" customWidth="1"/>
    <col min="11" max="11" width="9.140625" style="24"/>
    <col min="12" max="12" width="10.28515625" style="24" customWidth="1"/>
    <col min="13" max="18" width="9.140625" style="24"/>
    <col min="19" max="19" width="2.85546875" style="24" customWidth="1"/>
    <col min="20" max="16384" width="9.140625" style="24"/>
  </cols>
  <sheetData>
    <row r="1" spans="3:19" x14ac:dyDescent="0.25">
      <c r="C1" s="104"/>
      <c r="D1" s="104"/>
      <c r="E1" s="104"/>
      <c r="F1" s="104"/>
      <c r="G1" s="104"/>
      <c r="H1" s="104"/>
      <c r="I1" s="104"/>
      <c r="J1" s="104"/>
      <c r="K1" s="104"/>
      <c r="L1" s="104"/>
      <c r="M1" s="104"/>
      <c r="N1" s="104"/>
      <c r="O1" s="104"/>
      <c r="P1" s="104"/>
      <c r="Q1" s="104"/>
      <c r="R1" s="104"/>
      <c r="S1" s="104"/>
    </row>
    <row r="2" spans="3:19" x14ac:dyDescent="0.25">
      <c r="C2" s="104"/>
      <c r="D2" s="104"/>
      <c r="E2" s="104"/>
      <c r="F2" s="104"/>
      <c r="G2" s="104"/>
      <c r="H2" s="104"/>
      <c r="I2" s="104"/>
      <c r="J2" s="104"/>
      <c r="K2" s="104"/>
      <c r="L2" s="104"/>
      <c r="M2" s="104"/>
      <c r="N2" s="104"/>
      <c r="O2" s="104"/>
      <c r="P2" s="104"/>
      <c r="Q2" s="104"/>
      <c r="R2" s="104"/>
      <c r="S2" s="104"/>
    </row>
    <row r="3" spans="3:19" x14ac:dyDescent="0.25">
      <c r="C3" s="104"/>
      <c r="D3" s="104"/>
      <c r="E3" s="104"/>
      <c r="F3" s="104"/>
      <c r="G3" s="104"/>
      <c r="H3" s="104"/>
      <c r="I3" s="104"/>
      <c r="J3" s="104"/>
      <c r="K3" s="104"/>
      <c r="L3" s="104"/>
      <c r="M3" s="104"/>
      <c r="N3" s="104"/>
      <c r="O3" s="104"/>
      <c r="P3" s="104"/>
      <c r="Q3" s="104"/>
      <c r="R3" s="104"/>
      <c r="S3" s="104"/>
    </row>
    <row r="4" spans="3:19" x14ac:dyDescent="0.25">
      <c r="C4" s="104"/>
      <c r="D4" s="104"/>
      <c r="E4" s="104"/>
      <c r="F4" s="104"/>
      <c r="G4" s="104"/>
      <c r="H4" s="104"/>
      <c r="I4" s="104"/>
      <c r="J4" s="104"/>
      <c r="K4" s="104"/>
      <c r="L4" s="104"/>
      <c r="M4" s="104"/>
      <c r="N4" s="104"/>
      <c r="O4" s="104"/>
      <c r="P4" s="104"/>
      <c r="Q4" s="104"/>
      <c r="R4" s="104"/>
      <c r="S4" s="104"/>
    </row>
    <row r="5" spans="3:19" x14ac:dyDescent="0.25">
      <c r="C5" s="104"/>
      <c r="D5" s="104"/>
      <c r="E5" s="104"/>
      <c r="F5" s="104"/>
      <c r="G5" s="104"/>
      <c r="H5" s="104"/>
      <c r="I5" s="104"/>
      <c r="J5" s="104"/>
      <c r="K5" s="104"/>
      <c r="L5" s="104"/>
      <c r="M5" s="104"/>
      <c r="N5" s="104"/>
      <c r="O5" s="104"/>
      <c r="P5" s="104"/>
      <c r="Q5" s="104"/>
      <c r="R5" s="104"/>
      <c r="S5" s="104"/>
    </row>
    <row r="6" spans="3:19" x14ac:dyDescent="0.25">
      <c r="C6" s="104"/>
      <c r="D6" s="104"/>
      <c r="E6" s="104"/>
      <c r="F6" s="104"/>
      <c r="G6" s="104"/>
      <c r="H6" s="104"/>
      <c r="I6" s="104"/>
      <c r="J6" s="104"/>
      <c r="K6" s="104"/>
      <c r="L6" s="104"/>
      <c r="M6" s="104"/>
      <c r="N6" s="104"/>
      <c r="O6" s="104"/>
      <c r="P6" s="104"/>
      <c r="Q6" s="104"/>
      <c r="R6" s="104"/>
      <c r="S6" s="104"/>
    </row>
    <row r="7" spans="3:19" x14ac:dyDescent="0.25">
      <c r="C7" s="104"/>
      <c r="D7" s="104"/>
      <c r="E7" s="104"/>
      <c r="F7" s="104"/>
      <c r="G7" s="104"/>
      <c r="H7" s="104"/>
      <c r="I7" s="104"/>
      <c r="J7" s="104"/>
      <c r="K7" s="104"/>
      <c r="L7" s="104"/>
      <c r="M7" s="104"/>
      <c r="N7" s="104"/>
      <c r="O7" s="104"/>
      <c r="P7" s="104"/>
      <c r="Q7" s="104"/>
      <c r="R7" s="104"/>
      <c r="S7" s="104"/>
    </row>
    <row r="8" spans="3:19" x14ac:dyDescent="0.25">
      <c r="C8" s="104"/>
      <c r="D8" s="104"/>
      <c r="E8" s="104"/>
      <c r="F8" s="104"/>
      <c r="G8" s="104"/>
      <c r="H8" s="104"/>
      <c r="I8" s="104"/>
      <c r="J8" s="104"/>
      <c r="K8" s="104"/>
      <c r="L8" s="104"/>
      <c r="M8" s="104"/>
      <c r="N8" s="104"/>
      <c r="O8" s="104"/>
      <c r="P8" s="104"/>
      <c r="Q8" s="104"/>
      <c r="R8" s="104"/>
      <c r="S8" s="104"/>
    </row>
    <row r="9" spans="3:19" x14ac:dyDescent="0.25">
      <c r="C9" s="104"/>
      <c r="D9" s="104"/>
      <c r="E9" s="104"/>
      <c r="F9" s="104"/>
      <c r="G9" s="104"/>
      <c r="H9" s="104"/>
      <c r="I9" s="104"/>
      <c r="J9" s="104"/>
      <c r="K9" s="104"/>
      <c r="L9" s="104"/>
      <c r="M9" s="104"/>
      <c r="N9" s="104"/>
      <c r="O9" s="104"/>
      <c r="P9" s="104"/>
      <c r="Q9" s="104"/>
      <c r="R9" s="104"/>
      <c r="S9" s="104"/>
    </row>
    <row r="10" spans="3:19" x14ac:dyDescent="0.25">
      <c r="C10" s="104"/>
      <c r="D10" s="104"/>
      <c r="E10" s="104"/>
      <c r="F10" s="104"/>
      <c r="G10" s="104"/>
      <c r="H10" s="104"/>
      <c r="I10" s="104"/>
      <c r="J10" s="104"/>
      <c r="K10" s="104"/>
      <c r="L10" s="104"/>
      <c r="M10" s="104"/>
      <c r="N10" s="104"/>
      <c r="O10" s="104"/>
      <c r="P10" s="104"/>
      <c r="Q10" s="104"/>
      <c r="R10" s="104"/>
      <c r="S10" s="104"/>
    </row>
    <row r="11" spans="3:19" x14ac:dyDescent="0.25">
      <c r="C11" s="104"/>
      <c r="D11" s="104"/>
      <c r="E11" s="104"/>
      <c r="F11" s="104"/>
      <c r="G11" s="104"/>
      <c r="H11" s="104"/>
      <c r="I11" s="104"/>
      <c r="J11" s="104"/>
      <c r="K11" s="104"/>
      <c r="L11" s="104"/>
      <c r="M11" s="104"/>
      <c r="N11" s="104"/>
      <c r="O11" s="104"/>
      <c r="P11" s="104"/>
      <c r="Q11" s="104"/>
      <c r="R11" s="104"/>
      <c r="S11" s="104"/>
    </row>
    <row r="12" spans="3:19" x14ac:dyDescent="0.25">
      <c r="C12" s="104"/>
      <c r="D12" s="104"/>
      <c r="E12" s="104"/>
      <c r="F12" s="104"/>
      <c r="G12" s="104"/>
      <c r="H12" s="104"/>
      <c r="I12" s="104"/>
      <c r="J12" s="104"/>
      <c r="K12" s="104"/>
      <c r="L12" s="104"/>
      <c r="M12" s="104"/>
      <c r="N12" s="104"/>
      <c r="O12" s="104"/>
      <c r="P12" s="104"/>
      <c r="Q12" s="104"/>
      <c r="R12" s="104"/>
      <c r="S12" s="104"/>
    </row>
    <row r="13" spans="3:19" x14ac:dyDescent="0.25">
      <c r="C13" s="104"/>
      <c r="D13" s="104"/>
      <c r="E13" s="104"/>
      <c r="F13" s="104"/>
      <c r="G13" s="104"/>
      <c r="H13" s="104"/>
      <c r="I13" s="104"/>
      <c r="J13" s="104"/>
      <c r="K13" s="104"/>
      <c r="L13" s="104"/>
      <c r="M13" s="104"/>
      <c r="N13" s="104"/>
      <c r="O13" s="104"/>
      <c r="P13" s="104"/>
      <c r="Q13" s="104"/>
      <c r="R13" s="104"/>
      <c r="S13" s="104"/>
    </row>
    <row r="14" spans="3:19" x14ac:dyDescent="0.25">
      <c r="C14" s="104"/>
      <c r="D14" s="104"/>
      <c r="E14" s="104"/>
      <c r="F14" s="104"/>
      <c r="G14" s="104"/>
      <c r="H14" s="104"/>
      <c r="I14" s="104"/>
      <c r="J14" s="104"/>
      <c r="K14" s="104"/>
      <c r="L14" s="104"/>
      <c r="M14" s="104"/>
      <c r="N14" s="104"/>
      <c r="O14" s="104"/>
      <c r="P14" s="104"/>
      <c r="Q14" s="104"/>
      <c r="R14" s="104"/>
      <c r="S14" s="104"/>
    </row>
    <row r="15" spans="3:19" x14ac:dyDescent="0.25">
      <c r="C15" s="104"/>
      <c r="D15" s="104"/>
      <c r="E15" s="104"/>
      <c r="F15" s="104"/>
      <c r="G15" s="104"/>
      <c r="H15" s="104"/>
      <c r="I15" s="104"/>
      <c r="J15" s="104"/>
      <c r="K15" s="104"/>
      <c r="L15" s="104"/>
      <c r="M15" s="104"/>
      <c r="N15" s="104"/>
      <c r="O15" s="104"/>
      <c r="P15" s="104"/>
      <c r="Q15" s="104"/>
      <c r="R15" s="104"/>
      <c r="S15" s="104"/>
    </row>
    <row r="16" spans="3:19" x14ac:dyDescent="0.25">
      <c r="C16" s="104"/>
      <c r="D16" s="104"/>
      <c r="E16" s="104"/>
      <c r="F16" s="104"/>
      <c r="G16" s="104"/>
      <c r="H16" s="104"/>
      <c r="I16" s="104"/>
      <c r="J16" s="104"/>
      <c r="K16" s="104"/>
      <c r="L16" s="104"/>
      <c r="M16" s="104"/>
      <c r="N16" s="104"/>
      <c r="O16" s="104"/>
      <c r="P16" s="104"/>
      <c r="Q16" s="104"/>
      <c r="R16" s="104"/>
      <c r="S16" s="104"/>
    </row>
    <row r="17" spans="3:19" x14ac:dyDescent="0.25">
      <c r="C17" s="104"/>
      <c r="D17" s="104"/>
      <c r="E17" s="104"/>
      <c r="F17" s="104"/>
      <c r="G17" s="104"/>
      <c r="H17" s="104"/>
      <c r="I17" s="104"/>
      <c r="J17" s="104"/>
      <c r="K17" s="104"/>
      <c r="L17" s="104"/>
      <c r="M17" s="104"/>
      <c r="N17" s="104"/>
      <c r="O17" s="104"/>
      <c r="P17" s="104"/>
      <c r="Q17" s="104"/>
      <c r="R17" s="104"/>
      <c r="S17" s="104"/>
    </row>
    <row r="18" spans="3:19" x14ac:dyDescent="0.25">
      <c r="C18" s="104"/>
      <c r="D18" s="104"/>
      <c r="E18" s="104"/>
      <c r="F18" s="104"/>
      <c r="G18" s="104"/>
      <c r="H18" s="104"/>
      <c r="I18" s="104"/>
      <c r="J18" s="104"/>
      <c r="K18" s="104"/>
      <c r="L18" s="104"/>
      <c r="M18" s="104"/>
      <c r="N18" s="104"/>
      <c r="O18" s="104"/>
      <c r="P18" s="104"/>
      <c r="Q18" s="104"/>
      <c r="R18" s="104"/>
      <c r="S18" s="104"/>
    </row>
    <row r="19" spans="3:19" x14ac:dyDescent="0.25">
      <c r="C19" s="104"/>
      <c r="D19" s="104"/>
      <c r="E19" s="104"/>
      <c r="F19" s="104"/>
      <c r="G19" s="104"/>
      <c r="H19" s="104"/>
      <c r="I19" s="104"/>
      <c r="J19" s="104"/>
      <c r="K19" s="104"/>
      <c r="L19" s="104"/>
      <c r="M19" s="104"/>
      <c r="N19" s="104"/>
      <c r="O19" s="104"/>
      <c r="P19" s="104"/>
      <c r="Q19" s="104"/>
      <c r="R19" s="104"/>
      <c r="S19" s="104"/>
    </row>
    <row r="20" spans="3:19" x14ac:dyDescent="0.25">
      <c r="C20" s="104"/>
      <c r="D20" s="104"/>
      <c r="E20" s="104"/>
      <c r="F20" s="104"/>
      <c r="G20" s="104"/>
      <c r="H20" s="104"/>
      <c r="I20" s="104"/>
      <c r="J20" s="104"/>
      <c r="K20" s="104"/>
      <c r="L20" s="104"/>
      <c r="M20" s="104"/>
      <c r="N20" s="104"/>
      <c r="O20" s="104"/>
      <c r="P20" s="104"/>
      <c r="Q20" s="104"/>
      <c r="R20" s="104"/>
      <c r="S20" s="104"/>
    </row>
    <row r="21" spans="3:19" x14ac:dyDescent="0.25">
      <c r="C21" s="104"/>
      <c r="D21" s="104"/>
      <c r="E21" s="104"/>
      <c r="F21" s="104"/>
      <c r="G21" s="104"/>
      <c r="H21" s="104"/>
      <c r="I21" s="104"/>
      <c r="J21" s="104"/>
      <c r="K21" s="104"/>
      <c r="L21" s="104"/>
      <c r="M21" s="104"/>
      <c r="N21" s="104"/>
      <c r="O21" s="104"/>
      <c r="P21" s="104"/>
      <c r="Q21" s="104"/>
      <c r="R21" s="104"/>
      <c r="S21" s="104"/>
    </row>
    <row r="22" spans="3:19" x14ac:dyDescent="0.25">
      <c r="C22" s="104"/>
      <c r="D22" s="104"/>
      <c r="E22" s="104"/>
      <c r="F22" s="104"/>
      <c r="G22" s="104"/>
      <c r="H22" s="104"/>
      <c r="I22" s="104"/>
      <c r="J22" s="104"/>
      <c r="K22" s="104"/>
      <c r="L22" s="104"/>
      <c r="M22" s="104"/>
      <c r="N22" s="104"/>
      <c r="O22" s="104"/>
      <c r="P22" s="104"/>
      <c r="Q22" s="104"/>
      <c r="R22" s="104"/>
      <c r="S22" s="104"/>
    </row>
    <row r="23" spans="3:19" x14ac:dyDescent="0.25">
      <c r="C23" s="104"/>
      <c r="D23" s="104"/>
      <c r="E23" s="104"/>
      <c r="F23" s="104"/>
      <c r="G23" s="104"/>
      <c r="H23" s="104"/>
      <c r="I23" s="104"/>
      <c r="J23" s="104"/>
      <c r="K23" s="104"/>
      <c r="L23" s="104"/>
      <c r="M23" s="104"/>
      <c r="N23" s="104"/>
      <c r="O23" s="104"/>
      <c r="P23" s="104"/>
      <c r="Q23" s="104"/>
      <c r="R23" s="104"/>
      <c r="S23" s="104"/>
    </row>
    <row r="24" spans="3:19" x14ac:dyDescent="0.25">
      <c r="C24" s="104"/>
      <c r="D24" s="104"/>
      <c r="E24" s="104"/>
      <c r="F24" s="104"/>
      <c r="G24" s="104"/>
      <c r="H24" s="104"/>
      <c r="I24" s="104"/>
      <c r="J24" s="104"/>
      <c r="K24" s="104"/>
      <c r="L24" s="104"/>
      <c r="M24" s="104"/>
      <c r="N24" s="104"/>
      <c r="O24" s="104"/>
      <c r="P24" s="104"/>
      <c r="Q24" s="104"/>
      <c r="R24" s="104"/>
      <c r="S24" s="104"/>
    </row>
    <row r="25" spans="3:19" x14ac:dyDescent="0.25">
      <c r="C25" s="104"/>
      <c r="D25" s="104"/>
      <c r="E25" s="104"/>
      <c r="F25" s="104"/>
      <c r="G25" s="104"/>
      <c r="H25" s="104"/>
      <c r="I25" s="104"/>
      <c r="J25" s="104"/>
      <c r="K25" s="104"/>
      <c r="L25" s="104"/>
      <c r="M25" s="104"/>
      <c r="N25" s="104"/>
      <c r="O25" s="104"/>
      <c r="P25" s="104"/>
      <c r="Q25" s="104"/>
      <c r="R25" s="104"/>
      <c r="S25" s="104"/>
    </row>
    <row r="26" spans="3:19" x14ac:dyDescent="0.25">
      <c r="C26" s="104"/>
      <c r="D26" s="104"/>
      <c r="E26" s="104"/>
      <c r="F26" s="104"/>
      <c r="G26" s="104"/>
      <c r="H26" s="104"/>
      <c r="I26" s="104"/>
      <c r="J26" s="104"/>
      <c r="K26" s="104"/>
      <c r="L26" s="104"/>
      <c r="M26" s="104"/>
      <c r="N26" s="104"/>
      <c r="O26" s="104"/>
      <c r="P26" s="104"/>
      <c r="Q26" s="104"/>
      <c r="R26" s="104"/>
      <c r="S26" s="104"/>
    </row>
    <row r="27" spans="3:19" ht="15.75" x14ac:dyDescent="0.25">
      <c r="C27" s="104"/>
      <c r="D27" s="199" t="str">
        <f>Setting!E5</f>
        <v>SMA ABBS Surakarta</v>
      </c>
      <c r="E27" s="199"/>
      <c r="F27" s="199"/>
      <c r="G27" s="199"/>
      <c r="H27" s="104"/>
      <c r="I27" s="104"/>
      <c r="J27" s="104"/>
      <c r="K27" s="104"/>
      <c r="L27" s="104"/>
      <c r="M27" s="104"/>
      <c r="N27" s="104"/>
      <c r="O27" s="104"/>
      <c r="P27" s="104"/>
      <c r="Q27" s="104"/>
      <c r="R27" s="104"/>
      <c r="S27" s="104"/>
    </row>
    <row r="28" spans="3:19" ht="15.75" x14ac:dyDescent="0.25">
      <c r="C28" s="104"/>
      <c r="D28" s="199" t="str">
        <f>Setting!E14</f>
        <v>2022/2023</v>
      </c>
      <c r="E28" s="199"/>
      <c r="F28" s="199"/>
      <c r="G28" s="199"/>
      <c r="H28" s="104"/>
      <c r="I28" s="104"/>
      <c r="J28" s="104"/>
      <c r="K28" s="104"/>
      <c r="L28" s="104"/>
      <c r="M28" s="104"/>
      <c r="N28" s="104"/>
      <c r="O28" s="104"/>
      <c r="P28" s="104"/>
      <c r="Q28" s="104"/>
      <c r="R28" s="104"/>
      <c r="S28" s="104"/>
    </row>
    <row r="29" spans="3:19" ht="15.75" x14ac:dyDescent="0.25">
      <c r="C29" s="104"/>
      <c r="D29" s="199" t="str">
        <f>"Semester "&amp;Setting!E15&amp;""</f>
        <v>Semester V</v>
      </c>
      <c r="E29" s="199"/>
      <c r="F29" s="199"/>
      <c r="G29" s="199"/>
      <c r="H29" s="104"/>
      <c r="I29" s="104"/>
      <c r="J29" s="104"/>
      <c r="K29" s="104"/>
      <c r="L29" s="104"/>
      <c r="M29" s="104"/>
      <c r="N29" s="104"/>
      <c r="O29" s="104"/>
      <c r="P29" s="104"/>
      <c r="Q29" s="104"/>
      <c r="R29" s="104"/>
      <c r="S29" s="104"/>
    </row>
    <row r="30" spans="3:19" ht="15.75" x14ac:dyDescent="0.25">
      <c r="C30" s="104"/>
      <c r="D30" s="199" t="str">
        <f>Setting!E11</f>
        <v>XII MIPA 4</v>
      </c>
      <c r="E30" s="199"/>
      <c r="F30" s="199"/>
      <c r="G30" s="199"/>
      <c r="H30" s="104"/>
      <c r="I30" s="104"/>
      <c r="J30" s="104"/>
      <c r="K30" s="104"/>
      <c r="L30" s="104"/>
      <c r="M30" s="104"/>
      <c r="N30" s="104"/>
      <c r="O30" s="104"/>
      <c r="P30" s="104"/>
      <c r="Q30" s="104"/>
      <c r="R30" s="104"/>
      <c r="S30" s="104"/>
    </row>
    <row r="31" spans="3:19" x14ac:dyDescent="0.25">
      <c r="C31" s="104"/>
      <c r="D31" s="104"/>
      <c r="E31" s="104"/>
      <c r="F31" s="104"/>
      <c r="G31" s="104"/>
      <c r="H31" s="104"/>
      <c r="I31" s="104"/>
      <c r="J31" s="104"/>
      <c r="K31" s="104"/>
      <c r="L31" s="104"/>
      <c r="M31" s="104"/>
      <c r="N31" s="104"/>
      <c r="O31" s="104"/>
      <c r="P31" s="104"/>
      <c r="Q31" s="104"/>
      <c r="R31" s="104"/>
      <c r="S31" s="104"/>
    </row>
  </sheetData>
  <sheetProtection password="83A9" sheet="1" objects="1" scenarios="1" selectLockedCells="1" selectUnlockedCells="1"/>
  <mergeCells count="4">
    <mergeCell ref="D27:G27"/>
    <mergeCell ref="D30:G30"/>
    <mergeCell ref="D28:G28"/>
    <mergeCell ref="D29:G29"/>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B1:J44"/>
  <sheetViews>
    <sheetView topLeftCell="B1" workbookViewId="0">
      <pane xSplit="3" ySplit="4" topLeftCell="E5" activePane="bottomRight" state="frozenSplit"/>
      <selection activeCell="B1" sqref="B1"/>
      <selection pane="topRight" activeCell="E1" sqref="E1"/>
      <selection pane="bottomLeft" activeCell="B5" sqref="B5"/>
      <selection pane="bottomRight" activeCell="H5" sqref="H5:H36"/>
    </sheetView>
  </sheetViews>
  <sheetFormatPr defaultRowHeight="15" x14ac:dyDescent="0.25"/>
  <cols>
    <col min="1" max="1" width="0" hidden="1" customWidth="1"/>
    <col min="2" max="2" width="14.7109375" customWidth="1"/>
    <col min="3" max="3" width="25.85546875" customWidth="1"/>
    <col min="4" max="4" width="10.42578125" style="1" customWidth="1"/>
    <col min="5" max="5" width="25.85546875" customWidth="1"/>
    <col min="6" max="6" width="8.7109375" style="8" customWidth="1"/>
    <col min="7" max="7" width="21.5703125" bestFit="1" customWidth="1"/>
    <col min="8" max="8" width="23.28515625" customWidth="1"/>
    <col min="9" max="9" width="8.85546875" style="8" customWidth="1"/>
    <col min="10" max="10" width="21.5703125" bestFit="1" customWidth="1"/>
  </cols>
  <sheetData>
    <row r="1" spans="2:10" s="50" customFormat="1" ht="21" x14ac:dyDescent="0.35">
      <c r="C1" s="49" t="str">
        <f>"Input Data Ekstrakurikuler Siswa Kelas "&amp;Setting!E11&amp;" Tahun "&amp;Setting!E14&amp;" Semester "&amp;Setting!E15&amp;""</f>
        <v>Input Data Ekstrakurikuler Siswa Kelas XII MIPA 4 Tahun 2022/2023 Semester V</v>
      </c>
      <c r="D1" s="51"/>
    </row>
    <row r="3" spans="2:10" s="3" customFormat="1" x14ac:dyDescent="0.25">
      <c r="B3" s="327" t="s">
        <v>43</v>
      </c>
      <c r="C3" s="327" t="s">
        <v>42</v>
      </c>
      <c r="D3" s="327" t="s">
        <v>45</v>
      </c>
      <c r="E3" s="328" t="s">
        <v>24</v>
      </c>
      <c r="F3" s="328"/>
      <c r="G3" s="328"/>
      <c r="H3" s="328"/>
      <c r="I3" s="328"/>
      <c r="J3" s="328"/>
    </row>
    <row r="4" spans="2:10" s="3" customFormat="1" x14ac:dyDescent="0.25">
      <c r="B4" s="327"/>
      <c r="C4" s="327"/>
      <c r="D4" s="327"/>
      <c r="E4" s="47" t="s">
        <v>87</v>
      </c>
      <c r="F4" s="47" t="s">
        <v>82</v>
      </c>
      <c r="G4" s="47" t="s">
        <v>38</v>
      </c>
      <c r="H4" s="47" t="s">
        <v>88</v>
      </c>
      <c r="I4" s="47" t="s">
        <v>82</v>
      </c>
      <c r="J4" s="47" t="s">
        <v>38</v>
      </c>
    </row>
    <row r="5" spans="2:10" x14ac:dyDescent="0.25">
      <c r="B5" s="7">
        <v>1</v>
      </c>
      <c r="C5" s="48" t="str">
        <f>IF(Setting!J6="","",Setting!J6)</f>
        <v>Abdul Fattah Irfan Al Mubaroq</v>
      </c>
      <c r="D5" s="15">
        <f>IF(Setting!K6="","",Setting!K6)</f>
        <v>2008004</v>
      </c>
      <c r="E5" s="53" t="s">
        <v>196</v>
      </c>
      <c r="F5" s="53" t="s">
        <v>195</v>
      </c>
      <c r="G5" s="53" t="s">
        <v>2401</v>
      </c>
      <c r="H5" s="53" t="s">
        <v>2419</v>
      </c>
      <c r="I5" s="53" t="s">
        <v>195</v>
      </c>
      <c r="J5" s="53" t="s">
        <v>2402</v>
      </c>
    </row>
    <row r="6" spans="2:10" x14ac:dyDescent="0.25">
      <c r="B6" s="7">
        <v>2</v>
      </c>
      <c r="C6" s="48" t="str">
        <f>IF(Setting!J7="","",Setting!J7)</f>
        <v>Adam Zidane Danata Pranugroho</v>
      </c>
      <c r="D6" s="15">
        <f>IF(Setting!K7="","",Setting!K7)</f>
        <v>2008009</v>
      </c>
      <c r="E6" s="53" t="s">
        <v>196</v>
      </c>
      <c r="F6" s="53" t="s">
        <v>195</v>
      </c>
      <c r="G6" s="53" t="s">
        <v>2401</v>
      </c>
      <c r="H6" s="53" t="s">
        <v>2420</v>
      </c>
      <c r="I6" s="53" t="s">
        <v>197</v>
      </c>
      <c r="J6" s="53" t="s">
        <v>2403</v>
      </c>
    </row>
    <row r="7" spans="2:10" x14ac:dyDescent="0.25">
      <c r="B7" s="7">
        <v>3</v>
      </c>
      <c r="C7" s="48" t="str">
        <f>IF(Setting!J8="","",Setting!J8)</f>
        <v>Ahmad Fikry</v>
      </c>
      <c r="D7" s="15">
        <f>IF(Setting!K8="","",Setting!K8)</f>
        <v>2008021</v>
      </c>
      <c r="E7" s="53" t="s">
        <v>196</v>
      </c>
      <c r="F7" s="53" t="s">
        <v>195</v>
      </c>
      <c r="G7" s="53" t="s">
        <v>2401</v>
      </c>
      <c r="H7" s="53" t="s">
        <v>2420</v>
      </c>
      <c r="I7" s="53" t="s">
        <v>195</v>
      </c>
      <c r="J7" s="53" t="s">
        <v>2404</v>
      </c>
    </row>
    <row r="8" spans="2:10" x14ac:dyDescent="0.25">
      <c r="B8" s="7">
        <v>4</v>
      </c>
      <c r="C8" s="48" t="str">
        <f>IF(Setting!J9="","",Setting!J9)</f>
        <v>Almas Sabih Wahindra</v>
      </c>
      <c r="D8" s="15">
        <f>IF(Setting!K9="","",Setting!K9)</f>
        <v>2008034</v>
      </c>
      <c r="E8" s="53" t="s">
        <v>196</v>
      </c>
      <c r="F8" s="53" t="s">
        <v>195</v>
      </c>
      <c r="G8" s="53" t="s">
        <v>2401</v>
      </c>
      <c r="H8" s="53" t="s">
        <v>2420</v>
      </c>
      <c r="I8" s="53" t="s">
        <v>197</v>
      </c>
      <c r="J8" s="53" t="s">
        <v>2403</v>
      </c>
    </row>
    <row r="9" spans="2:10" x14ac:dyDescent="0.25">
      <c r="B9" s="7">
        <v>5</v>
      </c>
      <c r="C9" s="48" t="str">
        <f>IF(Setting!J10="","",Setting!J10)</f>
        <v>Aria Fenha Apri Buma</v>
      </c>
      <c r="D9" s="15">
        <f>IF(Setting!K10="","",Setting!K10)</f>
        <v>2008054</v>
      </c>
      <c r="E9" s="53" t="s">
        <v>196</v>
      </c>
      <c r="F9" s="53" t="s">
        <v>197</v>
      </c>
      <c r="G9" s="53" t="s">
        <v>2401</v>
      </c>
      <c r="H9" s="53" t="s">
        <v>2421</v>
      </c>
      <c r="I9" s="53" t="s">
        <v>197</v>
      </c>
      <c r="J9" s="53" t="s">
        <v>2405</v>
      </c>
    </row>
    <row r="10" spans="2:10" x14ac:dyDescent="0.25">
      <c r="B10" s="7">
        <v>6</v>
      </c>
      <c r="C10" s="48" t="str">
        <f>IF(Setting!J11="","",Setting!J11)</f>
        <v>Baharuddin Barkah Pratama</v>
      </c>
      <c r="D10" s="15">
        <f>IF(Setting!K11="","",Setting!K11)</f>
        <v>2008075</v>
      </c>
      <c r="E10" s="53" t="s">
        <v>196</v>
      </c>
      <c r="F10" s="53" t="s">
        <v>195</v>
      </c>
      <c r="G10" s="53" t="s">
        <v>2401</v>
      </c>
      <c r="H10" s="53" t="s">
        <v>2422</v>
      </c>
      <c r="I10" s="53" t="s">
        <v>197</v>
      </c>
      <c r="J10" s="53" t="s">
        <v>2406</v>
      </c>
    </row>
    <row r="11" spans="2:10" x14ac:dyDescent="0.25">
      <c r="B11" s="7">
        <v>7</v>
      </c>
      <c r="C11" s="48" t="str">
        <f>IF(Setting!J12="","",Setting!J12)</f>
        <v>Daffa Arya Pudyastungkara</v>
      </c>
      <c r="D11" s="15">
        <f>IF(Setting!K12="","",Setting!K12)</f>
        <v>2008089</v>
      </c>
      <c r="E11" s="53" t="s">
        <v>196</v>
      </c>
      <c r="F11" s="53" t="s">
        <v>197</v>
      </c>
      <c r="G11" s="53" t="s">
        <v>2401</v>
      </c>
      <c r="H11" s="53" t="s">
        <v>2423</v>
      </c>
      <c r="I11" s="53" t="s">
        <v>195</v>
      </c>
      <c r="J11" s="53" t="s">
        <v>2407</v>
      </c>
    </row>
    <row r="12" spans="2:10" x14ac:dyDescent="0.25">
      <c r="B12" s="7">
        <v>8</v>
      </c>
      <c r="C12" s="48" t="str">
        <f>IF(Setting!J13="","",Setting!J13)</f>
        <v>Dody Muhammad Pasha</v>
      </c>
      <c r="D12" s="15">
        <f>IF(Setting!K13="","",Setting!K13)</f>
        <v>2008095</v>
      </c>
      <c r="E12" s="53" t="s">
        <v>196</v>
      </c>
      <c r="F12" s="53" t="s">
        <v>195</v>
      </c>
      <c r="G12" s="53" t="s">
        <v>2401</v>
      </c>
      <c r="H12" s="53" t="s">
        <v>2424</v>
      </c>
      <c r="I12" s="53" t="s">
        <v>195</v>
      </c>
      <c r="J12" s="53" t="s">
        <v>2408</v>
      </c>
    </row>
    <row r="13" spans="2:10" x14ac:dyDescent="0.25">
      <c r="B13" s="7">
        <v>9</v>
      </c>
      <c r="C13" s="48" t="str">
        <f>IF(Setting!J14="","",Setting!J14)</f>
        <v>Elga Perdana</v>
      </c>
      <c r="D13" s="15">
        <f>IF(Setting!K14="","",Setting!K14)</f>
        <v>2008099</v>
      </c>
      <c r="E13" s="53" t="s">
        <v>196</v>
      </c>
      <c r="F13" s="53" t="s">
        <v>195</v>
      </c>
      <c r="G13" s="53" t="s">
        <v>2401</v>
      </c>
      <c r="H13" s="53" t="s">
        <v>2425</v>
      </c>
      <c r="I13" s="53" t="s">
        <v>195</v>
      </c>
      <c r="J13" s="53" t="s">
        <v>2409</v>
      </c>
    </row>
    <row r="14" spans="2:10" x14ac:dyDescent="0.25">
      <c r="B14" s="7">
        <v>10</v>
      </c>
      <c r="C14" s="48" t="str">
        <f>IF(Setting!J15="","",Setting!J15)</f>
        <v>Fathoni Daniswara</v>
      </c>
      <c r="D14" s="15">
        <f>IF(Setting!K15="","",Setting!K15)</f>
        <v>2008118</v>
      </c>
      <c r="E14" s="53" t="s">
        <v>196</v>
      </c>
      <c r="F14" s="53" t="s">
        <v>197</v>
      </c>
      <c r="G14" s="53" t="s">
        <v>2401</v>
      </c>
      <c r="H14" s="53" t="s">
        <v>2426</v>
      </c>
      <c r="I14" s="53" t="s">
        <v>195</v>
      </c>
      <c r="J14" s="53" t="s">
        <v>2410</v>
      </c>
    </row>
    <row r="15" spans="2:10" x14ac:dyDescent="0.25">
      <c r="B15" s="7">
        <v>11</v>
      </c>
      <c r="C15" s="48" t="str">
        <f>IF(Setting!J16="","",Setting!J16)</f>
        <v>Gading Setyo Manunggal</v>
      </c>
      <c r="D15" s="15">
        <f>IF(Setting!K16="","",Setting!K16)</f>
        <v>2008127</v>
      </c>
      <c r="E15" s="53" t="s">
        <v>196</v>
      </c>
      <c r="F15" s="53" t="s">
        <v>195</v>
      </c>
      <c r="G15" s="53" t="s">
        <v>2401</v>
      </c>
      <c r="H15" s="53" t="s">
        <v>2426</v>
      </c>
      <c r="I15" s="53" t="s">
        <v>195</v>
      </c>
      <c r="J15" s="53" t="s">
        <v>2410</v>
      </c>
    </row>
    <row r="16" spans="2:10" x14ac:dyDescent="0.25">
      <c r="B16" s="7">
        <v>12</v>
      </c>
      <c r="C16" s="48" t="str">
        <f>IF(Setting!J17="","",Setting!J17)</f>
        <v>Ghifari Mabrur Al Burhani</v>
      </c>
      <c r="D16" s="15">
        <f>IF(Setting!K17="","",Setting!K17)</f>
        <v>2008128</v>
      </c>
      <c r="E16" s="53" t="s">
        <v>196</v>
      </c>
      <c r="F16" s="53" t="s">
        <v>195</v>
      </c>
      <c r="G16" s="53" t="s">
        <v>2401</v>
      </c>
      <c r="H16" s="53" t="s">
        <v>2426</v>
      </c>
      <c r="I16" s="53" t="s">
        <v>195</v>
      </c>
      <c r="J16" s="53" t="s">
        <v>2410</v>
      </c>
    </row>
    <row r="17" spans="2:10" x14ac:dyDescent="0.25">
      <c r="B17" s="7">
        <v>13</v>
      </c>
      <c r="C17" s="48" t="str">
        <f>IF(Setting!J18="","",Setting!J18)</f>
        <v>Hafid Mahreza Ilham</v>
      </c>
      <c r="D17" s="15">
        <f>IF(Setting!K18="","",Setting!K18)</f>
        <v>2008131</v>
      </c>
      <c r="E17" s="53" t="s">
        <v>196</v>
      </c>
      <c r="F17" s="53" t="s">
        <v>195</v>
      </c>
      <c r="G17" s="53" t="s">
        <v>2401</v>
      </c>
      <c r="H17" s="53" t="s">
        <v>2422</v>
      </c>
      <c r="I17" s="53" t="s">
        <v>197</v>
      </c>
      <c r="J17" s="53" t="s">
        <v>2406</v>
      </c>
    </row>
    <row r="18" spans="2:10" x14ac:dyDescent="0.25">
      <c r="B18" s="7">
        <v>14</v>
      </c>
      <c r="C18" s="48" t="str">
        <f>IF(Setting!J19="","",Setting!J19)</f>
        <v>Haidar Rafif Hibatulloh</v>
      </c>
      <c r="D18" s="15">
        <f>IF(Setting!K19="","",Setting!K19)</f>
        <v>2008132</v>
      </c>
      <c r="E18" s="53" t="s">
        <v>196</v>
      </c>
      <c r="F18" s="53" t="s">
        <v>195</v>
      </c>
      <c r="G18" s="53" t="s">
        <v>2401</v>
      </c>
      <c r="H18" s="53" t="s">
        <v>2423</v>
      </c>
      <c r="I18" s="53" t="s">
        <v>195</v>
      </c>
      <c r="J18" s="53" t="s">
        <v>2407</v>
      </c>
    </row>
    <row r="19" spans="2:10" x14ac:dyDescent="0.25">
      <c r="B19" s="7">
        <v>15</v>
      </c>
      <c r="C19" s="48" t="str">
        <f>IF(Setting!J20="","",Setting!J20)</f>
        <v>Kelvin Oktabrian Ramadhan</v>
      </c>
      <c r="D19" s="15">
        <f>IF(Setting!K20="","",Setting!K20)</f>
        <v>2008169</v>
      </c>
      <c r="E19" s="53" t="s">
        <v>196</v>
      </c>
      <c r="F19" s="53" t="s">
        <v>195</v>
      </c>
      <c r="G19" s="53" t="s">
        <v>2401</v>
      </c>
      <c r="H19" s="53" t="s">
        <v>2425</v>
      </c>
      <c r="I19" s="53" t="s">
        <v>195</v>
      </c>
      <c r="J19" s="53" t="s">
        <v>2409</v>
      </c>
    </row>
    <row r="20" spans="2:10" x14ac:dyDescent="0.25">
      <c r="B20" s="7">
        <v>16</v>
      </c>
      <c r="C20" s="48" t="str">
        <f>IF(Setting!J21="","",Setting!J21)</f>
        <v>Mohamad Khoiril Afwa</v>
      </c>
      <c r="D20" s="15">
        <f>IF(Setting!K21="","",Setting!K21)</f>
        <v>2008197</v>
      </c>
      <c r="E20" s="53" t="s">
        <v>196</v>
      </c>
      <c r="F20" s="53" t="s">
        <v>195</v>
      </c>
      <c r="G20" s="53" t="s">
        <v>2401</v>
      </c>
      <c r="H20" s="53" t="s">
        <v>2420</v>
      </c>
      <c r="I20" s="53" t="s">
        <v>197</v>
      </c>
      <c r="J20" s="53" t="s">
        <v>2403</v>
      </c>
    </row>
    <row r="21" spans="2:10" x14ac:dyDescent="0.25">
      <c r="B21" s="7">
        <v>17</v>
      </c>
      <c r="C21" s="48" t="str">
        <f>IF(Setting!J22="","",Setting!J22)</f>
        <v>Muhammad Hanif Pearlyaradja</v>
      </c>
      <c r="D21" s="15">
        <f>IF(Setting!K22="","",Setting!K22)</f>
        <v>2008214</v>
      </c>
      <c r="E21" s="53" t="s">
        <v>196</v>
      </c>
      <c r="F21" s="53" t="s">
        <v>195</v>
      </c>
      <c r="G21" s="53" t="s">
        <v>2401</v>
      </c>
      <c r="H21" s="53" t="s">
        <v>2427</v>
      </c>
      <c r="I21" s="53" t="s">
        <v>195</v>
      </c>
      <c r="J21" s="53" t="s">
        <v>2411</v>
      </c>
    </row>
    <row r="22" spans="2:10" x14ac:dyDescent="0.25">
      <c r="B22" s="7">
        <v>18</v>
      </c>
      <c r="C22" s="48" t="str">
        <f>IF(Setting!J23="","",Setting!J23)</f>
        <v>Muhammad Maurel Han</v>
      </c>
      <c r="D22" s="15">
        <f>IF(Setting!K23="","",Setting!K23)</f>
        <v>2008218</v>
      </c>
      <c r="E22" s="53" t="s">
        <v>196</v>
      </c>
      <c r="F22" s="53" t="s">
        <v>195</v>
      </c>
      <c r="G22" s="53" t="s">
        <v>2401</v>
      </c>
      <c r="H22" s="53" t="s">
        <v>2427</v>
      </c>
      <c r="I22" s="53" t="s">
        <v>195</v>
      </c>
      <c r="J22" s="53" t="s">
        <v>2411</v>
      </c>
    </row>
    <row r="23" spans="2:10" x14ac:dyDescent="0.25">
      <c r="B23" s="7">
        <v>19</v>
      </c>
      <c r="C23" s="48" t="str">
        <f>IF(Setting!J24="","",Setting!J24)</f>
        <v>Muhammad Niam Masykuri</v>
      </c>
      <c r="D23" s="15">
        <f>IF(Setting!K24="","",Setting!K24)</f>
        <v>2008220</v>
      </c>
      <c r="E23" s="53" t="s">
        <v>196</v>
      </c>
      <c r="F23" s="53" t="s">
        <v>195</v>
      </c>
      <c r="G23" s="53" t="s">
        <v>2401</v>
      </c>
      <c r="H23" s="53"/>
      <c r="I23" s="53"/>
      <c r="J23" s="53"/>
    </row>
    <row r="24" spans="2:10" x14ac:dyDescent="0.25">
      <c r="B24" s="7">
        <v>20</v>
      </c>
      <c r="C24" s="48" t="str">
        <f>IF(Setting!J25="","",Setting!J25)</f>
        <v>Muhammad Nur Arzhian Kusuma</v>
      </c>
      <c r="D24" s="15">
        <f>IF(Setting!K25="","",Setting!K25)</f>
        <v>2008221</v>
      </c>
      <c r="E24" s="53" t="s">
        <v>196</v>
      </c>
      <c r="F24" s="53" t="s">
        <v>195</v>
      </c>
      <c r="G24" s="53" t="s">
        <v>2401</v>
      </c>
      <c r="H24" s="53" t="s">
        <v>2426</v>
      </c>
      <c r="I24" s="53" t="s">
        <v>195</v>
      </c>
      <c r="J24" s="53" t="s">
        <v>2410</v>
      </c>
    </row>
    <row r="25" spans="2:10" x14ac:dyDescent="0.25">
      <c r="B25" s="7">
        <v>21</v>
      </c>
      <c r="C25" s="48" t="str">
        <f>IF(Setting!J26="","",Setting!J26)</f>
        <v>Muhammad Rafif Rizqullah</v>
      </c>
      <c r="D25" s="15">
        <f>IF(Setting!K26="","",Setting!K26)</f>
        <v>2008222</v>
      </c>
      <c r="E25" s="53" t="s">
        <v>196</v>
      </c>
      <c r="F25" s="53" t="s">
        <v>195</v>
      </c>
      <c r="G25" s="53" t="s">
        <v>2401</v>
      </c>
      <c r="H25" s="53" t="s">
        <v>2425</v>
      </c>
      <c r="I25" s="53" t="s">
        <v>195</v>
      </c>
      <c r="J25" s="53" t="s">
        <v>2409</v>
      </c>
    </row>
    <row r="26" spans="2:10" x14ac:dyDescent="0.25">
      <c r="B26" s="7">
        <v>22</v>
      </c>
      <c r="C26" s="48" t="str">
        <f>IF(Setting!J27="","",Setting!J27)</f>
        <v>Muhammad Raihan Al Faridzi</v>
      </c>
      <c r="D26" s="15">
        <f>IF(Setting!K27="","",Setting!K27)</f>
        <v>2008223</v>
      </c>
      <c r="E26" s="53" t="s">
        <v>196</v>
      </c>
      <c r="F26" s="53" t="s">
        <v>195</v>
      </c>
      <c r="G26" s="53" t="s">
        <v>2401</v>
      </c>
      <c r="H26" s="53" t="s">
        <v>2428</v>
      </c>
      <c r="I26" s="53" t="s">
        <v>195</v>
      </c>
      <c r="J26" s="53" t="s">
        <v>2412</v>
      </c>
    </row>
    <row r="27" spans="2:10" x14ac:dyDescent="0.25">
      <c r="B27" s="7">
        <v>23</v>
      </c>
      <c r="C27" s="48" t="str">
        <f>IF(Setting!J28="","",Setting!J28)</f>
        <v>Muhammad Rakan Hafidh Al Ghalib</v>
      </c>
      <c r="D27" s="15">
        <f>IF(Setting!K28="","",Setting!K28)</f>
        <v>2008224</v>
      </c>
      <c r="E27" s="53" t="s">
        <v>196</v>
      </c>
      <c r="F27" s="53" t="s">
        <v>195</v>
      </c>
      <c r="G27" s="53" t="s">
        <v>2401</v>
      </c>
      <c r="H27" s="53" t="s">
        <v>2429</v>
      </c>
      <c r="I27" s="53" t="s">
        <v>195</v>
      </c>
      <c r="J27" s="53" t="s">
        <v>2413</v>
      </c>
    </row>
    <row r="28" spans="2:10" x14ac:dyDescent="0.25">
      <c r="B28" s="7">
        <v>24</v>
      </c>
      <c r="C28" s="48" t="str">
        <f>IF(Setting!J29="","",Setting!J29)</f>
        <v>Muhammad Syamu Naufal</v>
      </c>
      <c r="D28" s="15">
        <f>IF(Setting!K29="","",Setting!K29)</f>
        <v>2008230</v>
      </c>
      <c r="E28" s="53" t="s">
        <v>196</v>
      </c>
      <c r="F28" s="53" t="s">
        <v>195</v>
      </c>
      <c r="G28" s="53" t="s">
        <v>2401</v>
      </c>
      <c r="H28" s="53" t="s">
        <v>2425</v>
      </c>
      <c r="I28" s="53" t="s">
        <v>197</v>
      </c>
      <c r="J28" s="53" t="s">
        <v>2414</v>
      </c>
    </row>
    <row r="29" spans="2:10" x14ac:dyDescent="0.25">
      <c r="B29" s="7">
        <v>25</v>
      </c>
      <c r="C29" s="48" t="str">
        <f>IF(Setting!J30="","",Setting!J30)</f>
        <v>Naufal Muhammad Iqbal</v>
      </c>
      <c r="D29" s="15">
        <f>IF(Setting!K30="","",Setting!K30)</f>
        <v>2008251</v>
      </c>
      <c r="E29" s="53" t="s">
        <v>196</v>
      </c>
      <c r="F29" s="53" t="s">
        <v>197</v>
      </c>
      <c r="G29" s="53" t="s">
        <v>2401</v>
      </c>
      <c r="H29" s="53" t="s">
        <v>2421</v>
      </c>
      <c r="I29" s="53" t="s">
        <v>197</v>
      </c>
      <c r="J29" s="53" t="s">
        <v>2405</v>
      </c>
    </row>
    <row r="30" spans="2:10" x14ac:dyDescent="0.25">
      <c r="B30" s="7">
        <v>26</v>
      </c>
      <c r="C30" s="48" t="str">
        <f>IF(Setting!J31="","",Setting!J31)</f>
        <v>Nauval Nur Mustafa</v>
      </c>
      <c r="D30" s="15">
        <f>IF(Setting!K31="","",Setting!K31)</f>
        <v>2008253</v>
      </c>
      <c r="E30" s="53" t="s">
        <v>196</v>
      </c>
      <c r="F30" s="53" t="s">
        <v>195</v>
      </c>
      <c r="G30" s="53" t="s">
        <v>2401</v>
      </c>
      <c r="H30" s="53" t="s">
        <v>2420</v>
      </c>
      <c r="I30" s="53" t="s">
        <v>197</v>
      </c>
      <c r="J30" s="53" t="s">
        <v>2403</v>
      </c>
    </row>
    <row r="31" spans="2:10" x14ac:dyDescent="0.25">
      <c r="B31" s="7">
        <v>27</v>
      </c>
      <c r="C31" s="48" t="str">
        <f>IF(Setting!J32="","",Setting!J32)</f>
        <v>Oriegano Kanahaya Siagian</v>
      </c>
      <c r="D31" s="15">
        <f>IF(Setting!K32="","",Setting!K32)</f>
        <v>2008272</v>
      </c>
      <c r="E31" s="53" t="s">
        <v>196</v>
      </c>
      <c r="F31" s="53" t="s">
        <v>195</v>
      </c>
      <c r="G31" s="53" t="s">
        <v>2401</v>
      </c>
      <c r="H31" s="53" t="s">
        <v>2426</v>
      </c>
      <c r="I31" s="53" t="s">
        <v>195</v>
      </c>
      <c r="J31" s="53" t="s">
        <v>2410</v>
      </c>
    </row>
    <row r="32" spans="2:10" x14ac:dyDescent="0.25">
      <c r="B32" s="7">
        <v>28</v>
      </c>
      <c r="C32" s="48" t="str">
        <f>IF(Setting!J33="","",Setting!J33)</f>
        <v>Rafif Mahatma Indrastata</v>
      </c>
      <c r="D32" s="15">
        <f>IF(Setting!K33="","",Setting!K33)</f>
        <v>2008282</v>
      </c>
      <c r="E32" s="53" t="s">
        <v>196</v>
      </c>
      <c r="F32" s="53" t="s">
        <v>195</v>
      </c>
      <c r="G32" s="53" t="s">
        <v>2401</v>
      </c>
      <c r="H32" s="53" t="s">
        <v>2430</v>
      </c>
      <c r="I32" s="53" t="s">
        <v>195</v>
      </c>
      <c r="J32" s="53" t="s">
        <v>2415</v>
      </c>
    </row>
    <row r="33" spans="2:10" x14ac:dyDescent="0.25">
      <c r="B33" s="7">
        <v>29</v>
      </c>
      <c r="C33" s="48" t="str">
        <f>IF(Setting!J34="","",Setting!J34)</f>
        <v>Rayhan Yoga Edy Pratama</v>
      </c>
      <c r="D33" s="15">
        <f>IF(Setting!K34="","",Setting!K34)</f>
        <v>2008296</v>
      </c>
      <c r="E33" s="53" t="s">
        <v>196</v>
      </c>
      <c r="F33" s="53" t="s">
        <v>197</v>
      </c>
      <c r="G33" s="53" t="s">
        <v>2401</v>
      </c>
      <c r="H33" s="53" t="s">
        <v>2421</v>
      </c>
      <c r="I33" s="53" t="s">
        <v>195</v>
      </c>
      <c r="J33" s="53" t="s">
        <v>2416</v>
      </c>
    </row>
    <row r="34" spans="2:10" x14ac:dyDescent="0.25">
      <c r="B34" s="7">
        <v>30</v>
      </c>
      <c r="C34" s="48" t="str">
        <f>IF(Setting!J35="","",Setting!J35)</f>
        <v>Rusianto Munif</v>
      </c>
      <c r="D34" s="15">
        <f>IF(Setting!K35="","",Setting!K35)</f>
        <v>2008307</v>
      </c>
      <c r="E34" s="53" t="s">
        <v>196</v>
      </c>
      <c r="F34" s="53" t="s">
        <v>195</v>
      </c>
      <c r="G34" s="53" t="s">
        <v>2401</v>
      </c>
      <c r="H34" s="53" t="s">
        <v>2431</v>
      </c>
      <c r="I34" s="53" t="s">
        <v>197</v>
      </c>
      <c r="J34" s="53" t="s">
        <v>2417</v>
      </c>
    </row>
    <row r="35" spans="2:10" x14ac:dyDescent="0.25">
      <c r="B35" s="7">
        <v>31</v>
      </c>
      <c r="C35" s="48" t="str">
        <f>IF(Setting!J36="","",Setting!J36)</f>
        <v>Zaidan Mu'afy Althaf</v>
      </c>
      <c r="D35" s="15">
        <f>IF(Setting!K36="","",Setting!K36)</f>
        <v>2008347</v>
      </c>
      <c r="E35" s="53" t="s">
        <v>196</v>
      </c>
      <c r="F35" s="53" t="s">
        <v>195</v>
      </c>
      <c r="G35" s="53" t="s">
        <v>2401</v>
      </c>
      <c r="H35" s="53" t="s">
        <v>2426</v>
      </c>
      <c r="I35" s="53" t="s">
        <v>195</v>
      </c>
      <c r="J35" s="53" t="s">
        <v>2410</v>
      </c>
    </row>
    <row r="36" spans="2:10" x14ac:dyDescent="0.25">
      <c r="B36" s="7">
        <v>32</v>
      </c>
      <c r="C36" s="48">
        <f>IF(Setting!J37="","",Setting!J37)</f>
        <v>0</v>
      </c>
      <c r="D36" s="15">
        <f>IF(Setting!K37="","",Setting!K37)</f>
        <v>0</v>
      </c>
      <c r="E36" s="58"/>
      <c r="F36" s="53"/>
      <c r="G36" s="53"/>
      <c r="H36" s="53" t="s">
        <v>2426</v>
      </c>
      <c r="I36" s="53" t="s">
        <v>197</v>
      </c>
      <c r="J36" s="53" t="s">
        <v>2418</v>
      </c>
    </row>
    <row r="37" spans="2:10" x14ac:dyDescent="0.25">
      <c r="B37" s="7">
        <v>33</v>
      </c>
      <c r="C37" s="48">
        <f>IF(Setting!J38="","",Setting!J38)</f>
        <v>0</v>
      </c>
      <c r="D37" s="15">
        <f>IF(Setting!K38="","",Setting!K38)</f>
        <v>0</v>
      </c>
      <c r="E37" s="58"/>
      <c r="F37" s="53"/>
      <c r="G37" s="58"/>
      <c r="H37" s="53"/>
      <c r="I37" s="58"/>
      <c r="J37" s="58"/>
    </row>
    <row r="38" spans="2:10" x14ac:dyDescent="0.25">
      <c r="B38" s="7">
        <v>34</v>
      </c>
      <c r="C38" s="48">
        <f>IF(Setting!J39="","",Setting!J39)</f>
        <v>0</v>
      </c>
      <c r="D38" s="15">
        <f>IF(Setting!K39="","",Setting!K39)</f>
        <v>0</v>
      </c>
      <c r="E38" s="58"/>
      <c r="F38" s="53"/>
      <c r="G38" s="58"/>
      <c r="H38" s="53"/>
      <c r="I38" s="58"/>
      <c r="J38" s="58"/>
    </row>
    <row r="39" spans="2:10" x14ac:dyDescent="0.25">
      <c r="B39" s="7">
        <v>35</v>
      </c>
      <c r="C39" s="48">
        <f>IF(Setting!J40="","",Setting!J40)</f>
        <v>0</v>
      </c>
      <c r="D39" s="15">
        <f>IF(Setting!K40="","",Setting!K40)</f>
        <v>0</v>
      </c>
      <c r="E39" s="58"/>
      <c r="F39" s="53"/>
      <c r="G39" s="58"/>
      <c r="H39" s="53"/>
      <c r="I39" s="58"/>
      <c r="J39" s="58"/>
    </row>
    <row r="40" spans="2:10" x14ac:dyDescent="0.25">
      <c r="B40" s="7">
        <v>36</v>
      </c>
      <c r="C40" s="48" t="str">
        <f>IF(Setting!J41="","",Setting!J41)</f>
        <v/>
      </c>
      <c r="D40" s="15" t="str">
        <f>IF(Setting!K41="","",Setting!K41)</f>
        <v/>
      </c>
      <c r="E40" s="58"/>
      <c r="F40" s="53"/>
      <c r="G40" s="58"/>
      <c r="H40" s="53"/>
      <c r="I40" s="58"/>
      <c r="J40" s="58"/>
    </row>
    <row r="41" spans="2:10" x14ac:dyDescent="0.25">
      <c r="B41" s="7">
        <v>37</v>
      </c>
      <c r="C41" s="48" t="str">
        <f>IF(Setting!J42="","",Setting!J42)</f>
        <v/>
      </c>
      <c r="D41" s="15" t="str">
        <f>IF(Setting!K42="","",Setting!K42)</f>
        <v/>
      </c>
      <c r="E41" s="58"/>
      <c r="F41" s="53"/>
      <c r="G41" s="58"/>
      <c r="H41" s="53"/>
      <c r="I41" s="58"/>
      <c r="J41" s="58"/>
    </row>
    <row r="42" spans="2:10" x14ac:dyDescent="0.25">
      <c r="B42" s="7">
        <v>38</v>
      </c>
      <c r="C42" s="48" t="str">
        <f>IF(Setting!J43="","",Setting!J43)</f>
        <v/>
      </c>
      <c r="D42" s="15" t="str">
        <f>IF(Setting!K43="","",Setting!K43)</f>
        <v/>
      </c>
      <c r="E42" s="58"/>
      <c r="F42" s="53"/>
      <c r="G42" s="58"/>
      <c r="H42" s="53"/>
      <c r="I42" s="58"/>
      <c r="J42" s="58"/>
    </row>
    <row r="43" spans="2:10" x14ac:dyDescent="0.25">
      <c r="B43" s="7">
        <v>39</v>
      </c>
      <c r="C43" s="48" t="str">
        <f>IF(Setting!J44="","",Setting!J44)</f>
        <v/>
      </c>
      <c r="D43" s="15" t="str">
        <f>IF(Setting!K44="","",Setting!K44)</f>
        <v/>
      </c>
      <c r="E43" s="58"/>
      <c r="F43" s="53"/>
      <c r="G43" s="58"/>
      <c r="H43" s="53"/>
      <c r="I43" s="58"/>
      <c r="J43" s="58"/>
    </row>
    <row r="44" spans="2:10" x14ac:dyDescent="0.25">
      <c r="B44" s="7">
        <v>40</v>
      </c>
      <c r="C44" s="48" t="str">
        <f>IF(Setting!J45="","",Setting!J45)</f>
        <v/>
      </c>
      <c r="D44" s="15" t="str">
        <f>IF(Setting!K45="","",Setting!K45)</f>
        <v/>
      </c>
      <c r="E44" s="58"/>
      <c r="F44" s="53"/>
      <c r="G44" s="58"/>
      <c r="H44" s="53"/>
      <c r="I44" s="58"/>
      <c r="J44" s="58"/>
    </row>
  </sheetData>
  <sheetProtection selectLockedCells="1"/>
  <mergeCells count="4">
    <mergeCell ref="B3:B4"/>
    <mergeCell ref="C3:C4"/>
    <mergeCell ref="D3:D4"/>
    <mergeCell ref="E3:J3"/>
  </mergeCells>
  <pageMargins left="0.7" right="0.7" top="0.75" bottom="0.75" header="0.3" footer="0.3"/>
  <pageSetup paperSize="30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4"/>
  <sheetViews>
    <sheetView topLeftCell="B1" workbookViewId="0">
      <pane xSplit="3" ySplit="4" topLeftCell="E5" activePane="bottomRight" state="frozenSplit"/>
      <selection activeCell="B1" sqref="B1"/>
      <selection pane="topRight" activeCell="E1" sqref="E1"/>
      <selection pane="bottomLeft" activeCell="B5" sqref="B5"/>
      <selection pane="bottomRight" activeCell="F13" sqref="F13"/>
    </sheetView>
  </sheetViews>
  <sheetFormatPr defaultColWidth="9.140625" defaultRowHeight="15" x14ac:dyDescent="0.25"/>
  <cols>
    <col min="1" max="1" width="0" style="8" hidden="1" customWidth="1"/>
    <col min="2" max="2" width="14.85546875" style="8" customWidth="1"/>
    <col min="3" max="3" width="25.85546875" style="8" customWidth="1"/>
    <col min="4" max="4" width="10.42578125" style="1" customWidth="1"/>
    <col min="5" max="7" width="17.28515625" style="8" customWidth="1"/>
    <col min="8" max="16384" width="9.140625" style="8"/>
  </cols>
  <sheetData>
    <row r="1" spans="2:7" s="50" customFormat="1" ht="21" x14ac:dyDescent="0.35">
      <c r="C1" s="49" t="str">
        <f>"Input Data Kehadiran Siswa Kelas "&amp;Setting!E11&amp;" Tahun "&amp;Setting!E14&amp;" Semester "&amp;Setting!E15&amp;""</f>
        <v>Input Data Kehadiran Siswa Kelas XII MIPA 4 Tahun 2022/2023 Semester V</v>
      </c>
      <c r="D1" s="51"/>
    </row>
    <row r="3" spans="2:7" s="3" customFormat="1" x14ac:dyDescent="0.25">
      <c r="B3" s="327" t="s">
        <v>43</v>
      </c>
      <c r="C3" s="327" t="s">
        <v>42</v>
      </c>
      <c r="D3" s="327" t="s">
        <v>45</v>
      </c>
      <c r="E3" s="328" t="s">
        <v>25</v>
      </c>
      <c r="F3" s="328"/>
      <c r="G3" s="328"/>
    </row>
    <row r="4" spans="2:7" s="3" customFormat="1" x14ac:dyDescent="0.25">
      <c r="B4" s="327"/>
      <c r="C4" s="327"/>
      <c r="D4" s="327"/>
      <c r="E4" s="47" t="s">
        <v>26</v>
      </c>
      <c r="F4" s="47" t="s">
        <v>28</v>
      </c>
      <c r="G4" s="47" t="s">
        <v>29</v>
      </c>
    </row>
    <row r="5" spans="2:7" x14ac:dyDescent="0.25">
      <c r="B5" s="7">
        <v>1</v>
      </c>
      <c r="C5" s="48" t="str">
        <f>IF(Setting!J6="","",Setting!J6)</f>
        <v>Abdul Fattah Irfan Al Mubaroq</v>
      </c>
      <c r="D5" s="15">
        <f>IF(Setting!K6="","",Setting!K6)</f>
        <v>2008004</v>
      </c>
      <c r="E5" s="53">
        <v>2</v>
      </c>
      <c r="F5" s="53">
        <v>5</v>
      </c>
      <c r="G5" s="53">
        <v>0</v>
      </c>
    </row>
    <row r="6" spans="2:7" x14ac:dyDescent="0.25">
      <c r="B6" s="7">
        <v>2</v>
      </c>
      <c r="C6" s="48" t="str">
        <f>IF(Setting!J7="","",Setting!J7)</f>
        <v>Adam Zidane Danata Pranugroho</v>
      </c>
      <c r="D6" s="15">
        <f>IF(Setting!K7="","",Setting!K7)</f>
        <v>2008009</v>
      </c>
      <c r="E6" s="53">
        <v>1</v>
      </c>
      <c r="F6" s="53">
        <v>5</v>
      </c>
      <c r="G6" s="53">
        <v>0</v>
      </c>
    </row>
    <row r="7" spans="2:7" x14ac:dyDescent="0.25">
      <c r="B7" s="7">
        <v>3</v>
      </c>
      <c r="C7" s="48" t="str">
        <f>IF(Setting!J8="","",Setting!J8)</f>
        <v>Ahmad Fikry</v>
      </c>
      <c r="D7" s="15">
        <f>IF(Setting!K8="","",Setting!K8)</f>
        <v>2008021</v>
      </c>
      <c r="E7" s="53">
        <v>5</v>
      </c>
      <c r="F7" s="53">
        <v>2</v>
      </c>
      <c r="G7" s="53">
        <v>0</v>
      </c>
    </row>
    <row r="8" spans="2:7" x14ac:dyDescent="0.25">
      <c r="B8" s="7">
        <v>4</v>
      </c>
      <c r="C8" s="48" t="str">
        <f>IF(Setting!J9="","",Setting!J9)</f>
        <v>Almas Sabih Wahindra</v>
      </c>
      <c r="D8" s="15">
        <f>IF(Setting!K9="","",Setting!K9)</f>
        <v>2008034</v>
      </c>
      <c r="E8" s="53">
        <v>0</v>
      </c>
      <c r="F8" s="53">
        <v>1</v>
      </c>
      <c r="G8" s="53">
        <v>0</v>
      </c>
    </row>
    <row r="9" spans="2:7" x14ac:dyDescent="0.25">
      <c r="B9" s="7">
        <v>5</v>
      </c>
      <c r="C9" s="48" t="str">
        <f>IF(Setting!J10="","",Setting!J10)</f>
        <v>Aria Fenha Apri Buma</v>
      </c>
      <c r="D9" s="15">
        <f>IF(Setting!K10="","",Setting!K10)</f>
        <v>2008054</v>
      </c>
      <c r="E9" s="53">
        <v>1</v>
      </c>
      <c r="F9" s="53">
        <v>3</v>
      </c>
      <c r="G9" s="53">
        <v>0</v>
      </c>
    </row>
    <row r="10" spans="2:7" x14ac:dyDescent="0.25">
      <c r="B10" s="7">
        <v>6</v>
      </c>
      <c r="C10" s="48" t="str">
        <f>IF(Setting!J11="","",Setting!J11)</f>
        <v>Baharuddin Barkah Pratama</v>
      </c>
      <c r="D10" s="15">
        <f>IF(Setting!K11="","",Setting!K11)</f>
        <v>2008075</v>
      </c>
      <c r="E10" s="53">
        <v>5</v>
      </c>
      <c r="F10" s="53">
        <v>5</v>
      </c>
      <c r="G10" s="53">
        <v>0</v>
      </c>
    </row>
    <row r="11" spans="2:7" x14ac:dyDescent="0.25">
      <c r="B11" s="7">
        <v>7</v>
      </c>
      <c r="C11" s="48" t="str">
        <f>IF(Setting!J12="","",Setting!J12)</f>
        <v>Daffa Arya Pudyastungkara</v>
      </c>
      <c r="D11" s="15">
        <f>IF(Setting!K12="","",Setting!K12)</f>
        <v>2008089</v>
      </c>
      <c r="E11" s="53">
        <v>0</v>
      </c>
      <c r="F11" s="53">
        <v>2</v>
      </c>
      <c r="G11" s="53">
        <v>0</v>
      </c>
    </row>
    <row r="12" spans="2:7" x14ac:dyDescent="0.25">
      <c r="B12" s="7">
        <v>8</v>
      </c>
      <c r="C12" s="48" t="str">
        <f>IF(Setting!J13="","",Setting!J13)</f>
        <v>Dody Muhammad Pasha</v>
      </c>
      <c r="D12" s="15">
        <f>IF(Setting!K13="","",Setting!K13)</f>
        <v>2008095</v>
      </c>
      <c r="E12" s="53">
        <v>0</v>
      </c>
      <c r="F12" s="53">
        <v>0</v>
      </c>
      <c r="G12" s="53">
        <v>0</v>
      </c>
    </row>
    <row r="13" spans="2:7" x14ac:dyDescent="0.25">
      <c r="B13" s="7">
        <v>9</v>
      </c>
      <c r="C13" s="48" t="str">
        <f>IF(Setting!J14="","",Setting!J14)</f>
        <v>Elga Perdana</v>
      </c>
      <c r="D13" s="15">
        <f>IF(Setting!K14="","",Setting!K14)</f>
        <v>2008099</v>
      </c>
      <c r="E13" s="53">
        <v>5</v>
      </c>
      <c r="F13" s="53">
        <v>5</v>
      </c>
      <c r="G13" s="53">
        <v>0</v>
      </c>
    </row>
    <row r="14" spans="2:7" x14ac:dyDescent="0.25">
      <c r="B14" s="7">
        <v>10</v>
      </c>
      <c r="C14" s="48" t="str">
        <f>IF(Setting!J15="","",Setting!J15)</f>
        <v>Fathoni Daniswara</v>
      </c>
      <c r="D14" s="15">
        <f>IF(Setting!K15="","",Setting!K15)</f>
        <v>2008118</v>
      </c>
      <c r="E14" s="53">
        <v>1</v>
      </c>
      <c r="F14" s="53">
        <v>4</v>
      </c>
      <c r="G14" s="53">
        <v>0</v>
      </c>
    </row>
    <row r="15" spans="2:7" x14ac:dyDescent="0.25">
      <c r="B15" s="7">
        <v>11</v>
      </c>
      <c r="C15" s="48" t="str">
        <f>IF(Setting!J16="","",Setting!J16)</f>
        <v>Gading Setyo Manunggal</v>
      </c>
      <c r="D15" s="15">
        <f>IF(Setting!K16="","",Setting!K16)</f>
        <v>2008127</v>
      </c>
      <c r="E15" s="53">
        <v>3</v>
      </c>
      <c r="F15" s="53">
        <v>0</v>
      </c>
      <c r="G15" s="53">
        <v>0</v>
      </c>
    </row>
    <row r="16" spans="2:7" x14ac:dyDescent="0.25">
      <c r="B16" s="7">
        <v>12</v>
      </c>
      <c r="C16" s="48" t="str">
        <f>IF(Setting!J17="","",Setting!J17)</f>
        <v>Ghifari Mabrur Al Burhani</v>
      </c>
      <c r="D16" s="15">
        <f>IF(Setting!K17="","",Setting!K17)</f>
        <v>2008128</v>
      </c>
      <c r="E16" s="53">
        <v>0</v>
      </c>
      <c r="F16" s="53">
        <v>3</v>
      </c>
      <c r="G16" s="53">
        <v>0</v>
      </c>
    </row>
    <row r="17" spans="2:7" x14ac:dyDescent="0.25">
      <c r="B17" s="7">
        <v>13</v>
      </c>
      <c r="C17" s="48" t="str">
        <f>IF(Setting!J18="","",Setting!J18)</f>
        <v>Hafid Mahreza Ilham</v>
      </c>
      <c r="D17" s="15">
        <f>IF(Setting!K18="","",Setting!K18)</f>
        <v>2008131</v>
      </c>
      <c r="E17" s="53">
        <v>1</v>
      </c>
      <c r="F17" s="53">
        <v>5</v>
      </c>
      <c r="G17" s="53">
        <v>0</v>
      </c>
    </row>
    <row r="18" spans="2:7" x14ac:dyDescent="0.25">
      <c r="B18" s="7">
        <v>14</v>
      </c>
      <c r="C18" s="48" t="str">
        <f>IF(Setting!J19="","",Setting!J19)</f>
        <v>Haidar Rafif Hibatulloh</v>
      </c>
      <c r="D18" s="15">
        <f>IF(Setting!K19="","",Setting!K19)</f>
        <v>2008132</v>
      </c>
      <c r="E18" s="53">
        <v>0</v>
      </c>
      <c r="F18" s="53">
        <v>4</v>
      </c>
      <c r="G18" s="53">
        <v>0</v>
      </c>
    </row>
    <row r="19" spans="2:7" x14ac:dyDescent="0.25">
      <c r="B19" s="7">
        <v>15</v>
      </c>
      <c r="C19" s="48" t="str">
        <f>IF(Setting!J20="","",Setting!J20)</f>
        <v>Kelvin Oktabrian Ramadhan</v>
      </c>
      <c r="D19" s="15">
        <f>IF(Setting!K20="","",Setting!K20)</f>
        <v>2008169</v>
      </c>
      <c r="E19" s="53">
        <v>0</v>
      </c>
      <c r="F19" s="53">
        <v>5</v>
      </c>
      <c r="G19" s="53">
        <v>0</v>
      </c>
    </row>
    <row r="20" spans="2:7" x14ac:dyDescent="0.25">
      <c r="B20" s="7">
        <v>16</v>
      </c>
      <c r="C20" s="48" t="str">
        <f>IF(Setting!J21="","",Setting!J21)</f>
        <v>Mohamad Khoiril Afwa</v>
      </c>
      <c r="D20" s="15">
        <f>IF(Setting!K21="","",Setting!K21)</f>
        <v>2008197</v>
      </c>
      <c r="E20" s="53">
        <v>5</v>
      </c>
      <c r="F20" s="53">
        <v>5</v>
      </c>
      <c r="G20" s="53">
        <v>0</v>
      </c>
    </row>
    <row r="21" spans="2:7" x14ac:dyDescent="0.25">
      <c r="B21" s="7">
        <v>17</v>
      </c>
      <c r="C21" s="48" t="str">
        <f>IF(Setting!J22="","",Setting!J22)</f>
        <v>Muhammad Hanif Pearlyaradja</v>
      </c>
      <c r="D21" s="15">
        <f>IF(Setting!K22="","",Setting!K22)</f>
        <v>2008214</v>
      </c>
      <c r="E21" s="53">
        <v>2</v>
      </c>
      <c r="F21" s="53">
        <v>4</v>
      </c>
      <c r="G21" s="53">
        <v>0</v>
      </c>
    </row>
    <row r="22" spans="2:7" x14ac:dyDescent="0.25">
      <c r="B22" s="7">
        <v>18</v>
      </c>
      <c r="C22" s="48" t="str">
        <f>IF(Setting!J23="","",Setting!J23)</f>
        <v>Muhammad Maurel Han</v>
      </c>
      <c r="D22" s="15">
        <f>IF(Setting!K23="","",Setting!K23)</f>
        <v>2008218</v>
      </c>
      <c r="E22" s="53">
        <v>2</v>
      </c>
      <c r="F22" s="53">
        <v>5</v>
      </c>
      <c r="G22" s="53">
        <v>0</v>
      </c>
    </row>
    <row r="23" spans="2:7" x14ac:dyDescent="0.25">
      <c r="B23" s="7">
        <v>19</v>
      </c>
      <c r="C23" s="48" t="str">
        <f>IF(Setting!J24="","",Setting!J24)</f>
        <v>Muhammad Niam Masykuri</v>
      </c>
      <c r="D23" s="15">
        <f>IF(Setting!K24="","",Setting!K24)</f>
        <v>2008220</v>
      </c>
      <c r="E23" s="53">
        <v>4</v>
      </c>
      <c r="F23" s="53">
        <v>2</v>
      </c>
      <c r="G23" s="53">
        <v>0</v>
      </c>
    </row>
    <row r="24" spans="2:7" x14ac:dyDescent="0.25">
      <c r="B24" s="7">
        <v>20</v>
      </c>
      <c r="C24" s="48" t="str">
        <f>IF(Setting!J25="","",Setting!J25)</f>
        <v>Muhammad Nur Arzhian Kusuma</v>
      </c>
      <c r="D24" s="15">
        <f>IF(Setting!K25="","",Setting!K25)</f>
        <v>2008221</v>
      </c>
      <c r="E24" s="53">
        <v>0</v>
      </c>
      <c r="F24" s="53">
        <v>0</v>
      </c>
      <c r="G24" s="53">
        <v>0</v>
      </c>
    </row>
    <row r="25" spans="2:7" x14ac:dyDescent="0.25">
      <c r="B25" s="7">
        <v>21</v>
      </c>
      <c r="C25" s="48" t="str">
        <f>IF(Setting!J26="","",Setting!J26)</f>
        <v>Muhammad Rafif Rizqullah</v>
      </c>
      <c r="D25" s="15">
        <f>IF(Setting!K26="","",Setting!K26)</f>
        <v>2008222</v>
      </c>
      <c r="E25" s="53">
        <v>1</v>
      </c>
      <c r="F25" s="53">
        <v>3</v>
      </c>
      <c r="G25" s="53">
        <v>0</v>
      </c>
    </row>
    <row r="26" spans="2:7" x14ac:dyDescent="0.25">
      <c r="B26" s="7">
        <v>22</v>
      </c>
      <c r="C26" s="48" t="str">
        <f>IF(Setting!J27="","",Setting!J27)</f>
        <v>Muhammad Raihan Al Faridzi</v>
      </c>
      <c r="D26" s="15">
        <f>IF(Setting!K27="","",Setting!K27)</f>
        <v>2008223</v>
      </c>
      <c r="E26" s="53">
        <v>0</v>
      </c>
      <c r="F26" s="53">
        <v>0</v>
      </c>
      <c r="G26" s="53">
        <v>0</v>
      </c>
    </row>
    <row r="27" spans="2:7" x14ac:dyDescent="0.25">
      <c r="B27" s="7">
        <v>23</v>
      </c>
      <c r="C27" s="48" t="str">
        <f>IF(Setting!J28="","",Setting!J28)</f>
        <v>Muhammad Rakan Hafidh Al Ghalib</v>
      </c>
      <c r="D27" s="15">
        <f>IF(Setting!K28="","",Setting!K28)</f>
        <v>2008224</v>
      </c>
      <c r="E27" s="53">
        <v>1</v>
      </c>
      <c r="F27" s="53">
        <v>1</v>
      </c>
      <c r="G27" s="53">
        <v>0</v>
      </c>
    </row>
    <row r="28" spans="2:7" x14ac:dyDescent="0.25">
      <c r="B28" s="7">
        <v>24</v>
      </c>
      <c r="C28" s="48" t="str">
        <f>IF(Setting!J29="","",Setting!J29)</f>
        <v>Muhammad Syamu Naufal</v>
      </c>
      <c r="D28" s="15">
        <f>IF(Setting!K29="","",Setting!K29)</f>
        <v>2008230</v>
      </c>
      <c r="E28" s="53">
        <v>2</v>
      </c>
      <c r="F28" s="53">
        <v>2</v>
      </c>
      <c r="G28" s="53">
        <v>0</v>
      </c>
    </row>
    <row r="29" spans="2:7" x14ac:dyDescent="0.25">
      <c r="B29" s="7">
        <v>25</v>
      </c>
      <c r="C29" s="48" t="str">
        <f>IF(Setting!J30="","",Setting!J30)</f>
        <v>Naufal Muhammad Iqbal</v>
      </c>
      <c r="D29" s="15">
        <f>IF(Setting!K30="","",Setting!K30)</f>
        <v>2008251</v>
      </c>
      <c r="E29" s="53">
        <v>0</v>
      </c>
      <c r="F29" s="53">
        <v>5</v>
      </c>
      <c r="G29" s="53">
        <v>0</v>
      </c>
    </row>
    <row r="30" spans="2:7" x14ac:dyDescent="0.25">
      <c r="B30" s="7">
        <v>26</v>
      </c>
      <c r="C30" s="48" t="str">
        <f>IF(Setting!J31="","",Setting!J31)</f>
        <v>Nauval Nur Mustafa</v>
      </c>
      <c r="D30" s="15">
        <f>IF(Setting!K31="","",Setting!K31)</f>
        <v>2008253</v>
      </c>
      <c r="E30" s="53">
        <v>5</v>
      </c>
      <c r="F30" s="53">
        <v>5</v>
      </c>
      <c r="G30" s="53">
        <v>0</v>
      </c>
    </row>
    <row r="31" spans="2:7" x14ac:dyDescent="0.25">
      <c r="B31" s="7">
        <v>27</v>
      </c>
      <c r="C31" s="48" t="str">
        <f>IF(Setting!J32="","",Setting!J32)</f>
        <v>Oriegano Kanahaya Siagian</v>
      </c>
      <c r="D31" s="15">
        <f>IF(Setting!K32="","",Setting!K32)</f>
        <v>2008272</v>
      </c>
      <c r="E31" s="53">
        <v>5</v>
      </c>
      <c r="F31" s="53">
        <v>4</v>
      </c>
      <c r="G31" s="53">
        <v>0</v>
      </c>
    </row>
    <row r="32" spans="2:7" x14ac:dyDescent="0.25">
      <c r="B32" s="7">
        <v>28</v>
      </c>
      <c r="C32" s="48" t="str">
        <f>IF(Setting!J33="","",Setting!J33)</f>
        <v>Rafif Mahatma Indrastata</v>
      </c>
      <c r="D32" s="15">
        <f>IF(Setting!K33="","",Setting!K33)</f>
        <v>2008282</v>
      </c>
      <c r="E32" s="53">
        <v>5</v>
      </c>
      <c r="F32" s="53">
        <v>5</v>
      </c>
      <c r="G32" s="53">
        <v>0</v>
      </c>
    </row>
    <row r="33" spans="2:7" x14ac:dyDescent="0.25">
      <c r="B33" s="7">
        <v>29</v>
      </c>
      <c r="C33" s="48" t="str">
        <f>IF(Setting!J34="","",Setting!J34)</f>
        <v>Rayhan Yoga Edy Pratama</v>
      </c>
      <c r="D33" s="15">
        <f>IF(Setting!K34="","",Setting!K34)</f>
        <v>2008296</v>
      </c>
      <c r="E33" s="53">
        <v>0</v>
      </c>
      <c r="F33" s="53">
        <v>1</v>
      </c>
      <c r="G33" s="53">
        <v>0</v>
      </c>
    </row>
    <row r="34" spans="2:7" x14ac:dyDescent="0.25">
      <c r="B34" s="7">
        <v>30</v>
      </c>
      <c r="C34" s="48" t="str">
        <f>IF(Setting!J35="","",Setting!J35)</f>
        <v>Rusianto Munif</v>
      </c>
      <c r="D34" s="15">
        <f>IF(Setting!K35="","",Setting!K35)</f>
        <v>2008307</v>
      </c>
      <c r="E34" s="53">
        <v>0</v>
      </c>
      <c r="F34" s="53">
        <v>0</v>
      </c>
      <c r="G34" s="53">
        <v>0</v>
      </c>
    </row>
    <row r="35" spans="2:7" x14ac:dyDescent="0.25">
      <c r="B35" s="7">
        <v>31</v>
      </c>
      <c r="C35" s="48" t="str">
        <f>IF(Setting!J36="","",Setting!J36)</f>
        <v>Zaidan Mu'afy Althaf</v>
      </c>
      <c r="D35" s="15">
        <f>IF(Setting!K36="","",Setting!K36)</f>
        <v>2008347</v>
      </c>
      <c r="E35" s="58">
        <v>0</v>
      </c>
      <c r="F35" s="58">
        <v>1</v>
      </c>
      <c r="G35" s="53">
        <v>0</v>
      </c>
    </row>
    <row r="36" spans="2:7" x14ac:dyDescent="0.25">
      <c r="B36" s="7">
        <v>32</v>
      </c>
      <c r="C36" s="48">
        <f>IF(Setting!J37="","",Setting!J37)</f>
        <v>0</v>
      </c>
      <c r="D36" s="15">
        <f>IF(Setting!K37="","",Setting!K37)</f>
        <v>0</v>
      </c>
      <c r="E36" s="58"/>
      <c r="F36" s="58"/>
      <c r="G36" s="58"/>
    </row>
    <row r="37" spans="2:7" x14ac:dyDescent="0.25">
      <c r="B37" s="7">
        <v>33</v>
      </c>
      <c r="C37" s="48">
        <f>IF(Setting!J38="","",Setting!J38)</f>
        <v>0</v>
      </c>
      <c r="D37" s="15">
        <f>IF(Setting!K38="","",Setting!K38)</f>
        <v>0</v>
      </c>
      <c r="E37" s="58"/>
      <c r="F37" s="58"/>
      <c r="G37" s="58"/>
    </row>
    <row r="38" spans="2:7" x14ac:dyDescent="0.25">
      <c r="B38" s="7">
        <v>34</v>
      </c>
      <c r="C38" s="48">
        <f>IF(Setting!J39="","",Setting!J39)</f>
        <v>0</v>
      </c>
      <c r="D38" s="15">
        <f>IF(Setting!K39="","",Setting!K39)</f>
        <v>0</v>
      </c>
      <c r="E38" s="58"/>
      <c r="F38" s="58"/>
      <c r="G38" s="58"/>
    </row>
    <row r="39" spans="2:7" x14ac:dyDescent="0.25">
      <c r="B39" s="7">
        <v>35</v>
      </c>
      <c r="C39" s="48">
        <f>IF(Setting!J40="","",Setting!J40)</f>
        <v>0</v>
      </c>
      <c r="D39" s="15">
        <f>IF(Setting!K40="","",Setting!K40)</f>
        <v>0</v>
      </c>
      <c r="E39" s="58"/>
      <c r="F39" s="58"/>
      <c r="G39" s="58"/>
    </row>
    <row r="40" spans="2:7" x14ac:dyDescent="0.25">
      <c r="B40" s="7">
        <v>36</v>
      </c>
      <c r="C40" s="48" t="str">
        <f>IF(Setting!J41="","",Setting!J41)</f>
        <v/>
      </c>
      <c r="D40" s="15" t="str">
        <f>IF(Setting!K41="","",Setting!K41)</f>
        <v/>
      </c>
      <c r="E40" s="58"/>
      <c r="F40" s="58"/>
      <c r="G40" s="58"/>
    </row>
    <row r="41" spans="2:7" x14ac:dyDescent="0.25">
      <c r="B41" s="7">
        <v>37</v>
      </c>
      <c r="C41" s="48" t="str">
        <f>IF(Setting!J42="","",Setting!J42)</f>
        <v/>
      </c>
      <c r="D41" s="15" t="str">
        <f>IF(Setting!K42="","",Setting!K42)</f>
        <v/>
      </c>
      <c r="E41" s="58"/>
      <c r="F41" s="58"/>
      <c r="G41" s="58"/>
    </row>
    <row r="42" spans="2:7" x14ac:dyDescent="0.25">
      <c r="B42" s="7">
        <v>38</v>
      </c>
      <c r="C42" s="48" t="str">
        <f>IF(Setting!J43="","",Setting!J43)</f>
        <v/>
      </c>
      <c r="D42" s="15" t="str">
        <f>IF(Setting!K43="","",Setting!K43)</f>
        <v/>
      </c>
      <c r="E42" s="58"/>
      <c r="F42" s="58"/>
      <c r="G42" s="58"/>
    </row>
    <row r="43" spans="2:7" x14ac:dyDescent="0.25">
      <c r="B43" s="7">
        <v>39</v>
      </c>
      <c r="C43" s="48" t="str">
        <f>IF(Setting!J44="","",Setting!J44)</f>
        <v/>
      </c>
      <c r="D43" s="15" t="str">
        <f>IF(Setting!K44="","",Setting!K44)</f>
        <v/>
      </c>
      <c r="E43" s="58"/>
      <c r="F43" s="58"/>
      <c r="G43" s="58"/>
    </row>
    <row r="44" spans="2:7" x14ac:dyDescent="0.25">
      <c r="B44" s="7">
        <v>40</v>
      </c>
      <c r="C44" s="48" t="str">
        <f>IF(Setting!J45="","",Setting!J45)</f>
        <v/>
      </c>
      <c r="D44" s="15" t="str">
        <f>IF(Setting!K45="","",Setting!K45)</f>
        <v/>
      </c>
      <c r="E44" s="58"/>
      <c r="F44" s="58"/>
      <c r="G44" s="58"/>
    </row>
  </sheetData>
  <sheetProtection algorithmName="SHA-512" hashValue="1a8Gq66tu5GthCt6UUZnYYrE3kdCfBUL24ALdUPoeGr6SPojKKppsyOt6RXYbaASf8Bh3Q5j1M8OrrMIbnWPuA==" saltValue="mUc6EJr9kYuOaOKY4niaCQ==" spinCount="100000" sheet="1" objects="1" scenarios="1" selectLockedCells="1"/>
  <mergeCells count="4">
    <mergeCell ref="B3:B4"/>
    <mergeCell ref="C3:C4"/>
    <mergeCell ref="D3:D4"/>
    <mergeCell ref="E3:G3"/>
  </mergeCells>
  <pageMargins left="0.7" right="0.7" top="0.75" bottom="0.75" header="0.3" footer="0.3"/>
  <pageSetup paperSize="30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70" zoomScaleNormal="70" workbookViewId="0">
      <pane xSplit="3" ySplit="5" topLeftCell="D24" activePane="bottomRight" state="frozenSplit"/>
      <selection pane="topRight" activeCell="D1" sqref="D1"/>
      <selection pane="bottomLeft" activeCell="A6" sqref="A6"/>
      <selection pane="bottomRight" activeCell="D31" sqref="D31:E32"/>
    </sheetView>
  </sheetViews>
  <sheetFormatPr defaultRowHeight="15" x14ac:dyDescent="0.25"/>
  <cols>
    <col min="1" max="1" width="16.140625" customWidth="1"/>
    <col min="2" max="2" width="28" customWidth="1"/>
    <col min="3" max="3" width="11.85546875" style="9" customWidth="1"/>
    <col min="4" max="11" width="33" customWidth="1"/>
  </cols>
  <sheetData>
    <row r="1" spans="1:11" ht="30" customHeight="1" x14ac:dyDescent="0.4">
      <c r="B1" s="26" t="str">
        <f>"Input Data Prestasi Siswa Kelas "&amp;Setting!E11&amp;" Tahun "&amp;Setting!E14&amp;" Semester "&amp;Setting!E15&amp;""</f>
        <v>Input Data Prestasi Siswa Kelas XII MIPA 4 Tahun 2022/2023 Semester V</v>
      </c>
    </row>
    <row r="3" spans="1:11" x14ac:dyDescent="0.25">
      <c r="A3" s="326" t="s">
        <v>43</v>
      </c>
      <c r="B3" s="326" t="s">
        <v>42</v>
      </c>
      <c r="C3" s="326" t="s">
        <v>45</v>
      </c>
      <c r="D3" s="328" t="s">
        <v>63</v>
      </c>
      <c r="E3" s="328"/>
      <c r="F3" s="328"/>
      <c r="G3" s="328"/>
      <c r="H3" s="328" t="s">
        <v>76</v>
      </c>
      <c r="I3" s="328"/>
      <c r="J3" s="328"/>
      <c r="K3" s="328"/>
    </row>
    <row r="4" spans="1:11" x14ac:dyDescent="0.25">
      <c r="A4" s="326"/>
      <c r="B4" s="326"/>
      <c r="C4" s="326"/>
      <c r="D4" s="327" t="s">
        <v>72</v>
      </c>
      <c r="E4" s="327" t="s">
        <v>73</v>
      </c>
      <c r="F4" s="327" t="s">
        <v>74</v>
      </c>
      <c r="G4" s="327" t="s">
        <v>75</v>
      </c>
      <c r="H4" s="327">
        <v>1</v>
      </c>
      <c r="I4" s="327">
        <v>2</v>
      </c>
      <c r="J4" s="327">
        <v>3</v>
      </c>
      <c r="K4" s="327">
        <v>4</v>
      </c>
    </row>
    <row r="5" spans="1:11" x14ac:dyDescent="0.25">
      <c r="A5" s="326"/>
      <c r="B5" s="326"/>
      <c r="C5" s="326"/>
      <c r="D5" s="327"/>
      <c r="E5" s="327"/>
      <c r="F5" s="327"/>
      <c r="G5" s="327"/>
      <c r="H5" s="327"/>
      <c r="I5" s="327"/>
      <c r="J5" s="327"/>
      <c r="K5" s="327"/>
    </row>
    <row r="6" spans="1:11" ht="29.25" customHeight="1" x14ac:dyDescent="0.25">
      <c r="A6" s="7">
        <v>1</v>
      </c>
      <c r="B6" s="48" t="str">
        <f>IF(Setting!J6="","",Setting!J6)</f>
        <v>Abdul Fattah Irfan Al Mubaroq</v>
      </c>
      <c r="C6" s="15">
        <f>IF(Setting!K6="","",Setting!K6)</f>
        <v>2008004</v>
      </c>
      <c r="D6" s="56"/>
      <c r="E6" s="56"/>
      <c r="F6" s="56"/>
      <c r="G6" s="56"/>
      <c r="H6" s="56"/>
      <c r="I6" s="56"/>
      <c r="J6" s="56"/>
      <c r="K6" s="56"/>
    </row>
    <row r="7" spans="1:11" ht="29.25" customHeight="1" x14ac:dyDescent="0.25">
      <c r="A7" s="7">
        <v>2</v>
      </c>
      <c r="B7" s="48" t="str">
        <f>IF(Setting!J7="","",Setting!J7)</f>
        <v>Adam Zidane Danata Pranugroho</v>
      </c>
      <c r="C7" s="15">
        <f>IF(Setting!K7="","",Setting!K7)</f>
        <v>2008009</v>
      </c>
      <c r="D7" s="56"/>
      <c r="E7" s="56"/>
      <c r="F7" s="56"/>
      <c r="G7" s="56"/>
      <c r="H7" s="56"/>
      <c r="I7" s="56"/>
      <c r="J7" s="56"/>
      <c r="K7" s="56"/>
    </row>
    <row r="8" spans="1:11" ht="29.25" customHeight="1" x14ac:dyDescent="0.25">
      <c r="A8" s="7">
        <v>3</v>
      </c>
      <c r="B8" s="48" t="str">
        <f>IF(Setting!J8="","",Setting!J8)</f>
        <v>Ahmad Fikry</v>
      </c>
      <c r="C8" s="15">
        <f>IF(Setting!K8="","",Setting!K8)</f>
        <v>2008021</v>
      </c>
      <c r="D8" s="56"/>
      <c r="E8" s="56"/>
      <c r="F8" s="56"/>
      <c r="G8" s="56"/>
      <c r="H8" s="56"/>
      <c r="I8" s="56"/>
      <c r="J8" s="56"/>
      <c r="K8" s="56"/>
    </row>
    <row r="9" spans="1:11" ht="29.25" customHeight="1" x14ac:dyDescent="0.25">
      <c r="A9" s="7">
        <v>4</v>
      </c>
      <c r="B9" s="48" t="str">
        <f>IF(Setting!J9="","",Setting!J9)</f>
        <v>Almas Sabih Wahindra</v>
      </c>
      <c r="C9" s="15">
        <f>IF(Setting!K9="","",Setting!K9)</f>
        <v>2008034</v>
      </c>
      <c r="D9" s="56"/>
      <c r="E9" s="56"/>
      <c r="F9" s="56"/>
      <c r="G9" s="56"/>
      <c r="H9" s="56"/>
      <c r="I9" s="56"/>
      <c r="J9" s="56"/>
      <c r="K9" s="56"/>
    </row>
    <row r="10" spans="1:11" ht="29.25" customHeight="1" x14ac:dyDescent="0.25">
      <c r="A10" s="7">
        <v>5</v>
      </c>
      <c r="B10" s="48" t="str">
        <f>IF(Setting!J10="","",Setting!J10)</f>
        <v>Aria Fenha Apri Buma</v>
      </c>
      <c r="C10" s="15">
        <f>IF(Setting!K10="","",Setting!K10)</f>
        <v>2008054</v>
      </c>
      <c r="D10" s="56"/>
      <c r="E10" s="56"/>
      <c r="F10" s="56"/>
      <c r="G10" s="56"/>
      <c r="H10" s="56"/>
      <c r="I10" s="56"/>
      <c r="J10" s="56"/>
      <c r="K10" s="56"/>
    </row>
    <row r="11" spans="1:11" ht="29.25" customHeight="1" x14ac:dyDescent="0.25">
      <c r="A11" s="7">
        <v>6</v>
      </c>
      <c r="B11" s="48" t="str">
        <f>IF(Setting!J11="","",Setting!J11)</f>
        <v>Baharuddin Barkah Pratama</v>
      </c>
      <c r="C11" s="15">
        <f>IF(Setting!K11="","",Setting!K11)</f>
        <v>2008075</v>
      </c>
      <c r="D11" s="56"/>
      <c r="E11" s="56"/>
      <c r="F11" s="56"/>
      <c r="G11" s="56"/>
      <c r="H11" s="56"/>
      <c r="I11" s="56"/>
      <c r="J11" s="56"/>
      <c r="K11" s="56"/>
    </row>
    <row r="12" spans="1:11" ht="29.25" customHeight="1" x14ac:dyDescent="0.25">
      <c r="A12" s="7">
        <v>7</v>
      </c>
      <c r="B12" s="48" t="str">
        <f>IF(Setting!J12="","",Setting!J12)</f>
        <v>Daffa Arya Pudyastungkara</v>
      </c>
      <c r="C12" s="15">
        <f>IF(Setting!K12="","",Setting!K12)</f>
        <v>2008089</v>
      </c>
      <c r="D12" s="56"/>
      <c r="E12" s="56"/>
      <c r="F12" s="56"/>
      <c r="G12" s="56"/>
      <c r="H12" s="56"/>
      <c r="I12" s="56"/>
      <c r="J12" s="56"/>
      <c r="K12" s="56"/>
    </row>
    <row r="13" spans="1:11" ht="29.25" customHeight="1" x14ac:dyDescent="0.25">
      <c r="A13" s="7">
        <v>8</v>
      </c>
      <c r="B13" s="48" t="str">
        <f>IF(Setting!J13="","",Setting!J13)</f>
        <v>Dody Muhammad Pasha</v>
      </c>
      <c r="C13" s="15">
        <f>IF(Setting!K13="","",Setting!K13)</f>
        <v>2008095</v>
      </c>
      <c r="D13" s="56"/>
      <c r="E13" s="56"/>
      <c r="F13" s="56"/>
      <c r="G13" s="56"/>
      <c r="H13" s="56"/>
      <c r="I13" s="56"/>
      <c r="J13" s="56"/>
      <c r="K13" s="56"/>
    </row>
    <row r="14" spans="1:11" ht="29.25" customHeight="1" x14ac:dyDescent="0.25">
      <c r="A14" s="7">
        <v>9</v>
      </c>
      <c r="B14" s="48" t="str">
        <f>IF(Setting!J14="","",Setting!J14)</f>
        <v>Elga Perdana</v>
      </c>
      <c r="C14" s="15">
        <f>IF(Setting!K14="","",Setting!K14)</f>
        <v>2008099</v>
      </c>
      <c r="D14" s="56"/>
      <c r="E14" s="56"/>
      <c r="F14" s="56"/>
      <c r="G14" s="56"/>
      <c r="H14" s="56"/>
      <c r="I14" s="56"/>
      <c r="J14" s="56"/>
      <c r="K14" s="56"/>
    </row>
    <row r="15" spans="1:11" ht="29.25" customHeight="1" x14ac:dyDescent="0.25">
      <c r="A15" s="7">
        <v>10</v>
      </c>
      <c r="B15" s="48" t="str">
        <f>IF(Setting!J15="","",Setting!J15)</f>
        <v>Fathoni Daniswara</v>
      </c>
      <c r="C15" s="15">
        <f>IF(Setting!K15="","",Setting!K15)</f>
        <v>2008118</v>
      </c>
      <c r="D15" s="56"/>
      <c r="E15" s="56"/>
      <c r="F15" s="56"/>
      <c r="G15" s="56"/>
      <c r="H15" s="56"/>
      <c r="I15" s="56"/>
      <c r="J15" s="56"/>
      <c r="K15" s="56"/>
    </row>
    <row r="16" spans="1:11" ht="29.25" customHeight="1" x14ac:dyDescent="0.25">
      <c r="A16" s="7">
        <v>11</v>
      </c>
      <c r="B16" s="48" t="str">
        <f>IF(Setting!J16="","",Setting!J16)</f>
        <v>Gading Setyo Manunggal</v>
      </c>
      <c r="C16" s="15">
        <f>IF(Setting!K16="","",Setting!K16)</f>
        <v>2008127</v>
      </c>
      <c r="D16" s="56"/>
      <c r="E16" s="56"/>
      <c r="F16" s="56"/>
      <c r="G16" s="56"/>
      <c r="H16" s="56"/>
      <c r="I16" s="56"/>
      <c r="J16" s="56"/>
      <c r="K16" s="56"/>
    </row>
    <row r="17" spans="1:11" ht="29.25" customHeight="1" x14ac:dyDescent="0.25">
      <c r="A17" s="7">
        <v>12</v>
      </c>
      <c r="B17" s="48" t="str">
        <f>IF(Setting!J17="","",Setting!J17)</f>
        <v>Ghifari Mabrur Al Burhani</v>
      </c>
      <c r="C17" s="15">
        <f>IF(Setting!K17="","",Setting!K17)</f>
        <v>2008128</v>
      </c>
      <c r="D17" s="56"/>
      <c r="E17" s="56"/>
      <c r="F17" s="56"/>
      <c r="G17" s="56"/>
      <c r="H17" s="56"/>
      <c r="I17" s="56"/>
      <c r="J17" s="56"/>
      <c r="K17" s="56"/>
    </row>
    <row r="18" spans="1:11" ht="29.25" customHeight="1" x14ac:dyDescent="0.25">
      <c r="A18" s="7">
        <v>13</v>
      </c>
      <c r="B18" s="48" t="str">
        <f>IF(Setting!J18="","",Setting!J18)</f>
        <v>Hafid Mahreza Ilham</v>
      </c>
      <c r="C18" s="15">
        <f>IF(Setting!K18="","",Setting!K18)</f>
        <v>2008131</v>
      </c>
      <c r="D18" s="56"/>
      <c r="E18" s="56"/>
      <c r="F18" s="56"/>
      <c r="G18" s="56"/>
      <c r="H18" s="56"/>
      <c r="I18" s="56"/>
      <c r="J18" s="56"/>
      <c r="K18" s="56"/>
    </row>
    <row r="19" spans="1:11" ht="29.25" customHeight="1" x14ac:dyDescent="0.25">
      <c r="A19" s="7">
        <v>14</v>
      </c>
      <c r="B19" s="48" t="str">
        <f>IF(Setting!J19="","",Setting!J19)</f>
        <v>Haidar Rafif Hibatulloh</v>
      </c>
      <c r="C19" s="15">
        <f>IF(Setting!K19="","",Setting!K19)</f>
        <v>2008132</v>
      </c>
      <c r="D19" s="56"/>
      <c r="E19" s="56"/>
      <c r="F19" s="56"/>
      <c r="G19" s="56"/>
      <c r="H19" s="56"/>
      <c r="I19" s="56"/>
      <c r="J19" s="56"/>
      <c r="K19" s="56"/>
    </row>
    <row r="20" spans="1:11" ht="29.25" customHeight="1" x14ac:dyDescent="0.25">
      <c r="A20" s="7">
        <v>15</v>
      </c>
      <c r="B20" s="48" t="str">
        <f>IF(Setting!J20="","",Setting!J20)</f>
        <v>Kelvin Oktabrian Ramadhan</v>
      </c>
      <c r="C20" s="15">
        <f>IF(Setting!K20="","",Setting!K20)</f>
        <v>2008169</v>
      </c>
      <c r="D20" s="56"/>
      <c r="E20" s="56"/>
      <c r="F20" s="56"/>
      <c r="G20" s="56"/>
      <c r="H20" s="56"/>
      <c r="I20" s="56"/>
      <c r="J20" s="56"/>
      <c r="K20" s="56"/>
    </row>
    <row r="21" spans="1:11" ht="29.25" customHeight="1" x14ac:dyDescent="0.25">
      <c r="A21" s="7">
        <v>16</v>
      </c>
      <c r="B21" s="48" t="str">
        <f>IF(Setting!J21="","",Setting!J21)</f>
        <v>Mohamad Khoiril Afwa</v>
      </c>
      <c r="C21" s="15">
        <f>IF(Setting!K21="","",Setting!K21)</f>
        <v>2008197</v>
      </c>
      <c r="D21" s="56"/>
      <c r="E21" s="56"/>
      <c r="F21" s="56"/>
      <c r="G21" s="56"/>
      <c r="H21" s="56"/>
      <c r="I21" s="56"/>
      <c r="J21" s="56"/>
      <c r="K21" s="56"/>
    </row>
    <row r="22" spans="1:11" ht="29.25" customHeight="1" x14ac:dyDescent="0.25">
      <c r="A22" s="7">
        <v>17</v>
      </c>
      <c r="B22" s="48" t="str">
        <f>IF(Setting!J22="","",Setting!J22)</f>
        <v>Muhammad Hanif Pearlyaradja</v>
      </c>
      <c r="C22" s="15">
        <f>IF(Setting!K22="","",Setting!K22)</f>
        <v>2008214</v>
      </c>
      <c r="D22" s="56"/>
      <c r="E22" s="56"/>
      <c r="F22" s="56"/>
      <c r="G22" s="56"/>
      <c r="H22" s="56"/>
      <c r="I22" s="56"/>
      <c r="J22" s="56"/>
      <c r="K22" s="56"/>
    </row>
    <row r="23" spans="1:11" ht="29.25" customHeight="1" x14ac:dyDescent="0.25">
      <c r="A23" s="7">
        <v>18</v>
      </c>
      <c r="B23" s="48" t="str">
        <f>IF(Setting!J23="","",Setting!J23)</f>
        <v>Muhammad Maurel Han</v>
      </c>
      <c r="C23" s="15">
        <f>IF(Setting!K23="","",Setting!K23)</f>
        <v>2008218</v>
      </c>
      <c r="D23" s="56"/>
      <c r="E23" s="56"/>
      <c r="F23" s="56"/>
      <c r="G23" s="56"/>
      <c r="H23" s="56"/>
      <c r="I23" s="56"/>
      <c r="J23" s="56"/>
      <c r="K23" s="56"/>
    </row>
    <row r="24" spans="1:11" ht="29.25" customHeight="1" x14ac:dyDescent="0.25">
      <c r="A24" s="7">
        <v>19</v>
      </c>
      <c r="B24" s="48" t="str">
        <f>IF(Setting!J24="","",Setting!J24)</f>
        <v>Muhammad Niam Masykuri</v>
      </c>
      <c r="C24" s="15">
        <f>IF(Setting!K24="","",Setting!K24)</f>
        <v>2008220</v>
      </c>
      <c r="D24" s="56"/>
      <c r="E24" s="56"/>
      <c r="F24" s="56"/>
      <c r="G24" s="56"/>
      <c r="H24" s="56"/>
      <c r="I24" s="56"/>
      <c r="J24" s="56"/>
      <c r="K24" s="56"/>
    </row>
    <row r="25" spans="1:11" ht="29.25" customHeight="1" x14ac:dyDescent="0.25">
      <c r="A25" s="7">
        <v>20</v>
      </c>
      <c r="B25" s="48" t="str">
        <f>IF(Setting!J25="","",Setting!J25)</f>
        <v>Muhammad Nur Arzhian Kusuma</v>
      </c>
      <c r="C25" s="15">
        <f>IF(Setting!K25="","",Setting!K25)</f>
        <v>2008221</v>
      </c>
      <c r="D25" s="56"/>
      <c r="E25" s="56"/>
      <c r="F25" s="56"/>
      <c r="G25" s="56"/>
      <c r="H25" s="56"/>
      <c r="I25" s="56"/>
      <c r="J25" s="56"/>
      <c r="K25" s="56"/>
    </row>
    <row r="26" spans="1:11" ht="29.25" customHeight="1" x14ac:dyDescent="0.25">
      <c r="A26" s="7">
        <v>21</v>
      </c>
      <c r="B26" s="48" t="str">
        <f>IF(Setting!J26="","",Setting!J26)</f>
        <v>Muhammad Rafif Rizqullah</v>
      </c>
      <c r="C26" s="15">
        <f>IF(Setting!K26="","",Setting!K26)</f>
        <v>2008222</v>
      </c>
      <c r="D26" s="56"/>
      <c r="E26" s="56"/>
      <c r="F26" s="56"/>
      <c r="G26" s="56"/>
      <c r="H26" s="56"/>
      <c r="I26" s="56"/>
      <c r="J26" s="56"/>
      <c r="K26" s="56"/>
    </row>
    <row r="27" spans="1:11" ht="29.25" customHeight="1" x14ac:dyDescent="0.25">
      <c r="A27" s="7">
        <v>22</v>
      </c>
      <c r="B27" s="48" t="str">
        <f>IF(Setting!J27="","",Setting!J27)</f>
        <v>Muhammad Raihan Al Faridzi</v>
      </c>
      <c r="C27" s="15">
        <f>IF(Setting!K27="","",Setting!K27)</f>
        <v>2008223</v>
      </c>
      <c r="D27" s="56"/>
      <c r="E27" s="56"/>
      <c r="F27" s="56"/>
      <c r="G27" s="56"/>
      <c r="H27" s="56"/>
      <c r="I27" s="56"/>
      <c r="J27" s="56"/>
      <c r="K27" s="56"/>
    </row>
    <row r="28" spans="1:11" ht="29.25" customHeight="1" x14ac:dyDescent="0.25">
      <c r="A28" s="7">
        <v>23</v>
      </c>
      <c r="B28" s="48" t="str">
        <f>IF(Setting!J28="","",Setting!J28)</f>
        <v>Muhammad Rakan Hafidh Al Ghalib</v>
      </c>
      <c r="C28" s="15">
        <f>IF(Setting!K28="","",Setting!K28)</f>
        <v>2008224</v>
      </c>
      <c r="D28" s="56"/>
      <c r="E28" s="56"/>
      <c r="F28" s="56"/>
      <c r="G28" s="56"/>
      <c r="H28" s="56"/>
      <c r="I28" s="56"/>
      <c r="J28" s="56"/>
      <c r="K28" s="56"/>
    </row>
    <row r="29" spans="1:11" ht="29.25" customHeight="1" x14ac:dyDescent="0.25">
      <c r="A29" s="7">
        <v>24</v>
      </c>
      <c r="B29" s="48" t="str">
        <f>IF(Setting!J29="","",Setting!J29)</f>
        <v>Muhammad Syamu Naufal</v>
      </c>
      <c r="C29" s="15">
        <f>IF(Setting!K29="","",Setting!K29)</f>
        <v>2008230</v>
      </c>
      <c r="D29" s="56"/>
      <c r="E29" s="56"/>
      <c r="F29" s="56"/>
      <c r="G29" s="56"/>
      <c r="H29" s="56"/>
      <c r="I29" s="56"/>
      <c r="J29" s="56"/>
      <c r="K29" s="56"/>
    </row>
    <row r="30" spans="1:11" ht="29.25" customHeight="1" x14ac:dyDescent="0.25">
      <c r="A30" s="7">
        <v>25</v>
      </c>
      <c r="B30" s="48" t="str">
        <f>IF(Setting!J30="","",Setting!J30)</f>
        <v>Naufal Muhammad Iqbal</v>
      </c>
      <c r="C30" s="15">
        <f>IF(Setting!K30="","",Setting!K30)</f>
        <v>2008251</v>
      </c>
      <c r="D30" s="56"/>
      <c r="E30" s="56"/>
      <c r="F30" s="56"/>
      <c r="G30" s="56"/>
      <c r="H30" s="56"/>
      <c r="I30" s="56"/>
      <c r="J30" s="56"/>
      <c r="K30" s="56"/>
    </row>
    <row r="31" spans="1:11" ht="29.25" customHeight="1" x14ac:dyDescent="0.25">
      <c r="A31" s="7">
        <v>26</v>
      </c>
      <c r="B31" s="48" t="str">
        <f>IF(Setting!J31="","",Setting!J31)</f>
        <v>Nauval Nur Mustafa</v>
      </c>
      <c r="C31" s="15">
        <f>IF(Setting!K31="","",Setting!K31)</f>
        <v>2008253</v>
      </c>
      <c r="D31" s="56"/>
      <c r="E31" s="56"/>
      <c r="F31" s="56"/>
      <c r="G31" s="56"/>
      <c r="H31" s="56"/>
      <c r="I31" s="56"/>
      <c r="J31" s="56"/>
      <c r="K31" s="56"/>
    </row>
    <row r="32" spans="1:11" ht="29.25" customHeight="1" x14ac:dyDescent="0.25">
      <c r="A32" s="7">
        <v>27</v>
      </c>
      <c r="B32" s="48" t="str">
        <f>IF(Setting!J32="","",Setting!J32)</f>
        <v>Oriegano Kanahaya Siagian</v>
      </c>
      <c r="C32" s="15">
        <f>IF(Setting!K32="","",Setting!K32)</f>
        <v>2008272</v>
      </c>
      <c r="D32" s="56"/>
      <c r="E32" s="56"/>
      <c r="F32" s="56"/>
      <c r="G32" s="56"/>
      <c r="H32" s="56"/>
      <c r="I32" s="56"/>
      <c r="J32" s="56"/>
      <c r="K32" s="56"/>
    </row>
    <row r="33" spans="1:11" ht="29.25" customHeight="1" x14ac:dyDescent="0.25">
      <c r="A33" s="7">
        <v>28</v>
      </c>
      <c r="B33" s="48" t="str">
        <f>IF(Setting!J33="","",Setting!J33)</f>
        <v>Rafif Mahatma Indrastata</v>
      </c>
      <c r="C33" s="15">
        <f>IF(Setting!K33="","",Setting!K33)</f>
        <v>2008282</v>
      </c>
      <c r="D33" s="56"/>
      <c r="E33" s="56"/>
      <c r="F33" s="56"/>
      <c r="G33" s="56"/>
      <c r="H33" s="56"/>
      <c r="I33" s="56"/>
      <c r="J33" s="56"/>
      <c r="K33" s="56"/>
    </row>
    <row r="34" spans="1:11" ht="29.25" customHeight="1" x14ac:dyDescent="0.25">
      <c r="A34" s="7">
        <v>29</v>
      </c>
      <c r="B34" s="48" t="str">
        <f>IF(Setting!J34="","",Setting!J34)</f>
        <v>Rayhan Yoga Edy Pratama</v>
      </c>
      <c r="C34" s="15">
        <f>IF(Setting!K34="","",Setting!K34)</f>
        <v>2008296</v>
      </c>
      <c r="D34" s="56"/>
      <c r="E34" s="56"/>
      <c r="F34" s="56"/>
      <c r="G34" s="56"/>
      <c r="H34" s="56"/>
      <c r="I34" s="56"/>
      <c r="J34" s="56"/>
      <c r="K34" s="56"/>
    </row>
    <row r="35" spans="1:11" ht="29.25" customHeight="1" x14ac:dyDescent="0.25">
      <c r="A35" s="7">
        <v>30</v>
      </c>
      <c r="B35" s="48" t="str">
        <f>IF(Setting!J35="","",Setting!J35)</f>
        <v>Rusianto Munif</v>
      </c>
      <c r="C35" s="15">
        <f>IF(Setting!K35="","",Setting!K35)</f>
        <v>2008307</v>
      </c>
      <c r="D35" s="56"/>
      <c r="E35" s="56"/>
      <c r="F35" s="56"/>
      <c r="G35" s="56"/>
      <c r="H35" s="56"/>
      <c r="I35" s="56"/>
      <c r="J35" s="56"/>
      <c r="K35" s="56"/>
    </row>
    <row r="36" spans="1:11" ht="29.25" customHeight="1" x14ac:dyDescent="0.25">
      <c r="A36" s="7">
        <v>31</v>
      </c>
      <c r="B36" s="48" t="str">
        <f>IF(Setting!J36="","",Setting!J36)</f>
        <v>Zaidan Mu'afy Althaf</v>
      </c>
      <c r="C36" s="15">
        <f>IF(Setting!K36="","",Setting!K36)</f>
        <v>2008347</v>
      </c>
      <c r="D36" s="57"/>
      <c r="E36" s="57"/>
      <c r="F36" s="57"/>
      <c r="G36" s="57"/>
      <c r="H36" s="57"/>
      <c r="I36" s="57"/>
      <c r="J36" s="57"/>
      <c r="K36" s="57"/>
    </row>
    <row r="37" spans="1:11" ht="29.25" customHeight="1" x14ac:dyDescent="0.25">
      <c r="A37" s="7">
        <v>32</v>
      </c>
      <c r="B37" s="48">
        <f>IF(Setting!J37="","",Setting!J37)</f>
        <v>0</v>
      </c>
      <c r="C37" s="15">
        <f>IF(Setting!K37="","",Setting!K37)</f>
        <v>0</v>
      </c>
      <c r="D37" s="57"/>
      <c r="E37" s="57"/>
      <c r="F37" s="57"/>
      <c r="G37" s="57"/>
      <c r="H37" s="57"/>
      <c r="I37" s="57"/>
      <c r="J37" s="57"/>
      <c r="K37" s="57"/>
    </row>
    <row r="38" spans="1:11" ht="29.25" customHeight="1" x14ac:dyDescent="0.25">
      <c r="A38" s="7">
        <v>33</v>
      </c>
      <c r="B38" s="48">
        <f>IF(Setting!J38="","",Setting!J38)</f>
        <v>0</v>
      </c>
      <c r="C38" s="15">
        <f>IF(Setting!K38="","",Setting!K38)</f>
        <v>0</v>
      </c>
      <c r="D38" s="57"/>
      <c r="E38" s="57"/>
      <c r="F38" s="57"/>
      <c r="G38" s="57"/>
      <c r="H38" s="57"/>
      <c r="I38" s="57"/>
      <c r="J38" s="57"/>
      <c r="K38" s="57"/>
    </row>
    <row r="39" spans="1:11" ht="29.25" customHeight="1" x14ac:dyDescent="0.25">
      <c r="A39" s="7">
        <v>34</v>
      </c>
      <c r="B39" s="48">
        <f>IF(Setting!J39="","",Setting!J39)</f>
        <v>0</v>
      </c>
      <c r="C39" s="15">
        <f>IF(Setting!K39="","",Setting!K39)</f>
        <v>0</v>
      </c>
      <c r="D39" s="57"/>
      <c r="E39" s="57"/>
      <c r="F39" s="57"/>
      <c r="G39" s="57"/>
      <c r="H39" s="57"/>
      <c r="I39" s="57"/>
      <c r="J39" s="57"/>
      <c r="K39" s="57"/>
    </row>
    <row r="40" spans="1:11" ht="29.25" customHeight="1" x14ac:dyDescent="0.25">
      <c r="A40" s="7">
        <v>35</v>
      </c>
      <c r="B40" s="48">
        <f>IF(Setting!J40="","",Setting!J40)</f>
        <v>0</v>
      </c>
      <c r="C40" s="15">
        <f>IF(Setting!K40="","",Setting!K40)</f>
        <v>0</v>
      </c>
      <c r="D40" s="57"/>
      <c r="E40" s="57"/>
      <c r="F40" s="57"/>
      <c r="G40" s="57"/>
      <c r="H40" s="57"/>
      <c r="I40" s="57"/>
      <c r="J40" s="57"/>
      <c r="K40" s="57"/>
    </row>
    <row r="41" spans="1:11" ht="29.25" customHeight="1" x14ac:dyDescent="0.25">
      <c r="A41" s="7">
        <v>36</v>
      </c>
      <c r="B41" s="48" t="str">
        <f>IF(Setting!J41="","",Setting!J41)</f>
        <v/>
      </c>
      <c r="C41" s="15" t="str">
        <f>IF(Setting!K41="","",Setting!K41)</f>
        <v/>
      </c>
      <c r="D41" s="57"/>
      <c r="E41" s="57"/>
      <c r="F41" s="57"/>
      <c r="G41" s="57"/>
      <c r="H41" s="57"/>
      <c r="I41" s="57"/>
      <c r="J41" s="57"/>
      <c r="K41" s="57"/>
    </row>
    <row r="42" spans="1:11" ht="29.25" customHeight="1" x14ac:dyDescent="0.25">
      <c r="A42" s="7">
        <v>37</v>
      </c>
      <c r="B42" s="48" t="str">
        <f>IF(Setting!J42="","",Setting!J42)</f>
        <v/>
      </c>
      <c r="C42" s="15" t="str">
        <f>IF(Setting!K42="","",Setting!K42)</f>
        <v/>
      </c>
      <c r="D42" s="57"/>
      <c r="E42" s="57"/>
      <c r="F42" s="57"/>
      <c r="G42" s="57"/>
      <c r="H42" s="57"/>
      <c r="I42" s="57"/>
      <c r="J42" s="57"/>
      <c r="K42" s="57"/>
    </row>
    <row r="43" spans="1:11" ht="29.25" customHeight="1" x14ac:dyDescent="0.25">
      <c r="A43" s="7">
        <v>38</v>
      </c>
      <c r="B43" s="48" t="str">
        <f>IF(Setting!J43="","",Setting!J43)</f>
        <v/>
      </c>
      <c r="C43" s="15" t="str">
        <f>IF(Setting!K43="","",Setting!K43)</f>
        <v/>
      </c>
      <c r="D43" s="57"/>
      <c r="E43" s="57"/>
      <c r="F43" s="57"/>
      <c r="G43" s="57"/>
      <c r="H43" s="57"/>
      <c r="I43" s="57"/>
      <c r="J43" s="57"/>
      <c r="K43" s="57"/>
    </row>
    <row r="44" spans="1:11" ht="29.25" customHeight="1" x14ac:dyDescent="0.25">
      <c r="A44" s="7">
        <v>39</v>
      </c>
      <c r="B44" s="48" t="str">
        <f>IF(Setting!J44="","",Setting!J44)</f>
        <v/>
      </c>
      <c r="C44" s="15" t="str">
        <f>IF(Setting!K44="","",Setting!K44)</f>
        <v/>
      </c>
      <c r="D44" s="57"/>
      <c r="E44" s="57"/>
      <c r="F44" s="57"/>
      <c r="G44" s="57"/>
      <c r="H44" s="57"/>
      <c r="I44" s="57"/>
      <c r="J44" s="57"/>
      <c r="K44" s="57"/>
    </row>
    <row r="45" spans="1:11" ht="29.25" customHeight="1" x14ac:dyDescent="0.25">
      <c r="A45" s="7">
        <v>40</v>
      </c>
      <c r="B45" s="48" t="str">
        <f>IF(Setting!J45="","",Setting!J45)</f>
        <v/>
      </c>
      <c r="C45" s="15" t="str">
        <f>IF(Setting!K45="","",Setting!K45)</f>
        <v/>
      </c>
      <c r="D45" s="57"/>
      <c r="E45" s="57"/>
      <c r="F45" s="57"/>
      <c r="G45" s="57"/>
      <c r="H45" s="57"/>
      <c r="I45" s="57"/>
      <c r="J45" s="57"/>
      <c r="K45" s="57"/>
    </row>
    <row r="46" spans="1:11" x14ac:dyDescent="0.25">
      <c r="B46" s="8"/>
      <c r="C46" s="8"/>
      <c r="D46" s="8"/>
      <c r="E46" s="8"/>
    </row>
  </sheetData>
  <sheetProtection algorithmName="SHA-512" hashValue="xniykW8ZuUR3C5H+7MKGYXaAHPZeOBEmbtvrpSqaLg2C7aI+z3BGei67zaVasiFPi1EDfvn+J1aji3Na+Jbp2Q==" saltValue="d8HqgmUKVtbkvftbxjaeRw==" spinCount="100000" sheet="1" objects="1" scenarios="1" selectLockedCells="1"/>
  <mergeCells count="13">
    <mergeCell ref="A3:A5"/>
    <mergeCell ref="B3:B5"/>
    <mergeCell ref="C3:C5"/>
    <mergeCell ref="D3:G3"/>
    <mergeCell ref="D4:D5"/>
    <mergeCell ref="E4:E5"/>
    <mergeCell ref="F4:F5"/>
    <mergeCell ref="G4:G5"/>
    <mergeCell ref="H3:K3"/>
    <mergeCell ref="H4:H5"/>
    <mergeCell ref="I4:I5"/>
    <mergeCell ref="J4:J5"/>
    <mergeCell ref="K4:K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47"/>
  <sheetViews>
    <sheetView view="pageBreakPreview" zoomScale="60" zoomScaleNormal="60" workbookViewId="0"/>
  </sheetViews>
  <sheetFormatPr defaultColWidth="9.140625" defaultRowHeight="15" x14ac:dyDescent="0.25"/>
  <cols>
    <col min="1" max="1" width="6.140625" style="1" customWidth="1"/>
    <col min="2" max="2" width="34.5703125" style="8" customWidth="1"/>
    <col min="3" max="3" width="13" style="9" customWidth="1"/>
    <col min="4" max="4" width="23.7109375" style="9" customWidth="1"/>
    <col min="5" max="5" width="28.42578125" style="8" customWidth="1"/>
    <col min="6" max="22" width="9.7109375" style="8" customWidth="1"/>
    <col min="23" max="16384" width="9.140625" style="8"/>
  </cols>
  <sheetData>
    <row r="1" spans="1:24" ht="13.5" customHeight="1" x14ac:dyDescent="0.25">
      <c r="A1" s="8"/>
    </row>
    <row r="2" spans="1:24" ht="26.25" x14ac:dyDescent="0.4">
      <c r="A2" s="8"/>
      <c r="C2" s="26" t="str">
        <f>"Legger Dinas "&amp;Setting!E5&amp;" Semester "&amp;Setting!E15&amp;" "&amp;Home!K19&amp;" Kelas "&amp;Setting!E11&amp;""</f>
        <v>Legger Dinas SMA ABBS Surakarta Semester V  Kelas XII MIPA 4</v>
      </c>
    </row>
    <row r="4" spans="1:24" s="3" customFormat="1" ht="33.75" customHeight="1" x14ac:dyDescent="0.25">
      <c r="A4" s="205" t="s">
        <v>30</v>
      </c>
      <c r="B4" s="207" t="s">
        <v>33</v>
      </c>
      <c r="C4" s="200" t="s">
        <v>34</v>
      </c>
      <c r="D4" s="200" t="s">
        <v>35</v>
      </c>
      <c r="E4" s="200" t="s">
        <v>36</v>
      </c>
      <c r="F4" s="200" t="s">
        <v>106</v>
      </c>
      <c r="G4" s="201" t="s">
        <v>95</v>
      </c>
      <c r="H4" s="201"/>
      <c r="I4" s="201"/>
      <c r="J4" s="201"/>
      <c r="K4" s="201"/>
      <c r="L4" s="201"/>
      <c r="M4" s="202" t="s">
        <v>14</v>
      </c>
      <c r="N4" s="202"/>
      <c r="O4" s="202"/>
      <c r="P4" s="202"/>
      <c r="Q4" s="203" t="s">
        <v>96</v>
      </c>
      <c r="R4" s="201"/>
      <c r="S4" s="201"/>
      <c r="T4" s="201"/>
      <c r="U4" s="204" t="s">
        <v>97</v>
      </c>
      <c r="V4" s="204"/>
      <c r="W4" s="200" t="s">
        <v>150</v>
      </c>
      <c r="X4" s="200" t="s">
        <v>151</v>
      </c>
    </row>
    <row r="5" spans="1:24" s="17" customFormat="1" ht="78.75" customHeight="1" x14ac:dyDescent="0.25">
      <c r="A5" s="206"/>
      <c r="B5" s="207"/>
      <c r="C5" s="200"/>
      <c r="D5" s="200"/>
      <c r="E5" s="200"/>
      <c r="F5" s="200"/>
      <c r="G5" s="69" t="s">
        <v>41</v>
      </c>
      <c r="H5" s="70" t="s">
        <v>117</v>
      </c>
      <c r="I5" s="71" t="s">
        <v>10</v>
      </c>
      <c r="J5" s="70" t="s">
        <v>11</v>
      </c>
      <c r="K5" s="70" t="s">
        <v>12</v>
      </c>
      <c r="L5" s="70" t="s">
        <v>13</v>
      </c>
      <c r="M5" s="72" t="s">
        <v>15</v>
      </c>
      <c r="N5" s="73" t="s">
        <v>119</v>
      </c>
      <c r="O5" s="73" t="s">
        <v>118</v>
      </c>
      <c r="P5" s="73" t="s">
        <v>18</v>
      </c>
      <c r="Q5" s="74" t="s">
        <v>11</v>
      </c>
      <c r="R5" s="74" t="s">
        <v>20</v>
      </c>
      <c r="S5" s="74" t="s">
        <v>40</v>
      </c>
      <c r="T5" s="74" t="s">
        <v>22</v>
      </c>
      <c r="U5" s="75" t="s">
        <v>13</v>
      </c>
      <c r="V5" s="75" t="s">
        <v>23</v>
      </c>
      <c r="W5" s="200"/>
      <c r="X5" s="200"/>
    </row>
    <row r="6" spans="1:24" s="13" customFormat="1" ht="24" customHeight="1" x14ac:dyDescent="0.25">
      <c r="A6" s="62">
        <v>1</v>
      </c>
      <c r="B6" s="62">
        <v>2</v>
      </c>
      <c r="C6" s="61">
        <v>3</v>
      </c>
      <c r="D6" s="62">
        <v>4</v>
      </c>
      <c r="E6" s="61">
        <v>5</v>
      </c>
      <c r="F6" s="61">
        <v>6</v>
      </c>
      <c r="G6" s="5">
        <v>7</v>
      </c>
      <c r="H6" s="5">
        <v>8</v>
      </c>
      <c r="I6" s="5">
        <v>9</v>
      </c>
      <c r="J6" s="5">
        <v>10</v>
      </c>
      <c r="K6" s="5">
        <v>11</v>
      </c>
      <c r="L6" s="5">
        <v>12</v>
      </c>
      <c r="M6" s="6">
        <v>13</v>
      </c>
      <c r="N6" s="6">
        <v>14</v>
      </c>
      <c r="O6" s="6">
        <v>15</v>
      </c>
      <c r="P6" s="6">
        <v>16</v>
      </c>
      <c r="Q6" s="5">
        <v>17</v>
      </c>
      <c r="R6" s="5">
        <v>18</v>
      </c>
      <c r="S6" s="5">
        <v>19</v>
      </c>
      <c r="T6" s="5">
        <v>20</v>
      </c>
      <c r="U6" s="22">
        <v>21</v>
      </c>
      <c r="V6" s="22">
        <v>22</v>
      </c>
      <c r="W6" s="170">
        <v>23</v>
      </c>
      <c r="X6" s="170">
        <v>24</v>
      </c>
    </row>
    <row r="7" spans="1:24" x14ac:dyDescent="0.25">
      <c r="A7" s="12">
        <v>1</v>
      </c>
      <c r="B7" s="23" t="str">
        <f>IF(Setting!J6="","",Setting!J6)</f>
        <v>Abdul Fattah Irfan Al Mubaroq</v>
      </c>
      <c r="C7" s="28">
        <f>IF(Setting!J6="","",Setting!K6)</f>
        <v>2008004</v>
      </c>
      <c r="D7" s="28" t="str">
        <f>IF(Setting!J6="","",Setting!L6)</f>
        <v>0047308275</v>
      </c>
      <c r="E7" s="15" t="str">
        <f>IF(Setting!J6="","",Setting!$E$11)</f>
        <v>XII MIPA 4</v>
      </c>
      <c r="F7" s="15" t="str">
        <f>IF(Setting!J6="","",Setting!$E$15)</f>
        <v>V</v>
      </c>
      <c r="G7" s="15">
        <f>IF(Legger!J9="","",Legger!J9)</f>
        <v>94</v>
      </c>
      <c r="H7" s="15">
        <f>IF(Legger!P9="","",Legger!P9)</f>
        <v>90</v>
      </c>
      <c r="I7" s="15">
        <f>IF(Legger!V9="","",Legger!V9)</f>
        <v>86</v>
      </c>
      <c r="J7" s="15">
        <f>IF(Legger!AB9="","",Legger!AB9)</f>
        <v>89</v>
      </c>
      <c r="K7" s="15">
        <f>IF(Legger!AH9="","",Legger!AH9)</f>
        <v>86</v>
      </c>
      <c r="L7" s="15">
        <f>IF(Legger!AN9="","",Legger!AN9)</f>
        <v>89</v>
      </c>
      <c r="M7" s="15">
        <f>IF(Legger!AT9="","",Legger!AT9)</f>
        <v>90</v>
      </c>
      <c r="N7" s="101">
        <f>IF(Legger!AZ9="","",Legger!AZ9)</f>
        <v>92</v>
      </c>
      <c r="O7" s="15">
        <f>IF(Legger!BF9="","",Legger!BF9)</f>
        <v>93</v>
      </c>
      <c r="P7" s="15">
        <f>IF(Legger!BL9="","",Legger!BL9)</f>
        <v>81</v>
      </c>
      <c r="Q7" s="15">
        <f>IF(Legger!BR9="","",Legger!BR9)</f>
        <v>84</v>
      </c>
      <c r="R7" s="15">
        <f>IF(Legger!BX9="","",Legger!BX9)</f>
        <v>83</v>
      </c>
      <c r="S7" s="15">
        <f>IF(Legger!CD9="","",Legger!CD9)</f>
        <v>90</v>
      </c>
      <c r="T7" s="15">
        <f>IF(Legger!CJ9="","",Legger!CJ9)</f>
        <v>92</v>
      </c>
      <c r="U7" s="15">
        <f>IF(Legger!CP9="","",Legger!CP9)</f>
        <v>92</v>
      </c>
      <c r="V7" s="15" t="str">
        <f>IF(Legger!CV9="","",Legger!CV9)</f>
        <v/>
      </c>
      <c r="W7" s="15">
        <f>IF(Setting!J6="","",SUM(G7:V7))</f>
        <v>1331</v>
      </c>
      <c r="X7" s="15">
        <f>IF(Setting!J6="","",RANK(W7,$W$7:$W$46))</f>
        <v>24</v>
      </c>
    </row>
    <row r="8" spans="1:24" x14ac:dyDescent="0.25">
      <c r="A8" s="12">
        <v>2</v>
      </c>
      <c r="B8" s="23" t="str">
        <f>IF(Setting!J7="","",Setting!J7)</f>
        <v>Adam Zidane Danata Pranugroho</v>
      </c>
      <c r="C8" s="28">
        <f>IF(Setting!J7="","",Setting!K7)</f>
        <v>2008009</v>
      </c>
      <c r="D8" s="28" t="str">
        <f>IF(Setting!J7="","",Setting!L7)</f>
        <v>0051700957</v>
      </c>
      <c r="E8" s="15" t="str">
        <f>IF(Setting!J7="","",Setting!$E$11)</f>
        <v>XII MIPA 4</v>
      </c>
      <c r="F8" s="15" t="str">
        <f>IF(Setting!J7="","",Setting!$E$15)</f>
        <v>V</v>
      </c>
      <c r="G8" s="15">
        <f>IF(Legger!J10="","",Legger!J10)</f>
        <v>94</v>
      </c>
      <c r="H8" s="15">
        <f>IF(Legger!P10="","",Legger!P10)</f>
        <v>89</v>
      </c>
      <c r="I8" s="15">
        <f>IF(Legger!V10="","",Legger!V10)</f>
        <v>92</v>
      </c>
      <c r="J8" s="15">
        <f>IF(Legger!AB10="","",Legger!AB10)</f>
        <v>93</v>
      </c>
      <c r="K8" s="15">
        <f>IF(Legger!AH10="","",Legger!AH10)</f>
        <v>94</v>
      </c>
      <c r="L8" s="15">
        <f>IF(Legger!AN10="","",Legger!AN10)</f>
        <v>92</v>
      </c>
      <c r="M8" s="15">
        <f>IF(Legger!AT10="","",Legger!AT10)</f>
        <v>90</v>
      </c>
      <c r="N8" s="101">
        <f>IF(Legger!AZ10="","",Legger!AZ10)</f>
        <v>92</v>
      </c>
      <c r="O8" s="15">
        <f>IF(Legger!BF10="","",Legger!BF10)</f>
        <v>95</v>
      </c>
      <c r="P8" s="15">
        <f>IF(Legger!BL10="","",Legger!BL10)</f>
        <v>88</v>
      </c>
      <c r="Q8" s="15">
        <f>IF(Legger!BR10="","",Legger!BR10)</f>
        <v>87</v>
      </c>
      <c r="R8" s="15">
        <f>IF(Legger!BX10="","",Legger!BX10)</f>
        <v>89</v>
      </c>
      <c r="S8" s="15">
        <f>IF(Legger!CD10="","",Legger!CD10)</f>
        <v>96</v>
      </c>
      <c r="T8" s="15">
        <f>IF(Legger!CJ10="","",Legger!CJ10)</f>
        <v>94</v>
      </c>
      <c r="U8" s="15">
        <f>IF(Legger!CP10="","",Legger!CP10)</f>
        <v>93</v>
      </c>
      <c r="V8" s="15" t="str">
        <f>IF(Legger!CV10="","",Legger!CV10)</f>
        <v/>
      </c>
      <c r="W8" s="15">
        <f>IF(Setting!J7="","",SUM(G8:V8))</f>
        <v>1378</v>
      </c>
      <c r="X8" s="15">
        <f>IF(Setting!J7="","",RANK(W8,$W$7:$W$46))</f>
        <v>2</v>
      </c>
    </row>
    <row r="9" spans="1:24" x14ac:dyDescent="0.25">
      <c r="A9" s="12">
        <v>3</v>
      </c>
      <c r="B9" s="23" t="str">
        <f>IF(Setting!J8="","",Setting!J8)</f>
        <v>Ahmad Fikry</v>
      </c>
      <c r="C9" s="28">
        <f>IF(Setting!J8="","",Setting!K8)</f>
        <v>2008021</v>
      </c>
      <c r="D9" s="28" t="str">
        <f>IF(Setting!J8="","",Setting!L8)</f>
        <v xml:space="preserve">0050998196 </v>
      </c>
      <c r="E9" s="15" t="str">
        <f>IF(Setting!J8="","",Setting!$E$11)</f>
        <v>XII MIPA 4</v>
      </c>
      <c r="F9" s="15" t="str">
        <f>IF(Setting!J8="","",Setting!$E$15)</f>
        <v>V</v>
      </c>
      <c r="G9" s="15">
        <f>IF(Legger!J11="","",Legger!J11)</f>
        <v>94</v>
      </c>
      <c r="H9" s="15">
        <f>IF(Legger!P11="","",Legger!P11)</f>
        <v>89</v>
      </c>
      <c r="I9" s="15">
        <f>IF(Legger!V11="","",Legger!V11)</f>
        <v>86</v>
      </c>
      <c r="J9" s="15">
        <f>IF(Legger!AB11="","",Legger!AB11)</f>
        <v>94</v>
      </c>
      <c r="K9" s="15">
        <f>IF(Legger!AH11="","",Legger!AH11)</f>
        <v>91</v>
      </c>
      <c r="L9" s="15">
        <f>IF(Legger!AN11="","",Legger!AN11)</f>
        <v>89</v>
      </c>
      <c r="M9" s="15">
        <f>IF(Legger!AT11="","",Legger!AT11)</f>
        <v>90</v>
      </c>
      <c r="N9" s="101">
        <f>IF(Legger!AZ11="","",Legger!AZ11)</f>
        <v>92</v>
      </c>
      <c r="O9" s="15">
        <f>IF(Legger!BF11="","",Legger!BF11)</f>
        <v>92</v>
      </c>
      <c r="P9" s="15">
        <f>IF(Legger!BL11="","",Legger!BL11)</f>
        <v>91</v>
      </c>
      <c r="Q9" s="15">
        <f>IF(Legger!BR11="","",Legger!BR11)</f>
        <v>85</v>
      </c>
      <c r="R9" s="15">
        <f>IF(Legger!BX11="","",Legger!BX11)</f>
        <v>84</v>
      </c>
      <c r="S9" s="15">
        <f>IF(Legger!CD11="","",Legger!CD11)</f>
        <v>95</v>
      </c>
      <c r="T9" s="15">
        <f>IF(Legger!CJ11="","",Legger!CJ11)</f>
        <v>91</v>
      </c>
      <c r="U9" s="15">
        <f>IF(Legger!CP11="","",Legger!CP11)</f>
        <v>90</v>
      </c>
      <c r="V9" s="15" t="str">
        <f>IF(Legger!CV11="","",Legger!CV11)</f>
        <v/>
      </c>
      <c r="W9" s="15">
        <f>IF(Setting!J8="","",SUM(G9:V9))</f>
        <v>1353</v>
      </c>
      <c r="X9" s="15">
        <f>IF(Setting!J8="","",RANK(W9,$W$7:$W$46))</f>
        <v>7</v>
      </c>
    </row>
    <row r="10" spans="1:24" x14ac:dyDescent="0.25">
      <c r="A10" s="12">
        <v>4</v>
      </c>
      <c r="B10" s="23" t="str">
        <f>IF(Setting!J9="","",Setting!J9)</f>
        <v>Almas Sabih Wahindra</v>
      </c>
      <c r="C10" s="28">
        <f>IF(Setting!J9="","",Setting!K9)</f>
        <v>2008034</v>
      </c>
      <c r="D10" s="28" t="str">
        <f>IF(Setting!J9="","",Setting!L9)</f>
        <v>0059000208</v>
      </c>
      <c r="E10" s="15" t="str">
        <f>IF(Setting!J9="","",Setting!$E$11)</f>
        <v>XII MIPA 4</v>
      </c>
      <c r="F10" s="15" t="str">
        <f>IF(Setting!J9="","",Setting!$E$15)</f>
        <v>V</v>
      </c>
      <c r="G10" s="15">
        <f>IF(Legger!J12="","",Legger!J12)</f>
        <v>94</v>
      </c>
      <c r="H10" s="15">
        <f>IF(Legger!P12="","",Legger!P12)</f>
        <v>86</v>
      </c>
      <c r="I10" s="15">
        <f>IF(Legger!V12="","",Legger!V12)</f>
        <v>85</v>
      </c>
      <c r="J10" s="15">
        <f>IF(Legger!AB12="","",Legger!AB12)</f>
        <v>91</v>
      </c>
      <c r="K10" s="15">
        <f>IF(Legger!AH12="","",Legger!AH12)</f>
        <v>92</v>
      </c>
      <c r="L10" s="15">
        <f>IF(Legger!AN12="","",Legger!AN12)</f>
        <v>89</v>
      </c>
      <c r="M10" s="15">
        <f>IF(Legger!AT12="","",Legger!AT12)</f>
        <v>89</v>
      </c>
      <c r="N10" s="101">
        <f>IF(Legger!AZ12="","",Legger!AZ12)</f>
        <v>92</v>
      </c>
      <c r="O10" s="15">
        <f>IF(Legger!BF12="","",Legger!BF12)</f>
        <v>94</v>
      </c>
      <c r="P10" s="15">
        <f>IF(Legger!BL12="","",Legger!BL12)</f>
        <v>86</v>
      </c>
      <c r="Q10" s="15">
        <f>IF(Legger!BR12="","",Legger!BR12)</f>
        <v>83</v>
      </c>
      <c r="R10" s="15">
        <f>IF(Legger!BX12="","",Legger!BX12)</f>
        <v>85</v>
      </c>
      <c r="S10" s="15">
        <f>IF(Legger!CD12="","",Legger!CD12)</f>
        <v>93</v>
      </c>
      <c r="T10" s="15">
        <f>IF(Legger!CJ12="","",Legger!CJ12)</f>
        <v>90</v>
      </c>
      <c r="U10" s="15">
        <f>IF(Legger!CP12="","",Legger!CP12)</f>
        <v>90</v>
      </c>
      <c r="V10" s="15" t="str">
        <f>IF(Legger!CV12="","",Legger!CV12)</f>
        <v/>
      </c>
      <c r="W10" s="15">
        <f>IF(Setting!J9="","",SUM(G10:V10))</f>
        <v>1339</v>
      </c>
      <c r="X10" s="15">
        <f>IF(Setting!J9="","",RANK(W10,$W$7:$W$46))</f>
        <v>21</v>
      </c>
    </row>
    <row r="11" spans="1:24" x14ac:dyDescent="0.25">
      <c r="A11" s="12">
        <v>5</v>
      </c>
      <c r="B11" s="23" t="str">
        <f>IF(Setting!J10="","",Setting!J10)</f>
        <v>Aria Fenha Apri Buma</v>
      </c>
      <c r="C11" s="28">
        <f>IF(Setting!J10="","",Setting!K10)</f>
        <v>2008054</v>
      </c>
      <c r="D11" s="28" t="str">
        <f>IF(Setting!J10="","",Setting!L10)</f>
        <v>0058068365</v>
      </c>
      <c r="E11" s="15" t="str">
        <f>IF(Setting!J10="","",Setting!$E$11)</f>
        <v>XII MIPA 4</v>
      </c>
      <c r="F11" s="15" t="str">
        <f>IF(Setting!J10="","",Setting!$E$15)</f>
        <v>V</v>
      </c>
      <c r="G11" s="15">
        <f>IF(Legger!J13="","",Legger!J13)</f>
        <v>94</v>
      </c>
      <c r="H11" s="15">
        <f>IF(Legger!P13="","",Legger!P13)</f>
        <v>89</v>
      </c>
      <c r="I11" s="15">
        <f>IF(Legger!V13="","",Legger!V13)</f>
        <v>90</v>
      </c>
      <c r="J11" s="15">
        <f>IF(Legger!AB13="","",Legger!AB13)</f>
        <v>94</v>
      </c>
      <c r="K11" s="15">
        <f>IF(Legger!AH13="","",Legger!AH13)</f>
        <v>93</v>
      </c>
      <c r="L11" s="15">
        <f>IF(Legger!AN13="","",Legger!AN13)</f>
        <v>89</v>
      </c>
      <c r="M11" s="15">
        <f>IF(Legger!AT13="","",Legger!AT13)</f>
        <v>92</v>
      </c>
      <c r="N11" s="101">
        <f>IF(Legger!AZ13="","",Legger!AZ13)</f>
        <v>92</v>
      </c>
      <c r="O11" s="15">
        <f>IF(Legger!BF13="","",Legger!BF13)</f>
        <v>94</v>
      </c>
      <c r="P11" s="15">
        <f>IF(Legger!BL13="","",Legger!BL13)</f>
        <v>91</v>
      </c>
      <c r="Q11" s="15">
        <f>IF(Legger!BR13="","",Legger!BR13)</f>
        <v>92</v>
      </c>
      <c r="R11" s="15">
        <f>IF(Legger!BX13="","",Legger!BX13)</f>
        <v>86</v>
      </c>
      <c r="S11" s="15">
        <f>IF(Legger!CD13="","",Legger!CD13)</f>
        <v>95</v>
      </c>
      <c r="T11" s="15">
        <f>IF(Legger!CJ13="","",Legger!CJ13)</f>
        <v>92</v>
      </c>
      <c r="U11" s="15">
        <f>IF(Legger!CP13="","",Legger!CP13)</f>
        <v>94</v>
      </c>
      <c r="V11" s="15" t="str">
        <f>IF(Legger!CV13="","",Legger!CV13)</f>
        <v/>
      </c>
      <c r="W11" s="15">
        <f>IF(Setting!J10="","",SUM(G11:V11))</f>
        <v>1377</v>
      </c>
      <c r="X11" s="15">
        <f>IF(Setting!J10="","",RANK(W11,$W$7:$W$46))</f>
        <v>3</v>
      </c>
    </row>
    <row r="12" spans="1:24" x14ac:dyDescent="0.25">
      <c r="A12" s="12">
        <v>6</v>
      </c>
      <c r="B12" s="23" t="str">
        <f>IF(Setting!J11="","",Setting!J11)</f>
        <v>Baharuddin Barkah Pratama</v>
      </c>
      <c r="C12" s="28">
        <f>IF(Setting!J11="","",Setting!K11)</f>
        <v>2008075</v>
      </c>
      <c r="D12" s="28" t="str">
        <f>IF(Setting!J11="","",Setting!L11)</f>
        <v>0024374235</v>
      </c>
      <c r="E12" s="15" t="str">
        <f>IF(Setting!J11="","",Setting!$E$11)</f>
        <v>XII MIPA 4</v>
      </c>
      <c r="F12" s="15" t="str">
        <f>IF(Setting!J11="","",Setting!$E$15)</f>
        <v>V</v>
      </c>
      <c r="G12" s="15">
        <f>IF(Legger!J14="","",Legger!J14)</f>
        <v>93</v>
      </c>
      <c r="H12" s="15">
        <f>IF(Legger!P14="","",Legger!P14)</f>
        <v>86</v>
      </c>
      <c r="I12" s="15">
        <f>IF(Legger!V14="","",Legger!V14)</f>
        <v>85</v>
      </c>
      <c r="J12" s="15">
        <f>IF(Legger!AB14="","",Legger!AB14)</f>
        <v>90</v>
      </c>
      <c r="K12" s="15">
        <f>IF(Legger!AH14="","",Legger!AH14)</f>
        <v>90</v>
      </c>
      <c r="L12" s="15">
        <f>IF(Legger!AN14="","",Legger!AN14)</f>
        <v>90</v>
      </c>
      <c r="M12" s="15">
        <f>IF(Legger!AT14="","",Legger!AT14)</f>
        <v>92</v>
      </c>
      <c r="N12" s="101">
        <f>IF(Legger!AZ14="","",Legger!AZ14)</f>
        <v>91</v>
      </c>
      <c r="O12" s="15">
        <f>IF(Legger!BF14="","",Legger!BF14)</f>
        <v>89</v>
      </c>
      <c r="P12" s="15">
        <f>IF(Legger!BL14="","",Legger!BL14)</f>
        <v>81</v>
      </c>
      <c r="Q12" s="15">
        <f>IF(Legger!BR14="","",Legger!BR14)</f>
        <v>85</v>
      </c>
      <c r="R12" s="15">
        <f>IF(Legger!BX14="","",Legger!BX14)</f>
        <v>83</v>
      </c>
      <c r="S12" s="15">
        <f>IF(Legger!CD14="","",Legger!CD14)</f>
        <v>89</v>
      </c>
      <c r="T12" s="15">
        <f>IF(Legger!CJ14="","",Legger!CJ14)</f>
        <v>88</v>
      </c>
      <c r="U12" s="15">
        <f>IF(Legger!CP14="","",Legger!CP14)</f>
        <v>92</v>
      </c>
      <c r="V12" s="15" t="str">
        <f>IF(Legger!CV14="","",Legger!CV14)</f>
        <v/>
      </c>
      <c r="W12" s="15">
        <f>IF(Setting!J11="","",SUM(G12:V12))</f>
        <v>1324</v>
      </c>
      <c r="X12" s="15">
        <f>IF(Setting!J11="","",RANK(W12,$W$7:$W$46))</f>
        <v>27</v>
      </c>
    </row>
    <row r="13" spans="1:24" x14ac:dyDescent="0.25">
      <c r="A13" s="12">
        <v>7</v>
      </c>
      <c r="B13" s="23" t="str">
        <f>IF(Setting!J12="","",Setting!J12)</f>
        <v>Daffa Arya Pudyastungkara</v>
      </c>
      <c r="C13" s="28">
        <f>IF(Setting!J12="","",Setting!K12)</f>
        <v>2008089</v>
      </c>
      <c r="D13" s="28" t="str">
        <f>IF(Setting!J12="","",Setting!L12)</f>
        <v>0043620048</v>
      </c>
      <c r="E13" s="15" t="str">
        <f>IF(Setting!J12="","",Setting!$E$11)</f>
        <v>XII MIPA 4</v>
      </c>
      <c r="F13" s="15" t="str">
        <f>IF(Setting!J12="","",Setting!$E$15)</f>
        <v>V</v>
      </c>
      <c r="G13" s="15">
        <f>IF(Legger!J15="","",Legger!J15)</f>
        <v>93</v>
      </c>
      <c r="H13" s="15">
        <f>IF(Legger!P15="","",Legger!P15)</f>
        <v>89</v>
      </c>
      <c r="I13" s="15">
        <f>IF(Legger!V15="","",Legger!V15)</f>
        <v>86</v>
      </c>
      <c r="J13" s="15">
        <f>IF(Legger!AB15="","",Legger!AB15)</f>
        <v>94</v>
      </c>
      <c r="K13" s="15">
        <f>IF(Legger!AH15="","",Legger!AH15)</f>
        <v>84</v>
      </c>
      <c r="L13" s="15">
        <f>IF(Legger!AN15="","",Legger!AN15)</f>
        <v>88</v>
      </c>
      <c r="M13" s="15">
        <f>IF(Legger!AT15="","",Legger!AT15)</f>
        <v>89</v>
      </c>
      <c r="N13" s="101">
        <f>IF(Legger!AZ15="","",Legger!AZ15)</f>
        <v>92</v>
      </c>
      <c r="O13" s="15">
        <f>IF(Legger!BF15="","",Legger!BF15)</f>
        <v>93</v>
      </c>
      <c r="P13" s="15">
        <f>IF(Legger!BL15="","",Legger!BL15)</f>
        <v>81</v>
      </c>
      <c r="Q13" s="15">
        <f>IF(Legger!BR15="","",Legger!BR15)</f>
        <v>91</v>
      </c>
      <c r="R13" s="15">
        <f>IF(Legger!BX15="","",Legger!BX15)</f>
        <v>85</v>
      </c>
      <c r="S13" s="15">
        <f>IF(Legger!CD15="","",Legger!CD15)</f>
        <v>94</v>
      </c>
      <c r="T13" s="15">
        <f>IF(Legger!CJ15="","",Legger!CJ15)</f>
        <v>90</v>
      </c>
      <c r="U13" s="15">
        <f>IF(Legger!CP15="","",Legger!CP15)</f>
        <v>89</v>
      </c>
      <c r="V13" s="15" t="str">
        <f>IF(Legger!CV15="","",Legger!CV15)</f>
        <v/>
      </c>
      <c r="W13" s="15">
        <f>IF(Setting!J12="","",SUM(G13:V13))</f>
        <v>1338</v>
      </c>
      <c r="X13" s="15">
        <f>IF(Setting!J12="","",RANK(W13,$W$7:$W$46))</f>
        <v>22</v>
      </c>
    </row>
    <row r="14" spans="1:24" x14ac:dyDescent="0.25">
      <c r="A14" s="12">
        <v>8</v>
      </c>
      <c r="B14" s="23" t="str">
        <f>IF(Setting!J13="","",Setting!J13)</f>
        <v>Dody Muhammad Pasha</v>
      </c>
      <c r="C14" s="28">
        <f>IF(Setting!J13="","",Setting!K13)</f>
        <v>2008095</v>
      </c>
      <c r="D14" s="28" t="str">
        <f>IF(Setting!J13="","",Setting!L13)</f>
        <v>0053814584</v>
      </c>
      <c r="E14" s="15" t="str">
        <f>IF(Setting!J13="","",Setting!$E$11)</f>
        <v>XII MIPA 4</v>
      </c>
      <c r="F14" s="15" t="str">
        <f>IF(Setting!J13="","",Setting!$E$15)</f>
        <v>V</v>
      </c>
      <c r="G14" s="15">
        <f>IF(Legger!J16="","",Legger!J16)</f>
        <v>94</v>
      </c>
      <c r="H14" s="15">
        <f>IF(Legger!P16="","",Legger!P16)</f>
        <v>91</v>
      </c>
      <c r="I14" s="15">
        <f>IF(Legger!V16="","",Legger!V16)</f>
        <v>95</v>
      </c>
      <c r="J14" s="15">
        <f>IF(Legger!AB16="","",Legger!AB16)</f>
        <v>94</v>
      </c>
      <c r="K14" s="15">
        <f>IF(Legger!AH16="","",Legger!AH16)</f>
        <v>94</v>
      </c>
      <c r="L14" s="15">
        <f>IF(Legger!AN16="","",Legger!AN16)</f>
        <v>92</v>
      </c>
      <c r="M14" s="15">
        <f>IF(Legger!AT16="","",Legger!AT16)</f>
        <v>93</v>
      </c>
      <c r="N14" s="101">
        <f>IF(Legger!AZ16="","",Legger!AZ16)</f>
        <v>92</v>
      </c>
      <c r="O14" s="15">
        <f>IF(Legger!BF16="","",Legger!BF16)</f>
        <v>95</v>
      </c>
      <c r="P14" s="15">
        <f>IF(Legger!BL16="","",Legger!BL16)</f>
        <v>93</v>
      </c>
      <c r="Q14" s="15">
        <f>IF(Legger!BR16="","",Legger!BR16)</f>
        <v>93</v>
      </c>
      <c r="R14" s="15">
        <f>IF(Legger!BX16="","",Legger!BX16)</f>
        <v>88</v>
      </c>
      <c r="S14" s="15">
        <f>IF(Legger!CD16="","",Legger!CD16)</f>
        <v>96</v>
      </c>
      <c r="T14" s="15">
        <f>IF(Legger!CJ16="","",Legger!CJ16)</f>
        <v>94</v>
      </c>
      <c r="U14" s="15">
        <f>IF(Legger!CP16="","",Legger!CP16)</f>
        <v>94</v>
      </c>
      <c r="V14" s="15" t="str">
        <f>IF(Legger!CV16="","",Legger!CV16)</f>
        <v/>
      </c>
      <c r="W14" s="15">
        <f>IF(Setting!J13="","",SUM(G14:V14))</f>
        <v>1398</v>
      </c>
      <c r="X14" s="15">
        <f>IF(Setting!J13="","",RANK(W14,$W$7:$W$46))</f>
        <v>1</v>
      </c>
    </row>
    <row r="15" spans="1:24" x14ac:dyDescent="0.25">
      <c r="A15" s="12">
        <v>9</v>
      </c>
      <c r="B15" s="23" t="str">
        <f>IF(Setting!J14="","",Setting!J14)</f>
        <v>Elga Perdana</v>
      </c>
      <c r="C15" s="28">
        <f>IF(Setting!J14="","",Setting!K14)</f>
        <v>2008099</v>
      </c>
      <c r="D15" s="28" t="str">
        <f>IF(Setting!J14="","",Setting!L14)</f>
        <v>0054718584</v>
      </c>
      <c r="E15" s="15" t="str">
        <f>IF(Setting!J14="","",Setting!$E$11)</f>
        <v>XII MIPA 4</v>
      </c>
      <c r="F15" s="15" t="str">
        <f>IF(Setting!J14="","",Setting!$E$15)</f>
        <v>V</v>
      </c>
      <c r="G15" s="15">
        <f>IF(Legger!J17="","",Legger!J17)</f>
        <v>93</v>
      </c>
      <c r="H15" s="15">
        <f>IF(Legger!P17="","",Legger!P17)</f>
        <v>90</v>
      </c>
      <c r="I15" s="15">
        <f>IF(Legger!V17="","",Legger!V17)</f>
        <v>89</v>
      </c>
      <c r="J15" s="15">
        <f>IF(Legger!AB17="","",Legger!AB17)</f>
        <v>91</v>
      </c>
      <c r="K15" s="15">
        <f>IF(Legger!AH17="","",Legger!AH17)</f>
        <v>86</v>
      </c>
      <c r="L15" s="15">
        <f>IF(Legger!AN17="","",Legger!AN17)</f>
        <v>88</v>
      </c>
      <c r="M15" s="15">
        <f>IF(Legger!AT17="","",Legger!AT17)</f>
        <v>89</v>
      </c>
      <c r="N15" s="101">
        <f>IF(Legger!AZ17="","",Legger!AZ17)</f>
        <v>92</v>
      </c>
      <c r="O15" s="15">
        <f>IF(Legger!BF17="","",Legger!BF17)</f>
        <v>92</v>
      </c>
      <c r="P15" s="15">
        <f>IF(Legger!BL17="","",Legger!BL17)</f>
        <v>81</v>
      </c>
      <c r="Q15" s="15">
        <f>IF(Legger!BR17="","",Legger!BR17)</f>
        <v>84</v>
      </c>
      <c r="R15" s="15">
        <f>IF(Legger!BX17="","",Legger!BX17)</f>
        <v>85</v>
      </c>
      <c r="S15" s="15">
        <f>IF(Legger!CD17="","",Legger!CD17)</f>
        <v>91</v>
      </c>
      <c r="T15" s="15">
        <f>IF(Legger!CJ17="","",Legger!CJ17)</f>
        <v>89</v>
      </c>
      <c r="U15" s="15">
        <f>IF(Legger!CP17="","",Legger!CP17)</f>
        <v>90</v>
      </c>
      <c r="V15" s="15" t="str">
        <f>IF(Legger!CV17="","",Legger!CV17)</f>
        <v/>
      </c>
      <c r="W15" s="15">
        <f>IF(Setting!J14="","",SUM(G15:V15))</f>
        <v>1330</v>
      </c>
      <c r="X15" s="15">
        <f>IF(Setting!J14="","",RANK(W15,$W$7:$W$46))</f>
        <v>25</v>
      </c>
    </row>
    <row r="16" spans="1:24" x14ac:dyDescent="0.25">
      <c r="A16" s="12">
        <v>10</v>
      </c>
      <c r="B16" s="23" t="str">
        <f>IF(Setting!J15="","",Setting!J15)</f>
        <v>Fathoni Daniswara</v>
      </c>
      <c r="C16" s="28">
        <f>IF(Setting!J15="","",Setting!K15)</f>
        <v>2008118</v>
      </c>
      <c r="D16" s="28" t="str">
        <f>IF(Setting!J15="","",Setting!L15)</f>
        <v>0057882873</v>
      </c>
      <c r="E16" s="15" t="str">
        <f>IF(Setting!J15="","",Setting!$E$11)</f>
        <v>XII MIPA 4</v>
      </c>
      <c r="F16" s="15" t="str">
        <f>IF(Setting!J15="","",Setting!$E$15)</f>
        <v>V</v>
      </c>
      <c r="G16" s="15">
        <f>IF(Legger!J18="","",Legger!J18)</f>
        <v>94</v>
      </c>
      <c r="H16" s="15">
        <f>IF(Legger!P18="","",Legger!P18)</f>
        <v>88</v>
      </c>
      <c r="I16" s="15">
        <f>IF(Legger!V18="","",Legger!V18)</f>
        <v>89</v>
      </c>
      <c r="J16" s="15">
        <f>IF(Legger!AB18="","",Legger!AB18)</f>
        <v>93</v>
      </c>
      <c r="K16" s="15">
        <f>IF(Legger!AH18="","",Legger!AH18)</f>
        <v>90</v>
      </c>
      <c r="L16" s="15">
        <f>IF(Legger!AN18="","",Legger!AN18)</f>
        <v>89</v>
      </c>
      <c r="M16" s="15">
        <f>IF(Legger!AT18="","",Legger!AT18)</f>
        <v>88</v>
      </c>
      <c r="N16" s="101">
        <f>IF(Legger!AZ18="","",Legger!AZ18)</f>
        <v>91</v>
      </c>
      <c r="O16" s="15">
        <f>IF(Legger!BF18="","",Legger!BF18)</f>
        <v>94</v>
      </c>
      <c r="P16" s="15">
        <f>IF(Legger!BL18="","",Legger!BL18)</f>
        <v>82</v>
      </c>
      <c r="Q16" s="15">
        <f>IF(Legger!BR18="","",Legger!BR18)</f>
        <v>87</v>
      </c>
      <c r="R16" s="15">
        <f>IF(Legger!BX18="","",Legger!BX18)</f>
        <v>86</v>
      </c>
      <c r="S16" s="15">
        <f>IF(Legger!CD18="","",Legger!CD18)</f>
        <v>94</v>
      </c>
      <c r="T16" s="15">
        <f>IF(Legger!CJ18="","",Legger!CJ18)</f>
        <v>91</v>
      </c>
      <c r="U16" s="15">
        <f>IF(Legger!CP18="","",Legger!CP18)</f>
        <v>89</v>
      </c>
      <c r="V16" s="15" t="str">
        <f>IF(Legger!CV18="","",Legger!CV18)</f>
        <v/>
      </c>
      <c r="W16" s="15">
        <f>IF(Setting!J15="","",SUM(G16:V16))</f>
        <v>1345</v>
      </c>
      <c r="X16" s="15">
        <f>IF(Setting!J15="","",RANK(W16,$W$7:$W$46))</f>
        <v>13</v>
      </c>
    </row>
    <row r="17" spans="1:24" x14ac:dyDescent="0.25">
      <c r="A17" s="12">
        <v>11</v>
      </c>
      <c r="B17" s="23" t="str">
        <f>IF(Setting!J16="","",Setting!J16)</f>
        <v>Gading Setyo Manunggal</v>
      </c>
      <c r="C17" s="28">
        <f>IF(Setting!J16="","",Setting!K16)</f>
        <v>2008127</v>
      </c>
      <c r="D17" s="28" t="str">
        <f>IF(Setting!J16="","",Setting!L16)</f>
        <v>0052532940</v>
      </c>
      <c r="E17" s="15" t="str">
        <f>IF(Setting!J16="","",Setting!$E$11)</f>
        <v>XII MIPA 4</v>
      </c>
      <c r="F17" s="15" t="str">
        <f>IF(Setting!J16="","",Setting!$E$15)</f>
        <v>V</v>
      </c>
      <c r="G17" s="15">
        <f>IF(Legger!J19="","",Legger!J19)</f>
        <v>93</v>
      </c>
      <c r="H17" s="15">
        <f>IF(Legger!P19="","",Legger!P19)</f>
        <v>85</v>
      </c>
      <c r="I17" s="15">
        <f>IF(Legger!V19="","",Legger!V19)</f>
        <v>85</v>
      </c>
      <c r="J17" s="15">
        <f>IF(Legger!AB19="","",Legger!AB19)</f>
        <v>88</v>
      </c>
      <c r="K17" s="15">
        <f>IF(Legger!AH19="","",Legger!AH19)</f>
        <v>86</v>
      </c>
      <c r="L17" s="15">
        <f>IF(Legger!AN19="","",Legger!AN19)</f>
        <v>89</v>
      </c>
      <c r="M17" s="15">
        <f>IF(Legger!AT19="","",Legger!AT19)</f>
        <v>90</v>
      </c>
      <c r="N17" s="101">
        <f>IF(Legger!AZ19="","",Legger!AZ19)</f>
        <v>92</v>
      </c>
      <c r="O17" s="15">
        <f>IF(Legger!BF19="","",Legger!BF19)</f>
        <v>89</v>
      </c>
      <c r="P17" s="15">
        <f>IF(Legger!BL19="","",Legger!BL19)</f>
        <v>81</v>
      </c>
      <c r="Q17" s="15">
        <f>IF(Legger!BR19="","",Legger!BR19)</f>
        <v>87</v>
      </c>
      <c r="R17" s="15">
        <f>IF(Legger!BX19="","",Legger!BX19)</f>
        <v>81</v>
      </c>
      <c r="S17" s="15">
        <f>IF(Legger!CD19="","",Legger!CD19)</f>
        <v>90</v>
      </c>
      <c r="T17" s="15">
        <f>IF(Legger!CJ19="","",Legger!CJ19)</f>
        <v>86</v>
      </c>
      <c r="U17" s="15">
        <f>IF(Legger!CP19="","",Legger!CP19)</f>
        <v>87</v>
      </c>
      <c r="V17" s="15" t="str">
        <f>IF(Legger!CV19="","",Legger!CV19)</f>
        <v/>
      </c>
      <c r="W17" s="15">
        <f>IF(Setting!J16="","",SUM(G17:V17))</f>
        <v>1309</v>
      </c>
      <c r="X17" s="15">
        <f>IF(Setting!J16="","",RANK(W17,$W$7:$W$46))</f>
        <v>31</v>
      </c>
    </row>
    <row r="18" spans="1:24" x14ac:dyDescent="0.25">
      <c r="A18" s="12">
        <v>12</v>
      </c>
      <c r="B18" s="23" t="str">
        <f>IF(Setting!J17="","",Setting!J17)</f>
        <v>Ghifari Mabrur Al Burhani</v>
      </c>
      <c r="C18" s="28">
        <f>IF(Setting!J17="","",Setting!K17)</f>
        <v>2008128</v>
      </c>
      <c r="D18" s="28" t="str">
        <f>IF(Setting!J17="","",Setting!L17)</f>
        <v>0068080234</v>
      </c>
      <c r="E18" s="15" t="str">
        <f>IF(Setting!J17="","",Setting!$E$11)</f>
        <v>XII MIPA 4</v>
      </c>
      <c r="F18" s="15" t="str">
        <f>IF(Setting!J17="","",Setting!$E$15)</f>
        <v>V</v>
      </c>
      <c r="G18" s="15">
        <f>IF(Legger!J20="","",Legger!J20)</f>
        <v>94</v>
      </c>
      <c r="H18" s="15">
        <f>IF(Legger!P20="","",Legger!P20)</f>
        <v>91</v>
      </c>
      <c r="I18" s="15">
        <f>IF(Legger!V20="","",Legger!V20)</f>
        <v>90</v>
      </c>
      <c r="J18" s="15">
        <f>IF(Legger!AB20="","",Legger!AB20)</f>
        <v>90</v>
      </c>
      <c r="K18" s="15">
        <f>IF(Legger!AH20="","",Legger!AH20)</f>
        <v>93</v>
      </c>
      <c r="L18" s="15">
        <f>IF(Legger!AN20="","",Legger!AN20)</f>
        <v>92</v>
      </c>
      <c r="M18" s="15">
        <f>IF(Legger!AT20="","",Legger!AT20)</f>
        <v>92</v>
      </c>
      <c r="N18" s="101">
        <f>IF(Legger!AZ20="","",Legger!AZ20)</f>
        <v>91</v>
      </c>
      <c r="O18" s="15">
        <f>IF(Legger!BF20="","",Legger!BF20)</f>
        <v>92</v>
      </c>
      <c r="P18" s="15">
        <f>IF(Legger!BL20="","",Legger!BL20)</f>
        <v>81</v>
      </c>
      <c r="Q18" s="15">
        <f>IF(Legger!BR20="","",Legger!BR20)</f>
        <v>86</v>
      </c>
      <c r="R18" s="15">
        <f>IF(Legger!BX20="","",Legger!BX20)</f>
        <v>81</v>
      </c>
      <c r="S18" s="15">
        <f>IF(Legger!CD20="","",Legger!CD20)</f>
        <v>90</v>
      </c>
      <c r="T18" s="15">
        <f>IF(Legger!CJ20="","",Legger!CJ20)</f>
        <v>88</v>
      </c>
      <c r="U18" s="15">
        <f>IF(Legger!CP20="","",Legger!CP20)</f>
        <v>95</v>
      </c>
      <c r="V18" s="15" t="str">
        <f>IF(Legger!CV20="","",Legger!CV20)</f>
        <v/>
      </c>
      <c r="W18" s="15">
        <f>IF(Setting!J17="","",SUM(G18:V18))</f>
        <v>1346</v>
      </c>
      <c r="X18" s="15">
        <f>IF(Setting!J17="","",RANK(W18,$W$7:$W$46))</f>
        <v>12</v>
      </c>
    </row>
    <row r="19" spans="1:24" x14ac:dyDescent="0.25">
      <c r="A19" s="12">
        <v>13</v>
      </c>
      <c r="B19" s="23" t="str">
        <f>IF(Setting!J18="","",Setting!J18)</f>
        <v>Hafid Mahreza Ilham</v>
      </c>
      <c r="C19" s="28">
        <f>IF(Setting!J18="","",Setting!K18)</f>
        <v>2008131</v>
      </c>
      <c r="D19" s="28" t="str">
        <f>IF(Setting!J18="","",Setting!L18)</f>
        <v>0058288476</v>
      </c>
      <c r="E19" s="15" t="str">
        <f>IF(Setting!J18="","",Setting!$E$11)</f>
        <v>XII MIPA 4</v>
      </c>
      <c r="F19" s="15" t="str">
        <f>IF(Setting!J18="","",Setting!$E$15)</f>
        <v>V</v>
      </c>
      <c r="G19" s="15">
        <f>IF(Legger!J21="","",Legger!J21)</f>
        <v>93</v>
      </c>
      <c r="H19" s="15">
        <f>IF(Legger!P21="","",Legger!P21)</f>
        <v>89</v>
      </c>
      <c r="I19" s="15">
        <f>IF(Legger!V21="","",Legger!V21)</f>
        <v>87</v>
      </c>
      <c r="J19" s="15">
        <f>IF(Legger!AB21="","",Legger!AB21)</f>
        <v>89</v>
      </c>
      <c r="K19" s="15">
        <f>IF(Legger!AH21="","",Legger!AH21)</f>
        <v>93</v>
      </c>
      <c r="L19" s="15">
        <f>IF(Legger!AN21="","",Legger!AN21)</f>
        <v>89</v>
      </c>
      <c r="M19" s="15">
        <f>IF(Legger!AT21="","",Legger!AT21)</f>
        <v>91</v>
      </c>
      <c r="N19" s="101">
        <f>IF(Legger!AZ21="","",Legger!AZ21)</f>
        <v>91</v>
      </c>
      <c r="O19" s="15">
        <f>IF(Legger!BF21="","",Legger!BF21)</f>
        <v>93</v>
      </c>
      <c r="P19" s="15">
        <f>IF(Legger!BL21="","",Legger!BL21)</f>
        <v>82</v>
      </c>
      <c r="Q19" s="15">
        <f>IF(Legger!BR21="","",Legger!BR21)</f>
        <v>89</v>
      </c>
      <c r="R19" s="15">
        <f>IF(Legger!BX21="","",Legger!BX21)</f>
        <v>83</v>
      </c>
      <c r="S19" s="15">
        <f>IF(Legger!CD21="","",Legger!CD21)</f>
        <v>93</v>
      </c>
      <c r="T19" s="15">
        <f>IF(Legger!CJ21="","",Legger!CJ21)</f>
        <v>90</v>
      </c>
      <c r="U19" s="15">
        <f>IF(Legger!CP21="","",Legger!CP21)</f>
        <v>91</v>
      </c>
      <c r="V19" s="15" t="str">
        <f>IF(Legger!CV21="","",Legger!CV21)</f>
        <v/>
      </c>
      <c r="W19" s="15">
        <f>IF(Setting!J18="","",SUM(G19:V19))</f>
        <v>1343</v>
      </c>
      <c r="X19" s="15">
        <f>IF(Setting!J18="","",RANK(W19,$W$7:$W$46))</f>
        <v>16</v>
      </c>
    </row>
    <row r="20" spans="1:24" x14ac:dyDescent="0.25">
      <c r="A20" s="12">
        <v>14</v>
      </c>
      <c r="B20" s="23" t="str">
        <f>IF(Setting!J19="","",Setting!J19)</f>
        <v>Haidar Rafif Hibatulloh</v>
      </c>
      <c r="C20" s="28">
        <f>IF(Setting!J19="","",Setting!K19)</f>
        <v>2008132</v>
      </c>
      <c r="D20" s="28" t="str">
        <f>IF(Setting!J19="","",Setting!L19)</f>
        <v>0054005743</v>
      </c>
      <c r="E20" s="15" t="str">
        <f>IF(Setting!J19="","",Setting!$E$11)</f>
        <v>XII MIPA 4</v>
      </c>
      <c r="F20" s="15" t="str">
        <f>IF(Setting!J19="","",Setting!$E$15)</f>
        <v>V</v>
      </c>
      <c r="G20" s="15">
        <f>IF(Legger!J22="","",Legger!J22)</f>
        <v>93</v>
      </c>
      <c r="H20" s="15">
        <f>IF(Legger!P22="","",Legger!P22)</f>
        <v>87</v>
      </c>
      <c r="I20" s="15">
        <f>IF(Legger!V22="","",Legger!V22)</f>
        <v>86</v>
      </c>
      <c r="J20" s="15">
        <f>IF(Legger!AB22="","",Legger!AB22)</f>
        <v>92</v>
      </c>
      <c r="K20" s="15">
        <f>IF(Legger!AH22="","",Legger!AH22)</f>
        <v>90</v>
      </c>
      <c r="L20" s="15">
        <f>IF(Legger!AN22="","",Legger!AN22)</f>
        <v>87</v>
      </c>
      <c r="M20" s="15">
        <f>IF(Legger!AT22="","",Legger!AT22)</f>
        <v>89</v>
      </c>
      <c r="N20" s="101">
        <f>IF(Legger!AZ22="","",Legger!AZ22)</f>
        <v>92</v>
      </c>
      <c r="O20" s="15">
        <f>IF(Legger!BF22="","",Legger!BF22)</f>
        <v>94</v>
      </c>
      <c r="P20" s="15">
        <f>IF(Legger!BL22="","",Legger!BL22)</f>
        <v>86</v>
      </c>
      <c r="Q20" s="15">
        <f>IF(Legger!BR22="","",Legger!BR22)</f>
        <v>83</v>
      </c>
      <c r="R20" s="15">
        <f>IF(Legger!BX22="","",Legger!BX22)</f>
        <v>87</v>
      </c>
      <c r="S20" s="15">
        <f>IF(Legger!CD22="","",Legger!CD22)</f>
        <v>93</v>
      </c>
      <c r="T20" s="15">
        <f>IF(Legger!CJ22="","",Legger!CJ22)</f>
        <v>91</v>
      </c>
      <c r="U20" s="15">
        <f>IF(Legger!CP22="","",Legger!CP22)</f>
        <v>90</v>
      </c>
      <c r="V20" s="15" t="str">
        <f>IF(Legger!CV22="","",Legger!CV22)</f>
        <v/>
      </c>
      <c r="W20" s="15">
        <f>IF(Setting!J19="","",SUM(G20:V20))</f>
        <v>1340</v>
      </c>
      <c r="X20" s="15">
        <f>IF(Setting!J19="","",RANK(W20,$W$7:$W$46))</f>
        <v>19</v>
      </c>
    </row>
    <row r="21" spans="1:24" x14ac:dyDescent="0.25">
      <c r="A21" s="12">
        <v>15</v>
      </c>
      <c r="B21" s="23" t="str">
        <f>IF(Setting!J20="","",Setting!J20)</f>
        <v>Kelvin Oktabrian Ramadhan</v>
      </c>
      <c r="C21" s="28">
        <f>IF(Setting!J20="","",Setting!K20)</f>
        <v>2008169</v>
      </c>
      <c r="D21" s="28" t="str">
        <f>IF(Setting!J20="","",Setting!L20)</f>
        <v>0045893001</v>
      </c>
      <c r="E21" s="15" t="str">
        <f>IF(Setting!J20="","",Setting!$E$11)</f>
        <v>XII MIPA 4</v>
      </c>
      <c r="F21" s="15" t="str">
        <f>IF(Setting!J20="","",Setting!$E$15)</f>
        <v>V</v>
      </c>
      <c r="G21" s="15">
        <f>IF(Legger!J23="","",Legger!J23)</f>
        <v>93</v>
      </c>
      <c r="H21" s="15">
        <f>IF(Legger!P23="","",Legger!P23)</f>
        <v>88</v>
      </c>
      <c r="I21" s="15">
        <f>IF(Legger!V23="","",Legger!V23)</f>
        <v>89</v>
      </c>
      <c r="J21" s="15">
        <f>IF(Legger!AB23="","",Legger!AB23)</f>
        <v>92</v>
      </c>
      <c r="K21" s="15">
        <f>IF(Legger!AH23="","",Legger!AH23)</f>
        <v>94</v>
      </c>
      <c r="L21" s="15">
        <f>IF(Legger!AN23="","",Legger!AN23)</f>
        <v>91</v>
      </c>
      <c r="M21" s="15">
        <f>IF(Legger!AT23="","",Legger!AT23)</f>
        <v>89</v>
      </c>
      <c r="N21" s="101">
        <f>IF(Legger!AZ23="","",Legger!AZ23)</f>
        <v>92</v>
      </c>
      <c r="O21" s="15">
        <f>IF(Legger!BF23="","",Legger!BF23)</f>
        <v>94</v>
      </c>
      <c r="P21" s="15">
        <f>IF(Legger!BL23="","",Legger!BL23)</f>
        <v>81</v>
      </c>
      <c r="Q21" s="15">
        <f>IF(Legger!BR23="","",Legger!BR23)</f>
        <v>86</v>
      </c>
      <c r="R21" s="15">
        <f>IF(Legger!BX23="","",Legger!BX23)</f>
        <v>87</v>
      </c>
      <c r="S21" s="15">
        <f>IF(Legger!CD23="","",Legger!CD23)</f>
        <v>93</v>
      </c>
      <c r="T21" s="15">
        <f>IF(Legger!CJ23="","",Legger!CJ23)</f>
        <v>93</v>
      </c>
      <c r="U21" s="15">
        <f>IF(Legger!CP23="","",Legger!CP23)</f>
        <v>90</v>
      </c>
      <c r="V21" s="15" t="str">
        <f>IF(Legger!CV23="","",Legger!CV23)</f>
        <v/>
      </c>
      <c r="W21" s="15">
        <f>IF(Setting!J20="","",SUM(G21:V21))</f>
        <v>1352</v>
      </c>
      <c r="X21" s="15">
        <f>IF(Setting!J20="","",RANK(W21,$W$7:$W$46))</f>
        <v>8</v>
      </c>
    </row>
    <row r="22" spans="1:24" x14ac:dyDescent="0.25">
      <c r="A22" s="12">
        <v>16</v>
      </c>
      <c r="B22" s="23" t="str">
        <f>IF(Setting!J21="","",Setting!J21)</f>
        <v>Mohamad Khoiril Afwa</v>
      </c>
      <c r="C22" s="28">
        <f>IF(Setting!J21="","",Setting!K21)</f>
        <v>2008197</v>
      </c>
      <c r="D22" s="28" t="str">
        <f>IF(Setting!J21="","",Setting!L21)</f>
        <v>0044910894</v>
      </c>
      <c r="E22" s="15" t="str">
        <f>IF(Setting!J21="","",Setting!$E$11)</f>
        <v>XII MIPA 4</v>
      </c>
      <c r="F22" s="15" t="str">
        <f>IF(Setting!J21="","",Setting!$E$15)</f>
        <v>V</v>
      </c>
      <c r="G22" s="15">
        <f>IF(Legger!J24="","",Legger!J24)</f>
        <v>93</v>
      </c>
      <c r="H22" s="15">
        <f>IF(Legger!P24="","",Legger!P24)</f>
        <v>86</v>
      </c>
      <c r="I22" s="15">
        <f>IF(Legger!V24="","",Legger!V24)</f>
        <v>87</v>
      </c>
      <c r="J22" s="15">
        <f>IF(Legger!AB24="","",Legger!AB24)</f>
        <v>90</v>
      </c>
      <c r="K22" s="15">
        <f>IF(Legger!AH24="","",Legger!AH24)</f>
        <v>94</v>
      </c>
      <c r="L22" s="15">
        <f>IF(Legger!AN24="","",Legger!AN24)</f>
        <v>87</v>
      </c>
      <c r="M22" s="15">
        <f>IF(Legger!AT24="","",Legger!AT24)</f>
        <v>89</v>
      </c>
      <c r="N22" s="101">
        <f>IF(Legger!AZ24="","",Legger!AZ24)</f>
        <v>92</v>
      </c>
      <c r="O22" s="15">
        <f>IF(Legger!BF24="","",Legger!BF24)</f>
        <v>92</v>
      </c>
      <c r="P22" s="15">
        <f>IF(Legger!BL24="","",Legger!BL24)</f>
        <v>86</v>
      </c>
      <c r="Q22" s="15">
        <f>IF(Legger!BR24="","",Legger!BR24)</f>
        <v>84</v>
      </c>
      <c r="R22" s="15">
        <f>IF(Legger!BX24="","",Legger!BX24)</f>
        <v>84</v>
      </c>
      <c r="S22" s="15">
        <f>IF(Legger!CD24="","",Legger!CD24)</f>
        <v>93</v>
      </c>
      <c r="T22" s="15">
        <f>IF(Legger!CJ24="","",Legger!CJ24)</f>
        <v>91</v>
      </c>
      <c r="U22" s="15">
        <f>IF(Legger!CP24="","",Legger!CP24)</f>
        <v>92</v>
      </c>
      <c r="V22" s="15" t="str">
        <f>IF(Legger!CV24="","",Legger!CV24)</f>
        <v/>
      </c>
      <c r="W22" s="15">
        <f>IF(Setting!J21="","",SUM(G22:V22))</f>
        <v>1340</v>
      </c>
      <c r="X22" s="15">
        <f>IF(Setting!J21="","",RANK(W22,$W$7:$W$46))</f>
        <v>19</v>
      </c>
    </row>
    <row r="23" spans="1:24" x14ac:dyDescent="0.25">
      <c r="A23" s="12">
        <v>17</v>
      </c>
      <c r="B23" s="23" t="str">
        <f>IF(Setting!J22="","",Setting!J22)</f>
        <v>Muhammad Hanif Pearlyaradja</v>
      </c>
      <c r="C23" s="28">
        <f>IF(Setting!J22="","",Setting!K22)</f>
        <v>2008214</v>
      </c>
      <c r="D23" s="28" t="str">
        <f>IF(Setting!J22="","",Setting!L22)</f>
        <v>0052096412</v>
      </c>
      <c r="E23" s="15" t="str">
        <f>IF(Setting!J22="","",Setting!$E$11)</f>
        <v>XII MIPA 4</v>
      </c>
      <c r="F23" s="15" t="str">
        <f>IF(Setting!J22="","",Setting!$E$15)</f>
        <v>V</v>
      </c>
      <c r="G23" s="15">
        <f>IF(Legger!J25="","",Legger!J25)</f>
        <v>94</v>
      </c>
      <c r="H23" s="15">
        <f>IF(Legger!P25="","",Legger!P25)</f>
        <v>90</v>
      </c>
      <c r="I23" s="15">
        <f>IF(Legger!V25="","",Legger!V25)</f>
        <v>87</v>
      </c>
      <c r="J23" s="15">
        <f>IF(Legger!AB25="","",Legger!AB25)</f>
        <v>93</v>
      </c>
      <c r="K23" s="15">
        <f>IF(Legger!AH25="","",Legger!AH25)</f>
        <v>91</v>
      </c>
      <c r="L23" s="15">
        <f>IF(Legger!AN25="","",Legger!AN25)</f>
        <v>87</v>
      </c>
      <c r="M23" s="15">
        <f>IF(Legger!AT25="","",Legger!AT25)</f>
        <v>89</v>
      </c>
      <c r="N23" s="101">
        <f>IF(Legger!AZ25="","",Legger!AZ25)</f>
        <v>92</v>
      </c>
      <c r="O23" s="15">
        <f>IF(Legger!BF25="","",Legger!BF25)</f>
        <v>92</v>
      </c>
      <c r="P23" s="15">
        <f>IF(Legger!BL25="","",Legger!BL25)</f>
        <v>82</v>
      </c>
      <c r="Q23" s="15">
        <f>IF(Legger!BR25="","",Legger!BR25)</f>
        <v>85</v>
      </c>
      <c r="R23" s="15">
        <f>IF(Legger!BX25="","",Legger!BX25)</f>
        <v>86</v>
      </c>
      <c r="S23" s="15">
        <f>IF(Legger!CD25="","",Legger!CD25)</f>
        <v>94</v>
      </c>
      <c r="T23" s="15">
        <f>IF(Legger!CJ25="","",Legger!CJ25)</f>
        <v>92</v>
      </c>
      <c r="U23" s="15">
        <f>IF(Legger!CP25="","",Legger!CP25)</f>
        <v>94</v>
      </c>
      <c r="V23" s="15" t="str">
        <f>IF(Legger!CV25="","",Legger!CV25)</f>
        <v/>
      </c>
      <c r="W23" s="15">
        <f>IF(Setting!J22="","",SUM(G23:V23))</f>
        <v>1348</v>
      </c>
      <c r="X23" s="15">
        <f>IF(Setting!J22="","",RANK(W23,$W$7:$W$46))</f>
        <v>10</v>
      </c>
    </row>
    <row r="24" spans="1:24" x14ac:dyDescent="0.25">
      <c r="A24" s="12">
        <v>18</v>
      </c>
      <c r="B24" s="23" t="str">
        <f>IF(Setting!J23="","",Setting!J23)</f>
        <v>Muhammad Maurel Han</v>
      </c>
      <c r="C24" s="28">
        <f>IF(Setting!J23="","",Setting!K23)</f>
        <v>2008218</v>
      </c>
      <c r="D24" s="28" t="str">
        <f>IF(Setting!J23="","",Setting!L23)</f>
        <v>9015578324</v>
      </c>
      <c r="E24" s="15" t="str">
        <f>IF(Setting!J23="","",Setting!$E$11)</f>
        <v>XII MIPA 4</v>
      </c>
      <c r="F24" s="15" t="str">
        <f>IF(Setting!J23="","",Setting!$E$15)</f>
        <v>V</v>
      </c>
      <c r="G24" s="15">
        <f>IF(Legger!J26="","",Legger!J26)</f>
        <v>94</v>
      </c>
      <c r="H24" s="15">
        <f>IF(Legger!P26="","",Legger!P26)</f>
        <v>88</v>
      </c>
      <c r="I24" s="15">
        <f>IF(Legger!V26="","",Legger!V26)</f>
        <v>86</v>
      </c>
      <c r="J24" s="15">
        <f>IF(Legger!AB26="","",Legger!AB26)</f>
        <v>93</v>
      </c>
      <c r="K24" s="15">
        <f>IF(Legger!AH26="","",Legger!AH26)</f>
        <v>86</v>
      </c>
      <c r="L24" s="15">
        <f>IF(Legger!AN26="","",Legger!AN26)</f>
        <v>87</v>
      </c>
      <c r="M24" s="15">
        <f>IF(Legger!AT26="","",Legger!AT26)</f>
        <v>88</v>
      </c>
      <c r="N24" s="101">
        <f>IF(Legger!AZ26="","",Legger!AZ26)</f>
        <v>91</v>
      </c>
      <c r="O24" s="15">
        <f>IF(Legger!BF26="","",Legger!BF26)</f>
        <v>91</v>
      </c>
      <c r="P24" s="15">
        <f>IF(Legger!BL26="","",Legger!BL26)</f>
        <v>82</v>
      </c>
      <c r="Q24" s="15">
        <f>IF(Legger!BR26="","",Legger!BR26)</f>
        <v>84</v>
      </c>
      <c r="R24" s="15">
        <f>IF(Legger!BX26="","",Legger!BX26)</f>
        <v>82</v>
      </c>
      <c r="S24" s="15">
        <f>IF(Legger!CD26="","",Legger!CD26)</f>
        <v>92</v>
      </c>
      <c r="T24" s="15">
        <f>IF(Legger!CJ26="","",Legger!CJ26)</f>
        <v>90</v>
      </c>
      <c r="U24" s="15">
        <f>IF(Legger!CP26="","",Legger!CP26)</f>
        <v>89</v>
      </c>
      <c r="V24" s="15" t="str">
        <f>IF(Legger!CV26="","",Legger!CV26)</f>
        <v/>
      </c>
      <c r="W24" s="15">
        <f>IF(Setting!J23="","",SUM(G24:V24))</f>
        <v>1323</v>
      </c>
      <c r="X24" s="15">
        <f>IF(Setting!J23="","",RANK(W24,$W$7:$W$46))</f>
        <v>28</v>
      </c>
    </row>
    <row r="25" spans="1:24" x14ac:dyDescent="0.25">
      <c r="A25" s="12">
        <v>19</v>
      </c>
      <c r="B25" s="23" t="str">
        <f>IF(Setting!J24="","",Setting!J24)</f>
        <v>Muhammad Niam Masykuri</v>
      </c>
      <c r="C25" s="28">
        <f>IF(Setting!J24="","",Setting!K24)</f>
        <v>2008220</v>
      </c>
      <c r="D25" s="28" t="str">
        <f>IF(Setting!J24="","",Setting!L24)</f>
        <v>0044193368</v>
      </c>
      <c r="E25" s="15" t="str">
        <f>IF(Setting!J24="","",Setting!$E$11)</f>
        <v>XII MIPA 4</v>
      </c>
      <c r="F25" s="15" t="str">
        <f>IF(Setting!J24="","",Setting!$E$15)</f>
        <v>V</v>
      </c>
      <c r="G25" s="15">
        <f>IF(Legger!J27="","",Legger!J27)</f>
        <v>94</v>
      </c>
      <c r="H25" s="15">
        <f>IF(Legger!P27="","",Legger!P27)</f>
        <v>86</v>
      </c>
      <c r="I25" s="15">
        <f>IF(Legger!V27="","",Legger!V27)</f>
        <v>87</v>
      </c>
      <c r="J25" s="15">
        <f>IF(Legger!AB27="","",Legger!AB27)</f>
        <v>92</v>
      </c>
      <c r="K25" s="15">
        <f>IF(Legger!AH27="","",Legger!AH27)</f>
        <v>89</v>
      </c>
      <c r="L25" s="15">
        <f>IF(Legger!AN27="","",Legger!AN27)</f>
        <v>89</v>
      </c>
      <c r="M25" s="15">
        <f>IF(Legger!AT27="","",Legger!AT27)</f>
        <v>91</v>
      </c>
      <c r="N25" s="101">
        <f>IF(Legger!AZ27="","",Legger!AZ27)</f>
        <v>92</v>
      </c>
      <c r="O25" s="15">
        <f>IF(Legger!BF27="","",Legger!BF27)</f>
        <v>93</v>
      </c>
      <c r="P25" s="15">
        <f>IF(Legger!BL27="","",Legger!BL27)</f>
        <v>88</v>
      </c>
      <c r="Q25" s="15">
        <f>IF(Legger!BR27="","",Legger!BR27)</f>
        <v>87</v>
      </c>
      <c r="R25" s="15">
        <f>IF(Legger!BX27="","",Legger!BX27)</f>
        <v>86</v>
      </c>
      <c r="S25" s="15">
        <f>IF(Legger!CD27="","",Legger!CD27)</f>
        <v>94</v>
      </c>
      <c r="T25" s="15">
        <f>IF(Legger!CJ27="","",Legger!CJ27)</f>
        <v>90</v>
      </c>
      <c r="U25" s="15">
        <f>IF(Legger!CP27="","",Legger!CP27)</f>
        <v>89</v>
      </c>
      <c r="V25" s="15" t="str">
        <f>IF(Legger!CV27="","",Legger!CV27)</f>
        <v/>
      </c>
      <c r="W25" s="15">
        <f>IF(Setting!J24="","",SUM(G25:V25))</f>
        <v>1347</v>
      </c>
      <c r="X25" s="15">
        <f>IF(Setting!J24="","",RANK(W25,$W$7:$W$46))</f>
        <v>11</v>
      </c>
    </row>
    <row r="26" spans="1:24" x14ac:dyDescent="0.25">
      <c r="A26" s="12">
        <v>20</v>
      </c>
      <c r="B26" s="23" t="str">
        <f>IF(Setting!J25="","",Setting!J25)</f>
        <v>Muhammad Nur Arzhian Kusuma</v>
      </c>
      <c r="C26" s="28">
        <f>IF(Setting!J25="","",Setting!K25)</f>
        <v>2008221</v>
      </c>
      <c r="D26" s="28" t="str">
        <f>IF(Setting!J25="","",Setting!L25)</f>
        <v>0053421781</v>
      </c>
      <c r="E26" s="15" t="str">
        <f>IF(Setting!J25="","",Setting!$E$11)</f>
        <v>XII MIPA 4</v>
      </c>
      <c r="F26" s="15" t="str">
        <f>IF(Setting!J25="","",Setting!$E$15)</f>
        <v>V</v>
      </c>
      <c r="G26" s="15">
        <f>IF(Legger!J28="","",Legger!J28)</f>
        <v>93</v>
      </c>
      <c r="H26" s="15">
        <f>IF(Legger!P28="","",Legger!P28)</f>
        <v>89</v>
      </c>
      <c r="I26" s="15">
        <f>IF(Legger!V28="","",Legger!V28)</f>
        <v>89</v>
      </c>
      <c r="J26" s="15">
        <f>IF(Legger!AB28="","",Legger!AB28)</f>
        <v>92</v>
      </c>
      <c r="K26" s="15">
        <f>IF(Legger!AH28="","",Legger!AH28)</f>
        <v>86</v>
      </c>
      <c r="L26" s="15">
        <f>IF(Legger!AN28="","",Legger!AN28)</f>
        <v>88</v>
      </c>
      <c r="M26" s="15">
        <f>IF(Legger!AT28="","",Legger!AT28)</f>
        <v>89</v>
      </c>
      <c r="N26" s="101">
        <f>IF(Legger!AZ28="","",Legger!AZ28)</f>
        <v>91</v>
      </c>
      <c r="O26" s="15">
        <f>IF(Legger!BF28="","",Legger!BF28)</f>
        <v>92</v>
      </c>
      <c r="P26" s="15">
        <f>IF(Legger!BL28="","",Legger!BL28)</f>
        <v>88</v>
      </c>
      <c r="Q26" s="15">
        <f>IF(Legger!BR28="","",Legger!BR28)</f>
        <v>88</v>
      </c>
      <c r="R26" s="15">
        <f>IF(Legger!BX28="","",Legger!BX28)</f>
        <v>83</v>
      </c>
      <c r="S26" s="15">
        <f>IF(Legger!CD28="","",Legger!CD28)</f>
        <v>93</v>
      </c>
      <c r="T26" s="15">
        <f>IF(Legger!CJ28="","",Legger!CJ28)</f>
        <v>89</v>
      </c>
      <c r="U26" s="15">
        <f>IF(Legger!CP28="","",Legger!CP28)</f>
        <v>87</v>
      </c>
      <c r="V26" s="15" t="str">
        <f>IF(Legger!CV28="","",Legger!CV28)</f>
        <v/>
      </c>
      <c r="W26" s="15">
        <f>IF(Setting!J25="","",SUM(G26:V26))</f>
        <v>1337</v>
      </c>
      <c r="X26" s="15">
        <f>IF(Setting!J25="","",RANK(W26,$W$7:$W$46))</f>
        <v>23</v>
      </c>
    </row>
    <row r="27" spans="1:24" x14ac:dyDescent="0.25">
      <c r="A27" s="12">
        <v>21</v>
      </c>
      <c r="B27" s="23" t="str">
        <f>IF(Setting!J26="","",Setting!J26)</f>
        <v>Muhammad Rafif Rizqullah</v>
      </c>
      <c r="C27" s="28">
        <f>IF(Setting!J26="","",Setting!K26)</f>
        <v>2008222</v>
      </c>
      <c r="D27" s="28" t="str">
        <f>IF(Setting!J26="","",Setting!L26)</f>
        <v>0044559979</v>
      </c>
      <c r="E27" s="15" t="str">
        <f>IF(Setting!J26="","",Setting!$E$11)</f>
        <v>XII MIPA 4</v>
      </c>
      <c r="F27" s="15" t="str">
        <f>IF(Setting!J26="","",Setting!$E$15)</f>
        <v>V</v>
      </c>
      <c r="G27" s="15">
        <f>IF(Legger!J29="","",Legger!J29)</f>
        <v>93</v>
      </c>
      <c r="H27" s="15">
        <f>IF(Legger!P29="","",Legger!P29)</f>
        <v>86</v>
      </c>
      <c r="I27" s="15">
        <f>IF(Legger!V29="","",Legger!V29)</f>
        <v>88</v>
      </c>
      <c r="J27" s="15">
        <f>IF(Legger!AB29="","",Legger!AB29)</f>
        <v>89</v>
      </c>
      <c r="K27" s="15">
        <f>IF(Legger!AH29="","",Legger!AH29)</f>
        <v>89</v>
      </c>
      <c r="L27" s="15">
        <f>IF(Legger!AN29="","",Legger!AN29)</f>
        <v>90</v>
      </c>
      <c r="M27" s="15">
        <f>IF(Legger!AT29="","",Legger!AT29)</f>
        <v>90</v>
      </c>
      <c r="N27" s="101">
        <f>IF(Legger!AZ29="","",Legger!AZ29)</f>
        <v>91</v>
      </c>
      <c r="O27" s="15">
        <f>IF(Legger!BF29="","",Legger!BF29)</f>
        <v>93</v>
      </c>
      <c r="P27" s="15">
        <f>IF(Legger!BL29="","",Legger!BL29)</f>
        <v>86</v>
      </c>
      <c r="Q27" s="15">
        <f>IF(Legger!BR29="","",Legger!BR29)</f>
        <v>90</v>
      </c>
      <c r="R27" s="15">
        <f>IF(Legger!BX29="","",Legger!BX29)</f>
        <v>84</v>
      </c>
      <c r="S27" s="15">
        <f>IF(Legger!CD29="","",Legger!CD29)</f>
        <v>93</v>
      </c>
      <c r="T27" s="15">
        <f>IF(Legger!CJ29="","",Legger!CJ29)</f>
        <v>90</v>
      </c>
      <c r="U27" s="15">
        <f>IF(Legger!CP29="","",Legger!CP29)</f>
        <v>89</v>
      </c>
      <c r="V27" s="15" t="str">
        <f>IF(Legger!CV29="","",Legger!CV29)</f>
        <v/>
      </c>
      <c r="W27" s="15">
        <f>IF(Setting!J26="","",SUM(G27:V27))</f>
        <v>1341</v>
      </c>
      <c r="X27" s="15">
        <f>IF(Setting!J26="","",RANK(W27,$W$7:$W$46))</f>
        <v>18</v>
      </c>
    </row>
    <row r="28" spans="1:24" x14ac:dyDescent="0.25">
      <c r="A28" s="12">
        <v>22</v>
      </c>
      <c r="B28" s="23" t="str">
        <f>IF(Setting!J27="","",Setting!J27)</f>
        <v>Muhammad Raihan Al Faridzi</v>
      </c>
      <c r="C28" s="28">
        <f>IF(Setting!J27="","",Setting!K27)</f>
        <v>2008223</v>
      </c>
      <c r="D28" s="28" t="str">
        <f>IF(Setting!J27="","",Setting!L27)</f>
        <v>0047550264</v>
      </c>
      <c r="E28" s="15" t="str">
        <f>IF(Setting!J27="","",Setting!$E$11)</f>
        <v>XII MIPA 4</v>
      </c>
      <c r="F28" s="15" t="str">
        <f>IF(Setting!J27="","",Setting!$E$15)</f>
        <v>V</v>
      </c>
      <c r="G28" s="15">
        <f>IF(Legger!J30="","",Legger!J30)</f>
        <v>94</v>
      </c>
      <c r="H28" s="15">
        <f>IF(Legger!P30="","",Legger!P30)</f>
        <v>88</v>
      </c>
      <c r="I28" s="15">
        <f>IF(Legger!V30="","",Legger!V30)</f>
        <v>85</v>
      </c>
      <c r="J28" s="15">
        <f>IF(Legger!AB30="","",Legger!AB30)</f>
        <v>94</v>
      </c>
      <c r="K28" s="15">
        <f>IF(Legger!AH30="","",Legger!AH30)</f>
        <v>87</v>
      </c>
      <c r="L28" s="15">
        <f>IF(Legger!AN30="","",Legger!AN30)</f>
        <v>89</v>
      </c>
      <c r="M28" s="15">
        <f>IF(Legger!AT30="","",Legger!AT30)</f>
        <v>89</v>
      </c>
      <c r="N28" s="101">
        <f>IF(Legger!AZ30="","",Legger!AZ30)</f>
        <v>92</v>
      </c>
      <c r="O28" s="15">
        <f>IF(Legger!BF30="","",Legger!BF30)</f>
        <v>96</v>
      </c>
      <c r="P28" s="15">
        <f>IF(Legger!BL30="","",Legger!BL30)</f>
        <v>82</v>
      </c>
      <c r="Q28" s="15">
        <f>IF(Legger!BR30="","",Legger!BR30)</f>
        <v>95</v>
      </c>
      <c r="R28" s="15">
        <f>IF(Legger!BX30="","",Legger!BX30)</f>
        <v>87</v>
      </c>
      <c r="S28" s="15">
        <f>IF(Legger!CD30="","",Legger!CD30)</f>
        <v>96</v>
      </c>
      <c r="T28" s="15">
        <f>IF(Legger!CJ30="","",Legger!CJ30)</f>
        <v>95</v>
      </c>
      <c r="U28" s="15">
        <f>IF(Legger!CP30="","",Legger!CP30)</f>
        <v>93</v>
      </c>
      <c r="V28" s="15" t="str">
        <f>IF(Legger!CV30="","",Legger!CV30)</f>
        <v/>
      </c>
      <c r="W28" s="15">
        <f>IF(Setting!J27="","",SUM(G28:V28))</f>
        <v>1362</v>
      </c>
      <c r="X28" s="15">
        <f>IF(Setting!J27="","",RANK(W28,$W$7:$W$46))</f>
        <v>6</v>
      </c>
    </row>
    <row r="29" spans="1:24" x14ac:dyDescent="0.25">
      <c r="A29" s="12">
        <v>23</v>
      </c>
      <c r="B29" s="23" t="str">
        <f>IF(Setting!J28="","",Setting!J28)</f>
        <v>Muhammad Rakan Hafidh Al Ghalib</v>
      </c>
      <c r="C29" s="28">
        <f>IF(Setting!J28="","",Setting!K28)</f>
        <v>2008224</v>
      </c>
      <c r="D29" s="28" t="str">
        <f>IF(Setting!J28="","",Setting!L28)</f>
        <v>0053955049</v>
      </c>
      <c r="E29" s="15" t="str">
        <f>IF(Setting!J28="","",Setting!$E$11)</f>
        <v>XII MIPA 4</v>
      </c>
      <c r="F29" s="15" t="str">
        <f>IF(Setting!J28="","",Setting!$E$15)</f>
        <v>V</v>
      </c>
      <c r="G29" s="15">
        <f>IF(Legger!J31="","",Legger!J31)</f>
        <v>93</v>
      </c>
      <c r="H29" s="15">
        <f>IF(Legger!P31="","",Legger!P31)</f>
        <v>90</v>
      </c>
      <c r="I29" s="15">
        <f>IF(Legger!V31="","",Legger!V31)</f>
        <v>91</v>
      </c>
      <c r="J29" s="15">
        <f>IF(Legger!AB31="","",Legger!AB31)</f>
        <v>94</v>
      </c>
      <c r="K29" s="15">
        <f>IF(Legger!AH31="","",Legger!AH31)</f>
        <v>92</v>
      </c>
      <c r="L29" s="15">
        <f>IF(Legger!AN31="","",Legger!AN31)</f>
        <v>90</v>
      </c>
      <c r="M29" s="15">
        <f>IF(Legger!AT31="","",Legger!AT31)</f>
        <v>93</v>
      </c>
      <c r="N29" s="101">
        <f>IF(Legger!AZ31="","",Legger!AZ31)</f>
        <v>92</v>
      </c>
      <c r="O29" s="15">
        <f>IF(Legger!BF31="","",Legger!BF31)</f>
        <v>95</v>
      </c>
      <c r="P29" s="15">
        <f>IF(Legger!BL31="","",Legger!BL31)</f>
        <v>91</v>
      </c>
      <c r="Q29" s="15">
        <f>IF(Legger!BR31="","",Legger!BR31)</f>
        <v>85</v>
      </c>
      <c r="R29" s="15">
        <f>IF(Legger!BX31="","",Legger!BX31)</f>
        <v>89</v>
      </c>
      <c r="S29" s="15">
        <f>IF(Legger!CD31="","",Legger!CD31)</f>
        <v>95</v>
      </c>
      <c r="T29" s="15">
        <f>IF(Legger!CJ31="","",Legger!CJ31)</f>
        <v>90</v>
      </c>
      <c r="U29" s="15">
        <f>IF(Legger!CP31="","",Legger!CP31)</f>
        <v>92</v>
      </c>
      <c r="V29" s="15" t="str">
        <f>IF(Legger!CV31="","",Legger!CV31)</f>
        <v/>
      </c>
      <c r="W29" s="15">
        <f>IF(Setting!J28="","",SUM(G29:V29))</f>
        <v>1372</v>
      </c>
      <c r="X29" s="15">
        <f>IF(Setting!J28="","",RANK(W29,$W$7:$W$46))</f>
        <v>4</v>
      </c>
    </row>
    <row r="30" spans="1:24" x14ac:dyDescent="0.25">
      <c r="A30" s="12">
        <v>24</v>
      </c>
      <c r="B30" s="23" t="str">
        <f>IF(Setting!J29="","",Setting!J29)</f>
        <v>Muhammad Syamu Naufal</v>
      </c>
      <c r="C30" s="28">
        <f>IF(Setting!J29="","",Setting!K29)</f>
        <v>2008230</v>
      </c>
      <c r="D30" s="28" t="str">
        <f>IF(Setting!J29="","",Setting!L29)</f>
        <v>0045892500</v>
      </c>
      <c r="E30" s="15" t="str">
        <f>IF(Setting!J29="","",Setting!$E$11)</f>
        <v>XII MIPA 4</v>
      </c>
      <c r="F30" s="15" t="str">
        <f>IF(Setting!J29="","",Setting!$E$15)</f>
        <v>V</v>
      </c>
      <c r="G30" s="15">
        <f>IF(Legger!J32="","",Legger!J32)</f>
        <v>93</v>
      </c>
      <c r="H30" s="15">
        <f>IF(Legger!P32="","",Legger!P32)</f>
        <v>88</v>
      </c>
      <c r="I30" s="15">
        <f>IF(Legger!V32="","",Legger!V32)</f>
        <v>88</v>
      </c>
      <c r="J30" s="15">
        <f>IF(Legger!AB32="","",Legger!AB32)</f>
        <v>87</v>
      </c>
      <c r="K30" s="15">
        <f>IF(Legger!AH32="","",Legger!AH32)</f>
        <v>86</v>
      </c>
      <c r="L30" s="15">
        <f>IF(Legger!AN32="","",Legger!AN32)</f>
        <v>88</v>
      </c>
      <c r="M30" s="15">
        <f>IF(Legger!AT32="","",Legger!AT32)</f>
        <v>88</v>
      </c>
      <c r="N30" s="101">
        <f>IF(Legger!AZ32="","",Legger!AZ32)</f>
        <v>92</v>
      </c>
      <c r="O30" s="15">
        <f>IF(Legger!BF32="","",Legger!BF32)</f>
        <v>90</v>
      </c>
      <c r="P30" s="15">
        <f>IF(Legger!BL32="","",Legger!BL32)</f>
        <v>84</v>
      </c>
      <c r="Q30" s="15">
        <f>IF(Legger!BR32="","",Legger!BR32)</f>
        <v>81</v>
      </c>
      <c r="R30" s="15">
        <f>IF(Legger!BX32="","",Legger!BX32)</f>
        <v>82</v>
      </c>
      <c r="S30" s="15">
        <f>IF(Legger!CD32="","",Legger!CD32)</f>
        <v>89</v>
      </c>
      <c r="T30" s="15">
        <f>IF(Legger!CJ32="","",Legger!CJ32)</f>
        <v>88</v>
      </c>
      <c r="U30" s="15">
        <f>IF(Legger!CP32="","",Legger!CP32)</f>
        <v>89</v>
      </c>
      <c r="V30" s="15" t="str">
        <f>IF(Legger!CV32="","",Legger!CV32)</f>
        <v/>
      </c>
      <c r="W30" s="15">
        <f>IF(Setting!J29="","",SUM(G30:V30))</f>
        <v>1313</v>
      </c>
      <c r="X30" s="15">
        <f>IF(Setting!J29="","",RANK(W30,$W$7:$W$46))</f>
        <v>30</v>
      </c>
    </row>
    <row r="31" spans="1:24" x14ac:dyDescent="0.25">
      <c r="A31" s="12">
        <v>25</v>
      </c>
      <c r="B31" s="23" t="str">
        <f>IF(Setting!J30="","",Setting!J30)</f>
        <v>Naufal Muhammad Iqbal</v>
      </c>
      <c r="C31" s="28">
        <f>IF(Setting!J30="","",Setting!K30)</f>
        <v>2008251</v>
      </c>
      <c r="D31" s="28" t="str">
        <f>IF(Setting!J30="","",Setting!L30)</f>
        <v>0056904636</v>
      </c>
      <c r="E31" s="15" t="str">
        <f>IF(Setting!J30="","",Setting!$E$11)</f>
        <v>XII MIPA 4</v>
      </c>
      <c r="F31" s="15" t="str">
        <f>IF(Setting!J30="","",Setting!$E$15)</f>
        <v>V</v>
      </c>
      <c r="G31" s="15">
        <f>IF(Legger!J33="","",Legger!J33)</f>
        <v>93</v>
      </c>
      <c r="H31" s="15">
        <f>IF(Legger!P33="","",Legger!P33)</f>
        <v>86</v>
      </c>
      <c r="I31" s="15">
        <f>IF(Legger!V33="","",Legger!V33)</f>
        <v>89</v>
      </c>
      <c r="J31" s="15">
        <f>IF(Legger!AB33="","",Legger!AB33)</f>
        <v>92</v>
      </c>
      <c r="K31" s="15">
        <f>IF(Legger!AH33="","",Legger!AH33)</f>
        <v>85</v>
      </c>
      <c r="L31" s="15">
        <f>IF(Legger!AN33="","",Legger!AN33)</f>
        <v>88</v>
      </c>
      <c r="M31" s="15">
        <f>IF(Legger!AT33="","",Legger!AT33)</f>
        <v>91</v>
      </c>
      <c r="N31" s="101">
        <f>IF(Legger!AZ33="","",Legger!AZ33)</f>
        <v>92</v>
      </c>
      <c r="O31" s="15">
        <f>IF(Legger!BF33="","",Legger!BF33)</f>
        <v>90</v>
      </c>
      <c r="P31" s="15">
        <f>IF(Legger!BL33="","",Legger!BL33)</f>
        <v>82</v>
      </c>
      <c r="Q31" s="15">
        <f>IF(Legger!BR33="","",Legger!BR33)</f>
        <v>86</v>
      </c>
      <c r="R31" s="15">
        <f>IF(Legger!BX33="","",Legger!BX33)</f>
        <v>81</v>
      </c>
      <c r="S31" s="15">
        <f>IF(Legger!CD33="","",Legger!CD33)</f>
        <v>93</v>
      </c>
      <c r="T31" s="15">
        <f>IF(Legger!CJ33="","",Legger!CJ33)</f>
        <v>91</v>
      </c>
      <c r="U31" s="15">
        <f>IF(Legger!CP33="","",Legger!CP33)</f>
        <v>87</v>
      </c>
      <c r="V31" s="15" t="str">
        <f>IF(Legger!CV33="","",Legger!CV33)</f>
        <v/>
      </c>
      <c r="W31" s="15">
        <f>IF(Setting!J30="","",SUM(G31:V31))</f>
        <v>1326</v>
      </c>
      <c r="X31" s="15">
        <f>IF(Setting!J30="","",RANK(W31,$W$7:$W$46))</f>
        <v>26</v>
      </c>
    </row>
    <row r="32" spans="1:24" x14ac:dyDescent="0.25">
      <c r="A32" s="12">
        <v>26</v>
      </c>
      <c r="B32" s="23" t="str">
        <f>IF(Setting!J31="","",Setting!J31)</f>
        <v>Nauval Nur Mustafa</v>
      </c>
      <c r="C32" s="28">
        <f>IF(Setting!J31="","",Setting!K31)</f>
        <v>2008253</v>
      </c>
      <c r="D32" s="28" t="str">
        <f>IF(Setting!J31="","",Setting!L31)</f>
        <v>0061518278</v>
      </c>
      <c r="E32" s="15" t="str">
        <f>IF(Setting!J31="","",Setting!$E$11)</f>
        <v>XII MIPA 4</v>
      </c>
      <c r="F32" s="15" t="str">
        <f>IF(Setting!J31="","",Setting!$E$15)</f>
        <v>V</v>
      </c>
      <c r="G32" s="15">
        <f>IF(Legger!J34="","",Legger!J34)</f>
        <v>94</v>
      </c>
      <c r="H32" s="15">
        <f>IF(Legger!P34="","",Legger!P34)</f>
        <v>88</v>
      </c>
      <c r="I32" s="15">
        <f>IF(Legger!V34="","",Legger!V34)</f>
        <v>83</v>
      </c>
      <c r="J32" s="15">
        <f>IF(Legger!AB34="","",Legger!AB34)</f>
        <v>91</v>
      </c>
      <c r="K32" s="15">
        <f>IF(Legger!AH34="","",Legger!AH34)</f>
        <v>91</v>
      </c>
      <c r="L32" s="15">
        <f>IF(Legger!AN34="","",Legger!AN34)</f>
        <v>90</v>
      </c>
      <c r="M32" s="15">
        <f>IF(Legger!AT34="","",Legger!AT34)</f>
        <v>90</v>
      </c>
      <c r="N32" s="101">
        <f>IF(Legger!AZ34="","",Legger!AZ34)</f>
        <v>91</v>
      </c>
      <c r="O32" s="15">
        <f>IF(Legger!BF34="","",Legger!BF34)</f>
        <v>91</v>
      </c>
      <c r="P32" s="15">
        <f>IF(Legger!BL34="","",Legger!BL34)</f>
        <v>81</v>
      </c>
      <c r="Q32" s="15">
        <f>IF(Legger!BR34="","",Legger!BR34)</f>
        <v>80</v>
      </c>
      <c r="R32" s="15">
        <f>IF(Legger!BX34="","",Legger!BX34)</f>
        <v>83</v>
      </c>
      <c r="S32" s="15">
        <f>IF(Legger!CD34="","",Legger!CD34)</f>
        <v>91</v>
      </c>
      <c r="T32" s="15">
        <f>IF(Legger!CJ34="","",Legger!CJ34)</f>
        <v>90</v>
      </c>
      <c r="U32" s="15">
        <f>IF(Legger!CP34="","",Legger!CP34)</f>
        <v>88</v>
      </c>
      <c r="V32" s="15" t="str">
        <f>IF(Legger!CV34="","",Legger!CV34)</f>
        <v/>
      </c>
      <c r="W32" s="15">
        <f>IF(Setting!J31="","",SUM(G32:V32))</f>
        <v>1322</v>
      </c>
      <c r="X32" s="15">
        <f>IF(Setting!J31="","",RANK(W32,$W$7:$W$46))</f>
        <v>29</v>
      </c>
    </row>
    <row r="33" spans="1:124" x14ac:dyDescent="0.25">
      <c r="A33" s="12">
        <v>27</v>
      </c>
      <c r="B33" s="23" t="str">
        <f>IF(Setting!J32="","",Setting!J32)</f>
        <v>Oriegano Kanahaya Siagian</v>
      </c>
      <c r="C33" s="28">
        <f>IF(Setting!J32="","",Setting!K32)</f>
        <v>2008272</v>
      </c>
      <c r="D33" s="28" t="str">
        <f>IF(Setting!J32="","",Setting!L32)</f>
        <v>0051837216</v>
      </c>
      <c r="E33" s="15" t="str">
        <f>IF(Setting!J32="","",Setting!$E$11)</f>
        <v>XII MIPA 4</v>
      </c>
      <c r="F33" s="15" t="str">
        <f>IF(Setting!J32="","",Setting!$E$15)</f>
        <v>V</v>
      </c>
      <c r="G33" s="15">
        <f>IF(Legger!J35="","",Legger!J35)</f>
        <v>93</v>
      </c>
      <c r="H33" s="15">
        <f>IF(Legger!P35="","",Legger!P35)</f>
        <v>88</v>
      </c>
      <c r="I33" s="15">
        <f>IF(Legger!V35="","",Legger!V35)</f>
        <v>89</v>
      </c>
      <c r="J33" s="15">
        <f>IF(Legger!AB35="","",Legger!AB35)</f>
        <v>91</v>
      </c>
      <c r="K33" s="15">
        <f>IF(Legger!AH35="","",Legger!AH35)</f>
        <v>92</v>
      </c>
      <c r="L33" s="15">
        <f>IF(Legger!AN35="","",Legger!AN35)</f>
        <v>88</v>
      </c>
      <c r="M33" s="15">
        <f>IF(Legger!AT35="","",Legger!AT35)</f>
        <v>89</v>
      </c>
      <c r="N33" s="101">
        <f>IF(Legger!AZ35="","",Legger!AZ35)</f>
        <v>92</v>
      </c>
      <c r="O33" s="15">
        <f>IF(Legger!BF35="","",Legger!BF35)</f>
        <v>92</v>
      </c>
      <c r="P33" s="15">
        <f>IF(Legger!BL35="","",Legger!BL35)</f>
        <v>80</v>
      </c>
      <c r="Q33" s="15">
        <f>IF(Legger!BR35="","",Legger!BR35)</f>
        <v>89</v>
      </c>
      <c r="R33" s="15">
        <f>IF(Legger!BX35="","",Legger!BX35)</f>
        <v>86</v>
      </c>
      <c r="S33" s="15">
        <f>IF(Legger!CD35="","",Legger!CD35)</f>
        <v>93</v>
      </c>
      <c r="T33" s="15">
        <f>IF(Legger!CJ35="","",Legger!CJ35)</f>
        <v>90</v>
      </c>
      <c r="U33" s="15">
        <f>IF(Legger!CP35="","",Legger!CP35)</f>
        <v>90</v>
      </c>
      <c r="V33" s="15" t="str">
        <f>IF(Legger!CV35="","",Legger!CV35)</f>
        <v/>
      </c>
      <c r="W33" s="15">
        <f>IF(Setting!J32="","",SUM(G33:V33))</f>
        <v>1342</v>
      </c>
      <c r="X33" s="15">
        <f>IF(Setting!J32="","",RANK(W33,$W$7:$W$46))</f>
        <v>17</v>
      </c>
    </row>
    <row r="34" spans="1:124" x14ac:dyDescent="0.25">
      <c r="A34" s="12">
        <v>28</v>
      </c>
      <c r="B34" s="23" t="str">
        <f>IF(Setting!J33="","",Setting!J33)</f>
        <v>Rafif Mahatma Indrastata</v>
      </c>
      <c r="C34" s="28">
        <f>IF(Setting!J33="","",Setting!K33)</f>
        <v>2008282</v>
      </c>
      <c r="D34" s="28" t="str">
        <f>IF(Setting!J33="","",Setting!L33)</f>
        <v>0045017851</v>
      </c>
      <c r="E34" s="15" t="str">
        <f>IF(Setting!J33="","",Setting!$E$11)</f>
        <v>XII MIPA 4</v>
      </c>
      <c r="F34" s="15" t="str">
        <f>IF(Setting!J33="","",Setting!$E$15)</f>
        <v>V</v>
      </c>
      <c r="G34" s="15">
        <f>IF(Legger!J36="","",Legger!J36)</f>
        <v>94</v>
      </c>
      <c r="H34" s="15">
        <f>IF(Legger!P36="","",Legger!P36)</f>
        <v>86</v>
      </c>
      <c r="I34" s="15">
        <f>IF(Legger!V36="","",Legger!V36)</f>
        <v>84</v>
      </c>
      <c r="J34" s="15">
        <f>IF(Legger!AB36="","",Legger!AB36)</f>
        <v>94</v>
      </c>
      <c r="K34" s="15">
        <f>IF(Legger!AH36="","",Legger!AH36)</f>
        <v>92</v>
      </c>
      <c r="L34" s="15">
        <f>IF(Legger!AN36="","",Legger!AN36)</f>
        <v>87</v>
      </c>
      <c r="M34" s="15">
        <f>IF(Legger!AT36="","",Legger!AT36)</f>
        <v>89</v>
      </c>
      <c r="N34" s="101">
        <f>IF(Legger!AZ36="","",Legger!AZ36)</f>
        <v>91</v>
      </c>
      <c r="O34" s="15">
        <f>IF(Legger!BF36="","",Legger!BF36)</f>
        <v>92</v>
      </c>
      <c r="P34" s="15">
        <f>IF(Legger!BL36="","",Legger!BL36)</f>
        <v>91</v>
      </c>
      <c r="Q34" s="15">
        <f>IF(Legger!BR36="","",Legger!BR36)</f>
        <v>83</v>
      </c>
      <c r="R34" s="15">
        <f>IF(Legger!BX36="","",Legger!BX36)</f>
        <v>86</v>
      </c>
      <c r="S34" s="15">
        <f>IF(Legger!CD36="","",Legger!CD36)</f>
        <v>92</v>
      </c>
      <c r="T34" s="15">
        <f>IF(Legger!CJ36="","",Legger!CJ36)</f>
        <v>90</v>
      </c>
      <c r="U34" s="15">
        <f>IF(Legger!CP36="","",Legger!CP36)</f>
        <v>93</v>
      </c>
      <c r="V34" s="15" t="str">
        <f>IF(Legger!CV36="","",Legger!CV36)</f>
        <v/>
      </c>
      <c r="W34" s="15">
        <f>IF(Setting!J33="","",SUM(G34:V34))</f>
        <v>1344</v>
      </c>
      <c r="X34" s="15">
        <f>IF(Setting!J33="","",RANK(W34,$W$7:$W$46))</f>
        <v>14</v>
      </c>
    </row>
    <row r="35" spans="1:124" x14ac:dyDescent="0.25">
      <c r="A35" s="12">
        <v>29</v>
      </c>
      <c r="B35" s="23" t="str">
        <f>IF(Setting!J34="","",Setting!J34)</f>
        <v>Rayhan Yoga Edy Pratama</v>
      </c>
      <c r="C35" s="28">
        <f>IF(Setting!J34="","",Setting!K34)</f>
        <v>2008296</v>
      </c>
      <c r="D35" s="28" t="str">
        <f>IF(Setting!J34="","",Setting!L34)</f>
        <v xml:space="preserve">0041380949 </v>
      </c>
      <c r="E35" s="15" t="str">
        <f>IF(Setting!J34="","",Setting!$E$11)</f>
        <v>XII MIPA 4</v>
      </c>
      <c r="F35" s="15" t="str">
        <f>IF(Setting!J34="","",Setting!$E$15)</f>
        <v>V</v>
      </c>
      <c r="G35" s="15">
        <f>IF(Legger!J37="","",Legger!J37)</f>
        <v>94</v>
      </c>
      <c r="H35" s="15">
        <f>IF(Legger!P37="","",Legger!P37)</f>
        <v>88</v>
      </c>
      <c r="I35" s="15">
        <f>IF(Legger!V37="","",Legger!V37)</f>
        <v>93</v>
      </c>
      <c r="J35" s="15">
        <f>IF(Legger!AB37="","",Legger!AB37)</f>
        <v>92</v>
      </c>
      <c r="K35" s="15">
        <f>IF(Legger!AH37="","",Legger!AH37)</f>
        <v>92</v>
      </c>
      <c r="L35" s="15">
        <f>IF(Legger!AN37="","",Legger!AN37)</f>
        <v>90</v>
      </c>
      <c r="M35" s="15">
        <f>IF(Legger!AT37="","",Legger!AT37)</f>
        <v>89</v>
      </c>
      <c r="N35" s="101">
        <f>IF(Legger!AZ37="","",Legger!AZ37)</f>
        <v>92</v>
      </c>
      <c r="O35" s="15">
        <f>IF(Legger!BF37="","",Legger!BF37)</f>
        <v>93</v>
      </c>
      <c r="P35" s="15">
        <f>IF(Legger!BL37="","",Legger!BL37)</f>
        <v>86</v>
      </c>
      <c r="Q35" s="15">
        <f>IF(Legger!BR37="","",Legger!BR37)</f>
        <v>93</v>
      </c>
      <c r="R35" s="15">
        <f>IF(Legger!BX37="","",Legger!BX37)</f>
        <v>88</v>
      </c>
      <c r="S35" s="15">
        <f>IF(Legger!CD37="","",Legger!CD37)</f>
        <v>95</v>
      </c>
      <c r="T35" s="15">
        <f>IF(Legger!CJ37="","",Legger!CJ37)</f>
        <v>91</v>
      </c>
      <c r="U35" s="15">
        <f>IF(Legger!CP37="","",Legger!CP37)</f>
        <v>90</v>
      </c>
      <c r="V35" s="15" t="str">
        <f>IF(Legger!CV37="","",Legger!CV37)</f>
        <v/>
      </c>
      <c r="W35" s="15">
        <f>IF(Setting!J34="","",SUM(G35:V35))</f>
        <v>1366</v>
      </c>
      <c r="X35" s="15">
        <f>IF(Setting!J34="","",RANK(W35,$W$7:$W$46))</f>
        <v>5</v>
      </c>
    </row>
    <row r="36" spans="1:124" x14ac:dyDescent="0.25">
      <c r="A36" s="12">
        <v>30</v>
      </c>
      <c r="B36" s="23" t="str">
        <f>IF(Setting!J35="","",Setting!J35)</f>
        <v>Rusianto Munif</v>
      </c>
      <c r="C36" s="28">
        <f>IF(Setting!J35="","",Setting!K35)</f>
        <v>2008307</v>
      </c>
      <c r="D36" s="28" t="str">
        <f>IF(Setting!J35="","",Setting!L35)</f>
        <v>0060172183</v>
      </c>
      <c r="E36" s="15" t="str">
        <f>IF(Setting!J35="","",Setting!$E$11)</f>
        <v>XII MIPA 4</v>
      </c>
      <c r="F36" s="15" t="str">
        <f>IF(Setting!J35="","",Setting!$E$15)</f>
        <v>V</v>
      </c>
      <c r="G36" s="15">
        <f>IF(Legger!J38="","",Legger!J38)</f>
        <v>94</v>
      </c>
      <c r="H36" s="15">
        <f>IF(Legger!P38="","",Legger!P38)</f>
        <v>87</v>
      </c>
      <c r="I36" s="15">
        <f>IF(Legger!V38="","",Legger!V38)</f>
        <v>89</v>
      </c>
      <c r="J36" s="15">
        <f>IF(Legger!AB38="","",Legger!AB38)</f>
        <v>93</v>
      </c>
      <c r="K36" s="15">
        <f>IF(Legger!AH38="","",Legger!AH38)</f>
        <v>90</v>
      </c>
      <c r="L36" s="15">
        <f>IF(Legger!AN38="","",Legger!AN38)</f>
        <v>88</v>
      </c>
      <c r="M36" s="15">
        <f>IF(Legger!AT38="","",Legger!AT38)</f>
        <v>88</v>
      </c>
      <c r="N36" s="101">
        <f>IF(Legger!AZ38="","",Legger!AZ38)</f>
        <v>92</v>
      </c>
      <c r="O36" s="15">
        <f>IF(Legger!BF38="","",Legger!BF38)</f>
        <v>92</v>
      </c>
      <c r="P36" s="15">
        <f>IF(Legger!BL38="","",Legger!BL38)</f>
        <v>91</v>
      </c>
      <c r="Q36" s="15">
        <f>IF(Legger!BR38="","",Legger!BR38)</f>
        <v>89</v>
      </c>
      <c r="R36" s="15">
        <f>IF(Legger!BX38="","",Legger!BX38)</f>
        <v>85</v>
      </c>
      <c r="S36" s="15">
        <f>IF(Legger!CD38="","",Legger!CD38)</f>
        <v>95</v>
      </c>
      <c r="T36" s="15">
        <f>IF(Legger!CJ38="","",Legger!CJ38)</f>
        <v>89</v>
      </c>
      <c r="U36" s="15">
        <f>IF(Legger!CP38="","",Legger!CP38)</f>
        <v>89</v>
      </c>
      <c r="V36" s="15" t="str">
        <f>IF(Legger!CV38="","",Legger!CV38)</f>
        <v/>
      </c>
      <c r="W36" s="15">
        <f>IF(Setting!J35="","",SUM(G36:V36))</f>
        <v>1351</v>
      </c>
      <c r="X36" s="15">
        <f>IF(Setting!J35="","",RANK(W36,$W$7:$W$46))</f>
        <v>9</v>
      </c>
    </row>
    <row r="37" spans="1:124" x14ac:dyDescent="0.25">
      <c r="A37" s="12">
        <v>31</v>
      </c>
      <c r="B37" s="23" t="str">
        <f>IF(Setting!J36="","",Setting!J36)</f>
        <v>Zaidan Mu'afy Althaf</v>
      </c>
      <c r="C37" s="28">
        <f>IF(Setting!J36="","",Setting!K36)</f>
        <v>2008347</v>
      </c>
      <c r="D37" s="28" t="str">
        <f>IF(Setting!J36="","",Setting!L36)</f>
        <v>0056182222</v>
      </c>
      <c r="E37" s="15" t="str">
        <f>IF(Setting!J36="","",Setting!$E$11)</f>
        <v>XII MIPA 4</v>
      </c>
      <c r="F37" s="15" t="str">
        <f>IF(Setting!J36="","",Setting!$E$15)</f>
        <v>V</v>
      </c>
      <c r="G37" s="15">
        <f>IF(Legger!J39="","",Legger!J39)</f>
        <v>93</v>
      </c>
      <c r="H37" s="15">
        <f>IF(Legger!P39="","",Legger!P39)</f>
        <v>88</v>
      </c>
      <c r="I37" s="15">
        <f>IF(Legger!V39="","",Legger!V39)</f>
        <v>88</v>
      </c>
      <c r="J37" s="15">
        <f>IF(Legger!AB39="","",Legger!AB39)</f>
        <v>91</v>
      </c>
      <c r="K37" s="15">
        <f>IF(Legger!AH39="","",Legger!AH39)</f>
        <v>93</v>
      </c>
      <c r="L37" s="15">
        <f>IF(Legger!AN39="","",Legger!AN39)</f>
        <v>87</v>
      </c>
      <c r="M37" s="15">
        <f>IF(Legger!AT39="","",Legger!AT39)</f>
        <v>90</v>
      </c>
      <c r="N37" s="101">
        <f>IF(Legger!AZ39="","",Legger!AZ39)</f>
        <v>91</v>
      </c>
      <c r="O37" s="15">
        <f>IF(Legger!BF39="","",Legger!BF39)</f>
        <v>93</v>
      </c>
      <c r="P37" s="15">
        <f>IF(Legger!BL39="","",Legger!BL39)</f>
        <v>81</v>
      </c>
      <c r="Q37" s="15">
        <f>IF(Legger!BR39="","",Legger!BR39)</f>
        <v>86</v>
      </c>
      <c r="R37" s="15">
        <f>IF(Legger!BX39="","",Legger!BX39)</f>
        <v>86</v>
      </c>
      <c r="S37" s="15">
        <f>IF(Legger!CD39="","",Legger!CD39)</f>
        <v>95</v>
      </c>
      <c r="T37" s="15">
        <f>IF(Legger!CJ39="","",Legger!CJ39)</f>
        <v>89</v>
      </c>
      <c r="U37" s="15">
        <f>IF(Legger!CP39="","",Legger!CP39)</f>
        <v>93</v>
      </c>
      <c r="V37" s="15" t="str">
        <f>IF(Legger!CV39="","",Legger!CV39)</f>
        <v/>
      </c>
      <c r="W37" s="15">
        <f>IF(Setting!J36="","",SUM(G37:V37))</f>
        <v>1344</v>
      </c>
      <c r="X37" s="15">
        <f>IF(Setting!J36="","",RANK(W37,$W$7:$W$46))</f>
        <v>14</v>
      </c>
    </row>
    <row r="38" spans="1:124" x14ac:dyDescent="0.25">
      <c r="A38" s="12">
        <v>32</v>
      </c>
      <c r="B38" s="23">
        <f>IF(Setting!J37="","",Setting!J37)</f>
        <v>0</v>
      </c>
      <c r="C38" s="28">
        <f>IF(Setting!J37="","",Setting!K37)</f>
        <v>0</v>
      </c>
      <c r="D38" s="28">
        <f>IF(Setting!J37="","",Setting!L37)</f>
        <v>0</v>
      </c>
      <c r="E38" s="15" t="str">
        <f>IF(Setting!J37="","",Setting!$E$11)</f>
        <v>XII MIPA 4</v>
      </c>
      <c r="F38" s="15" t="str">
        <f>IF(Setting!J37="","",Setting!$E$15)</f>
        <v>V</v>
      </c>
      <c r="G38" s="15" t="str">
        <f>IF(Legger!J40="","",Legger!J40)</f>
        <v/>
      </c>
      <c r="H38" s="15" t="str">
        <f>IF(Legger!P40="","",Legger!P40)</f>
        <v/>
      </c>
      <c r="I38" s="15" t="str">
        <f>IF(Legger!V40="","",Legger!V40)</f>
        <v/>
      </c>
      <c r="J38" s="15" t="str">
        <f>IF(Legger!AB40="","",Legger!AB40)</f>
        <v/>
      </c>
      <c r="K38" s="15" t="str">
        <f>IF(Legger!AH40="","",Legger!AH40)</f>
        <v/>
      </c>
      <c r="L38" s="15" t="str">
        <f>IF(Legger!AN40="","",Legger!AN40)</f>
        <v/>
      </c>
      <c r="M38" s="15" t="str">
        <f>IF(Legger!AT40="","",Legger!AT40)</f>
        <v/>
      </c>
      <c r="N38" s="101" t="str">
        <f>IF(Legger!AZ40="","",Legger!AZ40)</f>
        <v/>
      </c>
      <c r="O38" s="15" t="str">
        <f>IF(Legger!BF40="","",Legger!BF40)</f>
        <v/>
      </c>
      <c r="P38" s="15" t="str">
        <f>IF(Legger!BL40="","",Legger!BL40)</f>
        <v/>
      </c>
      <c r="Q38" s="15" t="str">
        <f>IF(Legger!BR40="","",Legger!BR40)</f>
        <v/>
      </c>
      <c r="R38" s="15" t="str">
        <f>IF(Legger!BX40="","",Legger!BX40)</f>
        <v/>
      </c>
      <c r="S38" s="15" t="str">
        <f>IF(Legger!CD40="","",Legger!CD40)</f>
        <v/>
      </c>
      <c r="T38" s="15" t="str">
        <f>IF(Legger!CJ40="","",Legger!CJ40)</f>
        <v/>
      </c>
      <c r="U38" s="15" t="str">
        <f>IF(Legger!CP40="","",Legger!CP40)</f>
        <v/>
      </c>
      <c r="V38" s="15" t="str">
        <f>IF(Legger!CV40="","",Legger!CV40)</f>
        <v/>
      </c>
      <c r="W38" s="15">
        <f>IF(Setting!J37="","",SUM(G38:V38))</f>
        <v>0</v>
      </c>
      <c r="X38" s="15">
        <f>IF(Setting!J37="","",RANK(W38,$W$7:$W$46))</f>
        <v>32</v>
      </c>
    </row>
    <row r="39" spans="1:124" x14ac:dyDescent="0.25">
      <c r="A39" s="12">
        <v>33</v>
      </c>
      <c r="B39" s="23">
        <f>IF(Setting!J38="","",Setting!J38)</f>
        <v>0</v>
      </c>
      <c r="C39" s="28">
        <f>IF(Setting!J38="","",Setting!K38)</f>
        <v>0</v>
      </c>
      <c r="D39" s="28">
        <f>IF(Setting!J38="","",Setting!L38)</f>
        <v>0</v>
      </c>
      <c r="E39" s="15" t="str">
        <f>IF(Setting!J38="","",Setting!$E$11)</f>
        <v>XII MIPA 4</v>
      </c>
      <c r="F39" s="15" t="str">
        <f>IF(Setting!J38="","",Setting!$E$15)</f>
        <v>V</v>
      </c>
      <c r="G39" s="15" t="str">
        <f>IF(Legger!J41="","",Legger!J41)</f>
        <v/>
      </c>
      <c r="H39" s="15" t="str">
        <f>IF(Legger!P41="","",Legger!P41)</f>
        <v/>
      </c>
      <c r="I39" s="15" t="str">
        <f>IF(Legger!V41="","",Legger!V41)</f>
        <v/>
      </c>
      <c r="J39" s="15" t="str">
        <f>IF(Legger!AB41="","",Legger!AB41)</f>
        <v/>
      </c>
      <c r="K39" s="15" t="str">
        <f>IF(Legger!AH41="","",Legger!AH41)</f>
        <v/>
      </c>
      <c r="L39" s="15" t="str">
        <f>IF(Legger!AN41="","",Legger!AN41)</f>
        <v/>
      </c>
      <c r="M39" s="15" t="str">
        <f>IF(Legger!AT41="","",Legger!AT41)</f>
        <v/>
      </c>
      <c r="N39" s="101" t="str">
        <f>IF(Legger!AZ41="","",Legger!AZ41)</f>
        <v/>
      </c>
      <c r="O39" s="15" t="str">
        <f>IF(Legger!BF41="","",Legger!BF41)</f>
        <v/>
      </c>
      <c r="P39" s="15" t="str">
        <f>IF(Legger!BL41="","",Legger!BL41)</f>
        <v/>
      </c>
      <c r="Q39" s="15" t="str">
        <f>IF(Legger!BR41="","",Legger!BR41)</f>
        <v/>
      </c>
      <c r="R39" s="15" t="str">
        <f>IF(Legger!BX41="","",Legger!BX41)</f>
        <v/>
      </c>
      <c r="S39" s="15" t="str">
        <f>IF(Legger!CD41="","",Legger!CD41)</f>
        <v/>
      </c>
      <c r="T39" s="15" t="str">
        <f>IF(Legger!CJ41="","",Legger!CJ41)</f>
        <v/>
      </c>
      <c r="U39" s="15" t="str">
        <f>IF(Legger!CP41="","",Legger!CP41)</f>
        <v/>
      </c>
      <c r="V39" s="15" t="str">
        <f>IF(Legger!CV41="","",Legger!CV41)</f>
        <v/>
      </c>
      <c r="W39" s="15">
        <f>IF(Setting!J38="","",SUM(G39:V39))</f>
        <v>0</v>
      </c>
      <c r="X39" s="15">
        <f>IF(Setting!J38="","",RANK(W39,$W$7:$W$46))</f>
        <v>32</v>
      </c>
    </row>
    <row r="40" spans="1:124" x14ac:dyDescent="0.25">
      <c r="A40" s="12">
        <v>34</v>
      </c>
      <c r="B40" s="23">
        <f>IF(Setting!J39="","",Setting!J39)</f>
        <v>0</v>
      </c>
      <c r="C40" s="28">
        <f>IF(Setting!J39="","",Setting!K39)</f>
        <v>0</v>
      </c>
      <c r="D40" s="28">
        <f>IF(Setting!J39="","",Setting!L39)</f>
        <v>0</v>
      </c>
      <c r="E40" s="15" t="str">
        <f>IF(Setting!J39="","",Setting!$E$11)</f>
        <v>XII MIPA 4</v>
      </c>
      <c r="F40" s="15" t="str">
        <f>IF(Setting!J39="","",Setting!$E$15)</f>
        <v>V</v>
      </c>
      <c r="G40" s="15" t="str">
        <f>IF(Legger!J42="","",Legger!J42)</f>
        <v/>
      </c>
      <c r="H40" s="15" t="str">
        <f>IF(Legger!P42="","",Legger!P42)</f>
        <v/>
      </c>
      <c r="I40" s="15" t="str">
        <f>IF(Legger!V42="","",Legger!V42)</f>
        <v/>
      </c>
      <c r="J40" s="15" t="str">
        <f>IF(Legger!AB42="","",Legger!AB42)</f>
        <v/>
      </c>
      <c r="K40" s="15" t="str">
        <f>IF(Legger!AH42="","",Legger!AH42)</f>
        <v/>
      </c>
      <c r="L40" s="15" t="str">
        <f>IF(Legger!AN42="","",Legger!AN42)</f>
        <v/>
      </c>
      <c r="M40" s="15" t="str">
        <f>IF(Legger!AT42="","",Legger!AT42)</f>
        <v/>
      </c>
      <c r="N40" s="101" t="str">
        <f>IF(Legger!AZ42="","",Legger!AZ42)</f>
        <v/>
      </c>
      <c r="O40" s="15" t="str">
        <f>IF(Legger!BF42="","",Legger!BF42)</f>
        <v/>
      </c>
      <c r="P40" s="15" t="str">
        <f>IF(Legger!BL42="","",Legger!BL42)</f>
        <v/>
      </c>
      <c r="Q40" s="15" t="str">
        <f>IF(Legger!BR42="","",Legger!BR42)</f>
        <v/>
      </c>
      <c r="R40" s="15" t="str">
        <f>IF(Legger!BX42="","",Legger!BX42)</f>
        <v/>
      </c>
      <c r="S40" s="15" t="str">
        <f>IF(Legger!CD42="","",Legger!CD42)</f>
        <v/>
      </c>
      <c r="T40" s="15" t="str">
        <f>IF(Legger!CJ42="","",Legger!CJ42)</f>
        <v/>
      </c>
      <c r="U40" s="15" t="str">
        <f>IF(Legger!CP42="","",Legger!CP42)</f>
        <v/>
      </c>
      <c r="V40" s="15" t="str">
        <f>IF(Legger!CV42="","",Legger!CV42)</f>
        <v/>
      </c>
      <c r="W40" s="15">
        <f>IF(Setting!J39="","",SUM(G40:V40))</f>
        <v>0</v>
      </c>
      <c r="X40" s="15">
        <f>IF(Setting!J39="","",RANK(W40,$W$7:$W$46))</f>
        <v>32</v>
      </c>
    </row>
    <row r="41" spans="1:124" x14ac:dyDescent="0.25">
      <c r="A41" s="12">
        <v>35</v>
      </c>
      <c r="B41" s="23">
        <f>IF(Setting!J40="","",Setting!J40)</f>
        <v>0</v>
      </c>
      <c r="C41" s="28">
        <f>IF(Setting!J40="","",Setting!K40)</f>
        <v>0</v>
      </c>
      <c r="D41" s="28">
        <f>IF(Setting!J40="","",Setting!L40)</f>
        <v>0</v>
      </c>
      <c r="E41" s="15" t="str">
        <f>IF(Setting!J40="","",Setting!$E$11)</f>
        <v>XII MIPA 4</v>
      </c>
      <c r="F41" s="15" t="str">
        <f>IF(Setting!J40="","",Setting!$E$15)</f>
        <v>V</v>
      </c>
      <c r="G41" s="15" t="str">
        <f>IF(Legger!J43="","",Legger!J43)</f>
        <v/>
      </c>
      <c r="H41" s="15" t="str">
        <f>IF(Legger!P43="","",Legger!P43)</f>
        <v/>
      </c>
      <c r="I41" s="15" t="str">
        <f>IF(Legger!V43="","",Legger!V43)</f>
        <v/>
      </c>
      <c r="J41" s="15" t="str">
        <f>IF(Legger!AB43="","",Legger!AB43)</f>
        <v/>
      </c>
      <c r="K41" s="15" t="str">
        <f>IF(Legger!AH43="","",Legger!AH43)</f>
        <v/>
      </c>
      <c r="L41" s="15" t="str">
        <f>IF(Legger!AN43="","",Legger!AN43)</f>
        <v/>
      </c>
      <c r="M41" s="15" t="str">
        <f>IF(Legger!AT43="","",Legger!AT43)</f>
        <v/>
      </c>
      <c r="N41" s="101" t="str">
        <f>IF(Legger!AZ43="","",Legger!AZ43)</f>
        <v/>
      </c>
      <c r="O41" s="15" t="str">
        <f>IF(Legger!BF43="","",Legger!BF43)</f>
        <v/>
      </c>
      <c r="P41" s="15" t="str">
        <f>IF(Legger!BL43="","",Legger!BL43)</f>
        <v/>
      </c>
      <c r="Q41" s="15" t="str">
        <f>IF(Legger!BR43="","",Legger!BR43)</f>
        <v/>
      </c>
      <c r="R41" s="15" t="str">
        <f>IF(Legger!BX43="","",Legger!BX43)</f>
        <v/>
      </c>
      <c r="S41" s="15" t="str">
        <f>IF(Legger!CD43="","",Legger!CD43)</f>
        <v/>
      </c>
      <c r="T41" s="15" t="str">
        <f>IF(Legger!CJ43="","",Legger!CJ43)</f>
        <v/>
      </c>
      <c r="U41" s="15" t="str">
        <f>IF(Legger!CP43="","",Legger!CP43)</f>
        <v/>
      </c>
      <c r="V41" s="15" t="str">
        <f>IF(Legger!CV43="","",Legger!CV43)</f>
        <v/>
      </c>
      <c r="W41" s="15">
        <f>IF(Setting!J40="","",SUM(G41:V41))</f>
        <v>0</v>
      </c>
      <c r="X41" s="15">
        <f>IF(Setting!J40="","",RANK(W41,$W$7:$W$46))</f>
        <v>32</v>
      </c>
    </row>
    <row r="42" spans="1:124" x14ac:dyDescent="0.25">
      <c r="A42" s="12">
        <v>36</v>
      </c>
      <c r="B42" s="23" t="str">
        <f>IF(Setting!J41="","",Setting!J41)</f>
        <v/>
      </c>
      <c r="C42" s="28" t="str">
        <f>IF(Setting!J41="","",Setting!K41)</f>
        <v/>
      </c>
      <c r="D42" s="28" t="str">
        <f>IF(Setting!J41="","",Setting!L41)</f>
        <v/>
      </c>
      <c r="E42" s="15" t="str">
        <f>IF(Setting!J41="","",Setting!$E$11)</f>
        <v/>
      </c>
      <c r="F42" s="15" t="str">
        <f>IF(Setting!J41="","",Setting!$E$15)</f>
        <v/>
      </c>
      <c r="G42" s="15" t="str">
        <f>IF(Legger!J44="","",Legger!J44)</f>
        <v/>
      </c>
      <c r="H42" s="15" t="str">
        <f>IF(Legger!P44="","",Legger!P44)</f>
        <v/>
      </c>
      <c r="I42" s="15" t="str">
        <f>IF(Legger!V44="","",Legger!V44)</f>
        <v/>
      </c>
      <c r="J42" s="15" t="str">
        <f>IF(Legger!AB44="","",Legger!AB44)</f>
        <v/>
      </c>
      <c r="K42" s="15" t="str">
        <f>IF(Legger!AH44="","",Legger!AH44)</f>
        <v/>
      </c>
      <c r="L42" s="15" t="str">
        <f>IF(Legger!AN44="","",Legger!AN44)</f>
        <v/>
      </c>
      <c r="M42" s="15" t="str">
        <f>IF(Legger!AT44="","",Legger!AT44)</f>
        <v/>
      </c>
      <c r="N42" s="101" t="str">
        <f>IF(Legger!AZ44="","",Legger!AZ44)</f>
        <v/>
      </c>
      <c r="O42" s="15" t="str">
        <f>IF(Legger!BF44="","",Legger!BF44)</f>
        <v/>
      </c>
      <c r="P42" s="15" t="str">
        <f>IF(Legger!BL44="","",Legger!BL44)</f>
        <v/>
      </c>
      <c r="Q42" s="15" t="str">
        <f>IF(Legger!BR44="","",Legger!BR44)</f>
        <v/>
      </c>
      <c r="R42" s="15" t="str">
        <f>IF(Legger!BX44="","",Legger!BX44)</f>
        <v/>
      </c>
      <c r="S42" s="15" t="str">
        <f>IF(Legger!CD44="","",Legger!CD44)</f>
        <v/>
      </c>
      <c r="T42" s="15" t="str">
        <f>IF(Legger!CJ44="","",Legger!CJ44)</f>
        <v/>
      </c>
      <c r="U42" s="15" t="str">
        <f>IF(Legger!CP44="","",Legger!CP44)</f>
        <v/>
      </c>
      <c r="V42" s="15" t="str">
        <f>IF(Legger!CV44="","",Legger!CV44)</f>
        <v/>
      </c>
      <c r="W42" s="15" t="str">
        <f>IF(Setting!J41="","",SUM(G42:V42))</f>
        <v/>
      </c>
      <c r="X42" s="15" t="str">
        <f>IF(Setting!J41="","",RANK(W42,$W$7:$W$46))</f>
        <v/>
      </c>
    </row>
    <row r="43" spans="1:124" x14ac:dyDescent="0.25">
      <c r="A43" s="12">
        <v>37</v>
      </c>
      <c r="B43" s="23" t="str">
        <f>IF(Setting!J42="","",Setting!J42)</f>
        <v/>
      </c>
      <c r="C43" s="28" t="str">
        <f>IF(Setting!J42="","",Setting!K42)</f>
        <v/>
      </c>
      <c r="D43" s="28" t="str">
        <f>IF(Setting!J42="","",Setting!L42)</f>
        <v/>
      </c>
      <c r="E43" s="15" t="str">
        <f>IF(Setting!J42="","",Setting!$E$11)</f>
        <v/>
      </c>
      <c r="F43" s="15" t="str">
        <f>IF(Setting!J42="","",Setting!$E$15)</f>
        <v/>
      </c>
      <c r="G43" s="15" t="str">
        <f>IF(Legger!J45="","",Legger!J45)</f>
        <v/>
      </c>
      <c r="H43" s="15" t="str">
        <f>IF(Legger!P45="","",Legger!P45)</f>
        <v/>
      </c>
      <c r="I43" s="15" t="str">
        <f>IF(Legger!V45="","",Legger!V45)</f>
        <v/>
      </c>
      <c r="J43" s="15" t="str">
        <f>IF(Legger!AB45="","",Legger!AB45)</f>
        <v/>
      </c>
      <c r="K43" s="15" t="str">
        <f>IF(Legger!AH45="","",Legger!AH45)</f>
        <v/>
      </c>
      <c r="L43" s="15" t="str">
        <f>IF(Legger!AN45="","",Legger!AN45)</f>
        <v/>
      </c>
      <c r="M43" s="15" t="str">
        <f>IF(Legger!AT45="","",Legger!AT45)</f>
        <v/>
      </c>
      <c r="N43" s="101" t="str">
        <f>IF(Legger!AZ45="","",Legger!AZ45)</f>
        <v/>
      </c>
      <c r="O43" s="15" t="str">
        <f>IF(Legger!BF45="","",Legger!BF45)</f>
        <v/>
      </c>
      <c r="P43" s="15" t="str">
        <f>IF(Legger!BL45="","",Legger!BL45)</f>
        <v/>
      </c>
      <c r="Q43" s="15" t="str">
        <f>IF(Legger!BR45="","",Legger!BR45)</f>
        <v/>
      </c>
      <c r="R43" s="15" t="str">
        <f>IF(Legger!BX45="","",Legger!BX45)</f>
        <v/>
      </c>
      <c r="S43" s="15" t="str">
        <f>IF(Legger!CD45="","",Legger!CD45)</f>
        <v/>
      </c>
      <c r="T43" s="15" t="str">
        <f>IF(Legger!CJ45="","",Legger!CJ45)</f>
        <v/>
      </c>
      <c r="U43" s="15" t="str">
        <f>IF(Legger!CP45="","",Legger!CP45)</f>
        <v/>
      </c>
      <c r="V43" s="15" t="str">
        <f>IF(Legger!CV45="","",Legger!CV45)</f>
        <v/>
      </c>
      <c r="W43" s="15" t="str">
        <f>IF(Setting!J42="","",SUM(G43:V43))</f>
        <v/>
      </c>
      <c r="X43" s="15" t="str">
        <f>IF(Setting!J42="","",RANK(W43,$W$7:$W$46))</f>
        <v/>
      </c>
    </row>
    <row r="44" spans="1:124" x14ac:dyDescent="0.25">
      <c r="A44" s="12">
        <v>38</v>
      </c>
      <c r="B44" s="23" t="str">
        <f>IF(Setting!J43="","",Setting!J43)</f>
        <v/>
      </c>
      <c r="C44" s="28" t="str">
        <f>IF(Setting!J43="","",Setting!K43)</f>
        <v/>
      </c>
      <c r="D44" s="28" t="str">
        <f>IF(Setting!J43="","",Setting!L43)</f>
        <v/>
      </c>
      <c r="E44" s="15" t="str">
        <f>IF(Setting!J43="","",Setting!$E$11)</f>
        <v/>
      </c>
      <c r="F44" s="15" t="str">
        <f>IF(Setting!J43="","",Setting!$E$15)</f>
        <v/>
      </c>
      <c r="G44" s="15" t="str">
        <f>IF(Legger!J46="","",Legger!J46)</f>
        <v/>
      </c>
      <c r="H44" s="15" t="str">
        <f>IF(Legger!P46="","",Legger!P46)</f>
        <v/>
      </c>
      <c r="I44" s="15" t="str">
        <f>IF(Legger!V46="","",Legger!V46)</f>
        <v/>
      </c>
      <c r="J44" s="15" t="str">
        <f>IF(Legger!AB46="","",Legger!AB46)</f>
        <v/>
      </c>
      <c r="K44" s="15" t="str">
        <f>IF(Legger!AH46="","",Legger!AH46)</f>
        <v/>
      </c>
      <c r="L44" s="15" t="str">
        <f>IF(Legger!AN46="","",Legger!AN46)</f>
        <v/>
      </c>
      <c r="M44" s="15" t="str">
        <f>IF(Legger!AT46="","",Legger!AT46)</f>
        <v/>
      </c>
      <c r="N44" s="101" t="str">
        <f>IF(Legger!AZ46="","",Legger!AZ46)</f>
        <v/>
      </c>
      <c r="O44" s="15" t="str">
        <f>IF(Legger!BF46="","",Legger!BF46)</f>
        <v/>
      </c>
      <c r="P44" s="15" t="str">
        <f>IF(Legger!BL46="","",Legger!BL46)</f>
        <v/>
      </c>
      <c r="Q44" s="15" t="str">
        <f>IF(Legger!BR46="","",Legger!BR46)</f>
        <v/>
      </c>
      <c r="R44" s="15" t="str">
        <f>IF(Legger!BX46="","",Legger!BX46)</f>
        <v/>
      </c>
      <c r="S44" s="15" t="str">
        <f>IF(Legger!CD46="","",Legger!CD46)</f>
        <v/>
      </c>
      <c r="T44" s="15" t="str">
        <f>IF(Legger!CJ46="","",Legger!CJ46)</f>
        <v/>
      </c>
      <c r="U44" s="15" t="str">
        <f>IF(Legger!CP46="","",Legger!CP46)</f>
        <v/>
      </c>
      <c r="V44" s="15" t="str">
        <f>IF(Legger!CV46="","",Legger!CV46)</f>
        <v/>
      </c>
      <c r="W44" s="15" t="str">
        <f>IF(Setting!J43="","",SUM(G44:V44))</f>
        <v/>
      </c>
      <c r="X44" s="15" t="str">
        <f>IF(Setting!J43="","",RANK(W44,$W$7:$W$46))</f>
        <v/>
      </c>
    </row>
    <row r="45" spans="1:124" x14ac:dyDescent="0.25">
      <c r="A45" s="12">
        <v>39</v>
      </c>
      <c r="B45" s="23" t="str">
        <f>IF(Setting!J44="","",Setting!J44)</f>
        <v/>
      </c>
      <c r="C45" s="28" t="str">
        <f>IF(Setting!J44="","",Setting!K44)</f>
        <v/>
      </c>
      <c r="D45" s="28" t="str">
        <f>IF(Setting!J44="","",Setting!L44)</f>
        <v/>
      </c>
      <c r="E45" s="15" t="str">
        <f>IF(Setting!J44="","",Setting!$E$11)</f>
        <v/>
      </c>
      <c r="F45" s="15" t="str">
        <f>IF(Setting!J44="","",Setting!$E$15)</f>
        <v/>
      </c>
      <c r="G45" s="15" t="str">
        <f>IF(Legger!J47="","",Legger!J47)</f>
        <v/>
      </c>
      <c r="H45" s="15" t="str">
        <f>IF(Legger!P47="","",Legger!P47)</f>
        <v/>
      </c>
      <c r="I45" s="15" t="str">
        <f>IF(Legger!V47="","",Legger!V47)</f>
        <v/>
      </c>
      <c r="J45" s="15" t="str">
        <f>IF(Legger!AB47="","",Legger!AB47)</f>
        <v/>
      </c>
      <c r="K45" s="15" t="str">
        <f>IF(Legger!AH47="","",Legger!AH47)</f>
        <v/>
      </c>
      <c r="L45" s="15" t="str">
        <f>IF(Legger!AN47="","",Legger!AN47)</f>
        <v/>
      </c>
      <c r="M45" s="15" t="str">
        <f>IF(Legger!AT47="","",Legger!AT47)</f>
        <v/>
      </c>
      <c r="N45" s="101" t="str">
        <f>IF(Legger!AZ47="","",Legger!AZ47)</f>
        <v/>
      </c>
      <c r="O45" s="15" t="str">
        <f>IF(Legger!BF47="","",Legger!BF47)</f>
        <v/>
      </c>
      <c r="P45" s="15" t="str">
        <f>IF(Legger!BL47="","",Legger!BL47)</f>
        <v/>
      </c>
      <c r="Q45" s="15" t="str">
        <f>IF(Legger!BR47="","",Legger!BR47)</f>
        <v/>
      </c>
      <c r="R45" s="15" t="str">
        <f>IF(Legger!BX47="","",Legger!BX47)</f>
        <v/>
      </c>
      <c r="S45" s="15" t="str">
        <f>IF(Legger!CD47="","",Legger!CD47)</f>
        <v/>
      </c>
      <c r="T45" s="15" t="str">
        <f>IF(Legger!CJ47="","",Legger!CJ47)</f>
        <v/>
      </c>
      <c r="U45" s="15" t="str">
        <f>IF(Legger!CP47="","",Legger!CP47)</f>
        <v/>
      </c>
      <c r="V45" s="15" t="str">
        <f>IF(Legger!CV47="","",Legger!CV47)</f>
        <v/>
      </c>
      <c r="W45" s="15" t="str">
        <f>IF(Setting!J44="","",SUM(G45:V45))</f>
        <v/>
      </c>
      <c r="X45" s="15" t="str">
        <f>IF(Setting!J44="","",RANK(W45,$W$7:$W$46))</f>
        <v/>
      </c>
    </row>
    <row r="46" spans="1:124" x14ac:dyDescent="0.25">
      <c r="A46" s="12">
        <v>40</v>
      </c>
      <c r="B46" s="23" t="str">
        <f>IF(Setting!J45="","",Setting!J45)</f>
        <v/>
      </c>
      <c r="C46" s="28" t="str">
        <f>IF(Setting!J45="","",Setting!K45)</f>
        <v/>
      </c>
      <c r="D46" s="28" t="str">
        <f>IF(Setting!J45="","",Setting!L45)</f>
        <v/>
      </c>
      <c r="E46" s="15" t="str">
        <f>IF(Setting!J45="","",Setting!$E$11)</f>
        <v/>
      </c>
      <c r="F46" s="15" t="str">
        <f>IF(Setting!J45="","",Setting!$E$15)</f>
        <v/>
      </c>
      <c r="G46" s="15" t="str">
        <f>IF(Legger!J48="","",Legger!J48)</f>
        <v/>
      </c>
      <c r="H46" s="15" t="str">
        <f>IF(Legger!P48="","",Legger!P48)</f>
        <v/>
      </c>
      <c r="I46" s="15" t="str">
        <f>IF(Legger!V48="","",Legger!V48)</f>
        <v/>
      </c>
      <c r="J46" s="15" t="str">
        <f>IF(Legger!AB48="","",Legger!AB48)</f>
        <v/>
      </c>
      <c r="K46" s="15" t="str">
        <f>IF(Legger!AH48="","",Legger!AH48)</f>
        <v/>
      </c>
      <c r="L46" s="15" t="str">
        <f>IF(Legger!AN48="","",Legger!AN48)</f>
        <v/>
      </c>
      <c r="M46" s="15" t="str">
        <f>IF(Legger!AT48="","",Legger!AT48)</f>
        <v/>
      </c>
      <c r="N46" s="101" t="str">
        <f>IF(Legger!AZ48="","",Legger!AZ48)</f>
        <v/>
      </c>
      <c r="O46" s="15" t="str">
        <f>IF(Legger!BF48="","",Legger!BF48)</f>
        <v/>
      </c>
      <c r="P46" s="15" t="str">
        <f>IF(Legger!BL48="","",Legger!BL48)</f>
        <v/>
      </c>
      <c r="Q46" s="15" t="str">
        <f>IF(Legger!BR48="","",Legger!BR48)</f>
        <v/>
      </c>
      <c r="R46" s="15" t="str">
        <f>IF(Legger!BX48="","",Legger!BX48)</f>
        <v/>
      </c>
      <c r="S46" s="15" t="str">
        <f>IF(Legger!CD48="","",Legger!CD48)</f>
        <v/>
      </c>
      <c r="T46" s="15" t="str">
        <f>IF(Legger!CJ48="","",Legger!CJ48)</f>
        <v/>
      </c>
      <c r="U46" s="15" t="str">
        <f>IF(Legger!CP48="","",Legger!CP48)</f>
        <v/>
      </c>
      <c r="V46" s="15" t="str">
        <f>IF(Legger!CV48="","",Legger!CV48)</f>
        <v/>
      </c>
      <c r="W46" s="15" t="str">
        <f>IF(Setting!J45="","",SUM(G46:V46))</f>
        <v/>
      </c>
      <c r="X46" s="15" t="str">
        <f>IF(Setting!J45="","",RANK(W46,$W$7:$W$46))</f>
        <v/>
      </c>
    </row>
    <row r="47" spans="1:124" s="9" customFormat="1" x14ac:dyDescent="0.25">
      <c r="A47" s="1"/>
      <c r="B47" s="4"/>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row>
  </sheetData>
  <mergeCells count="12">
    <mergeCell ref="F4:F5"/>
    <mergeCell ref="A4:A5"/>
    <mergeCell ref="B4:B5"/>
    <mergeCell ref="C4:C5"/>
    <mergeCell ref="D4:D5"/>
    <mergeCell ref="E4:E5"/>
    <mergeCell ref="W4:W5"/>
    <mergeCell ref="X4:X5"/>
    <mergeCell ref="G4:L4"/>
    <mergeCell ref="M4:P4"/>
    <mergeCell ref="Q4:T4"/>
    <mergeCell ref="U4:V4"/>
  </mergeCells>
  <conditionalFormatting sqref="G7:V32">
    <cfRule type="cellIs" dxfId="48" priority="2" operator="lessThan">
      <formula>80</formula>
    </cfRule>
    <cfRule type="cellIs" dxfId="47" priority="1" operator="greaterThan">
      <formula>95</formula>
    </cfRule>
  </conditionalFormatting>
  <pageMargins left="0.70866141732283472" right="0.70866141732283472" top="0.74803149606299213" bottom="0.74803149606299213" header="0.31496062992125984" footer="0.31496062992125984"/>
  <pageSetup paperSize="120" scale="4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S47"/>
  <sheetViews>
    <sheetView view="pageBreakPreview" zoomScaleNormal="60" zoomScaleSheetLayoutView="100" workbookViewId="0">
      <pane xSplit="5" topLeftCell="F1" activePane="topRight" state="frozenSplit"/>
      <selection pane="topRight"/>
    </sheetView>
  </sheetViews>
  <sheetFormatPr defaultColWidth="9.140625" defaultRowHeight="15" x14ac:dyDescent="0.25"/>
  <cols>
    <col min="1" max="1" width="6.42578125" style="1" customWidth="1"/>
    <col min="2" max="2" width="32.5703125" style="8" bestFit="1" customWidth="1"/>
    <col min="3" max="3" width="9.140625" style="9" customWidth="1"/>
    <col min="4" max="4" width="20.140625" style="9" customWidth="1"/>
    <col min="5" max="5" width="23" style="8" customWidth="1"/>
    <col min="6" max="6" width="8.140625" style="8" customWidth="1"/>
    <col min="7" max="20" width="6.7109375" style="8" customWidth="1"/>
    <col min="21" max="22" width="7" style="8" customWidth="1"/>
    <col min="23" max="24" width="6.7109375" style="8" customWidth="1"/>
    <col min="25" max="16384" width="9.140625" style="8"/>
  </cols>
  <sheetData>
    <row r="1" spans="1:24" ht="13.5" customHeight="1" x14ac:dyDescent="0.25">
      <c r="A1" s="8"/>
    </row>
    <row r="2" spans="1:24" ht="26.25" x14ac:dyDescent="0.4">
      <c r="A2" s="8"/>
      <c r="C2" s="26" t="str">
        <f>"Ranking Siswa Per Mapel dan Dalam Kelas "&amp;Setting!E5&amp;" Semester "&amp;Setting!E15&amp;" "&amp;Home!K19&amp;" Kelas "&amp;Setting!E11&amp;""</f>
        <v>Ranking Siswa Per Mapel dan Dalam Kelas SMA ABBS Surakarta Semester V  Kelas XII MIPA 4</v>
      </c>
    </row>
    <row r="4" spans="1:24" s="3" customFormat="1" ht="32.25" customHeight="1" x14ac:dyDescent="0.25">
      <c r="A4" s="205" t="s">
        <v>30</v>
      </c>
      <c r="B4" s="207" t="s">
        <v>33</v>
      </c>
      <c r="C4" s="200" t="s">
        <v>34</v>
      </c>
      <c r="D4" s="200" t="s">
        <v>35</v>
      </c>
      <c r="E4" s="200" t="s">
        <v>36</v>
      </c>
      <c r="F4" s="200" t="s">
        <v>106</v>
      </c>
      <c r="G4" s="201" t="s">
        <v>95</v>
      </c>
      <c r="H4" s="201"/>
      <c r="I4" s="201"/>
      <c r="J4" s="201"/>
      <c r="K4" s="201"/>
      <c r="L4" s="201"/>
      <c r="M4" s="202" t="s">
        <v>14</v>
      </c>
      <c r="N4" s="202"/>
      <c r="O4" s="202"/>
      <c r="P4" s="202"/>
      <c r="Q4" s="203" t="s">
        <v>122</v>
      </c>
      <c r="R4" s="201"/>
      <c r="S4" s="201"/>
      <c r="T4" s="201"/>
      <c r="U4" s="204" t="s">
        <v>123</v>
      </c>
      <c r="V4" s="204"/>
      <c r="W4" s="200" t="s">
        <v>120</v>
      </c>
      <c r="X4" s="200" t="s">
        <v>121</v>
      </c>
    </row>
    <row r="5" spans="1:24" s="17" customFormat="1" ht="87.75" customHeight="1" x14ac:dyDescent="0.25">
      <c r="A5" s="206"/>
      <c r="B5" s="207"/>
      <c r="C5" s="200"/>
      <c r="D5" s="200"/>
      <c r="E5" s="200"/>
      <c r="F5" s="200"/>
      <c r="G5" s="69" t="s">
        <v>41</v>
      </c>
      <c r="H5" s="70" t="s">
        <v>117</v>
      </c>
      <c r="I5" s="71" t="s">
        <v>10</v>
      </c>
      <c r="J5" s="70" t="s">
        <v>11</v>
      </c>
      <c r="K5" s="70" t="s">
        <v>12</v>
      </c>
      <c r="L5" s="70" t="s">
        <v>13</v>
      </c>
      <c r="M5" s="72" t="s">
        <v>15</v>
      </c>
      <c r="N5" s="73" t="s">
        <v>119</v>
      </c>
      <c r="O5" s="73" t="s">
        <v>118</v>
      </c>
      <c r="P5" s="73" t="s">
        <v>18</v>
      </c>
      <c r="Q5" s="74" t="s">
        <v>11</v>
      </c>
      <c r="R5" s="74" t="s">
        <v>20</v>
      </c>
      <c r="S5" s="74" t="s">
        <v>40</v>
      </c>
      <c r="T5" s="74" t="s">
        <v>22</v>
      </c>
      <c r="U5" s="75" t="s">
        <v>13</v>
      </c>
      <c r="V5" s="75" t="s">
        <v>23</v>
      </c>
      <c r="W5" s="200"/>
      <c r="X5" s="200"/>
    </row>
    <row r="6" spans="1:24" s="13" customFormat="1" ht="30" customHeight="1" x14ac:dyDescent="0.25">
      <c r="A6" s="62">
        <v>1</v>
      </c>
      <c r="B6" s="60">
        <v>2</v>
      </c>
      <c r="C6" s="59">
        <v>3</v>
      </c>
      <c r="D6" s="60">
        <v>4</v>
      </c>
      <c r="E6" s="59">
        <v>5</v>
      </c>
      <c r="F6" s="61">
        <v>6</v>
      </c>
      <c r="G6" s="5">
        <v>7</v>
      </c>
      <c r="H6" s="5">
        <v>8</v>
      </c>
      <c r="I6" s="5">
        <v>9</v>
      </c>
      <c r="J6" s="5">
        <v>10</v>
      </c>
      <c r="K6" s="5">
        <v>11</v>
      </c>
      <c r="L6" s="5">
        <v>12</v>
      </c>
      <c r="M6" s="6">
        <v>13</v>
      </c>
      <c r="N6" s="6">
        <v>14</v>
      </c>
      <c r="O6" s="6">
        <v>15</v>
      </c>
      <c r="P6" s="6">
        <v>16</v>
      </c>
      <c r="Q6" s="5">
        <v>17</v>
      </c>
      <c r="R6" s="5">
        <v>18</v>
      </c>
      <c r="S6" s="5">
        <v>19</v>
      </c>
      <c r="T6" s="5">
        <v>20</v>
      </c>
      <c r="U6" s="22">
        <v>21</v>
      </c>
      <c r="V6" s="22">
        <v>22</v>
      </c>
      <c r="W6" s="62">
        <v>23</v>
      </c>
      <c r="X6" s="62">
        <v>24</v>
      </c>
    </row>
    <row r="7" spans="1:24" x14ac:dyDescent="0.25">
      <c r="A7" s="12">
        <v>1</v>
      </c>
      <c r="B7" s="23" t="str">
        <f>IF(Setting!J6="","",Setting!J6)</f>
        <v>Abdul Fattah Irfan Al Mubaroq</v>
      </c>
      <c r="C7" s="28">
        <f>IF(Setting!K6="","",Setting!K6)</f>
        <v>2008004</v>
      </c>
      <c r="D7" s="28" t="str">
        <f>IF(Setting!L6="","",Setting!L6)</f>
        <v>0047308275</v>
      </c>
      <c r="E7" s="15" t="str">
        <f>IF(B7="","",Setting!$E$11)</f>
        <v>XII MIPA 4</v>
      </c>
      <c r="F7" s="15" t="str">
        <f>IF(B7="","",Setting!$E$15)</f>
        <v>V</v>
      </c>
      <c r="G7" s="15">
        <f>IF($B7="","",RANK('Legger Dinas'!G7,'Legger Dinas'!G$7:G$46))</f>
        <v>1</v>
      </c>
      <c r="H7" s="15">
        <f>IF($B7="","",RANK('Legger Dinas'!H7,'Legger Dinas'!H$7:H$46))</f>
        <v>3</v>
      </c>
      <c r="I7" s="15">
        <f>IF($B7="","",RANK('Legger Dinas'!I7,'Legger Dinas'!I$7:I$46))</f>
        <v>21</v>
      </c>
      <c r="J7" s="15">
        <f>IF($B7="","",RANK('Legger Dinas'!J7,'Legger Dinas'!J$7:J$46))</f>
        <v>27</v>
      </c>
      <c r="K7" s="15">
        <f>IF($B7="","",RANK('Legger Dinas'!K7,'Legger Dinas'!K$7:K$46))</f>
        <v>24</v>
      </c>
      <c r="L7" s="15">
        <f>IF($B7="","",RANK('Legger Dinas'!L7,'Legger Dinas'!L$7:L$46))</f>
        <v>10</v>
      </c>
      <c r="M7" s="15">
        <f>IF($B7="","",RANK('Legger Dinas'!M7,'Legger Dinas'!M$7:M$46))</f>
        <v>9</v>
      </c>
      <c r="N7" s="15">
        <f>IF($B7="","",RANK('Legger Dinas'!N7,'Legger Dinas'!N$7:N$46))</f>
        <v>1</v>
      </c>
      <c r="O7" s="15">
        <f>IF($B7="","",RANK('Legger Dinas'!O7,'Legger Dinas'!O$7:O$46))</f>
        <v>10</v>
      </c>
      <c r="P7" s="15">
        <f>IF($B7="","",RANK('Legger Dinas'!P7,'Legger Dinas'!P$7:P$46))</f>
        <v>22</v>
      </c>
      <c r="Q7" s="15">
        <f>IF($B7="","",RANK('Legger Dinas'!Q7,'Legger Dinas'!Q$7:Q$46))</f>
        <v>23</v>
      </c>
      <c r="R7" s="15">
        <f>IF($B7="","",RANK('Legger Dinas'!R7,'Legger Dinas'!R$7:R$46))</f>
        <v>22</v>
      </c>
      <c r="S7" s="15">
        <f>IF($B7="","",RANK('Legger Dinas'!S7,'Legger Dinas'!S$7:S$46))</f>
        <v>27</v>
      </c>
      <c r="T7" s="15">
        <f>IF($B7="","",RANK('Legger Dinas'!T7,'Legger Dinas'!T$7:T$46))</f>
        <v>5</v>
      </c>
      <c r="U7" s="15" t="str">
        <f>IF(Setting!$E$15="V","",IF(Setting!$E$15="VI","",RANK('Legger Dinas'!U7,'Legger Dinas'!U$7:U$46)))</f>
        <v/>
      </c>
      <c r="V7" s="15" t="e">
        <f>IF($B7="","",RANK('Legger Dinas'!V7,'Legger Dinas'!V$7:V$46))</f>
        <v>#VALUE!</v>
      </c>
      <c r="W7" s="76">
        <f>IF($B7="","",SUM('Legger Dinas'!G7:V7))</f>
        <v>1331</v>
      </c>
      <c r="X7" s="76">
        <f>IF($B7="","",RANK(W7,$W$7:$W$46))</f>
        <v>24</v>
      </c>
    </row>
    <row r="8" spans="1:24" x14ac:dyDescent="0.25">
      <c r="A8" s="12">
        <v>2</v>
      </c>
      <c r="B8" s="23" t="str">
        <f>IF(Setting!J7="","",Setting!J7)</f>
        <v>Adam Zidane Danata Pranugroho</v>
      </c>
      <c r="C8" s="28">
        <f>IF(Setting!K7="","",Setting!K7)</f>
        <v>2008009</v>
      </c>
      <c r="D8" s="28" t="str">
        <f>IF(Setting!L7="","",Setting!L7)</f>
        <v>0051700957</v>
      </c>
      <c r="E8" s="15" t="str">
        <f>IF(B8="","",Setting!$E$11)</f>
        <v>XII MIPA 4</v>
      </c>
      <c r="F8" s="15" t="str">
        <f>IF(B8="","",Setting!$E$15)</f>
        <v>V</v>
      </c>
      <c r="G8" s="15">
        <f>IF($B8="","",RANK('Legger Dinas'!G8,'Legger Dinas'!G$7:G$46))</f>
        <v>1</v>
      </c>
      <c r="H8" s="15">
        <f>IF($B8="","",RANK('Legger Dinas'!H8,'Legger Dinas'!H$7:H$46))</f>
        <v>7</v>
      </c>
      <c r="I8" s="15">
        <f>IF($B8="","",RANK('Legger Dinas'!I8,'Legger Dinas'!I$7:I$46))</f>
        <v>3</v>
      </c>
      <c r="J8" s="15">
        <f>IF($B8="","",RANK('Legger Dinas'!J8,'Legger Dinas'!J$7:J$46))</f>
        <v>8</v>
      </c>
      <c r="K8" s="15">
        <f>IF($B8="","",RANK('Legger Dinas'!K8,'Legger Dinas'!K$7:K$46))</f>
        <v>1</v>
      </c>
      <c r="L8" s="15">
        <f>IF($B8="","",RANK('Legger Dinas'!L8,'Legger Dinas'!L$7:L$46))</f>
        <v>1</v>
      </c>
      <c r="M8" s="15">
        <f>IF($B8="","",RANK('Legger Dinas'!M8,'Legger Dinas'!M$7:M$46))</f>
        <v>9</v>
      </c>
      <c r="N8" s="15">
        <f>IF($B8="","",RANK('Legger Dinas'!N8,'Legger Dinas'!N$7:N$46))</f>
        <v>1</v>
      </c>
      <c r="O8" s="15">
        <f>IF($B8="","",RANK('Legger Dinas'!O8,'Legger Dinas'!O$7:O$46))</f>
        <v>2</v>
      </c>
      <c r="P8" s="15">
        <f>IF($B8="","",RANK('Legger Dinas'!P8,'Legger Dinas'!P$7:P$46))</f>
        <v>7</v>
      </c>
      <c r="Q8" s="15">
        <f>IF($B8="","",RANK('Legger Dinas'!Q8,'Legger Dinas'!Q$7:Q$46))</f>
        <v>11</v>
      </c>
      <c r="R8" s="15">
        <f>IF($B8="","",RANK('Legger Dinas'!R8,'Legger Dinas'!R$7:R$46))</f>
        <v>1</v>
      </c>
      <c r="S8" s="15">
        <f>IF($B8="","",RANK('Legger Dinas'!S8,'Legger Dinas'!S$7:S$46))</f>
        <v>1</v>
      </c>
      <c r="T8" s="15">
        <f>IF($B8="","",RANK('Legger Dinas'!T8,'Legger Dinas'!T$7:T$46))</f>
        <v>2</v>
      </c>
      <c r="U8" s="15" t="str">
        <f>IF(Setting!$E$15="V","",IF(Setting!$E$15="VI","",RANK('Legger Dinas'!U8,'Legger Dinas'!U$7:U$46)))</f>
        <v/>
      </c>
      <c r="V8" s="15" t="e">
        <f>IF($B8="","",RANK('Legger Dinas'!V8,'Legger Dinas'!V$7:V$46))</f>
        <v>#VALUE!</v>
      </c>
      <c r="W8" s="165">
        <f>IF($B8="","",SUM('Legger Dinas'!G8:V8))</f>
        <v>1378</v>
      </c>
      <c r="X8" s="165">
        <f t="shared" ref="X8:X46" si="0">IF($B8="","",RANK(W8,$W$7:$W$46))</f>
        <v>2</v>
      </c>
    </row>
    <row r="9" spans="1:24" x14ac:dyDescent="0.25">
      <c r="A9" s="12">
        <v>3</v>
      </c>
      <c r="B9" s="23" t="str">
        <f>IF(Setting!J8="","",Setting!J8)</f>
        <v>Ahmad Fikry</v>
      </c>
      <c r="C9" s="28">
        <f>IF(Setting!K8="","",Setting!K8)</f>
        <v>2008021</v>
      </c>
      <c r="D9" s="28" t="str">
        <f>IF(Setting!L8="","",Setting!L8)</f>
        <v xml:space="preserve">0050998196 </v>
      </c>
      <c r="E9" s="15" t="str">
        <f>IF(B9="","",Setting!$E$11)</f>
        <v>XII MIPA 4</v>
      </c>
      <c r="F9" s="15" t="str">
        <f>IF(B9="","",Setting!$E$15)</f>
        <v>V</v>
      </c>
      <c r="G9" s="15">
        <f>IF($B9="","",RANK('Legger Dinas'!G9,'Legger Dinas'!G$7:G$46))</f>
        <v>1</v>
      </c>
      <c r="H9" s="15">
        <f>IF($B9="","",RANK('Legger Dinas'!H9,'Legger Dinas'!H$7:H$46))</f>
        <v>7</v>
      </c>
      <c r="I9" s="15">
        <f>IF($B9="","",RANK('Legger Dinas'!I9,'Legger Dinas'!I$7:I$46))</f>
        <v>21</v>
      </c>
      <c r="J9" s="15">
        <f>IF($B9="","",RANK('Legger Dinas'!J9,'Legger Dinas'!J$7:J$46))</f>
        <v>1</v>
      </c>
      <c r="K9" s="15">
        <f>IF($B9="","",RANK('Legger Dinas'!K9,'Legger Dinas'!K$7:K$46))</f>
        <v>14</v>
      </c>
      <c r="L9" s="15">
        <f>IF($B9="","",RANK('Legger Dinas'!L9,'Legger Dinas'!L$7:L$46))</f>
        <v>10</v>
      </c>
      <c r="M9" s="15">
        <f>IF($B9="","",RANK('Legger Dinas'!M9,'Legger Dinas'!M$7:M$46))</f>
        <v>9</v>
      </c>
      <c r="N9" s="15">
        <f>IF($B9="","",RANK('Legger Dinas'!N9,'Legger Dinas'!N$7:N$46))</f>
        <v>1</v>
      </c>
      <c r="O9" s="15">
        <f>IF($B9="","",RANK('Legger Dinas'!O9,'Legger Dinas'!O$7:O$46))</f>
        <v>17</v>
      </c>
      <c r="P9" s="15">
        <f>IF($B9="","",RANK('Legger Dinas'!P9,'Legger Dinas'!P$7:P$46))</f>
        <v>2</v>
      </c>
      <c r="Q9" s="15">
        <f>IF($B9="","",RANK('Legger Dinas'!Q9,'Legger Dinas'!Q$7:Q$46))</f>
        <v>19</v>
      </c>
      <c r="R9" s="15">
        <f>IF($B9="","",RANK('Legger Dinas'!R9,'Legger Dinas'!R$7:R$46))</f>
        <v>19</v>
      </c>
      <c r="S9" s="15">
        <f>IF($B9="","",RANK('Legger Dinas'!S9,'Legger Dinas'!S$7:S$46))</f>
        <v>4</v>
      </c>
      <c r="T9" s="15">
        <f>IF($B9="","",RANK('Legger Dinas'!T9,'Legger Dinas'!T$7:T$46))</f>
        <v>8</v>
      </c>
      <c r="U9" s="15" t="str">
        <f>IF(Setting!$E$15="V","",IF(Setting!$E$15="VI","",RANK('Legger Dinas'!U9,'Legger Dinas'!U$7:U$46)))</f>
        <v/>
      </c>
      <c r="V9" s="15" t="e">
        <f>IF($B9="","",RANK('Legger Dinas'!V9,'Legger Dinas'!V$7:V$46))</f>
        <v>#VALUE!</v>
      </c>
      <c r="W9" s="165">
        <f>IF($B9="","",SUM('Legger Dinas'!G9:V9))</f>
        <v>1353</v>
      </c>
      <c r="X9" s="165">
        <f t="shared" si="0"/>
        <v>7</v>
      </c>
    </row>
    <row r="10" spans="1:24" x14ac:dyDescent="0.25">
      <c r="A10" s="12">
        <v>4</v>
      </c>
      <c r="B10" s="23" t="str">
        <f>IF(Setting!J9="","",Setting!J9)</f>
        <v>Almas Sabih Wahindra</v>
      </c>
      <c r="C10" s="28">
        <f>IF(Setting!K9="","",Setting!K9)</f>
        <v>2008034</v>
      </c>
      <c r="D10" s="28" t="str">
        <f>IF(Setting!L9="","",Setting!L9)</f>
        <v>0059000208</v>
      </c>
      <c r="E10" s="15" t="str">
        <f>IF(B10="","",Setting!$E$11)</f>
        <v>XII MIPA 4</v>
      </c>
      <c r="F10" s="15" t="str">
        <f>IF(B10="","",Setting!$E$15)</f>
        <v>V</v>
      </c>
      <c r="G10" s="15">
        <f>IF($B10="","",RANK('Legger Dinas'!G10,'Legger Dinas'!G$7:G$46))</f>
        <v>1</v>
      </c>
      <c r="H10" s="15">
        <f>IF($B10="","",RANK('Legger Dinas'!H10,'Legger Dinas'!H$7:H$46))</f>
        <v>24</v>
      </c>
      <c r="I10" s="15">
        <f>IF($B10="","",RANK('Legger Dinas'!I10,'Legger Dinas'!I$7:I$46))</f>
        <v>26</v>
      </c>
      <c r="J10" s="15">
        <f>IF($B10="","",RANK('Legger Dinas'!J10,'Legger Dinas'!J$7:J$46))</f>
        <v>19</v>
      </c>
      <c r="K10" s="15">
        <f>IF($B10="","",RANK('Legger Dinas'!K10,'Legger Dinas'!K$7:K$46))</f>
        <v>9</v>
      </c>
      <c r="L10" s="15">
        <f>IF($B10="","",RANK('Legger Dinas'!L10,'Legger Dinas'!L$7:L$46))</f>
        <v>10</v>
      </c>
      <c r="M10" s="15">
        <f>IF($B10="","",RANK('Legger Dinas'!M10,'Legger Dinas'!M$7:M$46))</f>
        <v>16</v>
      </c>
      <c r="N10" s="15">
        <f>IF($B10="","",RANK('Legger Dinas'!N10,'Legger Dinas'!N$7:N$46))</f>
        <v>1</v>
      </c>
      <c r="O10" s="15">
        <f>IF($B10="","",RANK('Legger Dinas'!O10,'Legger Dinas'!O$7:O$46))</f>
        <v>5</v>
      </c>
      <c r="P10" s="15">
        <f>IF($B10="","",RANK('Legger Dinas'!P10,'Legger Dinas'!P$7:P$46))</f>
        <v>10</v>
      </c>
      <c r="Q10" s="15">
        <f>IF($B10="","",RANK('Legger Dinas'!Q10,'Legger Dinas'!Q$7:Q$46))</f>
        <v>27</v>
      </c>
      <c r="R10" s="15">
        <f>IF($B10="","",RANK('Legger Dinas'!R10,'Legger Dinas'!R$7:R$46))</f>
        <v>15</v>
      </c>
      <c r="S10" s="15">
        <f>IF($B10="","",RANK('Legger Dinas'!S10,'Legger Dinas'!S$7:S$46))</f>
        <v>14</v>
      </c>
      <c r="T10" s="15">
        <f>IF($B10="","",RANK('Legger Dinas'!T10,'Legger Dinas'!T$7:T$46))</f>
        <v>14</v>
      </c>
      <c r="U10" s="15" t="str">
        <f>IF(Setting!$E$15="V","",IF(Setting!$E$15="VI","",RANK('Legger Dinas'!U10,'Legger Dinas'!U$7:U$46)))</f>
        <v/>
      </c>
      <c r="V10" s="15" t="e">
        <f>IF($B10="","",RANK('Legger Dinas'!V10,'Legger Dinas'!V$7:V$46))</f>
        <v>#VALUE!</v>
      </c>
      <c r="W10" s="165">
        <f>IF($B10="","",SUM('Legger Dinas'!G10:V10))</f>
        <v>1339</v>
      </c>
      <c r="X10" s="165">
        <f t="shared" si="0"/>
        <v>21</v>
      </c>
    </row>
    <row r="11" spans="1:24" x14ac:dyDescent="0.25">
      <c r="A11" s="12">
        <v>5</v>
      </c>
      <c r="B11" s="23" t="str">
        <f>IF(Setting!J10="","",Setting!J10)</f>
        <v>Aria Fenha Apri Buma</v>
      </c>
      <c r="C11" s="28">
        <f>IF(Setting!K10="","",Setting!K10)</f>
        <v>2008054</v>
      </c>
      <c r="D11" s="28" t="str">
        <f>IF(Setting!L10="","",Setting!L10)</f>
        <v>0058068365</v>
      </c>
      <c r="E11" s="15" t="str">
        <f>IF(B11="","",Setting!$E$11)</f>
        <v>XII MIPA 4</v>
      </c>
      <c r="F11" s="15" t="str">
        <f>IF(B11="","",Setting!$E$15)</f>
        <v>V</v>
      </c>
      <c r="G11" s="15">
        <f>IF($B11="","",RANK('Legger Dinas'!G11,'Legger Dinas'!G$7:G$46))</f>
        <v>1</v>
      </c>
      <c r="H11" s="15">
        <f>IF($B11="","",RANK('Legger Dinas'!H11,'Legger Dinas'!H$7:H$46))</f>
        <v>7</v>
      </c>
      <c r="I11" s="15">
        <f>IF($B11="","",RANK('Legger Dinas'!I11,'Legger Dinas'!I$7:I$46))</f>
        <v>5</v>
      </c>
      <c r="J11" s="15">
        <f>IF($B11="","",RANK('Legger Dinas'!J11,'Legger Dinas'!J$7:J$46))</f>
        <v>1</v>
      </c>
      <c r="K11" s="15">
        <f>IF($B11="","",RANK('Legger Dinas'!K11,'Legger Dinas'!K$7:K$46))</f>
        <v>5</v>
      </c>
      <c r="L11" s="15">
        <f>IF($B11="","",RANK('Legger Dinas'!L11,'Legger Dinas'!L$7:L$46))</f>
        <v>10</v>
      </c>
      <c r="M11" s="15">
        <f>IF($B11="","",RANK('Legger Dinas'!M11,'Legger Dinas'!M$7:M$46))</f>
        <v>3</v>
      </c>
      <c r="N11" s="15">
        <f>IF($B11="","",RANK('Legger Dinas'!N11,'Legger Dinas'!N$7:N$46))</f>
        <v>1</v>
      </c>
      <c r="O11" s="15">
        <f>IF($B11="","",RANK('Legger Dinas'!O11,'Legger Dinas'!O$7:O$46))</f>
        <v>5</v>
      </c>
      <c r="P11" s="15">
        <f>IF($B11="","",RANK('Legger Dinas'!P11,'Legger Dinas'!P$7:P$46))</f>
        <v>2</v>
      </c>
      <c r="Q11" s="15">
        <f>IF($B11="","",RANK('Legger Dinas'!Q11,'Legger Dinas'!Q$7:Q$46))</f>
        <v>4</v>
      </c>
      <c r="R11" s="15">
        <f>IF($B11="","",RANK('Legger Dinas'!R11,'Legger Dinas'!R$7:R$46))</f>
        <v>8</v>
      </c>
      <c r="S11" s="15">
        <f>IF($B11="","",RANK('Legger Dinas'!S11,'Legger Dinas'!S$7:S$46))</f>
        <v>4</v>
      </c>
      <c r="T11" s="15">
        <f>IF($B11="","",RANK('Legger Dinas'!T11,'Legger Dinas'!T$7:T$46))</f>
        <v>5</v>
      </c>
      <c r="U11" s="15" t="str">
        <f>IF(Setting!$E$15="V","",IF(Setting!$E$15="VI","",RANK('Legger Dinas'!U11,'Legger Dinas'!U$7:U$46)))</f>
        <v/>
      </c>
      <c r="V11" s="15" t="e">
        <f>IF($B11="","",RANK('Legger Dinas'!V11,'Legger Dinas'!V$7:V$46))</f>
        <v>#VALUE!</v>
      </c>
      <c r="W11" s="165">
        <f>IF($B11="","",SUM('Legger Dinas'!G11:V11))</f>
        <v>1377</v>
      </c>
      <c r="X11" s="165">
        <f t="shared" si="0"/>
        <v>3</v>
      </c>
    </row>
    <row r="12" spans="1:24" x14ac:dyDescent="0.25">
      <c r="A12" s="12">
        <v>6</v>
      </c>
      <c r="B12" s="23" t="str">
        <f>IF(Setting!J11="","",Setting!J11)</f>
        <v>Baharuddin Barkah Pratama</v>
      </c>
      <c r="C12" s="28">
        <f>IF(Setting!K11="","",Setting!K11)</f>
        <v>2008075</v>
      </c>
      <c r="D12" s="28" t="str">
        <f>IF(Setting!L11="","",Setting!L11)</f>
        <v>0024374235</v>
      </c>
      <c r="E12" s="15" t="str">
        <f>IF(B12="","",Setting!$E$11)</f>
        <v>XII MIPA 4</v>
      </c>
      <c r="F12" s="15" t="str">
        <f>IF(B12="","",Setting!$E$15)</f>
        <v>V</v>
      </c>
      <c r="G12" s="15">
        <f>IF($B12="","",RANK('Legger Dinas'!G12,'Legger Dinas'!G$7:G$46))</f>
        <v>17</v>
      </c>
      <c r="H12" s="15">
        <f>IF($B12="","",RANK('Legger Dinas'!H12,'Legger Dinas'!H$7:H$46))</f>
        <v>24</v>
      </c>
      <c r="I12" s="15">
        <f>IF($B12="","",RANK('Legger Dinas'!I12,'Legger Dinas'!I$7:I$46))</f>
        <v>26</v>
      </c>
      <c r="J12" s="15">
        <f>IF($B12="","",RANK('Legger Dinas'!J12,'Legger Dinas'!J$7:J$46))</f>
        <v>24</v>
      </c>
      <c r="K12" s="15">
        <f>IF($B12="","",RANK('Legger Dinas'!K12,'Legger Dinas'!K$7:K$46))</f>
        <v>17</v>
      </c>
      <c r="L12" s="15">
        <f>IF($B12="","",RANK('Legger Dinas'!L12,'Legger Dinas'!L$7:L$46))</f>
        <v>5</v>
      </c>
      <c r="M12" s="15">
        <f>IF($B12="","",RANK('Legger Dinas'!M12,'Legger Dinas'!M$7:M$46))</f>
        <v>3</v>
      </c>
      <c r="N12" s="15">
        <f>IF($B12="","",RANK('Legger Dinas'!N12,'Legger Dinas'!N$7:N$46))</f>
        <v>22</v>
      </c>
      <c r="O12" s="15">
        <f>IF($B12="","",RANK('Legger Dinas'!O12,'Legger Dinas'!O$7:O$46))</f>
        <v>30</v>
      </c>
      <c r="P12" s="15">
        <f>IF($B12="","",RANK('Legger Dinas'!P12,'Legger Dinas'!P$7:P$46))</f>
        <v>22</v>
      </c>
      <c r="Q12" s="15">
        <f>IF($B12="","",RANK('Legger Dinas'!Q12,'Legger Dinas'!Q$7:Q$46))</f>
        <v>19</v>
      </c>
      <c r="R12" s="15">
        <f>IF($B12="","",RANK('Legger Dinas'!R12,'Legger Dinas'!R$7:R$46))</f>
        <v>22</v>
      </c>
      <c r="S12" s="15">
        <f>IF($B12="","",RANK('Legger Dinas'!S12,'Legger Dinas'!S$7:S$46))</f>
        <v>30</v>
      </c>
      <c r="T12" s="15">
        <f>IF($B12="","",RANK('Legger Dinas'!T12,'Legger Dinas'!T$7:T$46))</f>
        <v>28</v>
      </c>
      <c r="U12" s="15" t="str">
        <f>IF(Setting!$E$15="V","",IF(Setting!$E$15="VI","",RANK('Legger Dinas'!U12,'Legger Dinas'!U$7:U$46)))</f>
        <v/>
      </c>
      <c r="V12" s="15" t="e">
        <f>IF($B12="","",RANK('Legger Dinas'!V12,'Legger Dinas'!V$7:V$46))</f>
        <v>#VALUE!</v>
      </c>
      <c r="W12" s="165">
        <f>IF($B12="","",SUM('Legger Dinas'!G12:V12))</f>
        <v>1324</v>
      </c>
      <c r="X12" s="165">
        <f t="shared" si="0"/>
        <v>27</v>
      </c>
    </row>
    <row r="13" spans="1:24" x14ac:dyDescent="0.25">
      <c r="A13" s="12">
        <v>7</v>
      </c>
      <c r="B13" s="23" t="str">
        <f>IF(Setting!J12="","",Setting!J12)</f>
        <v>Daffa Arya Pudyastungkara</v>
      </c>
      <c r="C13" s="28">
        <f>IF(Setting!K12="","",Setting!K12)</f>
        <v>2008089</v>
      </c>
      <c r="D13" s="28" t="str">
        <f>IF(Setting!L12="","",Setting!L12)</f>
        <v>0043620048</v>
      </c>
      <c r="E13" s="15" t="str">
        <f>IF(B13="","",Setting!$E$11)</f>
        <v>XII MIPA 4</v>
      </c>
      <c r="F13" s="15" t="str">
        <f>IF(B13="","",Setting!$E$15)</f>
        <v>V</v>
      </c>
      <c r="G13" s="15">
        <f>IF($B13="","",RANK('Legger Dinas'!G13,'Legger Dinas'!G$7:G$46))</f>
        <v>17</v>
      </c>
      <c r="H13" s="15">
        <f>IF($B13="","",RANK('Legger Dinas'!H13,'Legger Dinas'!H$7:H$46))</f>
        <v>7</v>
      </c>
      <c r="I13" s="15">
        <f>IF($B13="","",RANK('Legger Dinas'!I13,'Legger Dinas'!I$7:I$46))</f>
        <v>21</v>
      </c>
      <c r="J13" s="15">
        <f>IF($B13="","",RANK('Legger Dinas'!J13,'Legger Dinas'!J$7:J$46))</f>
        <v>1</v>
      </c>
      <c r="K13" s="15">
        <f>IF($B13="","",RANK('Legger Dinas'!K13,'Legger Dinas'!K$7:K$46))</f>
        <v>31</v>
      </c>
      <c r="L13" s="15">
        <f>IF($B13="","",RANK('Legger Dinas'!L13,'Legger Dinas'!L$7:L$46))</f>
        <v>19</v>
      </c>
      <c r="M13" s="15">
        <f>IF($B13="","",RANK('Legger Dinas'!M13,'Legger Dinas'!M$7:M$46))</f>
        <v>16</v>
      </c>
      <c r="N13" s="15">
        <f>IF($B13="","",RANK('Legger Dinas'!N13,'Legger Dinas'!N$7:N$46))</f>
        <v>1</v>
      </c>
      <c r="O13" s="15">
        <f>IF($B13="","",RANK('Legger Dinas'!O13,'Legger Dinas'!O$7:O$46))</f>
        <v>10</v>
      </c>
      <c r="P13" s="15">
        <f>IF($B13="","",RANK('Legger Dinas'!P13,'Legger Dinas'!P$7:P$46))</f>
        <v>22</v>
      </c>
      <c r="Q13" s="15">
        <f>IF($B13="","",RANK('Legger Dinas'!Q13,'Legger Dinas'!Q$7:Q$46))</f>
        <v>5</v>
      </c>
      <c r="R13" s="15">
        <f>IF($B13="","",RANK('Legger Dinas'!R13,'Legger Dinas'!R$7:R$46))</f>
        <v>15</v>
      </c>
      <c r="S13" s="15">
        <f>IF($B13="","",RANK('Legger Dinas'!S13,'Legger Dinas'!S$7:S$46))</f>
        <v>10</v>
      </c>
      <c r="T13" s="15">
        <f>IF($B13="","",RANK('Legger Dinas'!T13,'Legger Dinas'!T$7:T$46))</f>
        <v>14</v>
      </c>
      <c r="U13" s="15" t="str">
        <f>IF(Setting!$E$15="V","",IF(Setting!$E$15="VI","",RANK('Legger Dinas'!U13,'Legger Dinas'!U$7:U$46)))</f>
        <v/>
      </c>
      <c r="V13" s="15" t="e">
        <f>IF($B13="","",RANK('Legger Dinas'!V13,'Legger Dinas'!V$7:V$46))</f>
        <v>#VALUE!</v>
      </c>
      <c r="W13" s="165">
        <f>IF($B13="","",SUM('Legger Dinas'!G13:V13))</f>
        <v>1338</v>
      </c>
      <c r="X13" s="165">
        <f t="shared" si="0"/>
        <v>22</v>
      </c>
    </row>
    <row r="14" spans="1:24" x14ac:dyDescent="0.25">
      <c r="A14" s="12">
        <v>8</v>
      </c>
      <c r="B14" s="23" t="str">
        <f>IF(Setting!J13="","",Setting!J13)</f>
        <v>Dody Muhammad Pasha</v>
      </c>
      <c r="C14" s="28">
        <f>IF(Setting!K13="","",Setting!K13)</f>
        <v>2008095</v>
      </c>
      <c r="D14" s="28" t="str">
        <f>IF(Setting!L13="","",Setting!L13)</f>
        <v>0053814584</v>
      </c>
      <c r="E14" s="15" t="str">
        <f>IF(B14="","",Setting!$E$11)</f>
        <v>XII MIPA 4</v>
      </c>
      <c r="F14" s="15" t="str">
        <f>IF(B14="","",Setting!$E$15)</f>
        <v>V</v>
      </c>
      <c r="G14" s="15">
        <f>IF($B14="","",RANK('Legger Dinas'!G14,'Legger Dinas'!G$7:G$46))</f>
        <v>1</v>
      </c>
      <c r="H14" s="15">
        <f>IF($B14="","",RANK('Legger Dinas'!H14,'Legger Dinas'!H$7:H$46))</f>
        <v>1</v>
      </c>
      <c r="I14" s="15">
        <f>IF($B14="","",RANK('Legger Dinas'!I14,'Legger Dinas'!I$7:I$46))</f>
        <v>1</v>
      </c>
      <c r="J14" s="15">
        <f>IF($B14="","",RANK('Legger Dinas'!J14,'Legger Dinas'!J$7:J$46))</f>
        <v>1</v>
      </c>
      <c r="K14" s="15">
        <f>IF($B14="","",RANK('Legger Dinas'!K14,'Legger Dinas'!K$7:K$46))</f>
        <v>1</v>
      </c>
      <c r="L14" s="15">
        <f>IF($B14="","",RANK('Legger Dinas'!L14,'Legger Dinas'!L$7:L$46))</f>
        <v>1</v>
      </c>
      <c r="M14" s="15">
        <f>IF($B14="","",RANK('Legger Dinas'!M14,'Legger Dinas'!M$7:M$46))</f>
        <v>1</v>
      </c>
      <c r="N14" s="15">
        <f>IF($B14="","",RANK('Legger Dinas'!N14,'Legger Dinas'!N$7:N$46))</f>
        <v>1</v>
      </c>
      <c r="O14" s="15">
        <f>IF($B14="","",RANK('Legger Dinas'!O14,'Legger Dinas'!O$7:O$46))</f>
        <v>2</v>
      </c>
      <c r="P14" s="15">
        <f>IF($B14="","",RANK('Legger Dinas'!P14,'Legger Dinas'!P$7:P$46))</f>
        <v>1</v>
      </c>
      <c r="Q14" s="15">
        <f>IF($B14="","",RANK('Legger Dinas'!Q14,'Legger Dinas'!Q$7:Q$46))</f>
        <v>2</v>
      </c>
      <c r="R14" s="15">
        <f>IF($B14="","",RANK('Legger Dinas'!R14,'Legger Dinas'!R$7:R$46))</f>
        <v>3</v>
      </c>
      <c r="S14" s="15">
        <f>IF($B14="","",RANK('Legger Dinas'!S14,'Legger Dinas'!S$7:S$46))</f>
        <v>1</v>
      </c>
      <c r="T14" s="15">
        <f>IF($B14="","",RANK('Legger Dinas'!T14,'Legger Dinas'!T$7:T$46))</f>
        <v>2</v>
      </c>
      <c r="U14" s="15" t="str">
        <f>IF(Setting!$E$15="V","",IF(Setting!$E$15="VI","",RANK('Legger Dinas'!U14,'Legger Dinas'!U$7:U$46)))</f>
        <v/>
      </c>
      <c r="V14" s="15" t="e">
        <f>IF($B14="","",RANK('Legger Dinas'!V14,'Legger Dinas'!V$7:V$46))</f>
        <v>#VALUE!</v>
      </c>
      <c r="W14" s="165">
        <f>IF($B14="","",SUM('Legger Dinas'!G14:V14))</f>
        <v>1398</v>
      </c>
      <c r="X14" s="165">
        <f t="shared" si="0"/>
        <v>1</v>
      </c>
    </row>
    <row r="15" spans="1:24" x14ac:dyDescent="0.25">
      <c r="A15" s="12">
        <v>9</v>
      </c>
      <c r="B15" s="23" t="str">
        <f>IF(Setting!J14="","",Setting!J14)</f>
        <v>Elga Perdana</v>
      </c>
      <c r="C15" s="28">
        <f>IF(Setting!K14="","",Setting!K14)</f>
        <v>2008099</v>
      </c>
      <c r="D15" s="28" t="str">
        <f>IF(Setting!L14="","",Setting!L14)</f>
        <v>0054718584</v>
      </c>
      <c r="E15" s="15" t="str">
        <f>IF(B15="","",Setting!$E$11)</f>
        <v>XII MIPA 4</v>
      </c>
      <c r="F15" s="15" t="str">
        <f>IF(B15="","",Setting!$E$15)</f>
        <v>V</v>
      </c>
      <c r="G15" s="15">
        <f>IF($B15="","",RANK('Legger Dinas'!G15,'Legger Dinas'!G$7:G$46))</f>
        <v>17</v>
      </c>
      <c r="H15" s="15">
        <f>IF($B15="","",RANK('Legger Dinas'!H15,'Legger Dinas'!H$7:H$46))</f>
        <v>3</v>
      </c>
      <c r="I15" s="15">
        <f>IF($B15="","",RANK('Legger Dinas'!I15,'Legger Dinas'!I$7:I$46))</f>
        <v>7</v>
      </c>
      <c r="J15" s="15">
        <f>IF($B15="","",RANK('Legger Dinas'!J15,'Legger Dinas'!J$7:J$46))</f>
        <v>19</v>
      </c>
      <c r="K15" s="15">
        <f>IF($B15="","",RANK('Legger Dinas'!K15,'Legger Dinas'!K$7:K$46))</f>
        <v>24</v>
      </c>
      <c r="L15" s="15">
        <f>IF($B15="","",RANK('Legger Dinas'!L15,'Legger Dinas'!L$7:L$46))</f>
        <v>19</v>
      </c>
      <c r="M15" s="15">
        <f>IF($B15="","",RANK('Legger Dinas'!M15,'Legger Dinas'!M$7:M$46))</f>
        <v>16</v>
      </c>
      <c r="N15" s="15">
        <f>IF($B15="","",RANK('Legger Dinas'!N15,'Legger Dinas'!N$7:N$46))</f>
        <v>1</v>
      </c>
      <c r="O15" s="15">
        <f>IF($B15="","",RANK('Legger Dinas'!O15,'Legger Dinas'!O$7:O$46))</f>
        <v>17</v>
      </c>
      <c r="P15" s="15">
        <f>IF($B15="","",RANK('Legger Dinas'!P15,'Legger Dinas'!P$7:P$46))</f>
        <v>22</v>
      </c>
      <c r="Q15" s="15">
        <f>IF($B15="","",RANK('Legger Dinas'!Q15,'Legger Dinas'!Q$7:Q$46))</f>
        <v>23</v>
      </c>
      <c r="R15" s="15">
        <f>IF($B15="","",RANK('Legger Dinas'!R15,'Legger Dinas'!R$7:R$46))</f>
        <v>15</v>
      </c>
      <c r="S15" s="15">
        <f>IF($B15="","",RANK('Legger Dinas'!S15,'Legger Dinas'!S$7:S$46))</f>
        <v>25</v>
      </c>
      <c r="T15" s="15">
        <f>IF($B15="","",RANK('Legger Dinas'!T15,'Legger Dinas'!T$7:T$46))</f>
        <v>24</v>
      </c>
      <c r="U15" s="15" t="str">
        <f>IF(Setting!$E$15="V","",IF(Setting!$E$15="VI","",RANK('Legger Dinas'!U15,'Legger Dinas'!U$7:U$46)))</f>
        <v/>
      </c>
      <c r="V15" s="15" t="e">
        <f>IF($B15="","",RANK('Legger Dinas'!V15,'Legger Dinas'!V$7:V$46))</f>
        <v>#VALUE!</v>
      </c>
      <c r="W15" s="165">
        <f>IF($B15="","",SUM('Legger Dinas'!G15:V15))</f>
        <v>1330</v>
      </c>
      <c r="X15" s="165">
        <f t="shared" si="0"/>
        <v>25</v>
      </c>
    </row>
    <row r="16" spans="1:24" x14ac:dyDescent="0.25">
      <c r="A16" s="12">
        <v>10</v>
      </c>
      <c r="B16" s="23" t="str">
        <f>IF(Setting!J15="","",Setting!J15)</f>
        <v>Fathoni Daniswara</v>
      </c>
      <c r="C16" s="28">
        <f>IF(Setting!K15="","",Setting!K15)</f>
        <v>2008118</v>
      </c>
      <c r="D16" s="28" t="str">
        <f>IF(Setting!L15="","",Setting!L15)</f>
        <v>0057882873</v>
      </c>
      <c r="E16" s="15" t="str">
        <f>IF(B16="","",Setting!$E$11)</f>
        <v>XII MIPA 4</v>
      </c>
      <c r="F16" s="15" t="str">
        <f>IF(B16="","",Setting!$E$15)</f>
        <v>V</v>
      </c>
      <c r="G16" s="15">
        <f>IF($B16="","",RANK('Legger Dinas'!G16,'Legger Dinas'!G$7:G$46))</f>
        <v>1</v>
      </c>
      <c r="H16" s="15">
        <f>IF($B16="","",RANK('Legger Dinas'!H16,'Legger Dinas'!H$7:H$46))</f>
        <v>13</v>
      </c>
      <c r="I16" s="15">
        <f>IF($B16="","",RANK('Legger Dinas'!I16,'Legger Dinas'!I$7:I$46))</f>
        <v>7</v>
      </c>
      <c r="J16" s="15">
        <f>IF($B16="","",RANK('Legger Dinas'!J16,'Legger Dinas'!J$7:J$46))</f>
        <v>8</v>
      </c>
      <c r="K16" s="15">
        <f>IF($B16="","",RANK('Legger Dinas'!K16,'Legger Dinas'!K$7:K$46))</f>
        <v>17</v>
      </c>
      <c r="L16" s="15">
        <f>IF($B16="","",RANK('Legger Dinas'!L16,'Legger Dinas'!L$7:L$46))</f>
        <v>10</v>
      </c>
      <c r="M16" s="15">
        <f>IF($B16="","",RANK('Legger Dinas'!M16,'Legger Dinas'!M$7:M$46))</f>
        <v>28</v>
      </c>
      <c r="N16" s="15">
        <f>IF($B16="","",RANK('Legger Dinas'!N16,'Legger Dinas'!N$7:N$46))</f>
        <v>22</v>
      </c>
      <c r="O16" s="15">
        <f>IF($B16="","",RANK('Legger Dinas'!O16,'Legger Dinas'!O$7:O$46))</f>
        <v>5</v>
      </c>
      <c r="P16" s="15">
        <f>IF($B16="","",RANK('Legger Dinas'!P16,'Legger Dinas'!P$7:P$46))</f>
        <v>16</v>
      </c>
      <c r="Q16" s="15">
        <f>IF($B16="","",RANK('Legger Dinas'!Q16,'Legger Dinas'!Q$7:Q$46))</f>
        <v>11</v>
      </c>
      <c r="R16" s="15">
        <f>IF($B16="","",RANK('Legger Dinas'!R16,'Legger Dinas'!R$7:R$46))</f>
        <v>8</v>
      </c>
      <c r="S16" s="15">
        <f>IF($B16="","",RANK('Legger Dinas'!S16,'Legger Dinas'!S$7:S$46))</f>
        <v>10</v>
      </c>
      <c r="T16" s="15">
        <f>IF($B16="","",RANK('Legger Dinas'!T16,'Legger Dinas'!T$7:T$46))</f>
        <v>8</v>
      </c>
      <c r="U16" s="15" t="str">
        <f>IF(Setting!$E$15="V","",IF(Setting!$E$15="VI","",RANK('Legger Dinas'!U16,'Legger Dinas'!U$7:U$46)))</f>
        <v/>
      </c>
      <c r="V16" s="15" t="e">
        <f>IF($B16="","",RANK('Legger Dinas'!V16,'Legger Dinas'!V$7:V$46))</f>
        <v>#VALUE!</v>
      </c>
      <c r="W16" s="165">
        <f>IF($B16="","",SUM('Legger Dinas'!G16:V16))</f>
        <v>1345</v>
      </c>
      <c r="X16" s="165">
        <f t="shared" si="0"/>
        <v>13</v>
      </c>
    </row>
    <row r="17" spans="1:24" x14ac:dyDescent="0.25">
      <c r="A17" s="12">
        <v>11</v>
      </c>
      <c r="B17" s="23" t="str">
        <f>IF(Setting!J16="","",Setting!J16)</f>
        <v>Gading Setyo Manunggal</v>
      </c>
      <c r="C17" s="28">
        <f>IF(Setting!K16="","",Setting!K16)</f>
        <v>2008127</v>
      </c>
      <c r="D17" s="28" t="str">
        <f>IF(Setting!L16="","",Setting!L16)</f>
        <v>0052532940</v>
      </c>
      <c r="E17" s="15" t="str">
        <f>IF(B17="","",Setting!$E$11)</f>
        <v>XII MIPA 4</v>
      </c>
      <c r="F17" s="15" t="str">
        <f>IF(B17="","",Setting!$E$15)</f>
        <v>V</v>
      </c>
      <c r="G17" s="15">
        <f>IF($B17="","",RANK('Legger Dinas'!G17,'Legger Dinas'!G$7:G$46))</f>
        <v>17</v>
      </c>
      <c r="H17" s="15">
        <f>IF($B17="","",RANK('Legger Dinas'!H17,'Legger Dinas'!H$7:H$46))</f>
        <v>31</v>
      </c>
      <c r="I17" s="15">
        <f>IF($B17="","",RANK('Legger Dinas'!I17,'Legger Dinas'!I$7:I$46))</f>
        <v>26</v>
      </c>
      <c r="J17" s="15">
        <f>IF($B17="","",RANK('Legger Dinas'!J17,'Legger Dinas'!J$7:J$46))</f>
        <v>30</v>
      </c>
      <c r="K17" s="15">
        <f>IF($B17="","",RANK('Legger Dinas'!K17,'Legger Dinas'!K$7:K$46))</f>
        <v>24</v>
      </c>
      <c r="L17" s="15">
        <f>IF($B17="","",RANK('Legger Dinas'!L17,'Legger Dinas'!L$7:L$46))</f>
        <v>10</v>
      </c>
      <c r="M17" s="15">
        <f>IF($B17="","",RANK('Legger Dinas'!M17,'Legger Dinas'!M$7:M$46))</f>
        <v>9</v>
      </c>
      <c r="N17" s="15">
        <f>IF($B17="","",RANK('Legger Dinas'!N17,'Legger Dinas'!N$7:N$46))</f>
        <v>1</v>
      </c>
      <c r="O17" s="15">
        <f>IF($B17="","",RANK('Legger Dinas'!O17,'Legger Dinas'!O$7:O$46))</f>
        <v>30</v>
      </c>
      <c r="P17" s="15">
        <f>IF($B17="","",RANK('Legger Dinas'!P17,'Legger Dinas'!P$7:P$46))</f>
        <v>22</v>
      </c>
      <c r="Q17" s="15">
        <f>IF($B17="","",RANK('Legger Dinas'!Q17,'Legger Dinas'!Q$7:Q$46))</f>
        <v>11</v>
      </c>
      <c r="R17" s="15">
        <f>IF($B17="","",RANK('Legger Dinas'!R17,'Legger Dinas'!R$7:R$46))</f>
        <v>29</v>
      </c>
      <c r="S17" s="15">
        <f>IF($B17="","",RANK('Legger Dinas'!S17,'Legger Dinas'!S$7:S$46))</f>
        <v>27</v>
      </c>
      <c r="T17" s="15">
        <f>IF($B17="","",RANK('Legger Dinas'!T17,'Legger Dinas'!T$7:T$46))</f>
        <v>31</v>
      </c>
      <c r="U17" s="15" t="str">
        <f>IF(Setting!$E$15="V","",IF(Setting!$E$15="VI","",RANK('Legger Dinas'!U17,'Legger Dinas'!U$7:U$46)))</f>
        <v/>
      </c>
      <c r="V17" s="15" t="e">
        <f>IF($B17="","",RANK('Legger Dinas'!V17,'Legger Dinas'!V$7:V$46))</f>
        <v>#VALUE!</v>
      </c>
      <c r="W17" s="165">
        <f>IF($B17="","",SUM('Legger Dinas'!G17:V17))</f>
        <v>1309</v>
      </c>
      <c r="X17" s="165">
        <f t="shared" si="0"/>
        <v>31</v>
      </c>
    </row>
    <row r="18" spans="1:24" x14ac:dyDescent="0.25">
      <c r="A18" s="12">
        <v>12</v>
      </c>
      <c r="B18" s="23" t="str">
        <f>IF(Setting!J17="","",Setting!J17)</f>
        <v>Ghifari Mabrur Al Burhani</v>
      </c>
      <c r="C18" s="28">
        <f>IF(Setting!K17="","",Setting!K17)</f>
        <v>2008128</v>
      </c>
      <c r="D18" s="28" t="str">
        <f>IF(Setting!L17="","",Setting!L17)</f>
        <v>0068080234</v>
      </c>
      <c r="E18" s="15" t="str">
        <f>IF(B18="","",Setting!$E$11)</f>
        <v>XII MIPA 4</v>
      </c>
      <c r="F18" s="15" t="str">
        <f>IF(B18="","",Setting!$E$15)</f>
        <v>V</v>
      </c>
      <c r="G18" s="15">
        <f>IF($B18="","",RANK('Legger Dinas'!G18,'Legger Dinas'!G$7:G$46))</f>
        <v>1</v>
      </c>
      <c r="H18" s="15">
        <f>IF($B18="","",RANK('Legger Dinas'!H18,'Legger Dinas'!H$7:H$46))</f>
        <v>1</v>
      </c>
      <c r="I18" s="15">
        <f>IF($B18="","",RANK('Legger Dinas'!I18,'Legger Dinas'!I$7:I$46))</f>
        <v>5</v>
      </c>
      <c r="J18" s="15">
        <f>IF($B18="","",RANK('Legger Dinas'!J18,'Legger Dinas'!J$7:J$46))</f>
        <v>24</v>
      </c>
      <c r="K18" s="15">
        <f>IF($B18="","",RANK('Legger Dinas'!K18,'Legger Dinas'!K$7:K$46))</f>
        <v>5</v>
      </c>
      <c r="L18" s="15">
        <f>IF($B18="","",RANK('Legger Dinas'!L18,'Legger Dinas'!L$7:L$46))</f>
        <v>1</v>
      </c>
      <c r="M18" s="15">
        <f>IF($B18="","",RANK('Legger Dinas'!M18,'Legger Dinas'!M$7:M$46))</f>
        <v>3</v>
      </c>
      <c r="N18" s="15">
        <f>IF($B18="","",RANK('Legger Dinas'!N18,'Legger Dinas'!N$7:N$46))</f>
        <v>22</v>
      </c>
      <c r="O18" s="15">
        <f>IF($B18="","",RANK('Legger Dinas'!O18,'Legger Dinas'!O$7:O$46))</f>
        <v>17</v>
      </c>
      <c r="P18" s="15">
        <f>IF($B18="","",RANK('Legger Dinas'!P18,'Legger Dinas'!P$7:P$46))</f>
        <v>22</v>
      </c>
      <c r="Q18" s="15">
        <f>IF($B18="","",RANK('Legger Dinas'!Q18,'Legger Dinas'!Q$7:Q$46))</f>
        <v>15</v>
      </c>
      <c r="R18" s="15">
        <f>IF($B18="","",RANK('Legger Dinas'!R18,'Legger Dinas'!R$7:R$46))</f>
        <v>29</v>
      </c>
      <c r="S18" s="15">
        <f>IF($B18="","",RANK('Legger Dinas'!S18,'Legger Dinas'!S$7:S$46))</f>
        <v>27</v>
      </c>
      <c r="T18" s="15">
        <f>IF($B18="","",RANK('Legger Dinas'!T18,'Legger Dinas'!T$7:T$46))</f>
        <v>28</v>
      </c>
      <c r="U18" s="15" t="str">
        <f>IF(Setting!$E$15="V","",IF(Setting!$E$15="VI","",RANK('Legger Dinas'!U18,'Legger Dinas'!U$7:U$46)))</f>
        <v/>
      </c>
      <c r="V18" s="15" t="e">
        <f>IF($B18="","",RANK('Legger Dinas'!V18,'Legger Dinas'!V$7:V$46))</f>
        <v>#VALUE!</v>
      </c>
      <c r="W18" s="165">
        <f>IF($B18="","",SUM('Legger Dinas'!G18:V18))</f>
        <v>1346</v>
      </c>
      <c r="X18" s="165">
        <f t="shared" si="0"/>
        <v>12</v>
      </c>
    </row>
    <row r="19" spans="1:24" x14ac:dyDescent="0.25">
      <c r="A19" s="12">
        <v>13</v>
      </c>
      <c r="B19" s="23" t="str">
        <f>IF(Setting!J18="","",Setting!J18)</f>
        <v>Hafid Mahreza Ilham</v>
      </c>
      <c r="C19" s="28">
        <f>IF(Setting!K18="","",Setting!K18)</f>
        <v>2008131</v>
      </c>
      <c r="D19" s="28" t="str">
        <f>IF(Setting!L18="","",Setting!L18)</f>
        <v>0058288476</v>
      </c>
      <c r="E19" s="15" t="str">
        <f>IF(B19="","",Setting!$E$11)</f>
        <v>XII MIPA 4</v>
      </c>
      <c r="F19" s="15" t="str">
        <f>IF(B19="","",Setting!$E$15)</f>
        <v>V</v>
      </c>
      <c r="G19" s="15">
        <f>IF($B19="","",RANK('Legger Dinas'!G19,'Legger Dinas'!G$7:G$46))</f>
        <v>17</v>
      </c>
      <c r="H19" s="15">
        <f>IF($B19="","",RANK('Legger Dinas'!H19,'Legger Dinas'!H$7:H$46))</f>
        <v>7</v>
      </c>
      <c r="I19" s="15">
        <f>IF($B19="","",RANK('Legger Dinas'!I19,'Legger Dinas'!I$7:I$46))</f>
        <v>17</v>
      </c>
      <c r="J19" s="15">
        <f>IF($B19="","",RANK('Legger Dinas'!J19,'Legger Dinas'!J$7:J$46))</f>
        <v>27</v>
      </c>
      <c r="K19" s="15">
        <f>IF($B19="","",RANK('Legger Dinas'!K19,'Legger Dinas'!K$7:K$46))</f>
        <v>5</v>
      </c>
      <c r="L19" s="15">
        <f>IF($B19="","",RANK('Legger Dinas'!L19,'Legger Dinas'!L$7:L$46))</f>
        <v>10</v>
      </c>
      <c r="M19" s="15">
        <f>IF($B19="","",RANK('Legger Dinas'!M19,'Legger Dinas'!M$7:M$46))</f>
        <v>6</v>
      </c>
      <c r="N19" s="15">
        <f>IF($B19="","",RANK('Legger Dinas'!N19,'Legger Dinas'!N$7:N$46))</f>
        <v>22</v>
      </c>
      <c r="O19" s="15">
        <f>IF($B19="","",RANK('Legger Dinas'!O19,'Legger Dinas'!O$7:O$46))</f>
        <v>10</v>
      </c>
      <c r="P19" s="15">
        <f>IF($B19="","",RANK('Legger Dinas'!P19,'Legger Dinas'!P$7:P$46))</f>
        <v>16</v>
      </c>
      <c r="Q19" s="15">
        <f>IF($B19="","",RANK('Legger Dinas'!Q19,'Legger Dinas'!Q$7:Q$46))</f>
        <v>7</v>
      </c>
      <c r="R19" s="15">
        <f>IF($B19="","",RANK('Legger Dinas'!R19,'Legger Dinas'!R$7:R$46))</f>
        <v>22</v>
      </c>
      <c r="S19" s="15">
        <f>IF($B19="","",RANK('Legger Dinas'!S19,'Legger Dinas'!S$7:S$46))</f>
        <v>14</v>
      </c>
      <c r="T19" s="15">
        <f>IF($B19="","",RANK('Legger Dinas'!T19,'Legger Dinas'!T$7:T$46))</f>
        <v>14</v>
      </c>
      <c r="U19" s="15" t="str">
        <f>IF(Setting!$E$15="V","",IF(Setting!$E$15="VI","",RANK('Legger Dinas'!U19,'Legger Dinas'!U$7:U$46)))</f>
        <v/>
      </c>
      <c r="V19" s="15" t="e">
        <f>IF($B19="","",RANK('Legger Dinas'!V19,'Legger Dinas'!V$7:V$46))</f>
        <v>#VALUE!</v>
      </c>
      <c r="W19" s="165">
        <f>IF($B19="","",SUM('Legger Dinas'!G19:V19))</f>
        <v>1343</v>
      </c>
      <c r="X19" s="165">
        <f t="shared" si="0"/>
        <v>16</v>
      </c>
    </row>
    <row r="20" spans="1:24" x14ac:dyDescent="0.25">
      <c r="A20" s="12">
        <v>14</v>
      </c>
      <c r="B20" s="23" t="str">
        <f>IF(Setting!J19="","",Setting!J19)</f>
        <v>Haidar Rafif Hibatulloh</v>
      </c>
      <c r="C20" s="28">
        <f>IF(Setting!K19="","",Setting!K19)</f>
        <v>2008132</v>
      </c>
      <c r="D20" s="28" t="str">
        <f>IF(Setting!L19="","",Setting!L19)</f>
        <v>0054005743</v>
      </c>
      <c r="E20" s="15" t="str">
        <f>IF(B20="","",Setting!$E$11)</f>
        <v>XII MIPA 4</v>
      </c>
      <c r="F20" s="15" t="str">
        <f>IF(B20="","",Setting!$E$15)</f>
        <v>V</v>
      </c>
      <c r="G20" s="15">
        <f>IF($B20="","",RANK('Legger Dinas'!G20,'Legger Dinas'!G$7:G$46))</f>
        <v>17</v>
      </c>
      <c r="H20" s="15">
        <f>IF($B20="","",RANK('Legger Dinas'!H20,'Legger Dinas'!H$7:H$46))</f>
        <v>22</v>
      </c>
      <c r="I20" s="15">
        <f>IF($B20="","",RANK('Legger Dinas'!I20,'Legger Dinas'!I$7:I$46))</f>
        <v>21</v>
      </c>
      <c r="J20" s="15">
        <f>IF($B20="","",RANK('Legger Dinas'!J20,'Legger Dinas'!J$7:J$46))</f>
        <v>13</v>
      </c>
      <c r="K20" s="15">
        <f>IF($B20="","",RANK('Legger Dinas'!K20,'Legger Dinas'!K$7:K$46))</f>
        <v>17</v>
      </c>
      <c r="L20" s="15">
        <f>IF($B20="","",RANK('Legger Dinas'!L20,'Legger Dinas'!L$7:L$46))</f>
        <v>26</v>
      </c>
      <c r="M20" s="15">
        <f>IF($B20="","",RANK('Legger Dinas'!M20,'Legger Dinas'!M$7:M$46))</f>
        <v>16</v>
      </c>
      <c r="N20" s="15">
        <f>IF($B20="","",RANK('Legger Dinas'!N20,'Legger Dinas'!N$7:N$46))</f>
        <v>1</v>
      </c>
      <c r="O20" s="15">
        <f>IF($B20="","",RANK('Legger Dinas'!O20,'Legger Dinas'!O$7:O$46))</f>
        <v>5</v>
      </c>
      <c r="P20" s="15">
        <f>IF($B20="","",RANK('Legger Dinas'!P20,'Legger Dinas'!P$7:P$46))</f>
        <v>10</v>
      </c>
      <c r="Q20" s="15">
        <f>IF($B20="","",RANK('Legger Dinas'!Q20,'Legger Dinas'!Q$7:Q$46))</f>
        <v>27</v>
      </c>
      <c r="R20" s="15">
        <f>IF($B20="","",RANK('Legger Dinas'!R20,'Legger Dinas'!R$7:R$46))</f>
        <v>5</v>
      </c>
      <c r="S20" s="15">
        <f>IF($B20="","",RANK('Legger Dinas'!S20,'Legger Dinas'!S$7:S$46))</f>
        <v>14</v>
      </c>
      <c r="T20" s="15">
        <f>IF($B20="","",RANK('Legger Dinas'!T20,'Legger Dinas'!T$7:T$46))</f>
        <v>8</v>
      </c>
      <c r="U20" s="15" t="str">
        <f>IF(Setting!$E$15="V","",IF(Setting!$E$15="VI","",RANK('Legger Dinas'!U20,'Legger Dinas'!U$7:U$46)))</f>
        <v/>
      </c>
      <c r="V20" s="15" t="e">
        <f>IF($B20="","",RANK('Legger Dinas'!V20,'Legger Dinas'!V$7:V$46))</f>
        <v>#VALUE!</v>
      </c>
      <c r="W20" s="165">
        <f>IF($B20="","",SUM('Legger Dinas'!G20:V20))</f>
        <v>1340</v>
      </c>
      <c r="X20" s="165">
        <f t="shared" si="0"/>
        <v>19</v>
      </c>
    </row>
    <row r="21" spans="1:24" x14ac:dyDescent="0.25">
      <c r="A21" s="12">
        <v>15</v>
      </c>
      <c r="B21" s="23" t="str">
        <f>IF(Setting!J20="","",Setting!J20)</f>
        <v>Kelvin Oktabrian Ramadhan</v>
      </c>
      <c r="C21" s="28">
        <f>IF(Setting!K20="","",Setting!K20)</f>
        <v>2008169</v>
      </c>
      <c r="D21" s="28" t="str">
        <f>IF(Setting!L20="","",Setting!L20)</f>
        <v>0045893001</v>
      </c>
      <c r="E21" s="15" t="str">
        <f>IF(B21="","",Setting!$E$11)</f>
        <v>XII MIPA 4</v>
      </c>
      <c r="F21" s="15" t="str">
        <f>IF(B21="","",Setting!$E$15)</f>
        <v>V</v>
      </c>
      <c r="G21" s="15">
        <f>IF($B21="","",RANK('Legger Dinas'!G21,'Legger Dinas'!G$7:G$46))</f>
        <v>17</v>
      </c>
      <c r="H21" s="15">
        <f>IF($B21="","",RANK('Legger Dinas'!H21,'Legger Dinas'!H$7:H$46))</f>
        <v>13</v>
      </c>
      <c r="I21" s="15">
        <f>IF($B21="","",RANK('Legger Dinas'!I21,'Legger Dinas'!I$7:I$46))</f>
        <v>7</v>
      </c>
      <c r="J21" s="15">
        <f>IF($B21="","",RANK('Legger Dinas'!J21,'Legger Dinas'!J$7:J$46))</f>
        <v>13</v>
      </c>
      <c r="K21" s="15">
        <f>IF($B21="","",RANK('Legger Dinas'!K21,'Legger Dinas'!K$7:K$46))</f>
        <v>1</v>
      </c>
      <c r="L21" s="15">
        <f>IF($B21="","",RANK('Legger Dinas'!L21,'Legger Dinas'!L$7:L$46))</f>
        <v>4</v>
      </c>
      <c r="M21" s="15">
        <f>IF($B21="","",RANK('Legger Dinas'!M21,'Legger Dinas'!M$7:M$46))</f>
        <v>16</v>
      </c>
      <c r="N21" s="15">
        <f>IF($B21="","",RANK('Legger Dinas'!N21,'Legger Dinas'!N$7:N$46))</f>
        <v>1</v>
      </c>
      <c r="O21" s="15">
        <f>IF($B21="","",RANK('Legger Dinas'!O21,'Legger Dinas'!O$7:O$46))</f>
        <v>5</v>
      </c>
      <c r="P21" s="15">
        <f>IF($B21="","",RANK('Legger Dinas'!P21,'Legger Dinas'!P$7:P$46))</f>
        <v>22</v>
      </c>
      <c r="Q21" s="15">
        <f>IF($B21="","",RANK('Legger Dinas'!Q21,'Legger Dinas'!Q$7:Q$46))</f>
        <v>15</v>
      </c>
      <c r="R21" s="15">
        <f>IF($B21="","",RANK('Legger Dinas'!R21,'Legger Dinas'!R$7:R$46))</f>
        <v>5</v>
      </c>
      <c r="S21" s="15">
        <f>IF($B21="","",RANK('Legger Dinas'!S21,'Legger Dinas'!S$7:S$46))</f>
        <v>14</v>
      </c>
      <c r="T21" s="15">
        <f>IF($B21="","",RANK('Legger Dinas'!T21,'Legger Dinas'!T$7:T$46))</f>
        <v>4</v>
      </c>
      <c r="U21" s="15" t="str">
        <f>IF(Setting!$E$15="V","",IF(Setting!$E$15="VI","",RANK('Legger Dinas'!U21,'Legger Dinas'!U$7:U$46)))</f>
        <v/>
      </c>
      <c r="V21" s="15" t="e">
        <f>IF($B21="","",RANK('Legger Dinas'!V21,'Legger Dinas'!V$7:V$46))</f>
        <v>#VALUE!</v>
      </c>
      <c r="W21" s="165">
        <f>IF($B21="","",SUM('Legger Dinas'!G21:V21))</f>
        <v>1352</v>
      </c>
      <c r="X21" s="165">
        <f t="shared" si="0"/>
        <v>8</v>
      </c>
    </row>
    <row r="22" spans="1:24" x14ac:dyDescent="0.25">
      <c r="A22" s="12">
        <v>16</v>
      </c>
      <c r="B22" s="23" t="str">
        <f>IF(Setting!J21="","",Setting!J21)</f>
        <v>Mohamad Khoiril Afwa</v>
      </c>
      <c r="C22" s="28">
        <f>IF(Setting!K21="","",Setting!K21)</f>
        <v>2008197</v>
      </c>
      <c r="D22" s="28" t="str">
        <f>IF(Setting!L21="","",Setting!L21)</f>
        <v>0044910894</v>
      </c>
      <c r="E22" s="15" t="str">
        <f>IF(B22="","",Setting!$E$11)</f>
        <v>XII MIPA 4</v>
      </c>
      <c r="F22" s="15" t="str">
        <f>IF(B22="","",Setting!$E$15)</f>
        <v>V</v>
      </c>
      <c r="G22" s="15">
        <f>IF($B22="","",RANK('Legger Dinas'!G22,'Legger Dinas'!G$7:G$46))</f>
        <v>17</v>
      </c>
      <c r="H22" s="15">
        <f>IF($B22="","",RANK('Legger Dinas'!H22,'Legger Dinas'!H$7:H$46))</f>
        <v>24</v>
      </c>
      <c r="I22" s="15">
        <f>IF($B22="","",RANK('Legger Dinas'!I22,'Legger Dinas'!I$7:I$46))</f>
        <v>17</v>
      </c>
      <c r="J22" s="15">
        <f>IF($B22="","",RANK('Legger Dinas'!J22,'Legger Dinas'!J$7:J$46))</f>
        <v>24</v>
      </c>
      <c r="K22" s="15">
        <f>IF($B22="","",RANK('Legger Dinas'!K22,'Legger Dinas'!K$7:K$46))</f>
        <v>1</v>
      </c>
      <c r="L22" s="15">
        <f>IF($B22="","",RANK('Legger Dinas'!L22,'Legger Dinas'!L$7:L$46))</f>
        <v>26</v>
      </c>
      <c r="M22" s="15">
        <f>IF($B22="","",RANK('Legger Dinas'!M22,'Legger Dinas'!M$7:M$46))</f>
        <v>16</v>
      </c>
      <c r="N22" s="15">
        <f>IF($B22="","",RANK('Legger Dinas'!N22,'Legger Dinas'!N$7:N$46))</f>
        <v>1</v>
      </c>
      <c r="O22" s="15">
        <f>IF($B22="","",RANK('Legger Dinas'!O22,'Legger Dinas'!O$7:O$46))</f>
        <v>17</v>
      </c>
      <c r="P22" s="15">
        <f>IF($B22="","",RANK('Legger Dinas'!P22,'Legger Dinas'!P$7:P$46))</f>
        <v>10</v>
      </c>
      <c r="Q22" s="15">
        <f>IF($B22="","",RANK('Legger Dinas'!Q22,'Legger Dinas'!Q$7:Q$46))</f>
        <v>23</v>
      </c>
      <c r="R22" s="15">
        <f>IF($B22="","",RANK('Legger Dinas'!R22,'Legger Dinas'!R$7:R$46))</f>
        <v>19</v>
      </c>
      <c r="S22" s="15">
        <f>IF($B22="","",RANK('Legger Dinas'!S22,'Legger Dinas'!S$7:S$46))</f>
        <v>14</v>
      </c>
      <c r="T22" s="15">
        <f>IF($B22="","",RANK('Legger Dinas'!T22,'Legger Dinas'!T$7:T$46))</f>
        <v>8</v>
      </c>
      <c r="U22" s="15" t="str">
        <f>IF(Setting!$E$15="V","",IF(Setting!$E$15="VI","",RANK('Legger Dinas'!U22,'Legger Dinas'!U$7:U$46)))</f>
        <v/>
      </c>
      <c r="V22" s="15" t="e">
        <f>IF($B22="","",RANK('Legger Dinas'!V22,'Legger Dinas'!V$7:V$46))</f>
        <v>#VALUE!</v>
      </c>
      <c r="W22" s="165">
        <f>IF($B22="","",SUM('Legger Dinas'!G22:V22))</f>
        <v>1340</v>
      </c>
      <c r="X22" s="165">
        <f t="shared" si="0"/>
        <v>19</v>
      </c>
    </row>
    <row r="23" spans="1:24" x14ac:dyDescent="0.25">
      <c r="A23" s="12">
        <v>17</v>
      </c>
      <c r="B23" s="23" t="str">
        <f>IF(Setting!J22="","",Setting!J22)</f>
        <v>Muhammad Hanif Pearlyaradja</v>
      </c>
      <c r="C23" s="28">
        <f>IF(Setting!K22="","",Setting!K22)</f>
        <v>2008214</v>
      </c>
      <c r="D23" s="28" t="str">
        <f>IF(Setting!L22="","",Setting!L22)</f>
        <v>0052096412</v>
      </c>
      <c r="E23" s="15" t="str">
        <f>IF(B23="","",Setting!$E$11)</f>
        <v>XII MIPA 4</v>
      </c>
      <c r="F23" s="15" t="str">
        <f>IF(B23="","",Setting!$E$15)</f>
        <v>V</v>
      </c>
      <c r="G23" s="15">
        <f>IF($B23="","",RANK('Legger Dinas'!G23,'Legger Dinas'!G$7:G$46))</f>
        <v>1</v>
      </c>
      <c r="H23" s="15">
        <f>IF($B23="","",RANK('Legger Dinas'!H23,'Legger Dinas'!H$7:H$46))</f>
        <v>3</v>
      </c>
      <c r="I23" s="15">
        <f>IF($B23="","",RANK('Legger Dinas'!I23,'Legger Dinas'!I$7:I$46))</f>
        <v>17</v>
      </c>
      <c r="J23" s="15">
        <f>IF($B23="","",RANK('Legger Dinas'!J23,'Legger Dinas'!J$7:J$46))</f>
        <v>8</v>
      </c>
      <c r="K23" s="15">
        <f>IF($B23="","",RANK('Legger Dinas'!K23,'Legger Dinas'!K$7:K$46))</f>
        <v>14</v>
      </c>
      <c r="L23" s="15">
        <f>IF($B23="","",RANK('Legger Dinas'!L23,'Legger Dinas'!L$7:L$46))</f>
        <v>26</v>
      </c>
      <c r="M23" s="15">
        <f>IF($B23="","",RANK('Legger Dinas'!M23,'Legger Dinas'!M$7:M$46))</f>
        <v>16</v>
      </c>
      <c r="N23" s="15">
        <f>IF($B23="","",RANK('Legger Dinas'!N23,'Legger Dinas'!N$7:N$46))</f>
        <v>1</v>
      </c>
      <c r="O23" s="15">
        <f>IF($B23="","",RANK('Legger Dinas'!O23,'Legger Dinas'!O$7:O$46))</f>
        <v>17</v>
      </c>
      <c r="P23" s="15">
        <f>IF($B23="","",RANK('Legger Dinas'!P23,'Legger Dinas'!P$7:P$46))</f>
        <v>16</v>
      </c>
      <c r="Q23" s="15">
        <f>IF($B23="","",RANK('Legger Dinas'!Q23,'Legger Dinas'!Q$7:Q$46))</f>
        <v>19</v>
      </c>
      <c r="R23" s="15">
        <f>IF($B23="","",RANK('Legger Dinas'!R23,'Legger Dinas'!R$7:R$46))</f>
        <v>8</v>
      </c>
      <c r="S23" s="15">
        <f>IF($B23="","",RANK('Legger Dinas'!S23,'Legger Dinas'!S$7:S$46))</f>
        <v>10</v>
      </c>
      <c r="T23" s="15">
        <f>IF($B23="","",RANK('Legger Dinas'!T23,'Legger Dinas'!T$7:T$46))</f>
        <v>5</v>
      </c>
      <c r="U23" s="15" t="str">
        <f>IF(Setting!$E$15="V","",IF(Setting!$E$15="VI","",RANK('Legger Dinas'!U23,'Legger Dinas'!U$7:U$46)))</f>
        <v/>
      </c>
      <c r="V23" s="15" t="e">
        <f>IF($B23="","",RANK('Legger Dinas'!V23,'Legger Dinas'!V$7:V$46))</f>
        <v>#VALUE!</v>
      </c>
      <c r="W23" s="165">
        <f>IF($B23="","",SUM('Legger Dinas'!G23:V23))</f>
        <v>1348</v>
      </c>
      <c r="X23" s="165">
        <f t="shared" si="0"/>
        <v>10</v>
      </c>
    </row>
    <row r="24" spans="1:24" x14ac:dyDescent="0.25">
      <c r="A24" s="12">
        <v>18</v>
      </c>
      <c r="B24" s="23" t="str">
        <f>IF(Setting!J23="","",Setting!J23)</f>
        <v>Muhammad Maurel Han</v>
      </c>
      <c r="C24" s="28">
        <f>IF(Setting!K23="","",Setting!K23)</f>
        <v>2008218</v>
      </c>
      <c r="D24" s="28" t="str">
        <f>IF(Setting!L23="","",Setting!L23)</f>
        <v>9015578324</v>
      </c>
      <c r="E24" s="15" t="str">
        <f>IF(B24="","",Setting!$E$11)</f>
        <v>XII MIPA 4</v>
      </c>
      <c r="F24" s="15" t="str">
        <f>IF(B24="","",Setting!$E$15)</f>
        <v>V</v>
      </c>
      <c r="G24" s="15">
        <f>IF($B24="","",RANK('Legger Dinas'!G24,'Legger Dinas'!G$7:G$46))</f>
        <v>1</v>
      </c>
      <c r="H24" s="15">
        <f>IF($B24="","",RANK('Legger Dinas'!H24,'Legger Dinas'!H$7:H$46))</f>
        <v>13</v>
      </c>
      <c r="I24" s="15">
        <f>IF($B24="","",RANK('Legger Dinas'!I24,'Legger Dinas'!I$7:I$46))</f>
        <v>21</v>
      </c>
      <c r="J24" s="15">
        <f>IF($B24="","",RANK('Legger Dinas'!J24,'Legger Dinas'!J$7:J$46))</f>
        <v>8</v>
      </c>
      <c r="K24" s="15">
        <f>IF($B24="","",RANK('Legger Dinas'!K24,'Legger Dinas'!K$7:K$46))</f>
        <v>24</v>
      </c>
      <c r="L24" s="15">
        <f>IF($B24="","",RANK('Legger Dinas'!L24,'Legger Dinas'!L$7:L$46))</f>
        <v>26</v>
      </c>
      <c r="M24" s="15">
        <f>IF($B24="","",RANK('Legger Dinas'!M24,'Legger Dinas'!M$7:M$46))</f>
        <v>28</v>
      </c>
      <c r="N24" s="15">
        <f>IF($B24="","",RANK('Legger Dinas'!N24,'Legger Dinas'!N$7:N$46))</f>
        <v>22</v>
      </c>
      <c r="O24" s="15">
        <f>IF($B24="","",RANK('Legger Dinas'!O24,'Legger Dinas'!O$7:O$46))</f>
        <v>26</v>
      </c>
      <c r="P24" s="15">
        <f>IF($B24="","",RANK('Legger Dinas'!P24,'Legger Dinas'!P$7:P$46))</f>
        <v>16</v>
      </c>
      <c r="Q24" s="15">
        <f>IF($B24="","",RANK('Legger Dinas'!Q24,'Legger Dinas'!Q$7:Q$46))</f>
        <v>23</v>
      </c>
      <c r="R24" s="15">
        <f>IF($B24="","",RANK('Legger Dinas'!R24,'Legger Dinas'!R$7:R$46))</f>
        <v>27</v>
      </c>
      <c r="S24" s="15">
        <f>IF($B24="","",RANK('Legger Dinas'!S24,'Legger Dinas'!S$7:S$46))</f>
        <v>23</v>
      </c>
      <c r="T24" s="15">
        <f>IF($B24="","",RANK('Legger Dinas'!T24,'Legger Dinas'!T$7:T$46))</f>
        <v>14</v>
      </c>
      <c r="U24" s="15" t="str">
        <f>IF(Setting!$E$15="V","",IF(Setting!$E$15="VI","",RANK('Legger Dinas'!U24,'Legger Dinas'!U$7:U$46)))</f>
        <v/>
      </c>
      <c r="V24" s="15" t="e">
        <f>IF($B24="","",RANK('Legger Dinas'!V24,'Legger Dinas'!V$7:V$46))</f>
        <v>#VALUE!</v>
      </c>
      <c r="W24" s="165">
        <f>IF($B24="","",SUM('Legger Dinas'!G24:V24))</f>
        <v>1323</v>
      </c>
      <c r="X24" s="165">
        <f t="shared" si="0"/>
        <v>28</v>
      </c>
    </row>
    <row r="25" spans="1:24" x14ac:dyDescent="0.25">
      <c r="A25" s="12">
        <v>19</v>
      </c>
      <c r="B25" s="23" t="str">
        <f>IF(Setting!J24="","",Setting!J24)</f>
        <v>Muhammad Niam Masykuri</v>
      </c>
      <c r="C25" s="28">
        <f>IF(Setting!K24="","",Setting!K24)</f>
        <v>2008220</v>
      </c>
      <c r="D25" s="28" t="str">
        <f>IF(Setting!L24="","",Setting!L24)</f>
        <v>0044193368</v>
      </c>
      <c r="E25" s="15" t="str">
        <f>IF(B25="","",Setting!$E$11)</f>
        <v>XII MIPA 4</v>
      </c>
      <c r="F25" s="15" t="str">
        <f>IF(B25="","",Setting!$E$15)</f>
        <v>V</v>
      </c>
      <c r="G25" s="15">
        <f>IF($B25="","",RANK('Legger Dinas'!G25,'Legger Dinas'!G$7:G$46))</f>
        <v>1</v>
      </c>
      <c r="H25" s="15">
        <f>IF($B25="","",RANK('Legger Dinas'!H25,'Legger Dinas'!H$7:H$46))</f>
        <v>24</v>
      </c>
      <c r="I25" s="15">
        <f>IF($B25="","",RANK('Legger Dinas'!I25,'Legger Dinas'!I$7:I$46))</f>
        <v>17</v>
      </c>
      <c r="J25" s="15">
        <f>IF($B25="","",RANK('Legger Dinas'!J25,'Legger Dinas'!J$7:J$46))</f>
        <v>13</v>
      </c>
      <c r="K25" s="15">
        <f>IF($B25="","",RANK('Legger Dinas'!K25,'Legger Dinas'!K$7:K$46))</f>
        <v>21</v>
      </c>
      <c r="L25" s="15">
        <f>IF($B25="","",RANK('Legger Dinas'!L25,'Legger Dinas'!L$7:L$46))</f>
        <v>10</v>
      </c>
      <c r="M25" s="15">
        <f>IF($B25="","",RANK('Legger Dinas'!M25,'Legger Dinas'!M$7:M$46))</f>
        <v>6</v>
      </c>
      <c r="N25" s="15">
        <f>IF($B25="","",RANK('Legger Dinas'!N25,'Legger Dinas'!N$7:N$46))</f>
        <v>1</v>
      </c>
      <c r="O25" s="15">
        <f>IF($B25="","",RANK('Legger Dinas'!O25,'Legger Dinas'!O$7:O$46))</f>
        <v>10</v>
      </c>
      <c r="P25" s="15">
        <f>IF($B25="","",RANK('Legger Dinas'!P25,'Legger Dinas'!P$7:P$46))</f>
        <v>7</v>
      </c>
      <c r="Q25" s="15">
        <f>IF($B25="","",RANK('Legger Dinas'!Q25,'Legger Dinas'!Q$7:Q$46))</f>
        <v>11</v>
      </c>
      <c r="R25" s="15">
        <f>IF($B25="","",RANK('Legger Dinas'!R25,'Legger Dinas'!R$7:R$46))</f>
        <v>8</v>
      </c>
      <c r="S25" s="15">
        <f>IF($B25="","",RANK('Legger Dinas'!S25,'Legger Dinas'!S$7:S$46))</f>
        <v>10</v>
      </c>
      <c r="T25" s="15">
        <f>IF($B25="","",RANK('Legger Dinas'!T25,'Legger Dinas'!T$7:T$46))</f>
        <v>14</v>
      </c>
      <c r="U25" s="15" t="str">
        <f>IF(Setting!$E$15="V","",IF(Setting!$E$15="VI","",RANK('Legger Dinas'!U25,'Legger Dinas'!U$7:U$46)))</f>
        <v/>
      </c>
      <c r="V25" s="15" t="e">
        <f>IF($B25="","",RANK('Legger Dinas'!V25,'Legger Dinas'!V$7:V$46))</f>
        <v>#VALUE!</v>
      </c>
      <c r="W25" s="165">
        <f>IF($B25="","",SUM('Legger Dinas'!G25:V25))</f>
        <v>1347</v>
      </c>
      <c r="X25" s="165">
        <f t="shared" si="0"/>
        <v>11</v>
      </c>
    </row>
    <row r="26" spans="1:24" x14ac:dyDescent="0.25">
      <c r="A26" s="12">
        <v>20</v>
      </c>
      <c r="B26" s="23" t="str">
        <f>IF(Setting!J25="","",Setting!J25)</f>
        <v>Muhammad Nur Arzhian Kusuma</v>
      </c>
      <c r="C26" s="28">
        <f>IF(Setting!K25="","",Setting!K25)</f>
        <v>2008221</v>
      </c>
      <c r="D26" s="28" t="str">
        <f>IF(Setting!L25="","",Setting!L25)</f>
        <v>0053421781</v>
      </c>
      <c r="E26" s="15" t="str">
        <f>IF(B26="","",Setting!$E$11)</f>
        <v>XII MIPA 4</v>
      </c>
      <c r="F26" s="15" t="str">
        <f>IF(B26="","",Setting!$E$15)</f>
        <v>V</v>
      </c>
      <c r="G26" s="15">
        <f>IF($B26="","",RANK('Legger Dinas'!G26,'Legger Dinas'!G$7:G$46))</f>
        <v>17</v>
      </c>
      <c r="H26" s="15">
        <f>IF($B26="","",RANK('Legger Dinas'!H26,'Legger Dinas'!H$7:H$46))</f>
        <v>7</v>
      </c>
      <c r="I26" s="15">
        <f>IF($B26="","",RANK('Legger Dinas'!I26,'Legger Dinas'!I$7:I$46))</f>
        <v>7</v>
      </c>
      <c r="J26" s="15">
        <f>IF($B26="","",RANK('Legger Dinas'!J26,'Legger Dinas'!J$7:J$46))</f>
        <v>13</v>
      </c>
      <c r="K26" s="15">
        <f>IF($B26="","",RANK('Legger Dinas'!K26,'Legger Dinas'!K$7:K$46))</f>
        <v>24</v>
      </c>
      <c r="L26" s="15">
        <f>IF($B26="","",RANK('Legger Dinas'!L26,'Legger Dinas'!L$7:L$46))</f>
        <v>19</v>
      </c>
      <c r="M26" s="15">
        <f>IF($B26="","",RANK('Legger Dinas'!M26,'Legger Dinas'!M$7:M$46))</f>
        <v>16</v>
      </c>
      <c r="N26" s="15">
        <f>IF($B26="","",RANK('Legger Dinas'!N26,'Legger Dinas'!N$7:N$46))</f>
        <v>22</v>
      </c>
      <c r="O26" s="15">
        <f>IF($B26="","",RANK('Legger Dinas'!O26,'Legger Dinas'!O$7:O$46))</f>
        <v>17</v>
      </c>
      <c r="P26" s="15">
        <f>IF($B26="","",RANK('Legger Dinas'!P26,'Legger Dinas'!P$7:P$46))</f>
        <v>7</v>
      </c>
      <c r="Q26" s="15">
        <f>IF($B26="","",RANK('Legger Dinas'!Q26,'Legger Dinas'!Q$7:Q$46))</f>
        <v>10</v>
      </c>
      <c r="R26" s="15">
        <f>IF($B26="","",RANK('Legger Dinas'!R26,'Legger Dinas'!R$7:R$46))</f>
        <v>22</v>
      </c>
      <c r="S26" s="15">
        <f>IF($B26="","",RANK('Legger Dinas'!S26,'Legger Dinas'!S$7:S$46))</f>
        <v>14</v>
      </c>
      <c r="T26" s="15">
        <f>IF($B26="","",RANK('Legger Dinas'!T26,'Legger Dinas'!T$7:T$46))</f>
        <v>24</v>
      </c>
      <c r="U26" s="15" t="str">
        <f>IF(Setting!$E$15="V","",IF(Setting!$E$15="VI","",RANK('Legger Dinas'!U26,'Legger Dinas'!U$7:U$46)))</f>
        <v/>
      </c>
      <c r="V26" s="15" t="e">
        <f>IF($B26="","",RANK('Legger Dinas'!V26,'Legger Dinas'!V$7:V$46))</f>
        <v>#VALUE!</v>
      </c>
      <c r="W26" s="165">
        <f>IF($B26="","",SUM('Legger Dinas'!G26:V26))</f>
        <v>1337</v>
      </c>
      <c r="X26" s="165">
        <f t="shared" si="0"/>
        <v>23</v>
      </c>
    </row>
    <row r="27" spans="1:24" x14ac:dyDescent="0.25">
      <c r="A27" s="12">
        <v>21</v>
      </c>
      <c r="B27" s="23" t="str">
        <f>IF(Setting!J26="","",Setting!J26)</f>
        <v>Muhammad Rafif Rizqullah</v>
      </c>
      <c r="C27" s="28">
        <f>IF(Setting!K26="","",Setting!K26)</f>
        <v>2008222</v>
      </c>
      <c r="D27" s="28" t="str">
        <f>IF(Setting!L26="","",Setting!L26)</f>
        <v>0044559979</v>
      </c>
      <c r="E27" s="15" t="str">
        <f>IF(B27="","",Setting!$E$11)</f>
        <v>XII MIPA 4</v>
      </c>
      <c r="F27" s="15" t="str">
        <f>IF(B27="","",Setting!$E$15)</f>
        <v>V</v>
      </c>
      <c r="G27" s="15">
        <f>IF($B27="","",RANK('Legger Dinas'!G27,'Legger Dinas'!G$7:G$46))</f>
        <v>17</v>
      </c>
      <c r="H27" s="15">
        <f>IF($B27="","",RANK('Legger Dinas'!H27,'Legger Dinas'!H$7:H$46))</f>
        <v>24</v>
      </c>
      <c r="I27" s="15">
        <f>IF($B27="","",RANK('Legger Dinas'!I27,'Legger Dinas'!I$7:I$46))</f>
        <v>14</v>
      </c>
      <c r="J27" s="15">
        <f>IF($B27="","",RANK('Legger Dinas'!J27,'Legger Dinas'!J$7:J$46))</f>
        <v>27</v>
      </c>
      <c r="K27" s="15">
        <f>IF($B27="","",RANK('Legger Dinas'!K27,'Legger Dinas'!K$7:K$46))</f>
        <v>21</v>
      </c>
      <c r="L27" s="15">
        <f>IF($B27="","",RANK('Legger Dinas'!L27,'Legger Dinas'!L$7:L$46))</f>
        <v>5</v>
      </c>
      <c r="M27" s="15">
        <f>IF($B27="","",RANK('Legger Dinas'!M27,'Legger Dinas'!M$7:M$46))</f>
        <v>9</v>
      </c>
      <c r="N27" s="15">
        <f>IF($B27="","",RANK('Legger Dinas'!N27,'Legger Dinas'!N$7:N$46))</f>
        <v>22</v>
      </c>
      <c r="O27" s="15">
        <f>IF($B27="","",RANK('Legger Dinas'!O27,'Legger Dinas'!O$7:O$46))</f>
        <v>10</v>
      </c>
      <c r="P27" s="15">
        <f>IF($B27="","",RANK('Legger Dinas'!P27,'Legger Dinas'!P$7:P$46))</f>
        <v>10</v>
      </c>
      <c r="Q27" s="15">
        <f>IF($B27="","",RANK('Legger Dinas'!Q27,'Legger Dinas'!Q$7:Q$46))</f>
        <v>6</v>
      </c>
      <c r="R27" s="15">
        <f>IF($B27="","",RANK('Legger Dinas'!R27,'Legger Dinas'!R$7:R$46))</f>
        <v>19</v>
      </c>
      <c r="S27" s="15">
        <f>IF($B27="","",RANK('Legger Dinas'!S27,'Legger Dinas'!S$7:S$46))</f>
        <v>14</v>
      </c>
      <c r="T27" s="15">
        <f>IF($B27="","",RANK('Legger Dinas'!T27,'Legger Dinas'!T$7:T$46))</f>
        <v>14</v>
      </c>
      <c r="U27" s="15" t="str">
        <f>IF(Setting!$E$15="V","",IF(Setting!$E$15="VI","",RANK('Legger Dinas'!U27,'Legger Dinas'!U$7:U$46)))</f>
        <v/>
      </c>
      <c r="V27" s="15" t="e">
        <f>IF($B27="","",RANK('Legger Dinas'!V27,'Legger Dinas'!V$7:V$46))</f>
        <v>#VALUE!</v>
      </c>
      <c r="W27" s="165">
        <f>IF($B27="","",SUM('Legger Dinas'!G27:V27))</f>
        <v>1341</v>
      </c>
      <c r="X27" s="165">
        <f t="shared" si="0"/>
        <v>18</v>
      </c>
    </row>
    <row r="28" spans="1:24" x14ac:dyDescent="0.25">
      <c r="A28" s="12">
        <v>22</v>
      </c>
      <c r="B28" s="23" t="str">
        <f>IF(Setting!J27="","",Setting!J27)</f>
        <v>Muhammad Raihan Al Faridzi</v>
      </c>
      <c r="C28" s="28">
        <f>IF(Setting!K27="","",Setting!K27)</f>
        <v>2008223</v>
      </c>
      <c r="D28" s="28" t="str">
        <f>IF(Setting!L27="","",Setting!L27)</f>
        <v>0047550264</v>
      </c>
      <c r="E28" s="15" t="str">
        <f>IF(B28="","",Setting!$E$11)</f>
        <v>XII MIPA 4</v>
      </c>
      <c r="F28" s="15" t="str">
        <f>IF(B28="","",Setting!$E$15)</f>
        <v>V</v>
      </c>
      <c r="G28" s="15">
        <f>IF($B28="","",RANK('Legger Dinas'!G28,'Legger Dinas'!G$7:G$46))</f>
        <v>1</v>
      </c>
      <c r="H28" s="15">
        <f>IF($B28="","",RANK('Legger Dinas'!H28,'Legger Dinas'!H$7:H$46))</f>
        <v>13</v>
      </c>
      <c r="I28" s="15">
        <f>IF($B28="","",RANK('Legger Dinas'!I28,'Legger Dinas'!I$7:I$46))</f>
        <v>26</v>
      </c>
      <c r="J28" s="15">
        <f>IF($B28="","",RANK('Legger Dinas'!J28,'Legger Dinas'!J$7:J$46))</f>
        <v>1</v>
      </c>
      <c r="K28" s="15">
        <f>IF($B28="","",RANK('Legger Dinas'!K28,'Legger Dinas'!K$7:K$46))</f>
        <v>23</v>
      </c>
      <c r="L28" s="15">
        <f>IF($B28="","",RANK('Legger Dinas'!L28,'Legger Dinas'!L$7:L$46))</f>
        <v>10</v>
      </c>
      <c r="M28" s="15">
        <f>IF($B28="","",RANK('Legger Dinas'!M28,'Legger Dinas'!M$7:M$46))</f>
        <v>16</v>
      </c>
      <c r="N28" s="15">
        <f>IF($B28="","",RANK('Legger Dinas'!N28,'Legger Dinas'!N$7:N$46))</f>
        <v>1</v>
      </c>
      <c r="O28" s="15">
        <f>IF($B28="","",RANK('Legger Dinas'!O28,'Legger Dinas'!O$7:O$46))</f>
        <v>1</v>
      </c>
      <c r="P28" s="15">
        <f>IF($B28="","",RANK('Legger Dinas'!P28,'Legger Dinas'!P$7:P$46))</f>
        <v>16</v>
      </c>
      <c r="Q28" s="15">
        <f>IF($B28="","",RANK('Legger Dinas'!Q28,'Legger Dinas'!Q$7:Q$46))</f>
        <v>1</v>
      </c>
      <c r="R28" s="15">
        <f>IF($B28="","",RANK('Legger Dinas'!R28,'Legger Dinas'!R$7:R$46))</f>
        <v>5</v>
      </c>
      <c r="S28" s="15">
        <f>IF($B28="","",RANK('Legger Dinas'!S28,'Legger Dinas'!S$7:S$46))</f>
        <v>1</v>
      </c>
      <c r="T28" s="15">
        <f>IF($B28="","",RANK('Legger Dinas'!T28,'Legger Dinas'!T$7:T$46))</f>
        <v>1</v>
      </c>
      <c r="U28" s="15" t="str">
        <f>IF(Setting!$E$15="V","",IF(Setting!$E$15="VI","",RANK('Legger Dinas'!U28,'Legger Dinas'!U$7:U$46)))</f>
        <v/>
      </c>
      <c r="V28" s="15" t="e">
        <f>IF($B28="","",RANK('Legger Dinas'!V28,'Legger Dinas'!V$7:V$46))</f>
        <v>#VALUE!</v>
      </c>
      <c r="W28" s="165">
        <f>IF($B28="","",SUM('Legger Dinas'!G28:V28))</f>
        <v>1362</v>
      </c>
      <c r="X28" s="165">
        <f t="shared" si="0"/>
        <v>6</v>
      </c>
    </row>
    <row r="29" spans="1:24" x14ac:dyDescent="0.25">
      <c r="A29" s="12">
        <v>23</v>
      </c>
      <c r="B29" s="23" t="str">
        <f>IF(Setting!J28="","",Setting!J28)</f>
        <v>Muhammad Rakan Hafidh Al Ghalib</v>
      </c>
      <c r="C29" s="28">
        <f>IF(Setting!K28="","",Setting!K28)</f>
        <v>2008224</v>
      </c>
      <c r="D29" s="28" t="str">
        <f>IF(Setting!L28="","",Setting!L28)</f>
        <v>0053955049</v>
      </c>
      <c r="E29" s="15" t="str">
        <f>IF(B29="","",Setting!$E$11)</f>
        <v>XII MIPA 4</v>
      </c>
      <c r="F29" s="15" t="str">
        <f>IF(B29="","",Setting!$E$15)</f>
        <v>V</v>
      </c>
      <c r="G29" s="15">
        <f>IF($B29="","",RANK('Legger Dinas'!G29,'Legger Dinas'!G$7:G$46))</f>
        <v>17</v>
      </c>
      <c r="H29" s="15">
        <f>IF($B29="","",RANK('Legger Dinas'!H29,'Legger Dinas'!H$7:H$46))</f>
        <v>3</v>
      </c>
      <c r="I29" s="15">
        <f>IF($B29="","",RANK('Legger Dinas'!I29,'Legger Dinas'!I$7:I$46))</f>
        <v>4</v>
      </c>
      <c r="J29" s="15">
        <f>IF($B29="","",RANK('Legger Dinas'!J29,'Legger Dinas'!J$7:J$46))</f>
        <v>1</v>
      </c>
      <c r="K29" s="15">
        <f>IF($B29="","",RANK('Legger Dinas'!K29,'Legger Dinas'!K$7:K$46))</f>
        <v>9</v>
      </c>
      <c r="L29" s="15">
        <f>IF($B29="","",RANK('Legger Dinas'!L29,'Legger Dinas'!L$7:L$46))</f>
        <v>5</v>
      </c>
      <c r="M29" s="15">
        <f>IF($B29="","",RANK('Legger Dinas'!M29,'Legger Dinas'!M$7:M$46))</f>
        <v>1</v>
      </c>
      <c r="N29" s="15">
        <f>IF($B29="","",RANK('Legger Dinas'!N29,'Legger Dinas'!N$7:N$46))</f>
        <v>1</v>
      </c>
      <c r="O29" s="15">
        <f>IF($B29="","",RANK('Legger Dinas'!O29,'Legger Dinas'!O$7:O$46))</f>
        <v>2</v>
      </c>
      <c r="P29" s="15">
        <f>IF($B29="","",RANK('Legger Dinas'!P29,'Legger Dinas'!P$7:P$46))</f>
        <v>2</v>
      </c>
      <c r="Q29" s="15">
        <f>IF($B29="","",RANK('Legger Dinas'!Q29,'Legger Dinas'!Q$7:Q$46))</f>
        <v>19</v>
      </c>
      <c r="R29" s="15">
        <f>IF($B29="","",RANK('Legger Dinas'!R29,'Legger Dinas'!R$7:R$46))</f>
        <v>1</v>
      </c>
      <c r="S29" s="15">
        <f>IF($B29="","",RANK('Legger Dinas'!S29,'Legger Dinas'!S$7:S$46))</f>
        <v>4</v>
      </c>
      <c r="T29" s="15">
        <f>IF($B29="","",RANK('Legger Dinas'!T29,'Legger Dinas'!T$7:T$46))</f>
        <v>14</v>
      </c>
      <c r="U29" s="15" t="str">
        <f>IF(Setting!$E$15="V","",IF(Setting!$E$15="VI","",RANK('Legger Dinas'!U29,'Legger Dinas'!U$7:U$46)))</f>
        <v/>
      </c>
      <c r="V29" s="15" t="e">
        <f>IF($B29="","",RANK('Legger Dinas'!V29,'Legger Dinas'!V$7:V$46))</f>
        <v>#VALUE!</v>
      </c>
      <c r="W29" s="165">
        <f>IF($B29="","",SUM('Legger Dinas'!G29:V29))</f>
        <v>1372</v>
      </c>
      <c r="X29" s="165">
        <f t="shared" si="0"/>
        <v>4</v>
      </c>
    </row>
    <row r="30" spans="1:24" x14ac:dyDescent="0.25">
      <c r="A30" s="12">
        <v>24</v>
      </c>
      <c r="B30" s="23" t="str">
        <f>IF(Setting!J29="","",Setting!J29)</f>
        <v>Muhammad Syamu Naufal</v>
      </c>
      <c r="C30" s="28">
        <f>IF(Setting!K29="","",Setting!K29)</f>
        <v>2008230</v>
      </c>
      <c r="D30" s="28" t="str">
        <f>IF(Setting!L29="","",Setting!L29)</f>
        <v>0045892500</v>
      </c>
      <c r="E30" s="15" t="str">
        <f>IF(B30="","",Setting!$E$11)</f>
        <v>XII MIPA 4</v>
      </c>
      <c r="F30" s="15" t="str">
        <f>IF(B30="","",Setting!$E$15)</f>
        <v>V</v>
      </c>
      <c r="G30" s="15">
        <f>IF($B30="","",RANK('Legger Dinas'!G30,'Legger Dinas'!G$7:G$46))</f>
        <v>17</v>
      </c>
      <c r="H30" s="15">
        <f>IF($B30="","",RANK('Legger Dinas'!H30,'Legger Dinas'!H$7:H$46))</f>
        <v>13</v>
      </c>
      <c r="I30" s="15">
        <f>IF($B30="","",RANK('Legger Dinas'!I30,'Legger Dinas'!I$7:I$46))</f>
        <v>14</v>
      </c>
      <c r="J30" s="15">
        <f>IF($B30="","",RANK('Legger Dinas'!J30,'Legger Dinas'!J$7:J$46))</f>
        <v>31</v>
      </c>
      <c r="K30" s="15">
        <f>IF($B30="","",RANK('Legger Dinas'!K30,'Legger Dinas'!K$7:K$46))</f>
        <v>24</v>
      </c>
      <c r="L30" s="15">
        <f>IF($B30="","",RANK('Legger Dinas'!L30,'Legger Dinas'!L$7:L$46))</f>
        <v>19</v>
      </c>
      <c r="M30" s="15">
        <f>IF($B30="","",RANK('Legger Dinas'!M30,'Legger Dinas'!M$7:M$46))</f>
        <v>28</v>
      </c>
      <c r="N30" s="15">
        <f>IF($B30="","",RANK('Legger Dinas'!N30,'Legger Dinas'!N$7:N$46))</f>
        <v>1</v>
      </c>
      <c r="O30" s="15">
        <f>IF($B30="","",RANK('Legger Dinas'!O30,'Legger Dinas'!O$7:O$46))</f>
        <v>28</v>
      </c>
      <c r="P30" s="15">
        <f>IF($B30="","",RANK('Legger Dinas'!P30,'Legger Dinas'!P$7:P$46))</f>
        <v>15</v>
      </c>
      <c r="Q30" s="15">
        <f>IF($B30="","",RANK('Legger Dinas'!Q30,'Legger Dinas'!Q$7:Q$46))</f>
        <v>30</v>
      </c>
      <c r="R30" s="15">
        <f>IF($B30="","",RANK('Legger Dinas'!R30,'Legger Dinas'!R$7:R$46))</f>
        <v>27</v>
      </c>
      <c r="S30" s="15">
        <f>IF($B30="","",RANK('Legger Dinas'!S30,'Legger Dinas'!S$7:S$46))</f>
        <v>30</v>
      </c>
      <c r="T30" s="15">
        <f>IF($B30="","",RANK('Legger Dinas'!T30,'Legger Dinas'!T$7:T$46))</f>
        <v>28</v>
      </c>
      <c r="U30" s="15" t="str">
        <f>IF(Setting!$E$15="V","",IF(Setting!$E$15="VI","",RANK('Legger Dinas'!U30,'Legger Dinas'!U$7:U$46)))</f>
        <v/>
      </c>
      <c r="V30" s="15" t="e">
        <f>IF($B30="","",RANK('Legger Dinas'!V30,'Legger Dinas'!V$7:V$46))</f>
        <v>#VALUE!</v>
      </c>
      <c r="W30" s="165">
        <f>IF($B30="","",SUM('Legger Dinas'!G30:V30))</f>
        <v>1313</v>
      </c>
      <c r="X30" s="165">
        <f t="shared" si="0"/>
        <v>30</v>
      </c>
    </row>
    <row r="31" spans="1:24" x14ac:dyDescent="0.25">
      <c r="A31" s="12">
        <v>25</v>
      </c>
      <c r="B31" s="23" t="str">
        <f>IF(Setting!J30="","",Setting!J30)</f>
        <v>Naufal Muhammad Iqbal</v>
      </c>
      <c r="C31" s="28">
        <f>IF(Setting!K30="","",Setting!K30)</f>
        <v>2008251</v>
      </c>
      <c r="D31" s="28" t="str">
        <f>IF(Setting!L30="","",Setting!L30)</f>
        <v>0056904636</v>
      </c>
      <c r="E31" s="15" t="str">
        <f>IF(B31="","",Setting!$E$11)</f>
        <v>XII MIPA 4</v>
      </c>
      <c r="F31" s="15" t="str">
        <f>IF(B31="","",Setting!$E$15)</f>
        <v>V</v>
      </c>
      <c r="G31" s="15">
        <f>IF($B31="","",RANK('Legger Dinas'!G31,'Legger Dinas'!G$7:G$46))</f>
        <v>17</v>
      </c>
      <c r="H31" s="15">
        <f>IF($B31="","",RANK('Legger Dinas'!H31,'Legger Dinas'!H$7:H$46))</f>
        <v>24</v>
      </c>
      <c r="I31" s="15">
        <f>IF($B31="","",RANK('Legger Dinas'!I31,'Legger Dinas'!I$7:I$46))</f>
        <v>7</v>
      </c>
      <c r="J31" s="15">
        <f>IF($B31="","",RANK('Legger Dinas'!J31,'Legger Dinas'!J$7:J$46))</f>
        <v>13</v>
      </c>
      <c r="K31" s="15">
        <f>IF($B31="","",RANK('Legger Dinas'!K31,'Legger Dinas'!K$7:K$46))</f>
        <v>30</v>
      </c>
      <c r="L31" s="15">
        <f>IF($B31="","",RANK('Legger Dinas'!L31,'Legger Dinas'!L$7:L$46))</f>
        <v>19</v>
      </c>
      <c r="M31" s="15">
        <f>IF($B31="","",RANK('Legger Dinas'!M31,'Legger Dinas'!M$7:M$46))</f>
        <v>6</v>
      </c>
      <c r="N31" s="15">
        <f>IF($B31="","",RANK('Legger Dinas'!N31,'Legger Dinas'!N$7:N$46))</f>
        <v>1</v>
      </c>
      <c r="O31" s="15">
        <f>IF($B31="","",RANK('Legger Dinas'!O31,'Legger Dinas'!O$7:O$46))</f>
        <v>28</v>
      </c>
      <c r="P31" s="15">
        <f>IF($B31="","",RANK('Legger Dinas'!P31,'Legger Dinas'!P$7:P$46))</f>
        <v>16</v>
      </c>
      <c r="Q31" s="15">
        <f>IF($B31="","",RANK('Legger Dinas'!Q31,'Legger Dinas'!Q$7:Q$46))</f>
        <v>15</v>
      </c>
      <c r="R31" s="15">
        <f>IF($B31="","",RANK('Legger Dinas'!R31,'Legger Dinas'!R$7:R$46))</f>
        <v>29</v>
      </c>
      <c r="S31" s="15">
        <f>IF($B31="","",RANK('Legger Dinas'!S31,'Legger Dinas'!S$7:S$46))</f>
        <v>14</v>
      </c>
      <c r="T31" s="15">
        <f>IF($B31="","",RANK('Legger Dinas'!T31,'Legger Dinas'!T$7:T$46))</f>
        <v>8</v>
      </c>
      <c r="U31" s="15" t="str">
        <f>IF(Setting!$E$15="V","",IF(Setting!$E$15="VI","",RANK('Legger Dinas'!U31,'Legger Dinas'!U$7:U$46)))</f>
        <v/>
      </c>
      <c r="V31" s="15" t="e">
        <f>IF($B31="","",RANK('Legger Dinas'!V31,'Legger Dinas'!V$7:V$46))</f>
        <v>#VALUE!</v>
      </c>
      <c r="W31" s="165">
        <f>IF($B31="","",SUM('Legger Dinas'!G31:V31))</f>
        <v>1326</v>
      </c>
      <c r="X31" s="165">
        <f t="shared" si="0"/>
        <v>26</v>
      </c>
    </row>
    <row r="32" spans="1:24" x14ac:dyDescent="0.25">
      <c r="A32" s="12">
        <v>26</v>
      </c>
      <c r="B32" s="23" t="str">
        <f>IF(Setting!J31="","",Setting!J31)</f>
        <v>Nauval Nur Mustafa</v>
      </c>
      <c r="C32" s="28">
        <f>IF(Setting!K31="","",Setting!K31)</f>
        <v>2008253</v>
      </c>
      <c r="D32" s="28" t="str">
        <f>IF(Setting!L31="","",Setting!L31)</f>
        <v>0061518278</v>
      </c>
      <c r="E32" s="15" t="str">
        <f>IF(B32="","",Setting!$E$11)</f>
        <v>XII MIPA 4</v>
      </c>
      <c r="F32" s="15" t="str">
        <f>IF(B32="","",Setting!$E$15)</f>
        <v>V</v>
      </c>
      <c r="G32" s="15">
        <f>IF($B32="","",RANK('Legger Dinas'!G32,'Legger Dinas'!G$7:G$46))</f>
        <v>1</v>
      </c>
      <c r="H32" s="15">
        <f>IF($B32="","",RANK('Legger Dinas'!H32,'Legger Dinas'!H$7:H$46))</f>
        <v>13</v>
      </c>
      <c r="I32" s="15">
        <f>IF($B32="","",RANK('Legger Dinas'!I32,'Legger Dinas'!I$7:I$46))</f>
        <v>31</v>
      </c>
      <c r="J32" s="15">
        <f>IF($B32="","",RANK('Legger Dinas'!J32,'Legger Dinas'!J$7:J$46))</f>
        <v>19</v>
      </c>
      <c r="K32" s="15">
        <f>IF($B32="","",RANK('Legger Dinas'!K32,'Legger Dinas'!K$7:K$46))</f>
        <v>14</v>
      </c>
      <c r="L32" s="15">
        <f>IF($B32="","",RANK('Legger Dinas'!L32,'Legger Dinas'!L$7:L$46))</f>
        <v>5</v>
      </c>
      <c r="M32" s="15">
        <f>IF($B32="","",RANK('Legger Dinas'!M32,'Legger Dinas'!M$7:M$46))</f>
        <v>9</v>
      </c>
      <c r="N32" s="15">
        <f>IF($B32="","",RANK('Legger Dinas'!N32,'Legger Dinas'!N$7:N$46))</f>
        <v>22</v>
      </c>
      <c r="O32" s="15">
        <f>IF($B32="","",RANK('Legger Dinas'!O32,'Legger Dinas'!O$7:O$46))</f>
        <v>26</v>
      </c>
      <c r="P32" s="15">
        <f>IF($B32="","",RANK('Legger Dinas'!P32,'Legger Dinas'!P$7:P$46))</f>
        <v>22</v>
      </c>
      <c r="Q32" s="15">
        <f>IF($B32="","",RANK('Legger Dinas'!Q32,'Legger Dinas'!Q$7:Q$46))</f>
        <v>31</v>
      </c>
      <c r="R32" s="15">
        <f>IF($B32="","",RANK('Legger Dinas'!R32,'Legger Dinas'!R$7:R$46))</f>
        <v>22</v>
      </c>
      <c r="S32" s="15">
        <f>IF($B32="","",RANK('Legger Dinas'!S32,'Legger Dinas'!S$7:S$46))</f>
        <v>25</v>
      </c>
      <c r="T32" s="15">
        <f>IF($B32="","",RANK('Legger Dinas'!T32,'Legger Dinas'!T$7:T$46))</f>
        <v>14</v>
      </c>
      <c r="U32" s="15" t="str">
        <f>IF(Setting!$E$15="V","",IF(Setting!$E$15="VI","",RANK('Legger Dinas'!U32,'Legger Dinas'!U$7:U$46)))</f>
        <v/>
      </c>
      <c r="V32" s="15" t="e">
        <f>IF($B32="","",RANK('Legger Dinas'!V32,'Legger Dinas'!V$7:V$46))</f>
        <v>#VALUE!</v>
      </c>
      <c r="W32" s="165">
        <f>IF($B32="","",SUM('Legger Dinas'!G32:V32))</f>
        <v>1322</v>
      </c>
      <c r="X32" s="165">
        <f t="shared" si="0"/>
        <v>29</v>
      </c>
    </row>
    <row r="33" spans="1:123" x14ac:dyDescent="0.25">
      <c r="A33" s="12">
        <v>27</v>
      </c>
      <c r="B33" s="23" t="str">
        <f>IF(Setting!J32="","",Setting!J32)</f>
        <v>Oriegano Kanahaya Siagian</v>
      </c>
      <c r="C33" s="28">
        <f>IF(Setting!K32="","",Setting!K32)</f>
        <v>2008272</v>
      </c>
      <c r="D33" s="28" t="str">
        <f>IF(Setting!L32="","",Setting!L32)</f>
        <v>0051837216</v>
      </c>
      <c r="E33" s="15" t="str">
        <f>IF(B33="","",Setting!$E$11)</f>
        <v>XII MIPA 4</v>
      </c>
      <c r="F33" s="15" t="str">
        <f>IF(B33="","",Setting!$E$15)</f>
        <v>V</v>
      </c>
      <c r="G33" s="15">
        <f>IF($B33="","",RANK('Legger Dinas'!G33,'Legger Dinas'!G$7:G$46))</f>
        <v>17</v>
      </c>
      <c r="H33" s="15">
        <f>IF($B33="","",RANK('Legger Dinas'!H33,'Legger Dinas'!H$7:H$46))</f>
        <v>13</v>
      </c>
      <c r="I33" s="15">
        <f>IF($B33="","",RANK('Legger Dinas'!I33,'Legger Dinas'!I$7:I$46))</f>
        <v>7</v>
      </c>
      <c r="J33" s="15">
        <f>IF($B33="","",RANK('Legger Dinas'!J33,'Legger Dinas'!J$7:J$46))</f>
        <v>19</v>
      </c>
      <c r="K33" s="15">
        <f>IF($B33="","",RANK('Legger Dinas'!K33,'Legger Dinas'!K$7:K$46))</f>
        <v>9</v>
      </c>
      <c r="L33" s="15">
        <f>IF($B33="","",RANK('Legger Dinas'!L33,'Legger Dinas'!L$7:L$46))</f>
        <v>19</v>
      </c>
      <c r="M33" s="15">
        <f>IF($B33="","",RANK('Legger Dinas'!M33,'Legger Dinas'!M$7:M$46))</f>
        <v>16</v>
      </c>
      <c r="N33" s="15">
        <f>IF($B33="","",RANK('Legger Dinas'!N33,'Legger Dinas'!N$7:N$46))</f>
        <v>1</v>
      </c>
      <c r="O33" s="15">
        <f>IF($B33="","",RANK('Legger Dinas'!O33,'Legger Dinas'!O$7:O$46))</f>
        <v>17</v>
      </c>
      <c r="P33" s="15">
        <f>IF($B33="","",RANK('Legger Dinas'!P33,'Legger Dinas'!P$7:P$46))</f>
        <v>31</v>
      </c>
      <c r="Q33" s="15">
        <f>IF($B33="","",RANK('Legger Dinas'!Q33,'Legger Dinas'!Q$7:Q$46))</f>
        <v>7</v>
      </c>
      <c r="R33" s="15">
        <f>IF($B33="","",RANK('Legger Dinas'!R33,'Legger Dinas'!R$7:R$46))</f>
        <v>8</v>
      </c>
      <c r="S33" s="15">
        <f>IF($B33="","",RANK('Legger Dinas'!S33,'Legger Dinas'!S$7:S$46))</f>
        <v>14</v>
      </c>
      <c r="T33" s="15">
        <f>IF($B33="","",RANK('Legger Dinas'!T33,'Legger Dinas'!T$7:T$46))</f>
        <v>14</v>
      </c>
      <c r="U33" s="15" t="str">
        <f>IF(Setting!$E$15="V","",IF(Setting!$E$15="VI","",RANK('Legger Dinas'!U33,'Legger Dinas'!U$7:U$46)))</f>
        <v/>
      </c>
      <c r="V33" s="15" t="e">
        <f>IF($B33="","",RANK('Legger Dinas'!V33,'Legger Dinas'!V$7:V$46))</f>
        <v>#VALUE!</v>
      </c>
      <c r="W33" s="165">
        <f>IF($B33="","",SUM('Legger Dinas'!G33:V33))</f>
        <v>1342</v>
      </c>
      <c r="X33" s="165">
        <f t="shared" si="0"/>
        <v>17</v>
      </c>
    </row>
    <row r="34" spans="1:123" x14ac:dyDescent="0.25">
      <c r="A34" s="12">
        <v>28</v>
      </c>
      <c r="B34" s="23" t="str">
        <f>IF(Setting!J33="","",Setting!J33)</f>
        <v>Rafif Mahatma Indrastata</v>
      </c>
      <c r="C34" s="28">
        <f>IF(Setting!K33="","",Setting!K33)</f>
        <v>2008282</v>
      </c>
      <c r="D34" s="28" t="str">
        <f>IF(Setting!L33="","",Setting!L33)</f>
        <v>0045017851</v>
      </c>
      <c r="E34" s="15" t="str">
        <f>IF(B34="","",Setting!$E$11)</f>
        <v>XII MIPA 4</v>
      </c>
      <c r="F34" s="15" t="str">
        <f>IF(B34="","",Setting!$E$15)</f>
        <v>V</v>
      </c>
      <c r="G34" s="15">
        <f>IF($B34="","",RANK('Legger Dinas'!G34,'Legger Dinas'!G$7:G$46))</f>
        <v>1</v>
      </c>
      <c r="H34" s="15">
        <f>IF($B34="","",RANK('Legger Dinas'!H34,'Legger Dinas'!H$7:H$46))</f>
        <v>24</v>
      </c>
      <c r="I34" s="15">
        <f>IF($B34="","",RANK('Legger Dinas'!I34,'Legger Dinas'!I$7:I$46))</f>
        <v>30</v>
      </c>
      <c r="J34" s="15">
        <f>IF($B34="","",RANK('Legger Dinas'!J34,'Legger Dinas'!J$7:J$46))</f>
        <v>1</v>
      </c>
      <c r="K34" s="15">
        <f>IF($B34="","",RANK('Legger Dinas'!K34,'Legger Dinas'!K$7:K$46))</f>
        <v>9</v>
      </c>
      <c r="L34" s="15">
        <f>IF($B34="","",RANK('Legger Dinas'!L34,'Legger Dinas'!L$7:L$46))</f>
        <v>26</v>
      </c>
      <c r="M34" s="15">
        <f>IF($B34="","",RANK('Legger Dinas'!M34,'Legger Dinas'!M$7:M$46))</f>
        <v>16</v>
      </c>
      <c r="N34" s="15">
        <f>IF($B34="","",RANK('Legger Dinas'!N34,'Legger Dinas'!N$7:N$46))</f>
        <v>22</v>
      </c>
      <c r="O34" s="15">
        <f>IF($B34="","",RANK('Legger Dinas'!O34,'Legger Dinas'!O$7:O$46))</f>
        <v>17</v>
      </c>
      <c r="P34" s="15">
        <f>IF($B34="","",RANK('Legger Dinas'!P34,'Legger Dinas'!P$7:P$46))</f>
        <v>2</v>
      </c>
      <c r="Q34" s="15">
        <f>IF($B34="","",RANK('Legger Dinas'!Q34,'Legger Dinas'!Q$7:Q$46))</f>
        <v>27</v>
      </c>
      <c r="R34" s="15">
        <f>IF($B34="","",RANK('Legger Dinas'!R34,'Legger Dinas'!R$7:R$46))</f>
        <v>8</v>
      </c>
      <c r="S34" s="15">
        <f>IF($B34="","",RANK('Legger Dinas'!S34,'Legger Dinas'!S$7:S$46))</f>
        <v>23</v>
      </c>
      <c r="T34" s="15">
        <f>IF($B34="","",RANK('Legger Dinas'!T34,'Legger Dinas'!T$7:T$46))</f>
        <v>14</v>
      </c>
      <c r="U34" s="15" t="str">
        <f>IF(Setting!$E$15="V","",IF(Setting!$E$15="VI","",RANK('Legger Dinas'!U34,'Legger Dinas'!U$7:U$46)))</f>
        <v/>
      </c>
      <c r="V34" s="15" t="e">
        <f>IF($B34="","",RANK('Legger Dinas'!V34,'Legger Dinas'!V$7:V$46))</f>
        <v>#VALUE!</v>
      </c>
      <c r="W34" s="165">
        <f>IF($B34="","",SUM('Legger Dinas'!G34:V34))</f>
        <v>1344</v>
      </c>
      <c r="X34" s="165">
        <f t="shared" si="0"/>
        <v>14</v>
      </c>
    </row>
    <row r="35" spans="1:123" x14ac:dyDescent="0.25">
      <c r="A35" s="12">
        <v>29</v>
      </c>
      <c r="B35" s="23" t="str">
        <f>IF(Setting!J34="","",Setting!J34)</f>
        <v>Rayhan Yoga Edy Pratama</v>
      </c>
      <c r="C35" s="28">
        <f>IF(Setting!K34="","",Setting!K34)</f>
        <v>2008296</v>
      </c>
      <c r="D35" s="28" t="str">
        <f>IF(Setting!L34="","",Setting!L34)</f>
        <v xml:space="preserve">0041380949 </v>
      </c>
      <c r="E35" s="15" t="str">
        <f>IF(B35="","",Setting!$E$11)</f>
        <v>XII MIPA 4</v>
      </c>
      <c r="F35" s="15" t="str">
        <f>IF(B35="","",Setting!$E$15)</f>
        <v>V</v>
      </c>
      <c r="G35" s="15">
        <f>IF($B35="","",RANK('Legger Dinas'!G35,'Legger Dinas'!G$7:G$46))</f>
        <v>1</v>
      </c>
      <c r="H35" s="15">
        <f>IF($B35="","",RANK('Legger Dinas'!H35,'Legger Dinas'!H$7:H$46))</f>
        <v>13</v>
      </c>
      <c r="I35" s="15">
        <f>IF($B35="","",RANK('Legger Dinas'!I35,'Legger Dinas'!I$7:I$46))</f>
        <v>2</v>
      </c>
      <c r="J35" s="15">
        <f>IF($B35="","",RANK('Legger Dinas'!J35,'Legger Dinas'!J$7:J$46))</f>
        <v>13</v>
      </c>
      <c r="K35" s="15">
        <f>IF($B35="","",RANK('Legger Dinas'!K35,'Legger Dinas'!K$7:K$46))</f>
        <v>9</v>
      </c>
      <c r="L35" s="15">
        <f>IF($B35="","",RANK('Legger Dinas'!L35,'Legger Dinas'!L$7:L$46))</f>
        <v>5</v>
      </c>
      <c r="M35" s="15">
        <f>IF($B35="","",RANK('Legger Dinas'!M35,'Legger Dinas'!M$7:M$46))</f>
        <v>16</v>
      </c>
      <c r="N35" s="15">
        <f>IF($B35="","",RANK('Legger Dinas'!N35,'Legger Dinas'!N$7:N$46))</f>
        <v>1</v>
      </c>
      <c r="O35" s="15">
        <f>IF($B35="","",RANK('Legger Dinas'!O35,'Legger Dinas'!O$7:O$46))</f>
        <v>10</v>
      </c>
      <c r="P35" s="15">
        <f>IF($B35="","",RANK('Legger Dinas'!P35,'Legger Dinas'!P$7:P$46))</f>
        <v>10</v>
      </c>
      <c r="Q35" s="15">
        <f>IF($B35="","",RANK('Legger Dinas'!Q35,'Legger Dinas'!Q$7:Q$46))</f>
        <v>2</v>
      </c>
      <c r="R35" s="15">
        <f>IF($B35="","",RANK('Legger Dinas'!R35,'Legger Dinas'!R$7:R$46))</f>
        <v>3</v>
      </c>
      <c r="S35" s="15">
        <f>IF($B35="","",RANK('Legger Dinas'!S35,'Legger Dinas'!S$7:S$46))</f>
        <v>4</v>
      </c>
      <c r="T35" s="15">
        <f>IF($B35="","",RANK('Legger Dinas'!T35,'Legger Dinas'!T$7:T$46))</f>
        <v>8</v>
      </c>
      <c r="U35" s="15" t="str">
        <f>IF(Setting!$E$15="V","",IF(Setting!$E$15="VI","",RANK('Legger Dinas'!U35,'Legger Dinas'!U$7:U$46)))</f>
        <v/>
      </c>
      <c r="V35" s="15" t="e">
        <f>IF($B35="","",RANK('Legger Dinas'!V35,'Legger Dinas'!V$7:V$46))</f>
        <v>#VALUE!</v>
      </c>
      <c r="W35" s="165">
        <f>IF($B35="","",SUM('Legger Dinas'!G35:V35))</f>
        <v>1366</v>
      </c>
      <c r="X35" s="165">
        <f t="shared" si="0"/>
        <v>5</v>
      </c>
    </row>
    <row r="36" spans="1:123" x14ac:dyDescent="0.25">
      <c r="A36" s="12">
        <v>30</v>
      </c>
      <c r="B36" s="23" t="str">
        <f>IF(Setting!J35="","",Setting!J35)</f>
        <v>Rusianto Munif</v>
      </c>
      <c r="C36" s="28">
        <f>IF(Setting!K35="","",Setting!K35)</f>
        <v>2008307</v>
      </c>
      <c r="D36" s="28" t="str">
        <f>IF(Setting!L35="","",Setting!L35)</f>
        <v>0060172183</v>
      </c>
      <c r="E36" s="15" t="str">
        <f>IF(B36="","",Setting!$E$11)</f>
        <v>XII MIPA 4</v>
      </c>
      <c r="F36" s="15" t="str">
        <f>IF(B36="","",Setting!$E$15)</f>
        <v>V</v>
      </c>
      <c r="G36" s="15">
        <f>IF($B36="","",RANK('Legger Dinas'!G36,'Legger Dinas'!G$7:G$46))</f>
        <v>1</v>
      </c>
      <c r="H36" s="15">
        <f>IF($B36="","",RANK('Legger Dinas'!H36,'Legger Dinas'!H$7:H$46))</f>
        <v>22</v>
      </c>
      <c r="I36" s="15">
        <f>IF($B36="","",RANK('Legger Dinas'!I36,'Legger Dinas'!I$7:I$46))</f>
        <v>7</v>
      </c>
      <c r="J36" s="15">
        <f>IF($B36="","",RANK('Legger Dinas'!J36,'Legger Dinas'!J$7:J$46))</f>
        <v>8</v>
      </c>
      <c r="K36" s="15">
        <f>IF($B36="","",RANK('Legger Dinas'!K36,'Legger Dinas'!K$7:K$46))</f>
        <v>17</v>
      </c>
      <c r="L36" s="15">
        <f>IF($B36="","",RANK('Legger Dinas'!L36,'Legger Dinas'!L$7:L$46))</f>
        <v>19</v>
      </c>
      <c r="M36" s="15">
        <f>IF($B36="","",RANK('Legger Dinas'!M36,'Legger Dinas'!M$7:M$46))</f>
        <v>28</v>
      </c>
      <c r="N36" s="15">
        <f>IF($B36="","",RANK('Legger Dinas'!N36,'Legger Dinas'!N$7:N$46))</f>
        <v>1</v>
      </c>
      <c r="O36" s="15">
        <f>IF($B36="","",RANK('Legger Dinas'!O36,'Legger Dinas'!O$7:O$46))</f>
        <v>17</v>
      </c>
      <c r="P36" s="15">
        <f>IF($B36="","",RANK('Legger Dinas'!P36,'Legger Dinas'!P$7:P$46))</f>
        <v>2</v>
      </c>
      <c r="Q36" s="15">
        <f>IF($B36="","",RANK('Legger Dinas'!Q36,'Legger Dinas'!Q$7:Q$46))</f>
        <v>7</v>
      </c>
      <c r="R36" s="15">
        <f>IF($B36="","",RANK('Legger Dinas'!R36,'Legger Dinas'!R$7:R$46))</f>
        <v>15</v>
      </c>
      <c r="S36" s="15">
        <f>IF($B36="","",RANK('Legger Dinas'!S36,'Legger Dinas'!S$7:S$46))</f>
        <v>4</v>
      </c>
      <c r="T36" s="15">
        <f>IF($B36="","",RANK('Legger Dinas'!T36,'Legger Dinas'!T$7:T$46))</f>
        <v>24</v>
      </c>
      <c r="U36" s="15" t="str">
        <f>IF(Setting!$E$15="V","",IF(Setting!$E$15="VI","",RANK('Legger Dinas'!U36,'Legger Dinas'!U$7:U$46)))</f>
        <v/>
      </c>
      <c r="V36" s="15" t="e">
        <f>IF($B36="","",RANK('Legger Dinas'!V36,'Legger Dinas'!V$7:V$46))</f>
        <v>#VALUE!</v>
      </c>
      <c r="W36" s="165">
        <f>IF($B36="","",SUM('Legger Dinas'!G36:V36))</f>
        <v>1351</v>
      </c>
      <c r="X36" s="165">
        <f t="shared" si="0"/>
        <v>9</v>
      </c>
    </row>
    <row r="37" spans="1:123" x14ac:dyDescent="0.25">
      <c r="A37" s="12">
        <v>31</v>
      </c>
      <c r="B37" s="23" t="str">
        <f>IF(Setting!J36="","",Setting!J36)</f>
        <v>Zaidan Mu'afy Althaf</v>
      </c>
      <c r="C37" s="28">
        <f>IF(Setting!K36="","",Setting!K36)</f>
        <v>2008347</v>
      </c>
      <c r="D37" s="28" t="str">
        <f>IF(Setting!L36="","",Setting!L36)</f>
        <v>0056182222</v>
      </c>
      <c r="E37" s="15" t="str">
        <f>IF(B37="","",Setting!$E$11)</f>
        <v>XII MIPA 4</v>
      </c>
      <c r="F37" s="15" t="str">
        <f>IF(B37="","",Setting!$E$15)</f>
        <v>V</v>
      </c>
      <c r="G37" s="15">
        <f>IF($B37="","",RANK('Legger Dinas'!G37,'Legger Dinas'!G$7:G$46))</f>
        <v>17</v>
      </c>
      <c r="H37" s="15">
        <f>IF($B37="","",RANK('Legger Dinas'!H37,'Legger Dinas'!H$7:H$46))</f>
        <v>13</v>
      </c>
      <c r="I37" s="15">
        <f>IF($B37="","",RANK('Legger Dinas'!I37,'Legger Dinas'!I$7:I$46))</f>
        <v>14</v>
      </c>
      <c r="J37" s="15">
        <f>IF($B37="","",RANK('Legger Dinas'!J37,'Legger Dinas'!J$7:J$46))</f>
        <v>19</v>
      </c>
      <c r="K37" s="15">
        <f>IF($B37="","",RANK('Legger Dinas'!K37,'Legger Dinas'!K$7:K$46))</f>
        <v>5</v>
      </c>
      <c r="L37" s="15">
        <f>IF($B37="","",RANK('Legger Dinas'!L37,'Legger Dinas'!L$7:L$46))</f>
        <v>26</v>
      </c>
      <c r="M37" s="15">
        <f>IF($B37="","",RANK('Legger Dinas'!M37,'Legger Dinas'!M$7:M$46))</f>
        <v>9</v>
      </c>
      <c r="N37" s="15">
        <f>IF($B37="","",RANK('Legger Dinas'!N37,'Legger Dinas'!N$7:N$46))</f>
        <v>22</v>
      </c>
      <c r="O37" s="15">
        <f>IF($B37="","",RANK('Legger Dinas'!O37,'Legger Dinas'!O$7:O$46))</f>
        <v>10</v>
      </c>
      <c r="P37" s="15">
        <f>IF($B37="","",RANK('Legger Dinas'!P37,'Legger Dinas'!P$7:P$46))</f>
        <v>22</v>
      </c>
      <c r="Q37" s="15">
        <f>IF($B37="","",RANK('Legger Dinas'!Q37,'Legger Dinas'!Q$7:Q$46))</f>
        <v>15</v>
      </c>
      <c r="R37" s="15">
        <f>IF($B37="","",RANK('Legger Dinas'!R37,'Legger Dinas'!R$7:R$46))</f>
        <v>8</v>
      </c>
      <c r="S37" s="15">
        <f>IF($B37="","",RANK('Legger Dinas'!S37,'Legger Dinas'!S$7:S$46))</f>
        <v>4</v>
      </c>
      <c r="T37" s="15">
        <f>IF($B37="","",RANK('Legger Dinas'!T37,'Legger Dinas'!T$7:T$46))</f>
        <v>24</v>
      </c>
      <c r="U37" s="15" t="str">
        <f>IF(Setting!$E$15="V","",IF(Setting!$E$15="VI","",RANK('Legger Dinas'!U37,'Legger Dinas'!U$7:U$46)))</f>
        <v/>
      </c>
      <c r="V37" s="15" t="e">
        <f>IF($B37="","",RANK('Legger Dinas'!V37,'Legger Dinas'!V$7:V$46))</f>
        <v>#VALUE!</v>
      </c>
      <c r="W37" s="165">
        <f>IF($B37="","",SUM('Legger Dinas'!G37:V37))</f>
        <v>1344</v>
      </c>
      <c r="X37" s="165">
        <f t="shared" si="0"/>
        <v>14</v>
      </c>
    </row>
    <row r="38" spans="1:123" x14ac:dyDescent="0.25">
      <c r="A38" s="12">
        <v>32</v>
      </c>
      <c r="B38" s="23">
        <f>IF(Setting!J37="","",Setting!J37)</f>
        <v>0</v>
      </c>
      <c r="C38" s="28">
        <f>IF(Setting!K37="","",Setting!K37)</f>
        <v>0</v>
      </c>
      <c r="D38" s="28">
        <f>IF(Setting!L37="","",Setting!L37)</f>
        <v>0</v>
      </c>
      <c r="E38" s="15" t="str">
        <f>IF(B38="","",Setting!$E$11)</f>
        <v>XII MIPA 4</v>
      </c>
      <c r="F38" s="15" t="str">
        <f>IF(B38="","",Setting!$E$15)</f>
        <v>V</v>
      </c>
      <c r="G38" s="15" t="e">
        <f>IF($B38="","",RANK('Legger Dinas'!G38,'Legger Dinas'!G$7:G$46))</f>
        <v>#VALUE!</v>
      </c>
      <c r="H38" s="15" t="e">
        <f>IF($B38="","",RANK('Legger Dinas'!H38,'Legger Dinas'!H$7:H$46))</f>
        <v>#VALUE!</v>
      </c>
      <c r="I38" s="15" t="e">
        <f>IF($B38="","",RANK('Legger Dinas'!I38,'Legger Dinas'!I$7:I$46))</f>
        <v>#VALUE!</v>
      </c>
      <c r="J38" s="15" t="e">
        <f>IF($B38="","",RANK('Legger Dinas'!J38,'Legger Dinas'!J$7:J$46))</f>
        <v>#VALUE!</v>
      </c>
      <c r="K38" s="15" t="e">
        <f>IF($B38="","",RANK('Legger Dinas'!K38,'Legger Dinas'!K$7:K$46))</f>
        <v>#VALUE!</v>
      </c>
      <c r="L38" s="15" t="e">
        <f>IF($B38="","",RANK('Legger Dinas'!L38,'Legger Dinas'!L$7:L$46))</f>
        <v>#VALUE!</v>
      </c>
      <c r="M38" s="15" t="e">
        <f>IF($B38="","",RANK('Legger Dinas'!M38,'Legger Dinas'!M$7:M$46))</f>
        <v>#VALUE!</v>
      </c>
      <c r="N38" s="15" t="e">
        <f>IF($B38="","",RANK('Legger Dinas'!N38,'Legger Dinas'!N$7:N$46))</f>
        <v>#VALUE!</v>
      </c>
      <c r="O38" s="15" t="e">
        <f>IF($B38="","",RANK('Legger Dinas'!O38,'Legger Dinas'!O$7:O$46))</f>
        <v>#VALUE!</v>
      </c>
      <c r="P38" s="15" t="e">
        <f>IF($B38="","",RANK('Legger Dinas'!P38,'Legger Dinas'!P$7:P$46))</f>
        <v>#VALUE!</v>
      </c>
      <c r="Q38" s="15" t="e">
        <f>IF($B38="","",RANK('Legger Dinas'!Q38,'Legger Dinas'!Q$7:Q$46))</f>
        <v>#VALUE!</v>
      </c>
      <c r="R38" s="15" t="e">
        <f>IF($B38="","",RANK('Legger Dinas'!R38,'Legger Dinas'!R$7:R$46))</f>
        <v>#VALUE!</v>
      </c>
      <c r="S38" s="15" t="e">
        <f>IF($B38="","",RANK('Legger Dinas'!S38,'Legger Dinas'!S$7:S$46))</f>
        <v>#VALUE!</v>
      </c>
      <c r="T38" s="15" t="e">
        <f>IF($B38="","",RANK('Legger Dinas'!T38,'Legger Dinas'!T$7:T$46))</f>
        <v>#VALUE!</v>
      </c>
      <c r="U38" s="15" t="str">
        <f>IF(Setting!$E$15="V","",IF(Setting!$E$15="VI","",RANK('Legger Dinas'!U38,'Legger Dinas'!U$7:U$46)))</f>
        <v/>
      </c>
      <c r="V38" s="15" t="e">
        <f>IF($B38="","",RANK('Legger Dinas'!V38,'Legger Dinas'!V$7:V$46))</f>
        <v>#VALUE!</v>
      </c>
      <c r="W38" s="165">
        <f>IF($B38="","",SUM('Legger Dinas'!G38:V38))</f>
        <v>0</v>
      </c>
      <c r="X38" s="165">
        <f t="shared" si="0"/>
        <v>32</v>
      </c>
    </row>
    <row r="39" spans="1:123" x14ac:dyDescent="0.25">
      <c r="A39" s="12">
        <v>33</v>
      </c>
      <c r="B39" s="23">
        <f>IF(Setting!J38="","",Setting!J38)</f>
        <v>0</v>
      </c>
      <c r="C39" s="28">
        <f>IF(Setting!K38="","",Setting!K38)</f>
        <v>0</v>
      </c>
      <c r="D39" s="28">
        <f>IF(Setting!L38="","",Setting!L38)</f>
        <v>0</v>
      </c>
      <c r="E39" s="15" t="str">
        <f>IF(B39="","",Setting!$E$11)</f>
        <v>XII MIPA 4</v>
      </c>
      <c r="F39" s="15" t="str">
        <f>IF(B39="","",Setting!$E$15)</f>
        <v>V</v>
      </c>
      <c r="G39" s="15" t="e">
        <f>IF($B39="","",RANK('Legger Dinas'!G39,'Legger Dinas'!G$7:G$46))</f>
        <v>#VALUE!</v>
      </c>
      <c r="H39" s="15" t="e">
        <f>IF($B39="","",RANK('Legger Dinas'!H39,'Legger Dinas'!H$7:H$46))</f>
        <v>#VALUE!</v>
      </c>
      <c r="I39" s="15" t="e">
        <f>IF($B39="","",RANK('Legger Dinas'!I39,'Legger Dinas'!I$7:I$46))</f>
        <v>#VALUE!</v>
      </c>
      <c r="J39" s="15" t="e">
        <f>IF($B39="","",RANK('Legger Dinas'!J39,'Legger Dinas'!J$7:J$46))</f>
        <v>#VALUE!</v>
      </c>
      <c r="K39" s="15" t="e">
        <f>IF($B39="","",RANK('Legger Dinas'!K39,'Legger Dinas'!K$7:K$46))</f>
        <v>#VALUE!</v>
      </c>
      <c r="L39" s="15" t="e">
        <f>IF($B39="","",RANK('Legger Dinas'!L39,'Legger Dinas'!L$7:L$46))</f>
        <v>#VALUE!</v>
      </c>
      <c r="M39" s="15" t="e">
        <f>IF($B39="","",RANK('Legger Dinas'!M39,'Legger Dinas'!M$7:M$46))</f>
        <v>#VALUE!</v>
      </c>
      <c r="N39" s="15" t="e">
        <f>IF($B39="","",RANK('Legger Dinas'!N39,'Legger Dinas'!N$7:N$46))</f>
        <v>#VALUE!</v>
      </c>
      <c r="O39" s="15" t="e">
        <f>IF($B39="","",RANK('Legger Dinas'!O39,'Legger Dinas'!O$7:O$46))</f>
        <v>#VALUE!</v>
      </c>
      <c r="P39" s="15" t="e">
        <f>IF($B39="","",RANK('Legger Dinas'!P39,'Legger Dinas'!P$7:P$46))</f>
        <v>#VALUE!</v>
      </c>
      <c r="Q39" s="15" t="e">
        <f>IF($B39="","",RANK('Legger Dinas'!Q39,'Legger Dinas'!Q$7:Q$46))</f>
        <v>#VALUE!</v>
      </c>
      <c r="R39" s="15" t="e">
        <f>IF($B39="","",RANK('Legger Dinas'!R39,'Legger Dinas'!R$7:R$46))</f>
        <v>#VALUE!</v>
      </c>
      <c r="S39" s="15" t="e">
        <f>IF($B39="","",RANK('Legger Dinas'!S39,'Legger Dinas'!S$7:S$46))</f>
        <v>#VALUE!</v>
      </c>
      <c r="T39" s="15" t="e">
        <f>IF($B39="","",RANK('Legger Dinas'!T39,'Legger Dinas'!T$7:T$46))</f>
        <v>#VALUE!</v>
      </c>
      <c r="U39" s="15" t="str">
        <f>IF(Setting!$E$15="V","",IF(Setting!$E$15="VI","",RANK('Legger Dinas'!U39,'Legger Dinas'!U$7:U$46)))</f>
        <v/>
      </c>
      <c r="V39" s="15" t="e">
        <f>IF($B39="","",RANK('Legger Dinas'!V39,'Legger Dinas'!V$7:V$46))</f>
        <v>#VALUE!</v>
      </c>
      <c r="W39" s="165">
        <f>IF($B39="","",SUM('Legger Dinas'!G39:V39))</f>
        <v>0</v>
      </c>
      <c r="X39" s="165">
        <f t="shared" si="0"/>
        <v>32</v>
      </c>
    </row>
    <row r="40" spans="1:123" x14ac:dyDescent="0.25">
      <c r="A40" s="12">
        <v>34</v>
      </c>
      <c r="B40" s="23">
        <f>IF(Setting!J39="","",Setting!J39)</f>
        <v>0</v>
      </c>
      <c r="C40" s="28">
        <f>IF(Setting!K39="","",Setting!K39)</f>
        <v>0</v>
      </c>
      <c r="D40" s="28">
        <f>IF(Setting!L39="","",Setting!L39)</f>
        <v>0</v>
      </c>
      <c r="E40" s="15" t="str">
        <f>IF(B40="","",Setting!$E$11)</f>
        <v>XII MIPA 4</v>
      </c>
      <c r="F40" s="15" t="str">
        <f>IF(B40="","",Setting!$E$15)</f>
        <v>V</v>
      </c>
      <c r="G40" s="15" t="e">
        <f>IF($B40="","",RANK('Legger Dinas'!G40,'Legger Dinas'!G$7:G$46))</f>
        <v>#VALUE!</v>
      </c>
      <c r="H40" s="15" t="e">
        <f>IF($B40="","",RANK('Legger Dinas'!H40,'Legger Dinas'!H$7:H$46))</f>
        <v>#VALUE!</v>
      </c>
      <c r="I40" s="15" t="e">
        <f>IF($B40="","",RANK('Legger Dinas'!I40,'Legger Dinas'!I$7:I$46))</f>
        <v>#VALUE!</v>
      </c>
      <c r="J40" s="15" t="e">
        <f>IF($B40="","",RANK('Legger Dinas'!J40,'Legger Dinas'!J$7:J$46))</f>
        <v>#VALUE!</v>
      </c>
      <c r="K40" s="15" t="e">
        <f>IF($B40="","",RANK('Legger Dinas'!K40,'Legger Dinas'!K$7:K$46))</f>
        <v>#VALUE!</v>
      </c>
      <c r="L40" s="15" t="e">
        <f>IF($B40="","",RANK('Legger Dinas'!L40,'Legger Dinas'!L$7:L$46))</f>
        <v>#VALUE!</v>
      </c>
      <c r="M40" s="15" t="e">
        <f>IF($B40="","",RANK('Legger Dinas'!M40,'Legger Dinas'!M$7:M$46))</f>
        <v>#VALUE!</v>
      </c>
      <c r="N40" s="15" t="e">
        <f>IF($B40="","",RANK('Legger Dinas'!N40,'Legger Dinas'!N$7:N$46))</f>
        <v>#VALUE!</v>
      </c>
      <c r="O40" s="15" t="e">
        <f>IF($B40="","",RANK('Legger Dinas'!O40,'Legger Dinas'!O$7:O$46))</f>
        <v>#VALUE!</v>
      </c>
      <c r="P40" s="15" t="e">
        <f>IF($B40="","",RANK('Legger Dinas'!P40,'Legger Dinas'!P$7:P$46))</f>
        <v>#VALUE!</v>
      </c>
      <c r="Q40" s="15" t="e">
        <f>IF($B40="","",RANK('Legger Dinas'!Q40,'Legger Dinas'!Q$7:Q$46))</f>
        <v>#VALUE!</v>
      </c>
      <c r="R40" s="15" t="e">
        <f>IF($B40="","",RANK('Legger Dinas'!R40,'Legger Dinas'!R$7:R$46))</f>
        <v>#VALUE!</v>
      </c>
      <c r="S40" s="15" t="e">
        <f>IF($B40="","",RANK('Legger Dinas'!S40,'Legger Dinas'!S$7:S$46))</f>
        <v>#VALUE!</v>
      </c>
      <c r="T40" s="15" t="e">
        <f>IF($B40="","",RANK('Legger Dinas'!T40,'Legger Dinas'!T$7:T$46))</f>
        <v>#VALUE!</v>
      </c>
      <c r="U40" s="15" t="str">
        <f>IF(Setting!$E$15="V","",IF(Setting!$E$15="VI","",RANK('Legger Dinas'!U40,'Legger Dinas'!U$7:U$46)))</f>
        <v/>
      </c>
      <c r="V40" s="15" t="e">
        <f>IF($B40="","",RANK('Legger Dinas'!V40,'Legger Dinas'!V$7:V$46))</f>
        <v>#VALUE!</v>
      </c>
      <c r="W40" s="165">
        <f>IF($B40="","",SUM('Legger Dinas'!G40:V40))</f>
        <v>0</v>
      </c>
      <c r="X40" s="165">
        <f t="shared" si="0"/>
        <v>32</v>
      </c>
    </row>
    <row r="41" spans="1:123" x14ac:dyDescent="0.25">
      <c r="A41" s="12">
        <v>35</v>
      </c>
      <c r="B41" s="23">
        <f>IF(Setting!J40="","",Setting!J40)</f>
        <v>0</v>
      </c>
      <c r="C41" s="28">
        <f>IF(Setting!K40="","",Setting!K40)</f>
        <v>0</v>
      </c>
      <c r="D41" s="28">
        <f>IF(Setting!L40="","",Setting!L40)</f>
        <v>0</v>
      </c>
      <c r="E41" s="15" t="str">
        <f>IF(B41="","",Setting!$E$11)</f>
        <v>XII MIPA 4</v>
      </c>
      <c r="F41" s="15" t="str">
        <f>IF(B41="","",Setting!$E$15)</f>
        <v>V</v>
      </c>
      <c r="G41" s="15" t="e">
        <f>IF($B41="","",RANK('Legger Dinas'!G41,'Legger Dinas'!G$7:G$46))</f>
        <v>#VALUE!</v>
      </c>
      <c r="H41" s="15" t="e">
        <f>IF($B41="","",RANK('Legger Dinas'!H41,'Legger Dinas'!H$7:H$46))</f>
        <v>#VALUE!</v>
      </c>
      <c r="I41" s="15" t="e">
        <f>IF($B41="","",RANK('Legger Dinas'!I41,'Legger Dinas'!I$7:I$46))</f>
        <v>#VALUE!</v>
      </c>
      <c r="J41" s="15" t="e">
        <f>IF($B41="","",RANK('Legger Dinas'!J41,'Legger Dinas'!J$7:J$46))</f>
        <v>#VALUE!</v>
      </c>
      <c r="K41" s="15" t="e">
        <f>IF($B41="","",RANK('Legger Dinas'!K41,'Legger Dinas'!K$7:K$46))</f>
        <v>#VALUE!</v>
      </c>
      <c r="L41" s="15" t="e">
        <f>IF($B41="","",RANK('Legger Dinas'!L41,'Legger Dinas'!L$7:L$46))</f>
        <v>#VALUE!</v>
      </c>
      <c r="M41" s="15" t="e">
        <f>IF($B41="","",RANK('Legger Dinas'!M41,'Legger Dinas'!M$7:M$46))</f>
        <v>#VALUE!</v>
      </c>
      <c r="N41" s="15" t="e">
        <f>IF($B41="","",RANK('Legger Dinas'!N41,'Legger Dinas'!N$7:N$46))</f>
        <v>#VALUE!</v>
      </c>
      <c r="O41" s="15" t="e">
        <f>IF($B41="","",RANK('Legger Dinas'!O41,'Legger Dinas'!O$7:O$46))</f>
        <v>#VALUE!</v>
      </c>
      <c r="P41" s="15" t="e">
        <f>IF($B41="","",RANK('Legger Dinas'!P41,'Legger Dinas'!P$7:P$46))</f>
        <v>#VALUE!</v>
      </c>
      <c r="Q41" s="15" t="e">
        <f>IF($B41="","",RANK('Legger Dinas'!Q41,'Legger Dinas'!Q$7:Q$46))</f>
        <v>#VALUE!</v>
      </c>
      <c r="R41" s="15" t="e">
        <f>IF($B41="","",RANK('Legger Dinas'!R41,'Legger Dinas'!R$7:R$46))</f>
        <v>#VALUE!</v>
      </c>
      <c r="S41" s="15" t="e">
        <f>IF($B41="","",RANK('Legger Dinas'!S41,'Legger Dinas'!S$7:S$46))</f>
        <v>#VALUE!</v>
      </c>
      <c r="T41" s="15" t="e">
        <f>IF($B41="","",RANK('Legger Dinas'!T41,'Legger Dinas'!T$7:T$46))</f>
        <v>#VALUE!</v>
      </c>
      <c r="U41" s="15" t="str">
        <f>IF(Setting!$E$15="V","",IF(Setting!$E$15="VI","",RANK('Legger Dinas'!U41,'Legger Dinas'!U$7:U$46)))</f>
        <v/>
      </c>
      <c r="V41" s="15" t="e">
        <f>IF($B41="","",RANK('Legger Dinas'!V41,'Legger Dinas'!V$7:V$46))</f>
        <v>#VALUE!</v>
      </c>
      <c r="W41" s="165">
        <f>IF($B41="","",SUM('Legger Dinas'!G41:V41))</f>
        <v>0</v>
      </c>
      <c r="X41" s="165">
        <f t="shared" si="0"/>
        <v>32</v>
      </c>
    </row>
    <row r="42" spans="1:123" x14ac:dyDescent="0.25">
      <c r="A42" s="12">
        <v>36</v>
      </c>
      <c r="B42" s="23" t="str">
        <f>IF(Setting!J41="","",Setting!J41)</f>
        <v/>
      </c>
      <c r="C42" s="28" t="str">
        <f>IF(Setting!K41="","",Setting!K41)</f>
        <v/>
      </c>
      <c r="D42" s="28" t="str">
        <f>IF(Setting!L41="","",Setting!L41)</f>
        <v/>
      </c>
      <c r="E42" s="15" t="str">
        <f>IF(B42="","",Setting!$E$11)</f>
        <v/>
      </c>
      <c r="F42" s="15" t="str">
        <f>IF(B42="","",Setting!$E$15)</f>
        <v/>
      </c>
      <c r="G42" s="15" t="str">
        <f>IF($B42="","",RANK('Legger Dinas'!G42,'Legger Dinas'!G$7:G$46))</f>
        <v/>
      </c>
      <c r="H42" s="15" t="str">
        <f>IF($B42="","",RANK('Legger Dinas'!H42,'Legger Dinas'!H$7:H$46))</f>
        <v/>
      </c>
      <c r="I42" s="15" t="str">
        <f>IF($B42="","",RANK('Legger Dinas'!I42,'Legger Dinas'!I$7:I$46))</f>
        <v/>
      </c>
      <c r="J42" s="15" t="str">
        <f>IF($B42="","",RANK('Legger Dinas'!J42,'Legger Dinas'!J$7:J$46))</f>
        <v/>
      </c>
      <c r="K42" s="15" t="str">
        <f>IF($B42="","",RANK('Legger Dinas'!K42,'Legger Dinas'!K$7:K$46))</f>
        <v/>
      </c>
      <c r="L42" s="15" t="str">
        <f>IF($B42="","",RANK('Legger Dinas'!L42,'Legger Dinas'!L$7:L$46))</f>
        <v/>
      </c>
      <c r="M42" s="15" t="str">
        <f>IF($B42="","",RANK('Legger Dinas'!M42,'Legger Dinas'!M$7:M$46))</f>
        <v/>
      </c>
      <c r="N42" s="15" t="str">
        <f>IF($B42="","",RANK('Legger Dinas'!N42,'Legger Dinas'!N$7:N$46))</f>
        <v/>
      </c>
      <c r="O42" s="15" t="str">
        <f>IF($B42="","",RANK('Legger Dinas'!O42,'Legger Dinas'!O$7:O$46))</f>
        <v/>
      </c>
      <c r="P42" s="15" t="str">
        <f>IF($B42="","",RANK('Legger Dinas'!P42,'Legger Dinas'!P$7:P$46))</f>
        <v/>
      </c>
      <c r="Q42" s="15" t="str">
        <f>IF($B42="","",RANK('Legger Dinas'!Q42,'Legger Dinas'!Q$7:Q$46))</f>
        <v/>
      </c>
      <c r="R42" s="15" t="str">
        <f>IF($B42="","",RANK('Legger Dinas'!R42,'Legger Dinas'!R$7:R$46))</f>
        <v/>
      </c>
      <c r="S42" s="15" t="str">
        <f>IF($B42="","",RANK('Legger Dinas'!S42,'Legger Dinas'!S$7:S$46))</f>
        <v/>
      </c>
      <c r="T42" s="15" t="str">
        <f>IF($B42="","",RANK('Legger Dinas'!T42,'Legger Dinas'!T$7:T$46))</f>
        <v/>
      </c>
      <c r="U42" s="15" t="str">
        <f>IF(Setting!$E$15="V","",IF(Setting!$E$15="VI","",RANK('Legger Dinas'!U42,'Legger Dinas'!U$7:U$46)))</f>
        <v/>
      </c>
      <c r="V42" s="15" t="str">
        <f>IF($B42="","",RANK('Legger Dinas'!V42,'Legger Dinas'!V$7:V$46))</f>
        <v/>
      </c>
      <c r="W42" s="165" t="str">
        <f>IF($B42="","",SUM('Legger Dinas'!G42:V42))</f>
        <v/>
      </c>
      <c r="X42" s="165" t="str">
        <f t="shared" si="0"/>
        <v/>
      </c>
    </row>
    <row r="43" spans="1:123" x14ac:dyDescent="0.25">
      <c r="A43" s="12">
        <v>37</v>
      </c>
      <c r="B43" s="23" t="str">
        <f>IF(Setting!J42="","",Setting!J42)</f>
        <v/>
      </c>
      <c r="C43" s="28" t="str">
        <f>IF(Setting!K42="","",Setting!K42)</f>
        <v/>
      </c>
      <c r="D43" s="28" t="str">
        <f>IF(Setting!L42="","",Setting!L42)</f>
        <v/>
      </c>
      <c r="E43" s="15" t="str">
        <f>IF(B43="","",Setting!$E$11)</f>
        <v/>
      </c>
      <c r="F43" s="15" t="str">
        <f>IF(B43="","",Setting!$E$15)</f>
        <v/>
      </c>
      <c r="G43" s="15" t="str">
        <f>IF($B43="","",RANK('Legger Dinas'!G43,'Legger Dinas'!G$7:G$46))</f>
        <v/>
      </c>
      <c r="H43" s="15" t="str">
        <f>IF($B43="","",RANK('Legger Dinas'!H43,'Legger Dinas'!H$7:H$46))</f>
        <v/>
      </c>
      <c r="I43" s="15" t="str">
        <f>IF($B43="","",RANK('Legger Dinas'!I43,'Legger Dinas'!I$7:I$46))</f>
        <v/>
      </c>
      <c r="J43" s="15" t="str">
        <f>IF($B43="","",RANK('Legger Dinas'!J43,'Legger Dinas'!J$7:J$46))</f>
        <v/>
      </c>
      <c r="K43" s="15" t="str">
        <f>IF($B43="","",RANK('Legger Dinas'!K43,'Legger Dinas'!K$7:K$46))</f>
        <v/>
      </c>
      <c r="L43" s="15" t="str">
        <f>IF($B43="","",RANK('Legger Dinas'!L43,'Legger Dinas'!L$7:L$46))</f>
        <v/>
      </c>
      <c r="M43" s="15" t="str">
        <f>IF($B43="","",RANK('Legger Dinas'!M43,'Legger Dinas'!M$7:M$46))</f>
        <v/>
      </c>
      <c r="N43" s="15" t="str">
        <f>IF($B43="","",RANK('Legger Dinas'!N43,'Legger Dinas'!N$7:N$46))</f>
        <v/>
      </c>
      <c r="O43" s="15" t="str">
        <f>IF($B43="","",RANK('Legger Dinas'!O43,'Legger Dinas'!O$7:O$46))</f>
        <v/>
      </c>
      <c r="P43" s="15" t="str">
        <f>IF($B43="","",RANK('Legger Dinas'!P43,'Legger Dinas'!P$7:P$46))</f>
        <v/>
      </c>
      <c r="Q43" s="15" t="str">
        <f>IF($B43="","",RANK('Legger Dinas'!Q43,'Legger Dinas'!Q$7:Q$46))</f>
        <v/>
      </c>
      <c r="R43" s="15" t="str">
        <f>IF($B43="","",RANK('Legger Dinas'!R43,'Legger Dinas'!R$7:R$46))</f>
        <v/>
      </c>
      <c r="S43" s="15" t="str">
        <f>IF($B43="","",RANK('Legger Dinas'!S43,'Legger Dinas'!S$7:S$46))</f>
        <v/>
      </c>
      <c r="T43" s="15" t="str">
        <f>IF($B43="","",RANK('Legger Dinas'!T43,'Legger Dinas'!T$7:T$46))</f>
        <v/>
      </c>
      <c r="U43" s="15" t="str">
        <f>IF(Setting!$E$15="V","",IF(Setting!$E$15="VI","",RANK('Legger Dinas'!U43,'Legger Dinas'!U$7:U$46)))</f>
        <v/>
      </c>
      <c r="V43" s="15" t="str">
        <f>IF($B43="","",RANK('Legger Dinas'!V43,'Legger Dinas'!V$7:V$46))</f>
        <v/>
      </c>
      <c r="W43" s="165" t="str">
        <f>IF($B43="","",SUM('Legger Dinas'!G43:V43))</f>
        <v/>
      </c>
      <c r="X43" s="165" t="str">
        <f t="shared" si="0"/>
        <v/>
      </c>
    </row>
    <row r="44" spans="1:123" x14ac:dyDescent="0.25">
      <c r="A44" s="12">
        <v>38</v>
      </c>
      <c r="B44" s="23" t="str">
        <f>IF(Setting!J43="","",Setting!J43)</f>
        <v/>
      </c>
      <c r="C44" s="28" t="str">
        <f>IF(Setting!K43="","",Setting!K43)</f>
        <v/>
      </c>
      <c r="D44" s="28" t="str">
        <f>IF(Setting!L43="","",Setting!L43)</f>
        <v/>
      </c>
      <c r="E44" s="15" t="str">
        <f>IF(B44="","",Setting!$E$11)</f>
        <v/>
      </c>
      <c r="F44" s="15" t="str">
        <f>IF(B44="","",Setting!$E$15)</f>
        <v/>
      </c>
      <c r="G44" s="15" t="str">
        <f>IF($B44="","",RANK('Legger Dinas'!G44,'Legger Dinas'!G$7:G$46))</f>
        <v/>
      </c>
      <c r="H44" s="15" t="str">
        <f>IF($B44="","",RANK('Legger Dinas'!H44,'Legger Dinas'!H$7:H$46))</f>
        <v/>
      </c>
      <c r="I44" s="15" t="str">
        <f>IF($B44="","",RANK('Legger Dinas'!I44,'Legger Dinas'!I$7:I$46))</f>
        <v/>
      </c>
      <c r="J44" s="15" t="str">
        <f>IF($B44="","",RANK('Legger Dinas'!J44,'Legger Dinas'!J$7:J$46))</f>
        <v/>
      </c>
      <c r="K44" s="15" t="str">
        <f>IF($B44="","",RANK('Legger Dinas'!K44,'Legger Dinas'!K$7:K$46))</f>
        <v/>
      </c>
      <c r="L44" s="15" t="str">
        <f>IF($B44="","",RANK('Legger Dinas'!L44,'Legger Dinas'!L$7:L$46))</f>
        <v/>
      </c>
      <c r="M44" s="15" t="str">
        <f>IF($B44="","",RANK('Legger Dinas'!M44,'Legger Dinas'!M$7:M$46))</f>
        <v/>
      </c>
      <c r="N44" s="15" t="str">
        <f>IF($B44="","",RANK('Legger Dinas'!N44,'Legger Dinas'!N$7:N$46))</f>
        <v/>
      </c>
      <c r="O44" s="15" t="str">
        <f>IF($B44="","",RANK('Legger Dinas'!O44,'Legger Dinas'!O$7:O$46))</f>
        <v/>
      </c>
      <c r="P44" s="15" t="str">
        <f>IF($B44="","",RANK('Legger Dinas'!P44,'Legger Dinas'!P$7:P$46))</f>
        <v/>
      </c>
      <c r="Q44" s="15" t="str">
        <f>IF($B44="","",RANK('Legger Dinas'!Q44,'Legger Dinas'!Q$7:Q$46))</f>
        <v/>
      </c>
      <c r="R44" s="15" t="str">
        <f>IF($B44="","",RANK('Legger Dinas'!R44,'Legger Dinas'!R$7:R$46))</f>
        <v/>
      </c>
      <c r="S44" s="15" t="str">
        <f>IF($B44="","",RANK('Legger Dinas'!S44,'Legger Dinas'!S$7:S$46))</f>
        <v/>
      </c>
      <c r="T44" s="15" t="str">
        <f>IF($B44="","",RANK('Legger Dinas'!T44,'Legger Dinas'!T$7:T$46))</f>
        <v/>
      </c>
      <c r="U44" s="15" t="str">
        <f>IF(Setting!$E$15="V","",IF(Setting!$E$15="VI","",RANK('Legger Dinas'!U44,'Legger Dinas'!U$7:U$46)))</f>
        <v/>
      </c>
      <c r="V44" s="15" t="str">
        <f>IF($B44="","",RANK('Legger Dinas'!V44,'Legger Dinas'!V$7:V$46))</f>
        <v/>
      </c>
      <c r="W44" s="165" t="str">
        <f>IF($B44="","",SUM('Legger Dinas'!G44:V44))</f>
        <v/>
      </c>
      <c r="X44" s="165" t="str">
        <f t="shared" si="0"/>
        <v/>
      </c>
    </row>
    <row r="45" spans="1:123" x14ac:dyDescent="0.25">
      <c r="A45" s="12">
        <v>39</v>
      </c>
      <c r="B45" s="23" t="str">
        <f>IF(Setting!J44="","",Setting!J44)</f>
        <v/>
      </c>
      <c r="C45" s="28" t="str">
        <f>IF(Setting!K44="","",Setting!K44)</f>
        <v/>
      </c>
      <c r="D45" s="28" t="str">
        <f>IF(Setting!L44="","",Setting!L44)</f>
        <v/>
      </c>
      <c r="E45" s="15" t="str">
        <f>IF(B45="","",Setting!$E$11)</f>
        <v/>
      </c>
      <c r="F45" s="15" t="str">
        <f>IF(B45="","",Setting!$E$15)</f>
        <v/>
      </c>
      <c r="G45" s="15" t="str">
        <f>IF($B45="","",RANK('Legger Dinas'!G45,'Legger Dinas'!G$7:G$46))</f>
        <v/>
      </c>
      <c r="H45" s="15" t="str">
        <f>IF($B45="","",RANK('Legger Dinas'!H45,'Legger Dinas'!H$7:H$46))</f>
        <v/>
      </c>
      <c r="I45" s="15" t="str">
        <f>IF($B45="","",RANK('Legger Dinas'!I45,'Legger Dinas'!I$7:I$46))</f>
        <v/>
      </c>
      <c r="J45" s="15" t="str">
        <f>IF($B45="","",RANK('Legger Dinas'!J45,'Legger Dinas'!J$7:J$46))</f>
        <v/>
      </c>
      <c r="K45" s="15" t="str">
        <f>IF($B45="","",RANK('Legger Dinas'!K45,'Legger Dinas'!K$7:K$46))</f>
        <v/>
      </c>
      <c r="L45" s="15" t="str">
        <f>IF($B45="","",RANK('Legger Dinas'!L45,'Legger Dinas'!L$7:L$46))</f>
        <v/>
      </c>
      <c r="M45" s="15" t="str">
        <f>IF($B45="","",RANK('Legger Dinas'!M45,'Legger Dinas'!M$7:M$46))</f>
        <v/>
      </c>
      <c r="N45" s="15" t="str">
        <f>IF($B45="","",RANK('Legger Dinas'!N45,'Legger Dinas'!N$7:N$46))</f>
        <v/>
      </c>
      <c r="O45" s="15" t="str">
        <f>IF($B45="","",RANK('Legger Dinas'!O45,'Legger Dinas'!O$7:O$46))</f>
        <v/>
      </c>
      <c r="P45" s="15" t="str">
        <f>IF($B45="","",RANK('Legger Dinas'!P45,'Legger Dinas'!P$7:P$46))</f>
        <v/>
      </c>
      <c r="Q45" s="15" t="str">
        <f>IF($B45="","",RANK('Legger Dinas'!Q45,'Legger Dinas'!Q$7:Q$46))</f>
        <v/>
      </c>
      <c r="R45" s="15" t="str">
        <f>IF($B45="","",RANK('Legger Dinas'!R45,'Legger Dinas'!R$7:R$46))</f>
        <v/>
      </c>
      <c r="S45" s="15" t="str">
        <f>IF($B45="","",RANK('Legger Dinas'!S45,'Legger Dinas'!S$7:S$46))</f>
        <v/>
      </c>
      <c r="T45" s="15" t="str">
        <f>IF($B45="","",RANK('Legger Dinas'!T45,'Legger Dinas'!T$7:T$46))</f>
        <v/>
      </c>
      <c r="U45" s="15" t="str">
        <f>IF(Setting!$E$15="V","",IF(Setting!$E$15="VI","",RANK('Legger Dinas'!U45,'Legger Dinas'!U$7:U$46)))</f>
        <v/>
      </c>
      <c r="V45" s="15" t="str">
        <f>IF($B45="","",RANK('Legger Dinas'!V45,'Legger Dinas'!V$7:V$46))</f>
        <v/>
      </c>
      <c r="W45" s="165" t="str">
        <f>IF($B45="","",SUM('Legger Dinas'!G45:V45))</f>
        <v/>
      </c>
      <c r="X45" s="165" t="str">
        <f t="shared" si="0"/>
        <v/>
      </c>
    </row>
    <row r="46" spans="1:123" x14ac:dyDescent="0.25">
      <c r="A46" s="12">
        <v>40</v>
      </c>
      <c r="B46" s="23" t="str">
        <f>IF(Setting!J45="","",Setting!J45)</f>
        <v/>
      </c>
      <c r="C46" s="28" t="str">
        <f>IF(Setting!K45="","",Setting!K45)</f>
        <v/>
      </c>
      <c r="D46" s="28" t="str">
        <f>IF(Setting!L45="","",Setting!L45)</f>
        <v/>
      </c>
      <c r="E46" s="15" t="str">
        <f>IF(B46="","",Setting!$E$11)</f>
        <v/>
      </c>
      <c r="F46" s="15" t="str">
        <f>IF(B46="","",Setting!$E$15)</f>
        <v/>
      </c>
      <c r="G46" s="15" t="str">
        <f>IF($B46="","",RANK('Legger Dinas'!G46,'Legger Dinas'!G$7:G$46))</f>
        <v/>
      </c>
      <c r="H46" s="15" t="str">
        <f>IF($B46="","",RANK('Legger Dinas'!H46,'Legger Dinas'!H$7:H$46))</f>
        <v/>
      </c>
      <c r="I46" s="15" t="str">
        <f>IF($B46="","",RANK('Legger Dinas'!I46,'Legger Dinas'!I$7:I$46))</f>
        <v/>
      </c>
      <c r="J46" s="15" t="str">
        <f>IF($B46="","",RANK('Legger Dinas'!J46,'Legger Dinas'!J$7:J$46))</f>
        <v/>
      </c>
      <c r="K46" s="15" t="str">
        <f>IF($B46="","",RANK('Legger Dinas'!K46,'Legger Dinas'!K$7:K$46))</f>
        <v/>
      </c>
      <c r="L46" s="15" t="str">
        <f>IF($B46="","",RANK('Legger Dinas'!L46,'Legger Dinas'!L$7:L$46))</f>
        <v/>
      </c>
      <c r="M46" s="15" t="str">
        <f>IF($B46="","",RANK('Legger Dinas'!M46,'Legger Dinas'!M$7:M$46))</f>
        <v/>
      </c>
      <c r="N46" s="15" t="str">
        <f>IF($B46="","",RANK('Legger Dinas'!N46,'Legger Dinas'!N$7:N$46))</f>
        <v/>
      </c>
      <c r="O46" s="15" t="str">
        <f>IF($B46="","",RANK('Legger Dinas'!O46,'Legger Dinas'!O$7:O$46))</f>
        <v/>
      </c>
      <c r="P46" s="15" t="str">
        <f>IF($B46="","",RANK('Legger Dinas'!P46,'Legger Dinas'!P$7:P$46))</f>
        <v/>
      </c>
      <c r="Q46" s="15" t="str">
        <f>IF($B46="","",RANK('Legger Dinas'!Q46,'Legger Dinas'!Q$7:Q$46))</f>
        <v/>
      </c>
      <c r="R46" s="15" t="str">
        <f>IF($B46="","",RANK('Legger Dinas'!R46,'Legger Dinas'!R$7:R$46))</f>
        <v/>
      </c>
      <c r="S46" s="15" t="str">
        <f>IF($B46="","",RANK('Legger Dinas'!S46,'Legger Dinas'!S$7:S$46))</f>
        <v/>
      </c>
      <c r="T46" s="15" t="str">
        <f>IF($B46="","",RANK('Legger Dinas'!T46,'Legger Dinas'!T$7:T$46))</f>
        <v/>
      </c>
      <c r="U46" s="15" t="str">
        <f>IF(Setting!$E$15="V","",IF(Setting!$E$15="VI","",RANK('Legger Dinas'!U46,'Legger Dinas'!U$7:U$46)))</f>
        <v/>
      </c>
      <c r="V46" s="15" t="str">
        <f>IF($B46="","",RANK('Legger Dinas'!V46,'Legger Dinas'!V$7:V$46))</f>
        <v/>
      </c>
      <c r="W46" s="165" t="str">
        <f>IF($B46="","",SUM('Legger Dinas'!G46:V46))</f>
        <v/>
      </c>
      <c r="X46" s="165" t="str">
        <f t="shared" si="0"/>
        <v/>
      </c>
    </row>
    <row r="47" spans="1:123" s="9" customFormat="1" x14ac:dyDescent="0.25">
      <c r="A47" s="1"/>
      <c r="B47" s="4"/>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row>
  </sheetData>
  <mergeCells count="12">
    <mergeCell ref="W4:W5"/>
    <mergeCell ref="X4:X5"/>
    <mergeCell ref="M4:P4"/>
    <mergeCell ref="Q4:T4"/>
    <mergeCell ref="U4:V4"/>
    <mergeCell ref="G4:L4"/>
    <mergeCell ref="F4:F5"/>
    <mergeCell ref="A4:A5"/>
    <mergeCell ref="B4:B5"/>
    <mergeCell ref="C4:C5"/>
    <mergeCell ref="D4:D5"/>
    <mergeCell ref="E4:E5"/>
  </mergeCells>
  <pageMargins left="0.7" right="0.3" top="0.31" bottom="0.54" header="0.3" footer="0.3"/>
  <pageSetup paperSize="300" scale="61"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5"/>
  <sheetViews>
    <sheetView showGridLines="0" workbookViewId="0">
      <pane xSplit="7" ySplit="2" topLeftCell="H3" activePane="bottomRight" state="frozenSplit"/>
      <selection pane="topRight" activeCell="K1" sqref="K1"/>
      <selection pane="bottomLeft" activeCell="A12" sqref="A12"/>
      <selection pane="bottomRight" activeCell="E13" sqref="E13:G13"/>
    </sheetView>
  </sheetViews>
  <sheetFormatPr defaultRowHeight="15" x14ac:dyDescent="0.25"/>
  <cols>
    <col min="1" max="1" width="4.5703125" style="8" customWidth="1"/>
    <col min="4" max="4" width="3.42578125" style="27" customWidth="1"/>
    <col min="9" max="9" width="4.85546875" style="8" customWidth="1"/>
    <col min="10" max="10" width="29.140625" customWidth="1"/>
    <col min="12" max="12" width="20" customWidth="1"/>
    <col min="14" max="14" width="6.42578125" customWidth="1"/>
    <col min="15" max="15" width="27.85546875" customWidth="1"/>
  </cols>
  <sheetData>
    <row r="1" spans="2:18" s="8" customFormat="1" ht="26.25" customHeight="1" x14ac:dyDescent="0.25">
      <c r="D1" s="27"/>
    </row>
    <row r="2" spans="2:18" s="8" customFormat="1" x14ac:dyDescent="0.25">
      <c r="D2" s="27"/>
    </row>
    <row r="3" spans="2:18" ht="18.75" customHeight="1" x14ac:dyDescent="0.3">
      <c r="B3" s="219" t="s">
        <v>133</v>
      </c>
      <c r="C3" s="219"/>
      <c r="D3" s="219"/>
      <c r="E3" s="219"/>
      <c r="F3" s="219"/>
      <c r="G3" s="219"/>
      <c r="I3" s="219" t="s">
        <v>107</v>
      </c>
      <c r="J3" s="219"/>
      <c r="K3" s="219"/>
      <c r="L3" s="219"/>
      <c r="M3" s="8"/>
      <c r="N3" s="219" t="s">
        <v>79</v>
      </c>
      <c r="O3" s="219"/>
      <c r="P3" s="219"/>
      <c r="Q3" s="8"/>
    </row>
    <row r="4" spans="2:18" s="8" customFormat="1" x14ac:dyDescent="0.25">
      <c r="D4" s="27"/>
    </row>
    <row r="5" spans="2:18" x14ac:dyDescent="0.25">
      <c r="B5" s="65" t="s">
        <v>101</v>
      </c>
      <c r="C5" s="31"/>
      <c r="E5" s="212" t="s">
        <v>44</v>
      </c>
      <c r="F5" s="212"/>
      <c r="G5" s="213"/>
      <c r="I5" s="16" t="s">
        <v>30</v>
      </c>
      <c r="J5" s="16" t="s">
        <v>33</v>
      </c>
      <c r="K5" s="16" t="s">
        <v>34</v>
      </c>
      <c r="L5" s="16" t="s">
        <v>35</v>
      </c>
      <c r="N5" s="18" t="s">
        <v>30</v>
      </c>
      <c r="O5" s="18" t="s">
        <v>0</v>
      </c>
      <c r="P5" s="18" t="s">
        <v>79</v>
      </c>
    </row>
    <row r="6" spans="2:18" ht="15" customHeight="1" x14ac:dyDescent="0.25">
      <c r="B6" s="65" t="s">
        <v>102</v>
      </c>
      <c r="C6" s="31"/>
      <c r="E6" s="216" t="s">
        <v>152</v>
      </c>
      <c r="F6" s="216"/>
      <c r="G6" s="216"/>
      <c r="I6" s="28">
        <v>1</v>
      </c>
      <c r="J6" s="102" t="str">
        <f>'DATA SISWA LENGKAP'!G5</f>
        <v>Abdul Fattah Irfan Al Mubaroq</v>
      </c>
      <c r="K6" s="102">
        <f>'DATA SISWA LENGKAP'!H5</f>
        <v>2008004</v>
      </c>
      <c r="L6" s="102" t="str">
        <f>'DATA SISWA LENGKAP'!I5</f>
        <v>0047308275</v>
      </c>
      <c r="N6" s="2" t="s">
        <v>109</v>
      </c>
      <c r="O6" s="2"/>
    </row>
    <row r="7" spans="2:18" ht="15" customHeight="1" x14ac:dyDescent="0.25">
      <c r="B7" s="66"/>
      <c r="C7" s="66"/>
      <c r="E7" s="217"/>
      <c r="F7" s="217"/>
      <c r="G7" s="217"/>
      <c r="I7" s="28">
        <v>2</v>
      </c>
      <c r="J7" s="102" t="str">
        <f>'DATA SISWA LENGKAP'!G6</f>
        <v>Adam Zidane Danata Pranugroho</v>
      </c>
      <c r="K7" s="102">
        <f>'DATA SISWA LENGKAP'!H6</f>
        <v>2008009</v>
      </c>
      <c r="L7" s="102" t="str">
        <f>'DATA SISWA LENGKAP'!I6</f>
        <v>0051700957</v>
      </c>
      <c r="N7" s="35">
        <v>1</v>
      </c>
      <c r="O7" s="36" t="s">
        <v>41</v>
      </c>
      <c r="P7" s="89">
        <v>75</v>
      </c>
      <c r="Q7" s="8"/>
      <c r="R7" s="8"/>
    </row>
    <row r="8" spans="2:18" ht="15" customHeight="1" x14ac:dyDescent="0.25">
      <c r="B8" s="66"/>
      <c r="C8" s="66"/>
      <c r="E8" s="218"/>
      <c r="F8" s="218"/>
      <c r="G8" s="218"/>
      <c r="I8" s="28">
        <v>3</v>
      </c>
      <c r="J8" s="102" t="str">
        <f>'DATA SISWA LENGKAP'!G7</f>
        <v>Ahmad Fikry</v>
      </c>
      <c r="K8" s="102">
        <f>'DATA SISWA LENGKAP'!H7</f>
        <v>2008021</v>
      </c>
      <c r="L8" s="102" t="str">
        <f>'DATA SISWA LENGKAP'!I7</f>
        <v xml:space="preserve">0050998196 </v>
      </c>
      <c r="N8" s="35">
        <v>2</v>
      </c>
      <c r="O8" s="37" t="s">
        <v>69</v>
      </c>
      <c r="P8" s="89">
        <v>75</v>
      </c>
      <c r="Q8" s="8"/>
      <c r="R8" s="8"/>
    </row>
    <row r="9" spans="2:18" ht="15.75" x14ac:dyDescent="0.25">
      <c r="B9" s="65" t="s">
        <v>103</v>
      </c>
      <c r="C9" s="31"/>
      <c r="E9" s="212" t="s">
        <v>153</v>
      </c>
      <c r="F9" s="212"/>
      <c r="G9" s="213"/>
      <c r="I9" s="28">
        <v>4</v>
      </c>
      <c r="J9" s="102" t="str">
        <f>'DATA SISWA LENGKAP'!G8</f>
        <v>Almas Sabih Wahindra</v>
      </c>
      <c r="K9" s="102">
        <f>'DATA SISWA LENGKAP'!H8</f>
        <v>2008034</v>
      </c>
      <c r="L9" s="102" t="str">
        <f>'DATA SISWA LENGKAP'!I8</f>
        <v>0059000208</v>
      </c>
      <c r="N9" s="35">
        <v>3</v>
      </c>
      <c r="O9" s="38" t="s">
        <v>10</v>
      </c>
      <c r="P9" s="89">
        <v>75</v>
      </c>
      <c r="Q9" s="8"/>
      <c r="R9" s="8"/>
    </row>
    <row r="10" spans="2:18" ht="15.75" x14ac:dyDescent="0.25">
      <c r="B10" s="65" t="s">
        <v>104</v>
      </c>
      <c r="C10" s="31"/>
      <c r="E10" s="212" t="s">
        <v>146</v>
      </c>
      <c r="F10" s="212"/>
      <c r="G10" s="213"/>
      <c r="I10" s="28">
        <v>5</v>
      </c>
      <c r="J10" s="102" t="str">
        <f>'DATA SISWA LENGKAP'!G9</f>
        <v>Aria Fenha Apri Buma</v>
      </c>
      <c r="K10" s="102">
        <f>'DATA SISWA LENGKAP'!H9</f>
        <v>2008054</v>
      </c>
      <c r="L10" s="102" t="str">
        <f>'DATA SISWA LENGKAP'!I9</f>
        <v>0058068365</v>
      </c>
      <c r="N10" s="35">
        <v>4</v>
      </c>
      <c r="O10" s="38" t="s">
        <v>11</v>
      </c>
      <c r="P10" s="89">
        <v>75</v>
      </c>
      <c r="Q10" s="8"/>
      <c r="R10" s="8"/>
    </row>
    <row r="11" spans="2:18" ht="15.75" x14ac:dyDescent="0.25">
      <c r="B11" s="67" t="s">
        <v>36</v>
      </c>
      <c r="C11" s="25"/>
      <c r="E11" s="214" t="str">
        <f>'DATA SISWA LENGKAP'!F2</f>
        <v>XII MIPA 4</v>
      </c>
      <c r="F11" s="214"/>
      <c r="G11" s="215"/>
      <c r="I11" s="28">
        <v>6</v>
      </c>
      <c r="J11" s="102" t="str">
        <f>'DATA SISWA LENGKAP'!G10</f>
        <v>Baharuddin Barkah Pratama</v>
      </c>
      <c r="K11" s="102">
        <f>'DATA SISWA LENGKAP'!H10</f>
        <v>2008075</v>
      </c>
      <c r="L11" s="102" t="str">
        <f>'DATA SISWA LENGKAP'!I10</f>
        <v>0024374235</v>
      </c>
      <c r="N11" s="35">
        <v>5</v>
      </c>
      <c r="O11" s="38" t="s">
        <v>12</v>
      </c>
      <c r="P11" s="89">
        <v>75</v>
      </c>
      <c r="Q11" s="8"/>
      <c r="R11" s="8"/>
    </row>
    <row r="12" spans="2:18" ht="15.75" x14ac:dyDescent="0.25">
      <c r="B12" s="67" t="s">
        <v>37</v>
      </c>
      <c r="C12" s="25"/>
      <c r="E12" s="214" t="s">
        <v>2323</v>
      </c>
      <c r="F12" s="214"/>
      <c r="G12" s="215"/>
      <c r="I12" s="28">
        <v>7</v>
      </c>
      <c r="J12" s="102" t="str">
        <f>'DATA SISWA LENGKAP'!G11</f>
        <v>Daffa Arya Pudyastungkara</v>
      </c>
      <c r="K12" s="102">
        <f>'DATA SISWA LENGKAP'!H11</f>
        <v>2008089</v>
      </c>
      <c r="L12" s="102" t="str">
        <f>'DATA SISWA LENGKAP'!I11</f>
        <v>0043620048</v>
      </c>
      <c r="N12" s="35">
        <v>6</v>
      </c>
      <c r="O12" s="38" t="s">
        <v>13</v>
      </c>
      <c r="P12" s="89">
        <v>75</v>
      </c>
      <c r="Q12" s="8"/>
      <c r="R12" s="8"/>
    </row>
    <row r="13" spans="2:18" ht="15.75" x14ac:dyDescent="0.25">
      <c r="B13" s="67" t="s">
        <v>104</v>
      </c>
      <c r="C13" s="25"/>
      <c r="E13" s="214" t="s">
        <v>2324</v>
      </c>
      <c r="F13" s="214"/>
      <c r="G13" s="215"/>
      <c r="I13" s="28">
        <v>8</v>
      </c>
      <c r="J13" s="102" t="str">
        <f>'DATA SISWA LENGKAP'!G12</f>
        <v>Dody Muhammad Pasha</v>
      </c>
      <c r="K13" s="102">
        <f>'DATA SISWA LENGKAP'!H12</f>
        <v>2008095</v>
      </c>
      <c r="L13" s="102" t="str">
        <f>'DATA SISWA LENGKAP'!I12</f>
        <v>0053814584</v>
      </c>
      <c r="N13" s="2" t="s">
        <v>110</v>
      </c>
      <c r="O13" s="2"/>
      <c r="P13" s="2"/>
      <c r="Q13" s="8"/>
      <c r="R13" s="8"/>
    </row>
    <row r="14" spans="2:18" ht="15.75" x14ac:dyDescent="0.25">
      <c r="B14" s="68" t="s">
        <v>105</v>
      </c>
      <c r="C14" s="29"/>
      <c r="E14" s="208" t="s">
        <v>2321</v>
      </c>
      <c r="F14" s="208"/>
      <c r="G14" s="209"/>
      <c r="I14" s="28">
        <v>9</v>
      </c>
      <c r="J14" s="102" t="str">
        <f>'DATA SISWA LENGKAP'!G13</f>
        <v>Elga Perdana</v>
      </c>
      <c r="K14" s="102">
        <f>'DATA SISWA LENGKAP'!H13</f>
        <v>2008099</v>
      </c>
      <c r="L14" s="102" t="str">
        <f>'DATA SISWA LENGKAP'!I13</f>
        <v>0054718584</v>
      </c>
      <c r="N14" s="34">
        <v>1</v>
      </c>
      <c r="O14" s="41" t="s">
        <v>15</v>
      </c>
      <c r="P14" s="89">
        <v>75</v>
      </c>
      <c r="Q14" s="8"/>
      <c r="R14" s="8"/>
    </row>
    <row r="15" spans="2:18" ht="15" customHeight="1" x14ac:dyDescent="0.25">
      <c r="B15" s="68" t="s">
        <v>106</v>
      </c>
      <c r="C15" s="29"/>
      <c r="E15" s="30" t="str">
        <f>IF(E17=1,"I",IF(E17=2,"II",IF(E17=3,"III",IF(E17=4,"IV",IF(E17=5,"V","VI")))))</f>
        <v>V</v>
      </c>
      <c r="F15" s="210" t="str">
        <f>IF(E15="I","GANJIL",IF(E15="III","GANJIL",IF(E15="V","GANJIL","GENAP")))</f>
        <v>GANJIL</v>
      </c>
      <c r="G15" s="209"/>
      <c r="I15" s="28">
        <v>10</v>
      </c>
      <c r="J15" s="102" t="str">
        <f>'DATA SISWA LENGKAP'!G14</f>
        <v>Fathoni Daniswara</v>
      </c>
      <c r="K15" s="102">
        <f>'DATA SISWA LENGKAP'!H14</f>
        <v>2008118</v>
      </c>
      <c r="L15" s="102" t="str">
        <f>'DATA SISWA LENGKAP'!I14</f>
        <v>0057882873</v>
      </c>
      <c r="M15" s="191">
        <v>30</v>
      </c>
      <c r="N15" s="34">
        <v>2</v>
      </c>
      <c r="O15" s="41" t="s">
        <v>16</v>
      </c>
      <c r="P15" s="89">
        <v>75</v>
      </c>
      <c r="Q15" s="8"/>
      <c r="R15" s="8"/>
    </row>
    <row r="16" spans="2:18" ht="15" customHeight="1" x14ac:dyDescent="0.25">
      <c r="B16" s="68" t="s">
        <v>108</v>
      </c>
      <c r="C16" s="29"/>
      <c r="E16" s="211" t="s">
        <v>2322</v>
      </c>
      <c r="F16" s="208"/>
      <c r="G16" s="209"/>
      <c r="I16" s="28">
        <v>11</v>
      </c>
      <c r="J16" s="102" t="str">
        <f>'DATA SISWA LENGKAP'!G15</f>
        <v>Gading Setyo Manunggal</v>
      </c>
      <c r="K16" s="102">
        <f>'DATA SISWA LENGKAP'!H15</f>
        <v>2008127</v>
      </c>
      <c r="L16" s="102" t="str">
        <f>'DATA SISWA LENGKAP'!I15</f>
        <v>0052532940</v>
      </c>
      <c r="N16" s="34">
        <v>3</v>
      </c>
      <c r="O16" s="41" t="s">
        <v>17</v>
      </c>
      <c r="P16" s="89">
        <v>75</v>
      </c>
      <c r="Q16" s="8"/>
      <c r="R16" s="8"/>
    </row>
    <row r="17" spans="2:18" ht="15.75" x14ac:dyDescent="0.25">
      <c r="B17" s="8"/>
      <c r="C17" s="8"/>
      <c r="E17" s="191">
        <v>5</v>
      </c>
      <c r="F17" s="8"/>
      <c r="G17" s="8"/>
      <c r="I17" s="28">
        <v>12</v>
      </c>
      <c r="J17" s="102" t="str">
        <f>'DATA SISWA LENGKAP'!G16</f>
        <v>Ghifari Mabrur Al Burhani</v>
      </c>
      <c r="K17" s="102">
        <f>'DATA SISWA LENGKAP'!H16</f>
        <v>2008128</v>
      </c>
      <c r="L17" s="102" t="str">
        <f>'DATA SISWA LENGKAP'!I16</f>
        <v>0068080234</v>
      </c>
      <c r="N17" s="34">
        <v>4</v>
      </c>
      <c r="O17" s="41" t="s">
        <v>18</v>
      </c>
      <c r="P17" s="89">
        <v>75</v>
      </c>
      <c r="Q17" s="8"/>
      <c r="R17" s="8"/>
    </row>
    <row r="18" spans="2:18" ht="15.75" x14ac:dyDescent="0.25">
      <c r="B18" s="8"/>
      <c r="C18" s="8"/>
      <c r="E18" s="8"/>
      <c r="F18" s="8"/>
      <c r="G18" s="8"/>
      <c r="I18" s="28">
        <v>13</v>
      </c>
      <c r="J18" s="102" t="str">
        <f>'DATA SISWA LENGKAP'!G17</f>
        <v>Hafid Mahreza Ilham</v>
      </c>
      <c r="K18" s="102">
        <f>'DATA SISWA LENGKAP'!H17</f>
        <v>2008131</v>
      </c>
      <c r="L18" s="102" t="str">
        <f>'DATA SISWA LENGKAP'!I17</f>
        <v>0058288476</v>
      </c>
      <c r="N18" s="2" t="s">
        <v>111</v>
      </c>
      <c r="O18" s="2"/>
      <c r="P18" s="2"/>
      <c r="Q18" s="8"/>
      <c r="R18" s="8"/>
    </row>
    <row r="19" spans="2:18" ht="15.75" x14ac:dyDescent="0.25">
      <c r="B19" s="8"/>
      <c r="C19" s="8"/>
      <c r="E19" s="8"/>
      <c r="F19" s="8"/>
      <c r="G19" s="8"/>
      <c r="I19" s="28">
        <v>14</v>
      </c>
      <c r="J19" s="102" t="str">
        <f>'DATA SISWA LENGKAP'!G18</f>
        <v>Haidar Rafif Hibatulloh</v>
      </c>
      <c r="K19" s="102">
        <f>'DATA SISWA LENGKAP'!H18</f>
        <v>2008132</v>
      </c>
      <c r="L19" s="102" t="str">
        <f>'DATA SISWA LENGKAP'!I18</f>
        <v>0054005743</v>
      </c>
      <c r="N19" t="s">
        <v>112</v>
      </c>
      <c r="P19" s="2"/>
      <c r="Q19" s="8"/>
      <c r="R19" s="8"/>
    </row>
    <row r="20" spans="2:18" ht="15.75" x14ac:dyDescent="0.25">
      <c r="B20" s="8"/>
      <c r="C20" s="8"/>
      <c r="E20" s="8"/>
      <c r="F20" s="8"/>
      <c r="G20" s="8"/>
      <c r="I20" s="28">
        <v>15</v>
      </c>
      <c r="J20" s="102" t="str">
        <f>'DATA SISWA LENGKAP'!G19</f>
        <v>Kelvin Oktabrian Ramadhan</v>
      </c>
      <c r="K20" s="102">
        <f>'DATA SISWA LENGKAP'!H19</f>
        <v>2008169</v>
      </c>
      <c r="L20" s="102" t="str">
        <f>'DATA SISWA LENGKAP'!I19</f>
        <v>0045893001</v>
      </c>
      <c r="N20" s="39">
        <v>1</v>
      </c>
      <c r="O20" s="40" t="s">
        <v>11</v>
      </c>
      <c r="P20" s="89">
        <v>75</v>
      </c>
      <c r="Q20" s="8"/>
      <c r="R20" s="8"/>
    </row>
    <row r="21" spans="2:18" ht="15.75" x14ac:dyDescent="0.25">
      <c r="B21" s="8"/>
      <c r="C21" s="8"/>
      <c r="E21" s="8"/>
      <c r="F21" s="8"/>
      <c r="G21" s="8"/>
      <c r="I21" s="28">
        <v>16</v>
      </c>
      <c r="J21" s="102" t="str">
        <f>'DATA SISWA LENGKAP'!G20</f>
        <v>Mohamad Khoiril Afwa</v>
      </c>
      <c r="K21" s="102">
        <f>'DATA SISWA LENGKAP'!H20</f>
        <v>2008197</v>
      </c>
      <c r="L21" s="102" t="str">
        <f>'DATA SISWA LENGKAP'!I20</f>
        <v>0044910894</v>
      </c>
      <c r="N21" s="39">
        <v>2</v>
      </c>
      <c r="O21" s="40" t="s">
        <v>20</v>
      </c>
      <c r="P21" s="89">
        <v>75</v>
      </c>
      <c r="Q21" s="8"/>
      <c r="R21" s="8"/>
    </row>
    <row r="22" spans="2:18" ht="15.75" x14ac:dyDescent="0.25">
      <c r="B22" s="8"/>
      <c r="C22" s="8"/>
      <c r="E22" s="8"/>
      <c r="F22" s="8"/>
      <c r="G22" s="8"/>
      <c r="I22" s="28">
        <v>17</v>
      </c>
      <c r="J22" s="102" t="str">
        <f>'DATA SISWA LENGKAP'!G21</f>
        <v>Muhammad Hanif Pearlyaradja</v>
      </c>
      <c r="K22" s="102">
        <f>'DATA SISWA LENGKAP'!H21</f>
        <v>2008214</v>
      </c>
      <c r="L22" s="102" t="str">
        <f>'DATA SISWA LENGKAP'!I21</f>
        <v>0052096412</v>
      </c>
      <c r="N22" s="39">
        <v>3</v>
      </c>
      <c r="O22" s="40" t="s">
        <v>21</v>
      </c>
      <c r="P22" s="89">
        <v>75</v>
      </c>
      <c r="Q22" s="8"/>
      <c r="R22" s="8"/>
    </row>
    <row r="23" spans="2:18" ht="15.75" x14ac:dyDescent="0.25">
      <c r="B23" s="8"/>
      <c r="C23" s="8"/>
      <c r="E23" s="8"/>
      <c r="F23" s="8"/>
      <c r="G23" s="8"/>
      <c r="I23" s="28">
        <v>18</v>
      </c>
      <c r="J23" s="102" t="str">
        <f>'DATA SISWA LENGKAP'!G22</f>
        <v>Muhammad Maurel Han</v>
      </c>
      <c r="K23" s="102">
        <f>'DATA SISWA LENGKAP'!H22</f>
        <v>2008218</v>
      </c>
      <c r="L23" s="102" t="str">
        <f>'DATA SISWA LENGKAP'!I22</f>
        <v>9015578324</v>
      </c>
      <c r="N23" s="39">
        <v>4</v>
      </c>
      <c r="O23" s="40" t="s">
        <v>22</v>
      </c>
      <c r="P23" s="89">
        <v>75</v>
      </c>
      <c r="Q23" s="8"/>
      <c r="R23" s="8"/>
    </row>
    <row r="24" spans="2:18" ht="15.75" x14ac:dyDescent="0.25">
      <c r="I24" s="28">
        <v>19</v>
      </c>
      <c r="J24" s="102" t="str">
        <f>'DATA SISWA LENGKAP'!G23</f>
        <v>Muhammad Niam Masykuri</v>
      </c>
      <c r="K24" s="102">
        <f>'DATA SISWA LENGKAP'!H23</f>
        <v>2008220</v>
      </c>
      <c r="L24" s="102" t="str">
        <f>'DATA SISWA LENGKAP'!I23</f>
        <v>0044193368</v>
      </c>
      <c r="N24" s="2" t="s">
        <v>113</v>
      </c>
      <c r="O24" s="2"/>
      <c r="P24" s="88"/>
      <c r="Q24" s="8"/>
      <c r="R24" s="8"/>
    </row>
    <row r="25" spans="2:18" ht="15.75" x14ac:dyDescent="0.25">
      <c r="I25" s="28">
        <v>20</v>
      </c>
      <c r="J25" s="102" t="str">
        <f>'DATA SISWA LENGKAP'!G24</f>
        <v>Muhammad Nur Arzhian Kusuma</v>
      </c>
      <c r="K25" s="102">
        <f>'DATA SISWA LENGKAP'!H24</f>
        <v>2008221</v>
      </c>
      <c r="L25" s="102" t="str">
        <f>'DATA SISWA LENGKAP'!I24</f>
        <v>0053421781</v>
      </c>
      <c r="N25" s="42">
        <v>1</v>
      </c>
      <c r="O25" s="43" t="s">
        <v>147</v>
      </c>
      <c r="P25" s="89">
        <v>75</v>
      </c>
      <c r="Q25" s="8"/>
      <c r="R25" s="8"/>
    </row>
    <row r="26" spans="2:18" ht="15.75" x14ac:dyDescent="0.25">
      <c r="I26" s="28">
        <v>21</v>
      </c>
      <c r="J26" s="102" t="str">
        <f>'DATA SISWA LENGKAP'!G25</f>
        <v>Muhammad Rafif Rizqullah</v>
      </c>
      <c r="K26" s="102">
        <f>'DATA SISWA LENGKAP'!H25</f>
        <v>2008222</v>
      </c>
      <c r="L26" s="102" t="str">
        <f>'DATA SISWA LENGKAP'!I25</f>
        <v>0044559979</v>
      </c>
      <c r="N26" s="42">
        <v>2</v>
      </c>
      <c r="O26" s="43" t="s">
        <v>149</v>
      </c>
      <c r="P26" s="89">
        <v>75</v>
      </c>
    </row>
    <row r="27" spans="2:18" ht="15.75" x14ac:dyDescent="0.25">
      <c r="I27" s="28">
        <v>22</v>
      </c>
      <c r="J27" s="102" t="str">
        <f>'DATA SISWA LENGKAP'!G26</f>
        <v>Muhammad Raihan Al Faridzi</v>
      </c>
      <c r="K27" s="102">
        <f>'DATA SISWA LENGKAP'!H26</f>
        <v>2008223</v>
      </c>
      <c r="L27" s="102" t="str">
        <f>'DATA SISWA LENGKAP'!I26</f>
        <v>0047550264</v>
      </c>
    </row>
    <row r="28" spans="2:18" ht="15.75" x14ac:dyDescent="0.25">
      <c r="I28" s="28">
        <v>23</v>
      </c>
      <c r="J28" s="102" t="str">
        <f>'DATA SISWA LENGKAP'!G27</f>
        <v>Muhammad Rakan Hafidh Al Ghalib</v>
      </c>
      <c r="K28" s="102">
        <f>'DATA SISWA LENGKAP'!H27</f>
        <v>2008224</v>
      </c>
      <c r="L28" s="102" t="str">
        <f>'DATA SISWA LENGKAP'!I27</f>
        <v>0053955049</v>
      </c>
    </row>
    <row r="29" spans="2:18" ht="15.75" x14ac:dyDescent="0.25">
      <c r="I29" s="28">
        <v>24</v>
      </c>
      <c r="J29" s="102" t="str">
        <f>'DATA SISWA LENGKAP'!G28</f>
        <v>Muhammad Syamu Naufal</v>
      </c>
      <c r="K29" s="102">
        <f>'DATA SISWA LENGKAP'!H28</f>
        <v>2008230</v>
      </c>
      <c r="L29" s="102" t="str">
        <f>'DATA SISWA LENGKAP'!I28</f>
        <v>0045892500</v>
      </c>
    </row>
    <row r="30" spans="2:18" ht="15.75" x14ac:dyDescent="0.25">
      <c r="I30" s="28">
        <v>25</v>
      </c>
      <c r="J30" s="102" t="str">
        <f>'DATA SISWA LENGKAP'!G29</f>
        <v>Naufal Muhammad Iqbal</v>
      </c>
      <c r="K30" s="102">
        <f>'DATA SISWA LENGKAP'!H29</f>
        <v>2008251</v>
      </c>
      <c r="L30" s="102" t="str">
        <f>'DATA SISWA LENGKAP'!I29</f>
        <v>0056904636</v>
      </c>
    </row>
    <row r="31" spans="2:18" ht="15.75" x14ac:dyDescent="0.25">
      <c r="I31" s="28">
        <v>26</v>
      </c>
      <c r="J31" s="102" t="str">
        <f>'DATA SISWA LENGKAP'!G30</f>
        <v>Nauval Nur Mustafa</v>
      </c>
      <c r="K31" s="102">
        <f>'DATA SISWA LENGKAP'!H30</f>
        <v>2008253</v>
      </c>
      <c r="L31" s="102" t="str">
        <f>'DATA SISWA LENGKAP'!I30</f>
        <v>0061518278</v>
      </c>
    </row>
    <row r="32" spans="2:18" ht="15.75" x14ac:dyDescent="0.25">
      <c r="I32" s="28">
        <v>27</v>
      </c>
      <c r="J32" s="102" t="str">
        <f>'DATA SISWA LENGKAP'!G31</f>
        <v>Oriegano Kanahaya Siagian</v>
      </c>
      <c r="K32" s="102">
        <f>'DATA SISWA LENGKAP'!H31</f>
        <v>2008272</v>
      </c>
      <c r="L32" s="102" t="str">
        <f>'DATA SISWA LENGKAP'!I31</f>
        <v>0051837216</v>
      </c>
    </row>
    <row r="33" spans="9:12" ht="15.75" x14ac:dyDescent="0.25">
      <c r="I33" s="28">
        <v>28</v>
      </c>
      <c r="J33" s="102" t="str">
        <f>'DATA SISWA LENGKAP'!G32</f>
        <v>Rafif Mahatma Indrastata</v>
      </c>
      <c r="K33" s="102">
        <f>'DATA SISWA LENGKAP'!H32</f>
        <v>2008282</v>
      </c>
      <c r="L33" s="102" t="str">
        <f>'DATA SISWA LENGKAP'!I32</f>
        <v>0045017851</v>
      </c>
    </row>
    <row r="34" spans="9:12" ht="15.75" x14ac:dyDescent="0.25">
      <c r="I34" s="28">
        <v>29</v>
      </c>
      <c r="J34" s="102" t="str">
        <f>'DATA SISWA LENGKAP'!G33</f>
        <v>Rayhan Yoga Edy Pratama</v>
      </c>
      <c r="K34" s="102">
        <f>'DATA SISWA LENGKAP'!H33</f>
        <v>2008296</v>
      </c>
      <c r="L34" s="102" t="str">
        <f>'DATA SISWA LENGKAP'!I33</f>
        <v xml:space="preserve">0041380949 </v>
      </c>
    </row>
    <row r="35" spans="9:12" ht="15.75" x14ac:dyDescent="0.25">
      <c r="I35" s="28">
        <v>30</v>
      </c>
      <c r="J35" s="102" t="str">
        <f>'DATA SISWA LENGKAP'!G34</f>
        <v>Rusianto Munif</v>
      </c>
      <c r="K35" s="102">
        <f>'DATA SISWA LENGKAP'!H34</f>
        <v>2008307</v>
      </c>
      <c r="L35" s="102" t="str">
        <f>'DATA SISWA LENGKAP'!I34</f>
        <v>0060172183</v>
      </c>
    </row>
    <row r="36" spans="9:12" ht="15.75" x14ac:dyDescent="0.25">
      <c r="I36" s="28">
        <v>31</v>
      </c>
      <c r="J36" s="102" t="str">
        <f>'DATA SISWA LENGKAP'!G35</f>
        <v>Zaidan Mu'afy Althaf</v>
      </c>
      <c r="K36" s="102">
        <f>'DATA SISWA LENGKAP'!H35</f>
        <v>2008347</v>
      </c>
      <c r="L36" s="102" t="str">
        <f>'DATA SISWA LENGKAP'!I35</f>
        <v>0056182222</v>
      </c>
    </row>
    <row r="37" spans="9:12" ht="15.75" x14ac:dyDescent="0.25">
      <c r="I37" s="28">
        <v>32</v>
      </c>
      <c r="J37" s="102">
        <f>'DATA SISWA LENGKAP'!G36</f>
        <v>0</v>
      </c>
      <c r="K37" s="102">
        <f>'DATA SISWA LENGKAP'!H36</f>
        <v>0</v>
      </c>
      <c r="L37" s="102">
        <f>'DATA SISWA LENGKAP'!I36</f>
        <v>0</v>
      </c>
    </row>
    <row r="38" spans="9:12" ht="15.75" x14ac:dyDescent="0.25">
      <c r="I38" s="28">
        <v>33</v>
      </c>
      <c r="J38" s="102">
        <f>'DATA SISWA LENGKAP'!G37</f>
        <v>0</v>
      </c>
      <c r="K38" s="102">
        <f>'DATA SISWA LENGKAP'!H37</f>
        <v>0</v>
      </c>
      <c r="L38" s="102">
        <f>'DATA SISWA LENGKAP'!I37</f>
        <v>0</v>
      </c>
    </row>
    <row r="39" spans="9:12" ht="15.75" x14ac:dyDescent="0.25">
      <c r="I39" s="28">
        <v>34</v>
      </c>
      <c r="J39" s="102">
        <f>'DATA SISWA LENGKAP'!G38</f>
        <v>0</v>
      </c>
      <c r="K39" s="102">
        <f>'DATA SISWA LENGKAP'!H38</f>
        <v>0</v>
      </c>
      <c r="L39" s="102">
        <f>'DATA SISWA LENGKAP'!I38</f>
        <v>0</v>
      </c>
    </row>
    <row r="40" spans="9:12" ht="15.75" x14ac:dyDescent="0.25">
      <c r="I40" s="28">
        <v>35</v>
      </c>
      <c r="J40" s="102">
        <f>'DATA SISWA LENGKAP'!G39</f>
        <v>0</v>
      </c>
      <c r="K40" s="102">
        <f>'DATA SISWA LENGKAP'!H39</f>
        <v>0</v>
      </c>
      <c r="L40" s="102">
        <f>'DATA SISWA LENGKAP'!I39</f>
        <v>0</v>
      </c>
    </row>
    <row r="41" spans="9:12" ht="15.75" x14ac:dyDescent="0.25">
      <c r="I41" s="28">
        <v>36</v>
      </c>
      <c r="J41" s="102"/>
      <c r="K41" s="103"/>
      <c r="L41" s="103"/>
    </row>
    <row r="42" spans="9:12" ht="15.75" x14ac:dyDescent="0.25">
      <c r="I42" s="28">
        <v>37</v>
      </c>
      <c r="J42" s="102"/>
      <c r="K42" s="103"/>
      <c r="L42" s="103"/>
    </row>
    <row r="43" spans="9:12" ht="15.75" x14ac:dyDescent="0.25">
      <c r="I43" s="28">
        <v>38</v>
      </c>
      <c r="J43" s="102"/>
      <c r="K43" s="103"/>
      <c r="L43" s="103"/>
    </row>
    <row r="44" spans="9:12" ht="15.75" x14ac:dyDescent="0.25">
      <c r="I44" s="28">
        <v>39</v>
      </c>
      <c r="J44" s="102"/>
      <c r="K44" s="103"/>
      <c r="L44" s="103"/>
    </row>
    <row r="45" spans="9:12" ht="15.75" x14ac:dyDescent="0.25">
      <c r="I45" s="28">
        <v>40</v>
      </c>
      <c r="J45" s="102"/>
      <c r="K45" s="103"/>
      <c r="L45" s="103"/>
    </row>
  </sheetData>
  <sheetProtection selectLockedCells="1"/>
  <mergeCells count="13">
    <mergeCell ref="E6:G8"/>
    <mergeCell ref="I3:L3"/>
    <mergeCell ref="B3:G3"/>
    <mergeCell ref="N3:P3"/>
    <mergeCell ref="E5:G5"/>
    <mergeCell ref="E14:G14"/>
    <mergeCell ref="F15:G15"/>
    <mergeCell ref="E16:G16"/>
    <mergeCell ref="E9:G9"/>
    <mergeCell ref="E10:G10"/>
    <mergeCell ref="E11:G11"/>
    <mergeCell ref="E12:G12"/>
    <mergeCell ref="E13:G13"/>
  </mergeCells>
  <conditionalFormatting sqref="J6:L40">
    <cfRule type="containsBlanks" dxfId="46" priority="6">
      <formula>LEN(TRIM(J6))=0</formula>
    </cfRule>
  </conditionalFormatting>
  <conditionalFormatting sqref="J41:J45">
    <cfRule type="containsBlanks" dxfId="45" priority="3">
      <formula>LEN(TRIM(J41))=0</formula>
    </cfRule>
  </conditionalFormatting>
  <conditionalFormatting sqref="K41:K45">
    <cfRule type="containsBlanks" dxfId="44" priority="2">
      <formula>LEN(TRIM(K41))=0</formula>
    </cfRule>
  </conditionalFormatting>
  <conditionalFormatting sqref="L41:L45">
    <cfRule type="containsBlanks" dxfId="43" priority="1">
      <formula>LEN(TRIM(L41))=0</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Drop Down 2">
              <controlPr defaultSize="0" print="0" autoLine="0" autoPict="0">
                <anchor moveWithCells="1">
                  <from>
                    <xdr:col>4</xdr:col>
                    <xdr:colOff>0</xdr:colOff>
                    <xdr:row>10</xdr:row>
                    <xdr:rowOff>19050</xdr:rowOff>
                  </from>
                  <to>
                    <xdr:col>6</xdr:col>
                    <xdr:colOff>571500</xdr:colOff>
                    <xdr:row>10</xdr:row>
                    <xdr:rowOff>171450</xdr:rowOff>
                  </to>
                </anchor>
              </controlPr>
            </control>
          </mc:Choice>
        </mc:AlternateContent>
        <mc:AlternateContent xmlns:mc="http://schemas.openxmlformats.org/markup-compatibility/2006">
          <mc:Choice Requires="x14">
            <control shapeId="4099" r:id="rId5" name="Drop Down 3">
              <controlPr defaultSize="0" print="0" autoLine="0" autoPict="0">
                <anchor moveWithCells="1">
                  <from>
                    <xdr:col>3</xdr:col>
                    <xdr:colOff>209550</xdr:colOff>
                    <xdr:row>14</xdr:row>
                    <xdr:rowOff>28575</xdr:rowOff>
                  </from>
                  <to>
                    <xdr:col>5</xdr:col>
                    <xdr:colOff>0</xdr:colOff>
                    <xdr:row>14</xdr:row>
                    <xdr:rowOff>180975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I48"/>
  <sheetViews>
    <sheetView workbookViewId="0">
      <selection activeCell="G9" sqref="G9"/>
    </sheetView>
  </sheetViews>
  <sheetFormatPr defaultRowHeight="15" x14ac:dyDescent="0.25"/>
  <cols>
    <col min="1" max="1" width="4.85546875" style="8" customWidth="1"/>
    <col min="2" max="2" width="26.140625" style="8" customWidth="1"/>
    <col min="3" max="5" width="7.28515625" style="8" customWidth="1"/>
    <col min="6" max="6" width="4.42578125" style="8" customWidth="1"/>
    <col min="7" max="7" width="38.5703125" style="8" customWidth="1"/>
    <col min="8" max="9" width="13" style="8" customWidth="1"/>
    <col min="10" max="10" width="4.42578125" style="8" customWidth="1"/>
    <col min="11" max="11" width="34.5703125" style="8" customWidth="1"/>
    <col min="12" max="12" width="11.28515625" style="8" bestFit="1" customWidth="1"/>
    <col min="13" max="13" width="11.28515625" style="8" customWidth="1"/>
    <col min="14" max="16384" width="9.140625" style="8"/>
  </cols>
  <sheetData>
    <row r="1" spans="1:165" ht="47.25" customHeight="1" x14ac:dyDescent="0.25">
      <c r="F1" s="1">
        <f>Setting!M15</f>
        <v>30</v>
      </c>
      <c r="G1" s="1">
        <f>VLOOKUP(F1,A4:D41,3)</f>
        <v>118</v>
      </c>
      <c r="H1" s="1">
        <f>VLOOKUP(F1,A4:D41,4)</f>
        <v>119</v>
      </c>
      <c r="I1" s="1">
        <f>VLOOKUP(F1,A4:E41,5)</f>
        <v>120</v>
      </c>
    </row>
    <row r="2" spans="1:165" ht="15.75" x14ac:dyDescent="0.25">
      <c r="A2" s="220" t="s">
        <v>201</v>
      </c>
      <c r="B2" s="220" t="s">
        <v>202</v>
      </c>
      <c r="F2" s="190" t="str">
        <f>VLOOKUP(F1,A4:B41,2)</f>
        <v>XII MIPA 4</v>
      </c>
      <c r="G2" s="190"/>
      <c r="H2" s="190"/>
      <c r="I2" s="171"/>
      <c r="J2" s="221" t="s">
        <v>1527</v>
      </c>
      <c r="K2" s="221"/>
      <c r="L2" s="221"/>
      <c r="M2" s="221"/>
      <c r="N2" s="221" t="s">
        <v>1528</v>
      </c>
      <c r="O2" s="221"/>
      <c r="P2" s="221"/>
      <c r="Q2" s="221"/>
      <c r="R2" s="221" t="s">
        <v>1529</v>
      </c>
      <c r="S2" s="221"/>
      <c r="T2" s="221"/>
      <c r="U2" s="221"/>
      <c r="V2" s="221" t="s">
        <v>1530</v>
      </c>
      <c r="W2" s="221"/>
      <c r="X2" s="221"/>
      <c r="Y2" s="221"/>
      <c r="Z2" s="221" t="s">
        <v>1531</v>
      </c>
      <c r="AA2" s="221"/>
      <c r="AB2" s="221"/>
      <c r="AC2" s="221"/>
      <c r="AD2" s="221" t="s">
        <v>1532</v>
      </c>
      <c r="AE2" s="221"/>
      <c r="AF2" s="221"/>
      <c r="AG2" s="221"/>
      <c r="AH2" s="221" t="s">
        <v>1533</v>
      </c>
      <c r="AI2" s="221"/>
      <c r="AJ2" s="221"/>
      <c r="AK2" s="221"/>
      <c r="AL2" s="221" t="s">
        <v>1534</v>
      </c>
      <c r="AM2" s="221"/>
      <c r="AN2" s="221"/>
      <c r="AO2" s="221"/>
      <c r="AP2" s="221" t="s">
        <v>1535</v>
      </c>
      <c r="AQ2" s="221"/>
      <c r="AR2" s="221"/>
      <c r="AS2" s="221"/>
      <c r="AT2" s="221" t="s">
        <v>1536</v>
      </c>
      <c r="AU2" s="221"/>
      <c r="AV2" s="221"/>
      <c r="AW2" s="221"/>
      <c r="AX2" s="221" t="s">
        <v>1537</v>
      </c>
      <c r="AY2" s="221"/>
      <c r="AZ2" s="221"/>
      <c r="BA2" s="221"/>
      <c r="BB2" s="221" t="s">
        <v>1538</v>
      </c>
      <c r="BC2" s="221"/>
      <c r="BD2" s="221"/>
      <c r="BE2" s="221"/>
      <c r="BF2" s="221" t="s">
        <v>1539</v>
      </c>
      <c r="BG2" s="221"/>
      <c r="BH2" s="221"/>
      <c r="BI2" s="221"/>
      <c r="BJ2" s="221" t="s">
        <v>1540</v>
      </c>
      <c r="BK2" s="221"/>
      <c r="BL2" s="221"/>
      <c r="BM2" s="221"/>
      <c r="BN2" s="221" t="s">
        <v>1541</v>
      </c>
      <c r="BO2" s="221"/>
      <c r="BP2" s="221"/>
      <c r="BQ2" s="221"/>
      <c r="BR2" s="221" t="s">
        <v>1542</v>
      </c>
      <c r="BS2" s="221"/>
      <c r="BT2" s="221"/>
      <c r="BU2" s="221"/>
      <c r="BV2" s="221" t="s">
        <v>1543</v>
      </c>
      <c r="BW2" s="221"/>
      <c r="BX2" s="221"/>
      <c r="BY2" s="221"/>
      <c r="BZ2" s="221" t="s">
        <v>1544</v>
      </c>
      <c r="CA2" s="221"/>
      <c r="CB2" s="221"/>
      <c r="CC2" s="221"/>
      <c r="CD2" s="221" t="s">
        <v>1545</v>
      </c>
      <c r="CE2" s="221"/>
      <c r="CF2" s="221"/>
      <c r="CG2" s="221"/>
      <c r="CH2" s="221" t="s">
        <v>1546</v>
      </c>
      <c r="CI2" s="221"/>
      <c r="CJ2" s="221"/>
      <c r="CK2" s="221"/>
      <c r="CL2" s="221" t="s">
        <v>1547</v>
      </c>
      <c r="CM2" s="221"/>
      <c r="CN2" s="221"/>
      <c r="CO2" s="221"/>
      <c r="CP2" s="221" t="s">
        <v>1548</v>
      </c>
      <c r="CQ2" s="221"/>
      <c r="CR2" s="221"/>
      <c r="CS2" s="221"/>
      <c r="CT2" s="221" t="s">
        <v>1549</v>
      </c>
      <c r="CU2" s="221"/>
      <c r="CV2" s="221"/>
      <c r="CW2" s="221"/>
      <c r="CX2" s="221" t="s">
        <v>1550</v>
      </c>
      <c r="CY2" s="221"/>
      <c r="CZ2" s="221"/>
      <c r="DA2" s="221"/>
      <c r="DB2" s="221" t="s">
        <v>1551</v>
      </c>
      <c r="DC2" s="221"/>
      <c r="DD2" s="221"/>
      <c r="DE2" s="221"/>
      <c r="DF2" s="221" t="s">
        <v>1552</v>
      </c>
      <c r="DG2" s="221"/>
      <c r="DH2" s="221"/>
      <c r="DI2" s="221"/>
      <c r="DJ2" s="221" t="s">
        <v>1553</v>
      </c>
      <c r="DK2" s="221"/>
      <c r="DL2" s="221"/>
      <c r="DM2" s="221"/>
      <c r="DN2" s="221" t="s">
        <v>1554</v>
      </c>
      <c r="DO2" s="221"/>
      <c r="DP2" s="221"/>
      <c r="DQ2" s="221"/>
      <c r="DR2" s="221" t="s">
        <v>1555</v>
      </c>
      <c r="DS2" s="221"/>
      <c r="DT2" s="221"/>
      <c r="DU2" s="221"/>
      <c r="DV2" s="221" t="s">
        <v>1556</v>
      </c>
      <c r="DW2" s="221"/>
      <c r="DX2" s="221"/>
      <c r="DY2" s="221"/>
      <c r="DZ2" s="221" t="s">
        <v>1557</v>
      </c>
      <c r="EA2" s="221"/>
      <c r="EB2" s="221"/>
      <c r="EC2" s="221"/>
      <c r="ED2" s="221" t="s">
        <v>1558</v>
      </c>
      <c r="EE2" s="221"/>
      <c r="EF2" s="221"/>
      <c r="EG2" s="221"/>
      <c r="EH2" s="221" t="s">
        <v>1559</v>
      </c>
      <c r="EI2" s="221"/>
      <c r="EJ2" s="221"/>
      <c r="EK2" s="221"/>
      <c r="EL2" s="221" t="s">
        <v>1560</v>
      </c>
      <c r="EM2" s="221"/>
      <c r="EN2" s="221"/>
      <c r="EO2" s="221"/>
      <c r="EP2" s="221" t="s">
        <v>1561</v>
      </c>
      <c r="EQ2" s="221"/>
      <c r="ER2" s="221"/>
      <c r="ES2" s="221"/>
      <c r="ET2" s="221" t="s">
        <v>1562</v>
      </c>
      <c r="EU2" s="221"/>
      <c r="EV2" s="221"/>
      <c r="EW2" s="221"/>
      <c r="EX2" s="221" t="s">
        <v>1563</v>
      </c>
      <c r="EY2" s="221"/>
      <c r="EZ2" s="221"/>
      <c r="FA2" s="221"/>
      <c r="FB2" s="221" t="s">
        <v>1564</v>
      </c>
      <c r="FC2" s="221"/>
      <c r="FD2" s="221"/>
      <c r="FE2" s="221"/>
      <c r="FF2" s="221" t="s">
        <v>2320</v>
      </c>
      <c r="FG2" s="221"/>
      <c r="FH2" s="221"/>
      <c r="FI2" s="221"/>
    </row>
    <row r="3" spans="1:165" ht="15.75" x14ac:dyDescent="0.25">
      <c r="A3" s="220"/>
      <c r="B3" s="220"/>
      <c r="F3" s="171"/>
      <c r="G3" s="171"/>
      <c r="H3" s="171"/>
      <c r="I3" s="171"/>
      <c r="J3" s="172">
        <v>1</v>
      </c>
      <c r="K3" s="172">
        <v>2</v>
      </c>
      <c r="L3" s="172">
        <v>3</v>
      </c>
      <c r="M3" s="172">
        <v>4</v>
      </c>
      <c r="N3" s="172">
        <v>5</v>
      </c>
      <c r="O3" s="172">
        <v>6</v>
      </c>
      <c r="P3" s="172">
        <v>7</v>
      </c>
      <c r="Q3" s="172">
        <v>8</v>
      </c>
      <c r="R3" s="172">
        <v>9</v>
      </c>
      <c r="S3" s="172">
        <v>10</v>
      </c>
      <c r="T3" s="172">
        <v>11</v>
      </c>
      <c r="U3" s="172">
        <v>12</v>
      </c>
      <c r="V3" s="172">
        <v>13</v>
      </c>
      <c r="W3" s="172">
        <v>14</v>
      </c>
      <c r="X3" s="172">
        <v>15</v>
      </c>
      <c r="Y3" s="172">
        <v>16</v>
      </c>
      <c r="Z3" s="172">
        <v>17</v>
      </c>
      <c r="AA3" s="172">
        <v>18</v>
      </c>
      <c r="AB3" s="172">
        <v>19</v>
      </c>
      <c r="AC3" s="172">
        <v>20</v>
      </c>
      <c r="AD3" s="172">
        <v>21</v>
      </c>
      <c r="AE3" s="172">
        <v>22</v>
      </c>
      <c r="AF3" s="172">
        <v>23</v>
      </c>
      <c r="AG3" s="172">
        <v>24</v>
      </c>
      <c r="AH3" s="172">
        <v>25</v>
      </c>
      <c r="AI3" s="172">
        <v>26</v>
      </c>
      <c r="AJ3" s="172">
        <v>27</v>
      </c>
      <c r="AK3" s="172">
        <v>28</v>
      </c>
      <c r="AL3" s="172">
        <v>29</v>
      </c>
      <c r="AM3" s="172">
        <v>30</v>
      </c>
      <c r="AN3" s="172">
        <v>31</v>
      </c>
      <c r="AO3" s="172">
        <v>32</v>
      </c>
      <c r="AP3" s="172">
        <v>33</v>
      </c>
      <c r="AQ3" s="172">
        <v>34</v>
      </c>
      <c r="AR3" s="172">
        <v>35</v>
      </c>
      <c r="AS3" s="172">
        <v>36</v>
      </c>
      <c r="AT3" s="172">
        <v>37</v>
      </c>
      <c r="AU3" s="172">
        <v>38</v>
      </c>
      <c r="AV3" s="172">
        <v>39</v>
      </c>
      <c r="AW3" s="172">
        <v>40</v>
      </c>
      <c r="AX3" s="172">
        <v>41</v>
      </c>
      <c r="AY3" s="172">
        <v>42</v>
      </c>
      <c r="AZ3" s="172">
        <v>43</v>
      </c>
      <c r="BA3" s="172">
        <v>44</v>
      </c>
      <c r="BB3" s="172">
        <v>45</v>
      </c>
      <c r="BC3" s="172">
        <v>46</v>
      </c>
      <c r="BD3" s="172">
        <v>47</v>
      </c>
      <c r="BE3" s="172">
        <v>48</v>
      </c>
      <c r="BF3" s="172">
        <v>49</v>
      </c>
      <c r="BG3" s="172">
        <v>50</v>
      </c>
      <c r="BH3" s="172">
        <v>51</v>
      </c>
      <c r="BI3" s="172">
        <v>52</v>
      </c>
      <c r="BJ3" s="172">
        <v>53</v>
      </c>
      <c r="BK3" s="172">
        <v>54</v>
      </c>
      <c r="BL3" s="172">
        <v>55</v>
      </c>
      <c r="BM3" s="172">
        <v>56</v>
      </c>
      <c r="BN3" s="172">
        <v>57</v>
      </c>
      <c r="BO3" s="172">
        <v>58</v>
      </c>
      <c r="BP3" s="172">
        <v>59</v>
      </c>
      <c r="BQ3" s="172">
        <v>60</v>
      </c>
      <c r="BR3" s="172">
        <v>61</v>
      </c>
      <c r="BS3" s="172">
        <v>62</v>
      </c>
      <c r="BT3" s="172">
        <v>63</v>
      </c>
      <c r="BU3" s="172">
        <v>64</v>
      </c>
      <c r="BV3" s="172">
        <v>65</v>
      </c>
      <c r="BW3" s="172">
        <v>66</v>
      </c>
      <c r="BX3" s="172">
        <v>67</v>
      </c>
      <c r="BY3" s="172">
        <v>68</v>
      </c>
      <c r="BZ3" s="172">
        <v>69</v>
      </c>
      <c r="CA3" s="172">
        <v>70</v>
      </c>
      <c r="CB3" s="172">
        <v>71</v>
      </c>
      <c r="CC3" s="172">
        <v>72</v>
      </c>
      <c r="CD3" s="172">
        <v>73</v>
      </c>
      <c r="CE3" s="172">
        <v>74</v>
      </c>
      <c r="CF3" s="172">
        <v>75</v>
      </c>
      <c r="CG3" s="172">
        <v>76</v>
      </c>
      <c r="CH3" s="172">
        <v>77</v>
      </c>
      <c r="CI3" s="172">
        <v>78</v>
      </c>
      <c r="CJ3" s="172">
        <v>79</v>
      </c>
      <c r="CK3" s="172">
        <v>80</v>
      </c>
      <c r="CL3" s="172">
        <v>81</v>
      </c>
      <c r="CM3" s="172">
        <v>82</v>
      </c>
      <c r="CN3" s="172">
        <v>83</v>
      </c>
      <c r="CO3" s="172">
        <v>84</v>
      </c>
      <c r="CP3" s="172">
        <v>85</v>
      </c>
      <c r="CQ3" s="172">
        <v>86</v>
      </c>
      <c r="CR3" s="172">
        <v>87</v>
      </c>
      <c r="CS3" s="172">
        <v>88</v>
      </c>
      <c r="CT3" s="172">
        <v>89</v>
      </c>
      <c r="CU3" s="172">
        <v>90</v>
      </c>
      <c r="CV3" s="172">
        <v>91</v>
      </c>
      <c r="CW3" s="172">
        <v>92</v>
      </c>
      <c r="CX3" s="172">
        <v>93</v>
      </c>
      <c r="CY3" s="172">
        <v>94</v>
      </c>
      <c r="CZ3" s="172">
        <v>95</v>
      </c>
      <c r="DA3" s="172">
        <v>96</v>
      </c>
      <c r="DB3" s="172">
        <v>97</v>
      </c>
      <c r="DC3" s="172">
        <v>98</v>
      </c>
      <c r="DD3" s="172">
        <v>99</v>
      </c>
      <c r="DE3" s="172">
        <v>100</v>
      </c>
      <c r="DF3" s="172">
        <v>101</v>
      </c>
      <c r="DG3" s="172">
        <v>102</v>
      </c>
      <c r="DH3" s="172">
        <v>103</v>
      </c>
      <c r="DI3" s="172">
        <v>104</v>
      </c>
      <c r="DJ3" s="172">
        <v>105</v>
      </c>
      <c r="DK3" s="172">
        <v>106</v>
      </c>
      <c r="DL3" s="172">
        <v>107</v>
      </c>
      <c r="DM3" s="172">
        <v>108</v>
      </c>
      <c r="DN3" s="172">
        <v>109</v>
      </c>
      <c r="DO3" s="172">
        <v>110</v>
      </c>
      <c r="DP3" s="172">
        <v>111</v>
      </c>
      <c r="DQ3" s="172">
        <v>112</v>
      </c>
      <c r="DR3" s="172">
        <v>113</v>
      </c>
      <c r="DS3" s="172">
        <v>114</v>
      </c>
      <c r="DT3" s="172">
        <v>115</v>
      </c>
      <c r="DU3" s="172">
        <v>116</v>
      </c>
      <c r="DV3" s="172">
        <v>117</v>
      </c>
      <c r="DW3" s="172">
        <v>118</v>
      </c>
      <c r="DX3" s="172">
        <v>119</v>
      </c>
      <c r="DY3" s="172">
        <v>120</v>
      </c>
      <c r="DZ3" s="172">
        <v>121</v>
      </c>
      <c r="EA3" s="172">
        <v>122</v>
      </c>
      <c r="EB3" s="172">
        <v>123</v>
      </c>
      <c r="EC3" s="172">
        <v>124</v>
      </c>
      <c r="ED3" s="172">
        <v>125</v>
      </c>
      <c r="EE3" s="172">
        <v>126</v>
      </c>
      <c r="EF3" s="172">
        <v>127</v>
      </c>
      <c r="EG3" s="172">
        <v>128</v>
      </c>
      <c r="EH3" s="172">
        <v>129</v>
      </c>
      <c r="EI3" s="172">
        <v>130</v>
      </c>
      <c r="EJ3" s="172">
        <v>131</v>
      </c>
      <c r="EK3" s="172">
        <v>132</v>
      </c>
      <c r="EL3" s="172">
        <v>133</v>
      </c>
      <c r="EM3" s="172">
        <v>134</v>
      </c>
      <c r="EN3" s="172">
        <v>135</v>
      </c>
      <c r="EO3" s="172">
        <v>136</v>
      </c>
      <c r="EP3" s="172">
        <v>137</v>
      </c>
      <c r="EQ3" s="172">
        <v>138</v>
      </c>
      <c r="ER3" s="172">
        <v>139</v>
      </c>
      <c r="ES3" s="172">
        <v>140</v>
      </c>
      <c r="ET3" s="172">
        <v>141</v>
      </c>
      <c r="EU3" s="172">
        <v>142</v>
      </c>
      <c r="EV3" s="172">
        <v>143</v>
      </c>
      <c r="EW3" s="172">
        <v>144</v>
      </c>
      <c r="EX3" s="172">
        <v>145</v>
      </c>
      <c r="EY3" s="172">
        <v>146</v>
      </c>
      <c r="EZ3" s="172">
        <v>147</v>
      </c>
      <c r="FA3" s="172">
        <v>148</v>
      </c>
      <c r="FB3" s="172">
        <v>149</v>
      </c>
      <c r="FC3" s="172">
        <v>150</v>
      </c>
      <c r="FD3" s="172">
        <v>151</v>
      </c>
      <c r="FE3" s="172">
        <v>152</v>
      </c>
      <c r="FF3" s="172">
        <v>153</v>
      </c>
      <c r="FG3" s="172">
        <v>154</v>
      </c>
      <c r="FH3" s="172">
        <v>155</v>
      </c>
      <c r="FI3" s="172">
        <v>156</v>
      </c>
    </row>
    <row r="4" spans="1:165" ht="15" customHeight="1" x14ac:dyDescent="0.25">
      <c r="A4" s="9">
        <v>1</v>
      </c>
      <c r="B4" s="173" t="s">
        <v>1527</v>
      </c>
      <c r="C4" s="9">
        <v>2</v>
      </c>
      <c r="D4" s="9">
        <v>3</v>
      </c>
      <c r="E4" s="9">
        <v>4</v>
      </c>
      <c r="F4" s="174" t="s">
        <v>30</v>
      </c>
      <c r="G4" s="175" t="s">
        <v>203</v>
      </c>
      <c r="H4" s="174" t="s">
        <v>45</v>
      </c>
      <c r="I4" s="174" t="s">
        <v>35</v>
      </c>
      <c r="J4" s="174" t="s">
        <v>30</v>
      </c>
      <c r="K4" s="175" t="s">
        <v>203</v>
      </c>
      <c r="L4" s="174" t="s">
        <v>45</v>
      </c>
      <c r="M4" s="174" t="s">
        <v>35</v>
      </c>
      <c r="N4" s="174" t="s">
        <v>30</v>
      </c>
      <c r="O4" s="175" t="s">
        <v>203</v>
      </c>
      <c r="P4" s="174" t="s">
        <v>45</v>
      </c>
      <c r="Q4" s="174" t="s">
        <v>35</v>
      </c>
      <c r="R4" s="174" t="s">
        <v>30</v>
      </c>
      <c r="S4" s="175" t="s">
        <v>203</v>
      </c>
      <c r="T4" s="174" t="s">
        <v>45</v>
      </c>
      <c r="U4" s="174" t="s">
        <v>35</v>
      </c>
      <c r="V4" s="174" t="s">
        <v>30</v>
      </c>
      <c r="W4" s="175" t="s">
        <v>203</v>
      </c>
      <c r="X4" s="174" t="s">
        <v>45</v>
      </c>
      <c r="Y4" s="174" t="s">
        <v>35</v>
      </c>
      <c r="Z4" s="174" t="s">
        <v>30</v>
      </c>
      <c r="AA4" s="175" t="s">
        <v>203</v>
      </c>
      <c r="AB4" s="174" t="s">
        <v>45</v>
      </c>
      <c r="AC4" s="174" t="s">
        <v>35</v>
      </c>
      <c r="AD4" s="174" t="s">
        <v>30</v>
      </c>
      <c r="AE4" s="175" t="s">
        <v>203</v>
      </c>
      <c r="AF4" s="174" t="s">
        <v>45</v>
      </c>
      <c r="AG4" s="174" t="s">
        <v>35</v>
      </c>
      <c r="AH4" s="174" t="s">
        <v>30</v>
      </c>
      <c r="AI4" s="175" t="s">
        <v>203</v>
      </c>
      <c r="AJ4" s="174" t="s">
        <v>45</v>
      </c>
      <c r="AK4" s="174" t="s">
        <v>35</v>
      </c>
      <c r="AL4" s="174" t="s">
        <v>30</v>
      </c>
      <c r="AM4" s="175" t="s">
        <v>203</v>
      </c>
      <c r="AN4" s="174" t="s">
        <v>45</v>
      </c>
      <c r="AO4" s="174" t="s">
        <v>35</v>
      </c>
      <c r="AP4" s="174" t="s">
        <v>30</v>
      </c>
      <c r="AQ4" s="175" t="s">
        <v>203</v>
      </c>
      <c r="AR4" s="174" t="s">
        <v>45</v>
      </c>
      <c r="AS4" s="174" t="s">
        <v>35</v>
      </c>
      <c r="AT4" s="174" t="s">
        <v>30</v>
      </c>
      <c r="AU4" s="175" t="s">
        <v>203</v>
      </c>
      <c r="AV4" s="174" t="s">
        <v>45</v>
      </c>
      <c r="AW4" s="174" t="s">
        <v>35</v>
      </c>
      <c r="AX4" s="174" t="s">
        <v>30</v>
      </c>
      <c r="AY4" s="175" t="s">
        <v>203</v>
      </c>
      <c r="AZ4" s="174" t="s">
        <v>45</v>
      </c>
      <c r="BA4" s="174" t="s">
        <v>35</v>
      </c>
      <c r="BB4" s="174" t="s">
        <v>30</v>
      </c>
      <c r="BC4" s="175" t="s">
        <v>203</v>
      </c>
      <c r="BD4" s="174" t="s">
        <v>45</v>
      </c>
      <c r="BE4" s="174" t="s">
        <v>35</v>
      </c>
      <c r="BF4" s="174" t="s">
        <v>30</v>
      </c>
      <c r="BG4" s="175" t="s">
        <v>203</v>
      </c>
      <c r="BH4" s="174" t="s">
        <v>45</v>
      </c>
      <c r="BI4" s="174" t="s">
        <v>35</v>
      </c>
      <c r="BJ4" s="174" t="s">
        <v>30</v>
      </c>
      <c r="BK4" s="175" t="s">
        <v>203</v>
      </c>
      <c r="BL4" s="174" t="s">
        <v>45</v>
      </c>
      <c r="BM4" s="174" t="s">
        <v>35</v>
      </c>
      <c r="BN4" s="174" t="s">
        <v>30</v>
      </c>
      <c r="BO4" s="175" t="s">
        <v>203</v>
      </c>
      <c r="BP4" s="174" t="s">
        <v>45</v>
      </c>
      <c r="BQ4" s="174" t="s">
        <v>35</v>
      </c>
      <c r="BR4" s="174" t="s">
        <v>30</v>
      </c>
      <c r="BS4" s="175" t="s">
        <v>203</v>
      </c>
      <c r="BT4" s="174" t="s">
        <v>45</v>
      </c>
      <c r="BU4" s="174" t="s">
        <v>35</v>
      </c>
      <c r="BV4" s="174" t="s">
        <v>30</v>
      </c>
      <c r="BW4" s="175" t="s">
        <v>203</v>
      </c>
      <c r="BX4" s="174" t="s">
        <v>45</v>
      </c>
      <c r="BY4" s="174" t="s">
        <v>35</v>
      </c>
      <c r="BZ4" s="174" t="s">
        <v>30</v>
      </c>
      <c r="CA4" s="175" t="s">
        <v>203</v>
      </c>
      <c r="CB4" s="174" t="s">
        <v>45</v>
      </c>
      <c r="CC4" s="174" t="s">
        <v>35</v>
      </c>
      <c r="CD4" s="174" t="s">
        <v>30</v>
      </c>
      <c r="CE4" s="175" t="s">
        <v>203</v>
      </c>
      <c r="CF4" s="174" t="s">
        <v>45</v>
      </c>
      <c r="CG4" s="174" t="s">
        <v>35</v>
      </c>
      <c r="CH4" s="174" t="s">
        <v>30</v>
      </c>
      <c r="CI4" s="175" t="s">
        <v>203</v>
      </c>
      <c r="CJ4" s="174" t="s">
        <v>45</v>
      </c>
      <c r="CK4" s="174" t="s">
        <v>35</v>
      </c>
      <c r="CL4" s="174" t="s">
        <v>30</v>
      </c>
      <c r="CM4" s="175" t="s">
        <v>203</v>
      </c>
      <c r="CN4" s="174" t="s">
        <v>45</v>
      </c>
      <c r="CO4" s="174" t="s">
        <v>35</v>
      </c>
      <c r="CP4" s="174" t="s">
        <v>30</v>
      </c>
      <c r="CQ4" s="175" t="s">
        <v>203</v>
      </c>
      <c r="CR4" s="174" t="s">
        <v>45</v>
      </c>
      <c r="CS4" s="174" t="s">
        <v>35</v>
      </c>
      <c r="CT4" s="174" t="s">
        <v>30</v>
      </c>
      <c r="CU4" s="175" t="s">
        <v>203</v>
      </c>
      <c r="CV4" s="174" t="s">
        <v>45</v>
      </c>
      <c r="CW4" s="174" t="s">
        <v>35</v>
      </c>
      <c r="CX4" s="174" t="s">
        <v>30</v>
      </c>
      <c r="CY4" s="175" t="s">
        <v>203</v>
      </c>
      <c r="CZ4" s="174" t="s">
        <v>45</v>
      </c>
      <c r="DA4" s="174" t="s">
        <v>35</v>
      </c>
      <c r="DB4" s="174" t="s">
        <v>30</v>
      </c>
      <c r="DC4" s="175" t="s">
        <v>203</v>
      </c>
      <c r="DD4" s="174" t="s">
        <v>45</v>
      </c>
      <c r="DE4" s="174" t="s">
        <v>35</v>
      </c>
      <c r="DF4" s="174" t="s">
        <v>30</v>
      </c>
      <c r="DG4" s="175" t="s">
        <v>203</v>
      </c>
      <c r="DH4" s="174" t="s">
        <v>45</v>
      </c>
      <c r="DI4" s="174" t="s">
        <v>35</v>
      </c>
      <c r="DJ4" s="174" t="s">
        <v>30</v>
      </c>
      <c r="DK4" s="175" t="s">
        <v>203</v>
      </c>
      <c r="DL4" s="174" t="s">
        <v>45</v>
      </c>
      <c r="DM4" s="174" t="s">
        <v>35</v>
      </c>
      <c r="DN4" s="174" t="s">
        <v>30</v>
      </c>
      <c r="DO4" s="175" t="s">
        <v>203</v>
      </c>
      <c r="DP4" s="174" t="s">
        <v>45</v>
      </c>
      <c r="DQ4" s="174" t="s">
        <v>35</v>
      </c>
      <c r="DR4" s="174" t="s">
        <v>30</v>
      </c>
      <c r="DS4" s="175" t="s">
        <v>203</v>
      </c>
      <c r="DT4" s="174" t="s">
        <v>45</v>
      </c>
      <c r="DU4" s="174" t="s">
        <v>35</v>
      </c>
      <c r="DV4" s="174" t="s">
        <v>30</v>
      </c>
      <c r="DW4" s="175" t="s">
        <v>203</v>
      </c>
      <c r="DX4" s="174" t="s">
        <v>45</v>
      </c>
      <c r="DY4" s="174" t="s">
        <v>35</v>
      </c>
      <c r="DZ4" s="174" t="s">
        <v>30</v>
      </c>
      <c r="EA4" s="175" t="s">
        <v>203</v>
      </c>
      <c r="EB4" s="174" t="s">
        <v>45</v>
      </c>
      <c r="EC4" s="174" t="s">
        <v>35</v>
      </c>
      <c r="ED4" s="174" t="s">
        <v>30</v>
      </c>
      <c r="EE4" s="175" t="s">
        <v>203</v>
      </c>
      <c r="EF4" s="174" t="s">
        <v>45</v>
      </c>
      <c r="EG4" s="174" t="s">
        <v>35</v>
      </c>
      <c r="EH4" s="174" t="s">
        <v>30</v>
      </c>
      <c r="EI4" s="175" t="s">
        <v>203</v>
      </c>
      <c r="EJ4" s="174" t="s">
        <v>45</v>
      </c>
      <c r="EK4" s="174" t="s">
        <v>35</v>
      </c>
      <c r="EL4" s="174" t="s">
        <v>30</v>
      </c>
      <c r="EM4" s="175" t="s">
        <v>203</v>
      </c>
      <c r="EN4" s="174" t="s">
        <v>45</v>
      </c>
      <c r="EO4" s="174" t="s">
        <v>35</v>
      </c>
      <c r="EP4" s="174" t="s">
        <v>30</v>
      </c>
      <c r="EQ4" s="175" t="s">
        <v>203</v>
      </c>
      <c r="ER4" s="174" t="s">
        <v>45</v>
      </c>
      <c r="ES4" s="174" t="s">
        <v>35</v>
      </c>
      <c r="ET4" s="174" t="s">
        <v>30</v>
      </c>
      <c r="EU4" s="175" t="s">
        <v>203</v>
      </c>
      <c r="EV4" s="174" t="s">
        <v>45</v>
      </c>
      <c r="EW4" s="174" t="s">
        <v>35</v>
      </c>
      <c r="EX4" s="174" t="s">
        <v>30</v>
      </c>
      <c r="EY4" s="175" t="s">
        <v>203</v>
      </c>
      <c r="EZ4" s="174" t="s">
        <v>45</v>
      </c>
      <c r="FA4" s="174" t="s">
        <v>35</v>
      </c>
      <c r="FB4" s="174" t="s">
        <v>30</v>
      </c>
      <c r="FC4" s="175" t="s">
        <v>203</v>
      </c>
      <c r="FD4" s="174" t="s">
        <v>45</v>
      </c>
      <c r="FE4" s="174" t="s">
        <v>35</v>
      </c>
      <c r="FF4" s="174" t="s">
        <v>30</v>
      </c>
      <c r="FG4" s="175" t="s">
        <v>203</v>
      </c>
      <c r="FH4" s="174" t="s">
        <v>45</v>
      </c>
      <c r="FI4" s="174" t="s">
        <v>35</v>
      </c>
    </row>
    <row r="5" spans="1:165" ht="15.75" x14ac:dyDescent="0.25">
      <c r="A5" s="9">
        <v>2</v>
      </c>
      <c r="B5" s="173" t="s">
        <v>1528</v>
      </c>
      <c r="C5" s="9">
        <v>6</v>
      </c>
      <c r="D5" s="9">
        <v>7</v>
      </c>
      <c r="E5" s="9">
        <v>8</v>
      </c>
      <c r="F5" s="176">
        <v>1</v>
      </c>
      <c r="G5" s="177" t="str">
        <f>VLOOKUP(F5,$J$5:$FE$39,$G$1)</f>
        <v>Abdul Fattah Irfan Al Mubaroq</v>
      </c>
      <c r="H5" s="178">
        <f>VLOOKUP(F5,$J$5:$FE$39,$H$1)</f>
        <v>2008004</v>
      </c>
      <c r="I5" s="179" t="str">
        <f>VLOOKUP(F5,$J$5:$FE$39,$I$1)</f>
        <v>0047308275</v>
      </c>
      <c r="J5" s="176">
        <v>1</v>
      </c>
      <c r="K5" s="180" t="s">
        <v>1565</v>
      </c>
      <c r="L5" s="181">
        <v>22101002</v>
      </c>
      <c r="M5" s="182">
        <v>65277945</v>
      </c>
      <c r="N5" s="176">
        <v>1</v>
      </c>
      <c r="O5" s="180" t="s">
        <v>1599</v>
      </c>
      <c r="P5" s="181">
        <v>22101008</v>
      </c>
      <c r="Q5" s="182">
        <v>77835835</v>
      </c>
      <c r="R5" s="176">
        <v>1</v>
      </c>
      <c r="S5" s="180" t="s">
        <v>1600</v>
      </c>
      <c r="T5" s="192">
        <v>22000000</v>
      </c>
      <c r="U5" s="182">
        <v>78433504</v>
      </c>
      <c r="V5" s="176">
        <v>1</v>
      </c>
      <c r="W5" s="180" t="s">
        <v>1601</v>
      </c>
      <c r="X5" s="181">
        <v>22101012</v>
      </c>
      <c r="Y5" s="182" t="s">
        <v>1602</v>
      </c>
      <c r="Z5" s="176">
        <v>1</v>
      </c>
      <c r="AA5" s="180" t="s">
        <v>1603</v>
      </c>
      <c r="AB5" s="181">
        <v>22101006</v>
      </c>
      <c r="AC5" s="182" t="s">
        <v>1604</v>
      </c>
      <c r="AD5" s="176">
        <v>1</v>
      </c>
      <c r="AE5" s="180" t="s">
        <v>1605</v>
      </c>
      <c r="AF5" s="181">
        <v>22102170</v>
      </c>
      <c r="AG5" s="182" t="s">
        <v>1606</v>
      </c>
      <c r="AH5" s="176">
        <v>1</v>
      </c>
      <c r="AI5" s="180" t="s">
        <v>1607</v>
      </c>
      <c r="AJ5" s="181">
        <v>22102172</v>
      </c>
      <c r="AK5" s="182" t="s">
        <v>1608</v>
      </c>
      <c r="AL5" s="176">
        <v>1</v>
      </c>
      <c r="AM5" s="180" t="s">
        <v>1609</v>
      </c>
      <c r="AN5" s="181">
        <v>22102177</v>
      </c>
      <c r="AO5" s="182" t="s">
        <v>1610</v>
      </c>
      <c r="AP5" s="176">
        <v>1</v>
      </c>
      <c r="AQ5" s="180" t="s">
        <v>1611</v>
      </c>
      <c r="AR5" s="181">
        <v>22102169</v>
      </c>
      <c r="AS5" s="182" t="s">
        <v>1612</v>
      </c>
      <c r="AT5" s="176">
        <v>1</v>
      </c>
      <c r="AU5" s="180" t="s">
        <v>1613</v>
      </c>
      <c r="AV5" s="181">
        <v>22102168</v>
      </c>
      <c r="AW5" s="182" t="s">
        <v>1614</v>
      </c>
      <c r="AX5" s="176">
        <v>1</v>
      </c>
      <c r="AY5" s="180" t="s">
        <v>1615</v>
      </c>
      <c r="AZ5" s="181">
        <v>22102195</v>
      </c>
      <c r="BA5" s="182" t="s">
        <v>1616</v>
      </c>
      <c r="BB5" s="176">
        <v>1</v>
      </c>
      <c r="BC5" s="180" t="s">
        <v>1617</v>
      </c>
      <c r="BD5" s="181">
        <v>22102183</v>
      </c>
      <c r="BE5" s="182" t="s">
        <v>1618</v>
      </c>
      <c r="BF5" s="176">
        <v>1</v>
      </c>
      <c r="BG5" s="180" t="s">
        <v>1619</v>
      </c>
      <c r="BH5" s="181">
        <v>22102387</v>
      </c>
      <c r="BI5" s="182" t="s">
        <v>1620</v>
      </c>
      <c r="BJ5" s="176">
        <v>1</v>
      </c>
      <c r="BK5" s="180" t="s">
        <v>204</v>
      </c>
      <c r="BL5" s="181">
        <v>21091005</v>
      </c>
      <c r="BM5" s="182" t="s">
        <v>205</v>
      </c>
      <c r="BN5" s="176">
        <v>1</v>
      </c>
      <c r="BO5" s="180" t="s">
        <v>206</v>
      </c>
      <c r="BP5" s="181">
        <v>21091009</v>
      </c>
      <c r="BQ5" s="182" t="s">
        <v>207</v>
      </c>
      <c r="BR5" s="176">
        <v>1</v>
      </c>
      <c r="BS5" s="180" t="s">
        <v>208</v>
      </c>
      <c r="BT5" s="181">
        <v>21091001</v>
      </c>
      <c r="BU5" s="182" t="s">
        <v>209</v>
      </c>
      <c r="BV5" s="176">
        <v>1</v>
      </c>
      <c r="BW5" s="180" t="s">
        <v>210</v>
      </c>
      <c r="BX5" s="181">
        <v>21091004</v>
      </c>
      <c r="BY5" s="182" t="s">
        <v>211</v>
      </c>
      <c r="BZ5" s="176">
        <v>1</v>
      </c>
      <c r="CA5" s="180" t="s">
        <v>212</v>
      </c>
      <c r="CB5" s="181">
        <v>21091002</v>
      </c>
      <c r="CC5" s="182" t="s">
        <v>213</v>
      </c>
      <c r="CD5" s="176">
        <v>1</v>
      </c>
      <c r="CE5" s="180" t="s">
        <v>214</v>
      </c>
      <c r="CF5" s="181">
        <v>21092144</v>
      </c>
      <c r="CG5" s="182" t="s">
        <v>215</v>
      </c>
      <c r="CH5" s="176">
        <v>1</v>
      </c>
      <c r="CI5" s="180" t="s">
        <v>216</v>
      </c>
      <c r="CJ5" s="181">
        <v>21092141</v>
      </c>
      <c r="CK5" s="182" t="s">
        <v>217</v>
      </c>
      <c r="CL5" s="176">
        <v>1</v>
      </c>
      <c r="CM5" s="180" t="s">
        <v>218</v>
      </c>
      <c r="CN5" s="181">
        <v>21092149</v>
      </c>
      <c r="CO5" s="182" t="s">
        <v>219</v>
      </c>
      <c r="CP5" s="176">
        <v>1</v>
      </c>
      <c r="CQ5" s="180" t="s">
        <v>220</v>
      </c>
      <c r="CR5" s="181">
        <v>21092140</v>
      </c>
      <c r="CS5" s="182" t="s">
        <v>221</v>
      </c>
      <c r="CT5" s="176">
        <v>1</v>
      </c>
      <c r="CU5" s="180" t="s">
        <v>222</v>
      </c>
      <c r="CV5" s="181">
        <v>21092146</v>
      </c>
      <c r="CW5" s="182" t="s">
        <v>223</v>
      </c>
      <c r="CX5" s="176">
        <v>1</v>
      </c>
      <c r="CY5" s="180" t="s">
        <v>224</v>
      </c>
      <c r="CZ5" s="181">
        <v>21092157</v>
      </c>
      <c r="DA5" s="182" t="s">
        <v>225</v>
      </c>
      <c r="DB5" s="176">
        <v>1</v>
      </c>
      <c r="DC5" s="180" t="s">
        <v>273</v>
      </c>
      <c r="DD5" s="181">
        <v>21092159</v>
      </c>
      <c r="DE5" s="182" t="s">
        <v>274</v>
      </c>
      <c r="DF5" s="176">
        <v>1</v>
      </c>
      <c r="DG5" s="180" t="s">
        <v>226</v>
      </c>
      <c r="DH5" s="181">
        <v>21091357</v>
      </c>
      <c r="DI5" s="182" t="s">
        <v>227</v>
      </c>
      <c r="DJ5" s="176">
        <v>1</v>
      </c>
      <c r="DK5" s="180" t="s">
        <v>228</v>
      </c>
      <c r="DL5" s="181">
        <v>2008086</v>
      </c>
      <c r="DM5" s="182" t="s">
        <v>229</v>
      </c>
      <c r="DN5" s="176">
        <v>1</v>
      </c>
      <c r="DO5" s="180" t="s">
        <v>230</v>
      </c>
      <c r="DP5" s="181">
        <v>2008008</v>
      </c>
      <c r="DQ5" s="182" t="s">
        <v>231</v>
      </c>
      <c r="DR5" s="176">
        <v>1</v>
      </c>
      <c r="DS5" s="180" t="s">
        <v>232</v>
      </c>
      <c r="DT5" s="181">
        <v>2008002</v>
      </c>
      <c r="DU5" s="182" t="s">
        <v>233</v>
      </c>
      <c r="DV5" s="176">
        <v>1</v>
      </c>
      <c r="DW5" s="180" t="s">
        <v>234</v>
      </c>
      <c r="DX5" s="181">
        <v>2008004</v>
      </c>
      <c r="DY5" s="182" t="s">
        <v>235</v>
      </c>
      <c r="DZ5" s="176">
        <v>1</v>
      </c>
      <c r="EA5" s="180" t="s">
        <v>236</v>
      </c>
      <c r="EB5" s="181">
        <v>2008001</v>
      </c>
      <c r="EC5" s="182" t="s">
        <v>237</v>
      </c>
      <c r="ED5" s="176">
        <v>1</v>
      </c>
      <c r="EE5" s="180" t="s">
        <v>238</v>
      </c>
      <c r="EF5" s="181">
        <v>2008028</v>
      </c>
      <c r="EG5" s="182" t="s">
        <v>239</v>
      </c>
      <c r="EH5" s="176">
        <v>1</v>
      </c>
      <c r="EI5" s="180" t="s">
        <v>240</v>
      </c>
      <c r="EJ5" s="181">
        <v>2008014</v>
      </c>
      <c r="EK5" s="182" t="s">
        <v>241</v>
      </c>
      <c r="EL5" s="176">
        <v>1</v>
      </c>
      <c r="EM5" s="180" t="s">
        <v>242</v>
      </c>
      <c r="EN5" s="181">
        <v>2008043</v>
      </c>
      <c r="EO5" s="182" t="s">
        <v>243</v>
      </c>
      <c r="EP5" s="176">
        <v>1</v>
      </c>
      <c r="EQ5" s="180" t="s">
        <v>1621</v>
      </c>
      <c r="ER5" s="181">
        <v>2008011</v>
      </c>
      <c r="ES5" s="182" t="s">
        <v>244</v>
      </c>
      <c r="ET5" s="176">
        <v>1</v>
      </c>
      <c r="EU5" s="180" t="s">
        <v>245</v>
      </c>
      <c r="EV5" s="181">
        <v>2008018</v>
      </c>
      <c r="EW5" s="182" t="s">
        <v>246</v>
      </c>
      <c r="EX5" s="176">
        <v>1</v>
      </c>
      <c r="EY5" s="180" t="s">
        <v>154</v>
      </c>
      <c r="EZ5" s="181">
        <v>2008013</v>
      </c>
      <c r="FA5" s="182" t="s">
        <v>178</v>
      </c>
      <c r="FB5" s="176">
        <v>1</v>
      </c>
      <c r="FC5" s="180" t="s">
        <v>247</v>
      </c>
      <c r="FD5" s="181">
        <v>2008006</v>
      </c>
      <c r="FE5" s="182" t="s">
        <v>248</v>
      </c>
      <c r="FF5" s="176">
        <v>1</v>
      </c>
      <c r="FG5" s="180" t="s">
        <v>249</v>
      </c>
      <c r="FH5" s="181">
        <v>2008357</v>
      </c>
      <c r="FI5" s="182" t="s">
        <v>250</v>
      </c>
    </row>
    <row r="6" spans="1:165" ht="15.75" x14ac:dyDescent="0.25">
      <c r="A6" s="9">
        <v>3</v>
      </c>
      <c r="B6" s="173" t="s">
        <v>1529</v>
      </c>
      <c r="C6" s="9">
        <v>10</v>
      </c>
      <c r="D6" s="9">
        <v>11</v>
      </c>
      <c r="E6" s="9">
        <v>12</v>
      </c>
      <c r="F6" s="176">
        <v>2</v>
      </c>
      <c r="G6" s="177" t="str">
        <f t="shared" ref="G6:G39" si="0">VLOOKUP(F6,$J$5:$FE$39,$G$1)</f>
        <v>Adam Zidane Danata Pranugroho</v>
      </c>
      <c r="H6" s="178">
        <f t="shared" ref="H6:H39" si="1">VLOOKUP(F6,$J$5:$FE$39,$H$1)</f>
        <v>2008009</v>
      </c>
      <c r="I6" s="179" t="str">
        <f t="shared" ref="I6:I39" si="2">VLOOKUP(F6,$J$5:$FE$39,$I$1)</f>
        <v>0051700957</v>
      </c>
      <c r="J6" s="176">
        <v>2</v>
      </c>
      <c r="K6" s="180" t="s">
        <v>1566</v>
      </c>
      <c r="L6" s="183">
        <v>22101005</v>
      </c>
      <c r="M6" s="184">
        <v>71737392</v>
      </c>
      <c r="N6" s="176">
        <v>2</v>
      </c>
      <c r="O6" s="180" t="s">
        <v>1622</v>
      </c>
      <c r="P6" s="183">
        <v>22101010</v>
      </c>
      <c r="Q6" s="184">
        <v>68078821</v>
      </c>
      <c r="R6" s="176">
        <v>2</v>
      </c>
      <c r="S6" s="180" t="s">
        <v>1623</v>
      </c>
      <c r="T6" s="193">
        <v>22000000</v>
      </c>
      <c r="U6" s="184">
        <v>78515928</v>
      </c>
      <c r="V6" s="176">
        <v>2</v>
      </c>
      <c r="W6" s="180" t="s">
        <v>1624</v>
      </c>
      <c r="X6" s="183">
        <v>22101016</v>
      </c>
      <c r="Y6" s="184" t="s">
        <v>1625</v>
      </c>
      <c r="Z6" s="176">
        <v>2</v>
      </c>
      <c r="AA6" s="180" t="s">
        <v>1626</v>
      </c>
      <c r="AB6" s="183">
        <v>22101009</v>
      </c>
      <c r="AC6" s="184" t="s">
        <v>1627</v>
      </c>
      <c r="AD6" s="176">
        <v>2</v>
      </c>
      <c r="AE6" s="180" t="s">
        <v>1628</v>
      </c>
      <c r="AF6" s="183">
        <v>22102171</v>
      </c>
      <c r="AG6" s="184" t="s">
        <v>1629</v>
      </c>
      <c r="AH6" s="176">
        <v>2</v>
      </c>
      <c r="AI6" s="180" t="s">
        <v>1630</v>
      </c>
      <c r="AJ6" s="183">
        <v>22102175</v>
      </c>
      <c r="AK6" s="184" t="s">
        <v>1631</v>
      </c>
      <c r="AL6" s="176">
        <v>2</v>
      </c>
      <c r="AM6" s="180" t="s">
        <v>1632</v>
      </c>
      <c r="AN6" s="183">
        <v>22102184</v>
      </c>
      <c r="AO6" s="184" t="s">
        <v>1633</v>
      </c>
      <c r="AP6" s="176">
        <v>2</v>
      </c>
      <c r="AQ6" s="180" t="s">
        <v>1634</v>
      </c>
      <c r="AR6" s="183">
        <v>22102174</v>
      </c>
      <c r="AS6" s="184" t="s">
        <v>1635</v>
      </c>
      <c r="AT6" s="176">
        <v>2</v>
      </c>
      <c r="AU6" s="180" t="s">
        <v>1636</v>
      </c>
      <c r="AV6" s="183">
        <v>22102173</v>
      </c>
      <c r="AW6" s="184" t="s">
        <v>1637</v>
      </c>
      <c r="AX6" s="176">
        <v>2</v>
      </c>
      <c r="AY6" s="180" t="s">
        <v>1638</v>
      </c>
      <c r="AZ6" s="183">
        <v>22102196</v>
      </c>
      <c r="BA6" s="184" t="s">
        <v>1639</v>
      </c>
      <c r="BB6" s="176">
        <v>2</v>
      </c>
      <c r="BC6" s="180" t="s">
        <v>1640</v>
      </c>
      <c r="BD6" s="183">
        <v>22102192</v>
      </c>
      <c r="BE6" s="184" t="s">
        <v>1641</v>
      </c>
      <c r="BF6" s="176">
        <v>2</v>
      </c>
      <c r="BG6" s="180" t="s">
        <v>1642</v>
      </c>
      <c r="BH6" s="183">
        <v>22101378</v>
      </c>
      <c r="BI6" s="184" t="s">
        <v>1643</v>
      </c>
      <c r="BJ6" s="176">
        <v>2</v>
      </c>
      <c r="BK6" s="180" t="s">
        <v>251</v>
      </c>
      <c r="BL6" s="183">
        <v>21091006</v>
      </c>
      <c r="BM6" s="184" t="s">
        <v>252</v>
      </c>
      <c r="BN6" s="176">
        <v>2</v>
      </c>
      <c r="BO6" s="180" t="s">
        <v>253</v>
      </c>
      <c r="BP6" s="183">
        <v>21091012</v>
      </c>
      <c r="BQ6" s="184" t="s">
        <v>254</v>
      </c>
      <c r="BR6" s="176">
        <v>2</v>
      </c>
      <c r="BS6" s="180" t="s">
        <v>255</v>
      </c>
      <c r="BT6" s="183">
        <v>21091007</v>
      </c>
      <c r="BU6" s="184" t="s">
        <v>256</v>
      </c>
      <c r="BV6" s="176">
        <v>2</v>
      </c>
      <c r="BW6" s="180" t="s">
        <v>257</v>
      </c>
      <c r="BX6" s="183">
        <v>21091014</v>
      </c>
      <c r="BY6" s="184" t="s">
        <v>258</v>
      </c>
      <c r="BZ6" s="176">
        <v>2</v>
      </c>
      <c r="CA6" s="180" t="s">
        <v>259</v>
      </c>
      <c r="CB6" s="183">
        <v>21091003</v>
      </c>
      <c r="CC6" s="184" t="s">
        <v>260</v>
      </c>
      <c r="CD6" s="176">
        <v>2</v>
      </c>
      <c r="CE6" s="180" t="s">
        <v>261</v>
      </c>
      <c r="CF6" s="183">
        <v>21092152</v>
      </c>
      <c r="CG6" s="184" t="s">
        <v>262</v>
      </c>
      <c r="CH6" s="176">
        <v>2</v>
      </c>
      <c r="CI6" s="180" t="s">
        <v>263</v>
      </c>
      <c r="CJ6" s="183">
        <v>21092145</v>
      </c>
      <c r="CK6" s="184" t="s">
        <v>264</v>
      </c>
      <c r="CL6" s="176">
        <v>2</v>
      </c>
      <c r="CM6" s="180" t="s">
        <v>265</v>
      </c>
      <c r="CN6" s="183">
        <v>21092174</v>
      </c>
      <c r="CO6" s="184" t="s">
        <v>266</v>
      </c>
      <c r="CP6" s="176">
        <v>2</v>
      </c>
      <c r="CQ6" s="180" t="s">
        <v>267</v>
      </c>
      <c r="CR6" s="183">
        <v>21092142</v>
      </c>
      <c r="CS6" s="184" t="s">
        <v>268</v>
      </c>
      <c r="CT6" s="176">
        <v>2</v>
      </c>
      <c r="CU6" s="180" t="s">
        <v>269</v>
      </c>
      <c r="CV6" s="183">
        <v>21092147</v>
      </c>
      <c r="CW6" s="184" t="s">
        <v>270</v>
      </c>
      <c r="CX6" s="176">
        <v>2</v>
      </c>
      <c r="CY6" s="180" t="s">
        <v>271</v>
      </c>
      <c r="CZ6" s="183">
        <v>21092166</v>
      </c>
      <c r="DA6" s="184" t="s">
        <v>272</v>
      </c>
      <c r="DB6" s="176">
        <v>2</v>
      </c>
      <c r="DC6" s="180" t="s">
        <v>322</v>
      </c>
      <c r="DD6" s="183">
        <v>21092173</v>
      </c>
      <c r="DE6" s="184" t="s">
        <v>323</v>
      </c>
      <c r="DF6" s="176">
        <v>2</v>
      </c>
      <c r="DG6" s="180" t="s">
        <v>275</v>
      </c>
      <c r="DH6" s="183">
        <v>21091358</v>
      </c>
      <c r="DI6" s="184" t="s">
        <v>276</v>
      </c>
      <c r="DJ6" s="176">
        <v>2</v>
      </c>
      <c r="DK6" s="180" t="s">
        <v>277</v>
      </c>
      <c r="DL6" s="183">
        <v>2008088</v>
      </c>
      <c r="DM6" s="184" t="s">
        <v>278</v>
      </c>
      <c r="DN6" s="176">
        <v>2</v>
      </c>
      <c r="DO6" s="180" t="s">
        <v>279</v>
      </c>
      <c r="DP6" s="183">
        <v>2008019</v>
      </c>
      <c r="DQ6" s="184" t="s">
        <v>280</v>
      </c>
      <c r="DR6" s="176">
        <v>2</v>
      </c>
      <c r="DS6" s="180" t="s">
        <v>281</v>
      </c>
      <c r="DT6" s="183">
        <v>2008003</v>
      </c>
      <c r="DU6" s="184" t="s">
        <v>282</v>
      </c>
      <c r="DV6" s="176">
        <v>2</v>
      </c>
      <c r="DW6" s="180" t="s">
        <v>283</v>
      </c>
      <c r="DX6" s="183">
        <v>2008009</v>
      </c>
      <c r="DY6" s="184" t="s">
        <v>284</v>
      </c>
      <c r="DZ6" s="176">
        <v>2</v>
      </c>
      <c r="EA6" s="180" t="s">
        <v>285</v>
      </c>
      <c r="EB6" s="183">
        <v>2008005</v>
      </c>
      <c r="EC6" s="184" t="s">
        <v>1644</v>
      </c>
      <c r="ED6" s="176">
        <v>2</v>
      </c>
      <c r="EE6" s="180" t="s">
        <v>286</v>
      </c>
      <c r="EF6" s="183">
        <v>2008041</v>
      </c>
      <c r="EG6" s="184" t="s">
        <v>287</v>
      </c>
      <c r="EH6" s="176">
        <v>2</v>
      </c>
      <c r="EI6" s="180" t="s">
        <v>288</v>
      </c>
      <c r="EJ6" s="183">
        <v>2008017</v>
      </c>
      <c r="EK6" s="184" t="s">
        <v>289</v>
      </c>
      <c r="EL6" s="176">
        <v>2</v>
      </c>
      <c r="EM6" s="180" t="s">
        <v>290</v>
      </c>
      <c r="EN6" s="183">
        <v>2008047</v>
      </c>
      <c r="EO6" s="184" t="s">
        <v>291</v>
      </c>
      <c r="EP6" s="176">
        <v>2</v>
      </c>
      <c r="EQ6" s="180" t="s">
        <v>292</v>
      </c>
      <c r="ER6" s="183">
        <v>2008031</v>
      </c>
      <c r="ES6" s="184" t="s">
        <v>293</v>
      </c>
      <c r="ET6" s="176">
        <v>2</v>
      </c>
      <c r="EU6" s="180" t="s">
        <v>294</v>
      </c>
      <c r="EV6" s="183">
        <v>2008025</v>
      </c>
      <c r="EW6" s="184" t="s">
        <v>295</v>
      </c>
      <c r="EX6" s="176">
        <v>2</v>
      </c>
      <c r="EY6" s="180" t="s">
        <v>155</v>
      </c>
      <c r="EZ6" s="183">
        <v>2008030</v>
      </c>
      <c r="FA6" s="184" t="s">
        <v>179</v>
      </c>
      <c r="FB6" s="176">
        <v>2</v>
      </c>
      <c r="FC6" s="180" t="s">
        <v>296</v>
      </c>
      <c r="FD6" s="183">
        <v>2008015</v>
      </c>
      <c r="FE6" s="184" t="s">
        <v>297</v>
      </c>
      <c r="FF6" s="176">
        <v>2</v>
      </c>
      <c r="FG6" s="180" t="s">
        <v>298</v>
      </c>
      <c r="FH6" s="183">
        <v>2008358</v>
      </c>
      <c r="FI6" s="184" t="s">
        <v>299</v>
      </c>
    </row>
    <row r="7" spans="1:165" ht="15.75" x14ac:dyDescent="0.25">
      <c r="A7" s="9">
        <v>4</v>
      </c>
      <c r="B7" s="173" t="s">
        <v>1530</v>
      </c>
      <c r="C7" s="9">
        <v>14</v>
      </c>
      <c r="D7" s="9">
        <v>15</v>
      </c>
      <c r="E7" s="9">
        <v>16</v>
      </c>
      <c r="F7" s="176">
        <v>3</v>
      </c>
      <c r="G7" s="177" t="str">
        <f t="shared" si="0"/>
        <v>Ahmad Fikry</v>
      </c>
      <c r="H7" s="178">
        <f t="shared" si="1"/>
        <v>2008021</v>
      </c>
      <c r="I7" s="179" t="str">
        <f t="shared" si="2"/>
        <v xml:space="preserve">0050998196 </v>
      </c>
      <c r="J7" s="176">
        <v>3</v>
      </c>
      <c r="K7" s="180" t="s">
        <v>1567</v>
      </c>
      <c r="L7" s="181">
        <v>22101007</v>
      </c>
      <c r="M7" s="182">
        <v>74416262</v>
      </c>
      <c r="N7" s="176">
        <v>3</v>
      </c>
      <c r="O7" s="180" t="s">
        <v>1645</v>
      </c>
      <c r="P7" s="181">
        <v>22101023</v>
      </c>
      <c r="Q7" s="182">
        <v>62496443</v>
      </c>
      <c r="R7" s="176">
        <v>3</v>
      </c>
      <c r="S7" s="180" t="s">
        <v>1646</v>
      </c>
      <c r="T7" s="192">
        <v>22000000</v>
      </c>
      <c r="U7" s="182">
        <v>71135268</v>
      </c>
      <c r="V7" s="176">
        <v>3</v>
      </c>
      <c r="W7" s="180" t="s">
        <v>1647</v>
      </c>
      <c r="X7" s="181">
        <v>22101022</v>
      </c>
      <c r="Y7" s="182" t="s">
        <v>1648</v>
      </c>
      <c r="Z7" s="176">
        <v>3</v>
      </c>
      <c r="AA7" s="180" t="s">
        <v>1649</v>
      </c>
      <c r="AB7" s="181">
        <v>22101013</v>
      </c>
      <c r="AC7" s="182" t="s">
        <v>1650</v>
      </c>
      <c r="AD7" s="176">
        <v>3</v>
      </c>
      <c r="AE7" s="180" t="s">
        <v>1651</v>
      </c>
      <c r="AF7" s="181">
        <v>22102176</v>
      </c>
      <c r="AG7" s="182" t="s">
        <v>1652</v>
      </c>
      <c r="AH7" s="176">
        <v>3</v>
      </c>
      <c r="AI7" s="180" t="s">
        <v>1653</v>
      </c>
      <c r="AJ7" s="181">
        <v>22102190</v>
      </c>
      <c r="AK7" s="182" t="s">
        <v>1654</v>
      </c>
      <c r="AL7" s="176">
        <v>3</v>
      </c>
      <c r="AM7" s="180" t="s">
        <v>1655</v>
      </c>
      <c r="AN7" s="181">
        <v>22102186</v>
      </c>
      <c r="AO7" s="182" t="s">
        <v>1656</v>
      </c>
      <c r="AP7" s="176">
        <v>3</v>
      </c>
      <c r="AQ7" s="180" t="s">
        <v>1657</v>
      </c>
      <c r="AR7" s="181">
        <v>22102179</v>
      </c>
      <c r="AS7" s="182" t="s">
        <v>1658</v>
      </c>
      <c r="AT7" s="176">
        <v>3</v>
      </c>
      <c r="AU7" s="180" t="s">
        <v>1659</v>
      </c>
      <c r="AV7" s="181">
        <v>22102189</v>
      </c>
      <c r="AW7" s="182" t="s">
        <v>1660</v>
      </c>
      <c r="AX7" s="176">
        <v>3</v>
      </c>
      <c r="AY7" s="180" t="s">
        <v>1661</v>
      </c>
      <c r="AZ7" s="181">
        <v>22102197</v>
      </c>
      <c r="BA7" s="182" t="s">
        <v>1662</v>
      </c>
      <c r="BB7" s="176">
        <v>3</v>
      </c>
      <c r="BC7" s="180" t="s">
        <v>1663</v>
      </c>
      <c r="BD7" s="181">
        <v>22102218</v>
      </c>
      <c r="BE7" s="182" t="s">
        <v>1664</v>
      </c>
      <c r="BF7" s="176">
        <v>3</v>
      </c>
      <c r="BG7" s="180" t="s">
        <v>1665</v>
      </c>
      <c r="BH7" s="181">
        <v>22101379</v>
      </c>
      <c r="BI7" s="182" t="s">
        <v>1666</v>
      </c>
      <c r="BJ7" s="176">
        <v>3</v>
      </c>
      <c r="BK7" s="180" t="s">
        <v>300</v>
      </c>
      <c r="BL7" s="181">
        <v>21091010</v>
      </c>
      <c r="BM7" s="182" t="s">
        <v>301</v>
      </c>
      <c r="BN7" s="176">
        <v>3</v>
      </c>
      <c r="BO7" s="180" t="s">
        <v>302</v>
      </c>
      <c r="BP7" s="181">
        <v>21091025</v>
      </c>
      <c r="BQ7" s="182" t="s">
        <v>303</v>
      </c>
      <c r="BR7" s="176">
        <v>3</v>
      </c>
      <c r="BS7" s="180" t="s">
        <v>304</v>
      </c>
      <c r="BT7" s="181">
        <v>21091033</v>
      </c>
      <c r="BU7" s="182" t="s">
        <v>305</v>
      </c>
      <c r="BV7" s="176">
        <v>3</v>
      </c>
      <c r="BW7" s="180" t="s">
        <v>306</v>
      </c>
      <c r="BX7" s="181">
        <v>21091015</v>
      </c>
      <c r="BY7" s="182" t="s">
        <v>307</v>
      </c>
      <c r="BZ7" s="176">
        <v>3</v>
      </c>
      <c r="CA7" s="180" t="s">
        <v>308</v>
      </c>
      <c r="CB7" s="181">
        <v>21091008</v>
      </c>
      <c r="CC7" s="182" t="s">
        <v>309</v>
      </c>
      <c r="CD7" s="176">
        <v>3</v>
      </c>
      <c r="CE7" s="180" t="s">
        <v>310</v>
      </c>
      <c r="CF7" s="181">
        <v>21092155</v>
      </c>
      <c r="CG7" s="182" t="s">
        <v>311</v>
      </c>
      <c r="CH7" s="176">
        <v>3</v>
      </c>
      <c r="CI7" s="180" t="s">
        <v>312</v>
      </c>
      <c r="CJ7" s="181">
        <v>21092150</v>
      </c>
      <c r="CK7" s="182" t="s">
        <v>313</v>
      </c>
      <c r="CL7" s="176">
        <v>3</v>
      </c>
      <c r="CM7" s="180" t="s">
        <v>314</v>
      </c>
      <c r="CN7" s="181">
        <v>21092180</v>
      </c>
      <c r="CO7" s="182" t="s">
        <v>315</v>
      </c>
      <c r="CP7" s="176">
        <v>3</v>
      </c>
      <c r="CQ7" s="180" t="s">
        <v>316</v>
      </c>
      <c r="CR7" s="181">
        <v>21092143</v>
      </c>
      <c r="CS7" s="182" t="s">
        <v>317</v>
      </c>
      <c r="CT7" s="176">
        <v>3</v>
      </c>
      <c r="CU7" s="180" t="s">
        <v>318</v>
      </c>
      <c r="CV7" s="181">
        <v>21092154</v>
      </c>
      <c r="CW7" s="182" t="s">
        <v>319</v>
      </c>
      <c r="CX7" s="176">
        <v>3</v>
      </c>
      <c r="CY7" s="180" t="s">
        <v>320</v>
      </c>
      <c r="CZ7" s="181">
        <v>21092213</v>
      </c>
      <c r="DA7" s="182" t="s">
        <v>321</v>
      </c>
      <c r="DB7" s="176">
        <v>3</v>
      </c>
      <c r="DC7" s="180" t="s">
        <v>369</v>
      </c>
      <c r="DD7" s="181">
        <v>21092175</v>
      </c>
      <c r="DE7" s="182" t="s">
        <v>370</v>
      </c>
      <c r="DF7" s="176">
        <v>3</v>
      </c>
      <c r="DG7" s="180" t="s">
        <v>324</v>
      </c>
      <c r="DH7" s="181">
        <v>21092359</v>
      </c>
      <c r="DI7" s="182" t="s">
        <v>325</v>
      </c>
      <c r="DJ7" s="176">
        <v>3</v>
      </c>
      <c r="DK7" s="180" t="s">
        <v>326</v>
      </c>
      <c r="DL7" s="181">
        <v>2008096</v>
      </c>
      <c r="DM7" s="182" t="s">
        <v>327</v>
      </c>
      <c r="DN7" s="176">
        <v>3</v>
      </c>
      <c r="DO7" s="180" t="s">
        <v>1667</v>
      </c>
      <c r="DP7" s="181">
        <v>2008023</v>
      </c>
      <c r="DQ7" s="182" t="s">
        <v>328</v>
      </c>
      <c r="DR7" s="176">
        <v>3</v>
      </c>
      <c r="DS7" s="180" t="s">
        <v>329</v>
      </c>
      <c r="DT7" s="181">
        <v>2008007</v>
      </c>
      <c r="DU7" s="182" t="s">
        <v>330</v>
      </c>
      <c r="DV7" s="176">
        <v>3</v>
      </c>
      <c r="DW7" s="180" t="s">
        <v>331</v>
      </c>
      <c r="DX7" s="181">
        <v>2008021</v>
      </c>
      <c r="DY7" s="182" t="s">
        <v>332</v>
      </c>
      <c r="DZ7" s="176">
        <v>3</v>
      </c>
      <c r="EA7" s="180" t="s">
        <v>333</v>
      </c>
      <c r="EB7" s="181">
        <v>2008010</v>
      </c>
      <c r="EC7" s="182" t="s">
        <v>334</v>
      </c>
      <c r="ED7" s="176">
        <v>3</v>
      </c>
      <c r="EE7" s="180" t="s">
        <v>335</v>
      </c>
      <c r="EF7" s="181">
        <v>2008046</v>
      </c>
      <c r="EG7" s="182" t="s">
        <v>336</v>
      </c>
      <c r="EH7" s="176">
        <v>3</v>
      </c>
      <c r="EI7" s="180" t="s">
        <v>1668</v>
      </c>
      <c r="EJ7" s="181">
        <v>2008026</v>
      </c>
      <c r="EK7" s="182" t="s">
        <v>1669</v>
      </c>
      <c r="EL7" s="176">
        <v>3</v>
      </c>
      <c r="EM7" s="180" t="s">
        <v>337</v>
      </c>
      <c r="EN7" s="181">
        <v>2008084</v>
      </c>
      <c r="EO7" s="182" t="s">
        <v>338</v>
      </c>
      <c r="EP7" s="176">
        <v>3</v>
      </c>
      <c r="EQ7" s="180" t="s">
        <v>339</v>
      </c>
      <c r="ER7" s="181">
        <v>2008036</v>
      </c>
      <c r="ES7" s="182" t="s">
        <v>340</v>
      </c>
      <c r="ET7" s="176">
        <v>3</v>
      </c>
      <c r="EU7" s="180" t="s">
        <v>341</v>
      </c>
      <c r="EV7" s="181">
        <v>2008033</v>
      </c>
      <c r="EW7" s="182" t="s">
        <v>342</v>
      </c>
      <c r="EX7" s="176">
        <v>3</v>
      </c>
      <c r="EY7" s="180" t="s">
        <v>156</v>
      </c>
      <c r="EZ7" s="181">
        <v>2008049</v>
      </c>
      <c r="FA7" s="182" t="s">
        <v>180</v>
      </c>
      <c r="FB7" s="176">
        <v>3</v>
      </c>
      <c r="FC7" s="180" t="s">
        <v>343</v>
      </c>
      <c r="FD7" s="181">
        <v>2008016</v>
      </c>
      <c r="FE7" s="182" t="s">
        <v>344</v>
      </c>
      <c r="FF7" s="176">
        <v>3</v>
      </c>
      <c r="FG7" s="180" t="s">
        <v>345</v>
      </c>
      <c r="FH7" s="181">
        <v>2008359</v>
      </c>
      <c r="FI7" s="182" t="s">
        <v>346</v>
      </c>
    </row>
    <row r="8" spans="1:165" ht="15.75" x14ac:dyDescent="0.25">
      <c r="A8" s="9">
        <v>5</v>
      </c>
      <c r="B8" s="173" t="s">
        <v>1531</v>
      </c>
      <c r="C8" s="9">
        <v>18</v>
      </c>
      <c r="D8" s="9">
        <v>19</v>
      </c>
      <c r="E8" s="9">
        <v>20</v>
      </c>
      <c r="F8" s="176">
        <v>4</v>
      </c>
      <c r="G8" s="177" t="str">
        <f t="shared" si="0"/>
        <v>Almas Sabih Wahindra</v>
      </c>
      <c r="H8" s="178">
        <f t="shared" si="1"/>
        <v>2008034</v>
      </c>
      <c r="I8" s="179" t="str">
        <f t="shared" si="2"/>
        <v>0059000208</v>
      </c>
      <c r="J8" s="176">
        <v>4</v>
      </c>
      <c r="K8" s="180" t="s">
        <v>1568</v>
      </c>
      <c r="L8" s="181">
        <v>22101011</v>
      </c>
      <c r="M8" s="182">
        <v>3060502977</v>
      </c>
      <c r="N8" s="176">
        <v>4</v>
      </c>
      <c r="O8" s="180" t="s">
        <v>1670</v>
      </c>
      <c r="P8" s="181">
        <v>22101030</v>
      </c>
      <c r="Q8" s="182">
        <v>3077855463</v>
      </c>
      <c r="R8" s="176">
        <v>4</v>
      </c>
      <c r="S8" s="180" t="s">
        <v>1671</v>
      </c>
      <c r="T8" s="192">
        <v>22000000</v>
      </c>
      <c r="U8" s="182">
        <v>67304280</v>
      </c>
      <c r="V8" s="176">
        <v>4</v>
      </c>
      <c r="W8" s="180" t="s">
        <v>1672</v>
      </c>
      <c r="X8" s="181">
        <v>22101028</v>
      </c>
      <c r="Y8" s="182" t="s">
        <v>1673</v>
      </c>
      <c r="Z8" s="176">
        <v>4</v>
      </c>
      <c r="AA8" s="180" t="s">
        <v>1674</v>
      </c>
      <c r="AB8" s="181">
        <v>22101014</v>
      </c>
      <c r="AC8" s="182" t="s">
        <v>1675</v>
      </c>
      <c r="AD8" s="176">
        <v>4</v>
      </c>
      <c r="AE8" s="180" t="s">
        <v>1676</v>
      </c>
      <c r="AF8" s="181">
        <v>22102178</v>
      </c>
      <c r="AG8" s="182" t="s">
        <v>1677</v>
      </c>
      <c r="AH8" s="176">
        <v>4</v>
      </c>
      <c r="AI8" s="180" t="s">
        <v>1678</v>
      </c>
      <c r="AJ8" s="181">
        <v>22102199</v>
      </c>
      <c r="AK8" s="182" t="s">
        <v>1679</v>
      </c>
      <c r="AL8" s="176">
        <v>4</v>
      </c>
      <c r="AM8" s="180" t="s">
        <v>1680</v>
      </c>
      <c r="AN8" s="181">
        <v>22102193</v>
      </c>
      <c r="AO8" s="182" t="s">
        <v>1681</v>
      </c>
      <c r="AP8" s="176">
        <v>4</v>
      </c>
      <c r="AQ8" s="180" t="s">
        <v>1682</v>
      </c>
      <c r="AR8" s="181">
        <v>22102185</v>
      </c>
      <c r="AS8" s="182" t="s">
        <v>1683</v>
      </c>
      <c r="AT8" s="176">
        <v>4</v>
      </c>
      <c r="AU8" s="180" t="s">
        <v>1684</v>
      </c>
      <c r="AV8" s="181">
        <v>22102209</v>
      </c>
      <c r="AW8" s="182" t="s">
        <v>1685</v>
      </c>
      <c r="AX8" s="176">
        <v>4</v>
      </c>
      <c r="AY8" s="180" t="s">
        <v>1686</v>
      </c>
      <c r="AZ8" s="181">
        <v>22102203</v>
      </c>
      <c r="BA8" s="182" t="s">
        <v>1687</v>
      </c>
      <c r="BB8" s="176">
        <v>4</v>
      </c>
      <c r="BC8" s="180" t="s">
        <v>1688</v>
      </c>
      <c r="BD8" s="181">
        <v>22102226</v>
      </c>
      <c r="BE8" s="182" t="s">
        <v>1689</v>
      </c>
      <c r="BF8" s="176">
        <v>4</v>
      </c>
      <c r="BG8" s="180" t="s">
        <v>1690</v>
      </c>
      <c r="BH8" s="181">
        <v>22102388</v>
      </c>
      <c r="BI8" s="182" t="s">
        <v>1691</v>
      </c>
      <c r="BJ8" s="176">
        <v>4</v>
      </c>
      <c r="BK8" s="180" t="s">
        <v>347</v>
      </c>
      <c r="BL8" s="181">
        <v>21091017</v>
      </c>
      <c r="BM8" s="182" t="s">
        <v>348</v>
      </c>
      <c r="BN8" s="176">
        <v>4</v>
      </c>
      <c r="BO8" s="180" t="s">
        <v>349</v>
      </c>
      <c r="BP8" s="181">
        <v>21091026</v>
      </c>
      <c r="BQ8" s="182" t="s">
        <v>350</v>
      </c>
      <c r="BR8" s="176">
        <v>4</v>
      </c>
      <c r="BS8" s="180" t="s">
        <v>351</v>
      </c>
      <c r="BT8" s="181">
        <v>21091045</v>
      </c>
      <c r="BU8" s="182" t="s">
        <v>352</v>
      </c>
      <c r="BV8" s="176">
        <v>4</v>
      </c>
      <c r="BW8" s="180" t="s">
        <v>353</v>
      </c>
      <c r="BX8" s="181">
        <v>21091018</v>
      </c>
      <c r="BY8" s="182" t="s">
        <v>354</v>
      </c>
      <c r="BZ8" s="176">
        <v>4</v>
      </c>
      <c r="CA8" s="180" t="s">
        <v>355</v>
      </c>
      <c r="CB8" s="181">
        <v>21091011</v>
      </c>
      <c r="CC8" s="182" t="s">
        <v>356</v>
      </c>
      <c r="CD8" s="176">
        <v>4</v>
      </c>
      <c r="CE8" s="180" t="s">
        <v>357</v>
      </c>
      <c r="CF8" s="181">
        <v>21092160</v>
      </c>
      <c r="CG8" s="182" t="s">
        <v>358</v>
      </c>
      <c r="CH8" s="176">
        <v>4</v>
      </c>
      <c r="CI8" s="180" t="s">
        <v>359</v>
      </c>
      <c r="CJ8" s="181">
        <v>21092151</v>
      </c>
      <c r="CK8" s="182" t="s">
        <v>360</v>
      </c>
      <c r="CL8" s="176">
        <v>4</v>
      </c>
      <c r="CM8" s="180" t="s">
        <v>361</v>
      </c>
      <c r="CN8" s="181">
        <v>21092195</v>
      </c>
      <c r="CO8" s="182" t="s">
        <v>362</v>
      </c>
      <c r="CP8" s="176">
        <v>4</v>
      </c>
      <c r="CQ8" s="180" t="s">
        <v>363</v>
      </c>
      <c r="CR8" s="181">
        <v>21092148</v>
      </c>
      <c r="CS8" s="182" t="s">
        <v>364</v>
      </c>
      <c r="CT8" s="176">
        <v>4</v>
      </c>
      <c r="CU8" s="180" t="s">
        <v>365</v>
      </c>
      <c r="CV8" s="181">
        <v>21092167</v>
      </c>
      <c r="CW8" s="182" t="s">
        <v>366</v>
      </c>
      <c r="CX8" s="176">
        <v>4</v>
      </c>
      <c r="CY8" s="180" t="s">
        <v>367</v>
      </c>
      <c r="CZ8" s="181">
        <v>21092216</v>
      </c>
      <c r="DA8" s="182" t="s">
        <v>368</v>
      </c>
      <c r="DB8" s="176">
        <v>4</v>
      </c>
      <c r="DC8" s="180" t="s">
        <v>418</v>
      </c>
      <c r="DD8" s="181">
        <v>21092177</v>
      </c>
      <c r="DE8" s="182" t="s">
        <v>419</v>
      </c>
      <c r="DF8" s="176">
        <v>4</v>
      </c>
      <c r="DG8" s="180" t="s">
        <v>371</v>
      </c>
      <c r="DH8" s="181">
        <v>21091360</v>
      </c>
      <c r="DI8" s="182" t="s">
        <v>372</v>
      </c>
      <c r="DJ8" s="176">
        <v>4</v>
      </c>
      <c r="DK8" s="180" t="s">
        <v>373</v>
      </c>
      <c r="DL8" s="181">
        <v>2008101</v>
      </c>
      <c r="DM8" s="182" t="s">
        <v>374</v>
      </c>
      <c r="DN8" s="176">
        <v>4</v>
      </c>
      <c r="DO8" s="180" t="s">
        <v>375</v>
      </c>
      <c r="DP8" s="181">
        <v>2008024</v>
      </c>
      <c r="DQ8" s="182" t="s">
        <v>376</v>
      </c>
      <c r="DR8" s="176">
        <v>4</v>
      </c>
      <c r="DS8" s="180" t="s">
        <v>377</v>
      </c>
      <c r="DT8" s="181">
        <v>2008012</v>
      </c>
      <c r="DU8" s="182" t="s">
        <v>378</v>
      </c>
      <c r="DV8" s="176">
        <v>4</v>
      </c>
      <c r="DW8" s="180" t="s">
        <v>379</v>
      </c>
      <c r="DX8" s="181">
        <v>2008034</v>
      </c>
      <c r="DY8" s="182" t="s">
        <v>380</v>
      </c>
      <c r="DZ8" s="176">
        <v>4</v>
      </c>
      <c r="EA8" s="180" t="s">
        <v>381</v>
      </c>
      <c r="EB8" s="181">
        <v>2008057</v>
      </c>
      <c r="EC8" s="182" t="s">
        <v>382</v>
      </c>
      <c r="ED8" s="176">
        <v>4</v>
      </c>
      <c r="EE8" s="180" t="s">
        <v>383</v>
      </c>
      <c r="EF8" s="181">
        <v>2008064</v>
      </c>
      <c r="EG8" s="182" t="s">
        <v>384</v>
      </c>
      <c r="EH8" s="176">
        <v>4</v>
      </c>
      <c r="EI8" s="180" t="s">
        <v>385</v>
      </c>
      <c r="EJ8" s="181">
        <v>2008032</v>
      </c>
      <c r="EK8" s="182" t="s">
        <v>1692</v>
      </c>
      <c r="EL8" s="176">
        <v>4</v>
      </c>
      <c r="EM8" s="180" t="s">
        <v>386</v>
      </c>
      <c r="EN8" s="181">
        <v>2008090</v>
      </c>
      <c r="EO8" s="182" t="s">
        <v>387</v>
      </c>
      <c r="EP8" s="176">
        <v>4</v>
      </c>
      <c r="EQ8" s="180" t="s">
        <v>388</v>
      </c>
      <c r="ER8" s="181">
        <v>2008048</v>
      </c>
      <c r="ES8" s="182" t="s">
        <v>389</v>
      </c>
      <c r="ET8" s="176">
        <v>4</v>
      </c>
      <c r="EU8" s="180" t="s">
        <v>390</v>
      </c>
      <c r="EV8" s="181">
        <v>2008039</v>
      </c>
      <c r="EW8" s="182" t="s">
        <v>391</v>
      </c>
      <c r="EX8" s="176">
        <v>4</v>
      </c>
      <c r="EY8" s="180" t="s">
        <v>157</v>
      </c>
      <c r="EZ8" s="181">
        <v>2008066</v>
      </c>
      <c r="FA8" s="182" t="s">
        <v>181</v>
      </c>
      <c r="FB8" s="176">
        <v>4</v>
      </c>
      <c r="FC8" s="180" t="s">
        <v>392</v>
      </c>
      <c r="FD8" s="181">
        <v>2008027</v>
      </c>
      <c r="FE8" s="182" t="s">
        <v>393</v>
      </c>
      <c r="FF8" s="176">
        <v>4</v>
      </c>
      <c r="FG8" s="180" t="s">
        <v>394</v>
      </c>
      <c r="FH8" s="181">
        <v>2008360</v>
      </c>
      <c r="FI8" s="182" t="s">
        <v>395</v>
      </c>
    </row>
    <row r="9" spans="1:165" ht="15.75" x14ac:dyDescent="0.25">
      <c r="A9" s="9">
        <v>6</v>
      </c>
      <c r="B9" s="173" t="s">
        <v>1532</v>
      </c>
      <c r="C9" s="9">
        <v>22</v>
      </c>
      <c r="D9" s="9">
        <v>23</v>
      </c>
      <c r="E9" s="9">
        <v>24</v>
      </c>
      <c r="F9" s="176">
        <v>5</v>
      </c>
      <c r="G9" s="177" t="str">
        <f t="shared" si="0"/>
        <v>Aria Fenha Apri Buma</v>
      </c>
      <c r="H9" s="178">
        <f t="shared" si="1"/>
        <v>2008054</v>
      </c>
      <c r="I9" s="179" t="str">
        <f t="shared" si="2"/>
        <v>0058068365</v>
      </c>
      <c r="J9" s="176">
        <v>5</v>
      </c>
      <c r="K9" s="180" t="s">
        <v>1569</v>
      </c>
      <c r="L9" s="181">
        <v>22101021</v>
      </c>
      <c r="M9" s="182">
        <v>75199678</v>
      </c>
      <c r="N9" s="176">
        <v>5</v>
      </c>
      <c r="O9" s="180" t="s">
        <v>1693</v>
      </c>
      <c r="P9" s="181">
        <v>22101031</v>
      </c>
      <c r="Q9" s="182">
        <v>73438162</v>
      </c>
      <c r="R9" s="176">
        <v>5</v>
      </c>
      <c r="S9" s="180" t="s">
        <v>1694</v>
      </c>
      <c r="T9" s="192">
        <v>22000000</v>
      </c>
      <c r="U9" s="182">
        <v>61228062</v>
      </c>
      <c r="V9" s="176">
        <v>5</v>
      </c>
      <c r="W9" s="180" t="s">
        <v>1695</v>
      </c>
      <c r="X9" s="181">
        <v>22101032</v>
      </c>
      <c r="Y9" s="182" t="s">
        <v>1696</v>
      </c>
      <c r="Z9" s="176">
        <v>5</v>
      </c>
      <c r="AA9" s="180" t="s">
        <v>1697</v>
      </c>
      <c r="AB9" s="181">
        <v>22101024</v>
      </c>
      <c r="AC9" s="182" t="s">
        <v>1698</v>
      </c>
      <c r="AD9" s="176">
        <v>5</v>
      </c>
      <c r="AE9" s="180" t="s">
        <v>1699</v>
      </c>
      <c r="AF9" s="181">
        <v>22102180</v>
      </c>
      <c r="AG9" s="182" t="s">
        <v>1700</v>
      </c>
      <c r="AH9" s="176">
        <v>5</v>
      </c>
      <c r="AI9" s="180" t="s">
        <v>1701</v>
      </c>
      <c r="AJ9" s="181">
        <v>22102200</v>
      </c>
      <c r="AK9" s="182" t="s">
        <v>1702</v>
      </c>
      <c r="AL9" s="176">
        <v>5</v>
      </c>
      <c r="AM9" s="180" t="s">
        <v>1703</v>
      </c>
      <c r="AN9" s="181">
        <v>22102198</v>
      </c>
      <c r="AO9" s="182" t="s">
        <v>1704</v>
      </c>
      <c r="AP9" s="176">
        <v>5</v>
      </c>
      <c r="AQ9" s="180" t="s">
        <v>1705</v>
      </c>
      <c r="AR9" s="181">
        <v>22102187</v>
      </c>
      <c r="AS9" s="182" t="s">
        <v>1706</v>
      </c>
      <c r="AT9" s="176">
        <v>5</v>
      </c>
      <c r="AU9" s="180" t="s">
        <v>1707</v>
      </c>
      <c r="AV9" s="181">
        <v>22102216</v>
      </c>
      <c r="AW9" s="182" t="s">
        <v>1708</v>
      </c>
      <c r="AX9" s="176">
        <v>5</v>
      </c>
      <c r="AY9" s="180" t="s">
        <v>1709</v>
      </c>
      <c r="AZ9" s="181">
        <v>22102205</v>
      </c>
      <c r="BA9" s="182" t="s">
        <v>1710</v>
      </c>
      <c r="BB9" s="176">
        <v>5</v>
      </c>
      <c r="BC9" s="180" t="s">
        <v>1711</v>
      </c>
      <c r="BD9" s="181">
        <v>22102233</v>
      </c>
      <c r="BE9" s="182" t="s">
        <v>1712</v>
      </c>
      <c r="BF9" s="176">
        <v>5</v>
      </c>
      <c r="BG9" s="180" t="s">
        <v>1713</v>
      </c>
      <c r="BH9" s="181">
        <v>22102389</v>
      </c>
      <c r="BI9" s="182" t="s">
        <v>1714</v>
      </c>
      <c r="BJ9" s="176">
        <v>5</v>
      </c>
      <c r="BK9" s="180" t="s">
        <v>396</v>
      </c>
      <c r="BL9" s="181">
        <v>21091019</v>
      </c>
      <c r="BM9" s="182" t="s">
        <v>397</v>
      </c>
      <c r="BN9" s="176">
        <v>5</v>
      </c>
      <c r="BO9" s="180" t="s">
        <v>398</v>
      </c>
      <c r="BP9" s="181">
        <v>21091027</v>
      </c>
      <c r="BQ9" s="182" t="s">
        <v>399</v>
      </c>
      <c r="BR9" s="176">
        <v>5</v>
      </c>
      <c r="BS9" s="180" t="s">
        <v>400</v>
      </c>
      <c r="BT9" s="181">
        <v>21091046</v>
      </c>
      <c r="BU9" s="182" t="s">
        <v>401</v>
      </c>
      <c r="BV9" s="176">
        <v>5</v>
      </c>
      <c r="BW9" s="180" t="s">
        <v>402</v>
      </c>
      <c r="BX9" s="181">
        <v>21091022</v>
      </c>
      <c r="BY9" s="182" t="s">
        <v>403</v>
      </c>
      <c r="BZ9" s="176">
        <v>5</v>
      </c>
      <c r="CA9" s="180" t="s">
        <v>404</v>
      </c>
      <c r="CB9" s="181">
        <v>21091013</v>
      </c>
      <c r="CC9" s="182" t="s">
        <v>405</v>
      </c>
      <c r="CD9" s="176">
        <v>5</v>
      </c>
      <c r="CE9" s="180" t="s">
        <v>406</v>
      </c>
      <c r="CF9" s="181">
        <v>21092162</v>
      </c>
      <c r="CG9" s="182" t="s">
        <v>407</v>
      </c>
      <c r="CH9" s="176">
        <v>5</v>
      </c>
      <c r="CI9" s="180" t="s">
        <v>408</v>
      </c>
      <c r="CJ9" s="181">
        <v>21092153</v>
      </c>
      <c r="CK9" s="182" t="s">
        <v>409</v>
      </c>
      <c r="CL9" s="176">
        <v>5</v>
      </c>
      <c r="CM9" s="180" t="s">
        <v>410</v>
      </c>
      <c r="CN9" s="181">
        <v>21092197</v>
      </c>
      <c r="CO9" s="182" t="s">
        <v>411</v>
      </c>
      <c r="CP9" s="176">
        <v>5</v>
      </c>
      <c r="CQ9" s="180" t="s">
        <v>412</v>
      </c>
      <c r="CR9" s="181">
        <v>21092161</v>
      </c>
      <c r="CS9" s="182" t="s">
        <v>413</v>
      </c>
      <c r="CT9" s="176">
        <v>5</v>
      </c>
      <c r="CU9" s="180" t="s">
        <v>414</v>
      </c>
      <c r="CV9" s="181">
        <v>21092169</v>
      </c>
      <c r="CW9" s="182" t="s">
        <v>415</v>
      </c>
      <c r="CX9" s="176">
        <v>5</v>
      </c>
      <c r="CY9" s="180" t="s">
        <v>416</v>
      </c>
      <c r="CZ9" s="181">
        <v>21092219</v>
      </c>
      <c r="DA9" s="182" t="s">
        <v>417</v>
      </c>
      <c r="DB9" s="176">
        <v>5</v>
      </c>
      <c r="DC9" s="180" t="s">
        <v>464</v>
      </c>
      <c r="DD9" s="181">
        <v>21092179</v>
      </c>
      <c r="DE9" s="182" t="s">
        <v>465</v>
      </c>
      <c r="DF9" s="176">
        <v>5</v>
      </c>
      <c r="DG9" s="180" t="s">
        <v>420</v>
      </c>
      <c r="DH9" s="181">
        <v>21092361</v>
      </c>
      <c r="DI9" s="182" t="s">
        <v>421</v>
      </c>
      <c r="DJ9" s="176">
        <v>5</v>
      </c>
      <c r="DK9" s="180" t="s">
        <v>422</v>
      </c>
      <c r="DL9" s="181">
        <v>2008103</v>
      </c>
      <c r="DM9" s="182" t="s">
        <v>423</v>
      </c>
      <c r="DN9" s="176">
        <v>5</v>
      </c>
      <c r="DO9" s="180" t="s">
        <v>424</v>
      </c>
      <c r="DP9" s="181">
        <v>2008035</v>
      </c>
      <c r="DQ9" s="182" t="s">
        <v>425</v>
      </c>
      <c r="DR9" s="176">
        <v>5</v>
      </c>
      <c r="DS9" s="180" t="s">
        <v>426</v>
      </c>
      <c r="DT9" s="181">
        <v>2008020</v>
      </c>
      <c r="DU9" s="182" t="s">
        <v>427</v>
      </c>
      <c r="DV9" s="176">
        <v>5</v>
      </c>
      <c r="DW9" s="180" t="s">
        <v>428</v>
      </c>
      <c r="DX9" s="181">
        <v>2008054</v>
      </c>
      <c r="DY9" s="182" t="s">
        <v>429</v>
      </c>
      <c r="DZ9" s="176">
        <v>5</v>
      </c>
      <c r="EA9" s="180" t="s">
        <v>430</v>
      </c>
      <c r="EB9" s="181">
        <v>2008074</v>
      </c>
      <c r="EC9" s="182" t="s">
        <v>431</v>
      </c>
      <c r="ED9" s="176">
        <v>5</v>
      </c>
      <c r="EE9" s="180" t="s">
        <v>432</v>
      </c>
      <c r="EF9" s="181">
        <v>2008072</v>
      </c>
      <c r="EG9" s="182" t="s">
        <v>433</v>
      </c>
      <c r="EH9" s="176">
        <v>5</v>
      </c>
      <c r="EI9" s="180" t="s">
        <v>434</v>
      </c>
      <c r="EJ9" s="181">
        <v>2008051</v>
      </c>
      <c r="EK9" s="182" t="s">
        <v>1715</v>
      </c>
      <c r="EL9" s="176">
        <v>5</v>
      </c>
      <c r="EM9" s="180" t="s">
        <v>435</v>
      </c>
      <c r="EN9" s="181">
        <v>2008092</v>
      </c>
      <c r="EO9" s="182" t="s">
        <v>436</v>
      </c>
      <c r="EP9" s="176">
        <v>5</v>
      </c>
      <c r="EQ9" s="180" t="s">
        <v>437</v>
      </c>
      <c r="ER9" s="181">
        <v>2008050</v>
      </c>
      <c r="ES9" s="182" t="s">
        <v>438</v>
      </c>
      <c r="ET9" s="176">
        <v>5</v>
      </c>
      <c r="EU9" s="180" t="s">
        <v>1716</v>
      </c>
      <c r="EV9" s="181">
        <v>2008042</v>
      </c>
      <c r="EW9" s="182" t="s">
        <v>439</v>
      </c>
      <c r="EX9" s="176">
        <v>5</v>
      </c>
      <c r="EY9" s="180" t="s">
        <v>158</v>
      </c>
      <c r="EZ9" s="181">
        <v>2008108</v>
      </c>
      <c r="FA9" s="182" t="s">
        <v>182</v>
      </c>
      <c r="FB9" s="176">
        <v>5</v>
      </c>
      <c r="FC9" s="180" t="s">
        <v>440</v>
      </c>
      <c r="FD9" s="181">
        <v>2008037</v>
      </c>
      <c r="FE9" s="182" t="s">
        <v>441</v>
      </c>
      <c r="FF9" s="176">
        <v>5</v>
      </c>
      <c r="FG9" s="180" t="s">
        <v>442</v>
      </c>
      <c r="FH9" s="181">
        <v>2008361</v>
      </c>
      <c r="FI9" s="182" t="s">
        <v>443</v>
      </c>
    </row>
    <row r="10" spans="1:165" ht="15.75" x14ac:dyDescent="0.25">
      <c r="A10" s="9">
        <v>7</v>
      </c>
      <c r="B10" s="173" t="s">
        <v>1533</v>
      </c>
      <c r="C10" s="9">
        <v>26</v>
      </c>
      <c r="D10" s="9">
        <v>27</v>
      </c>
      <c r="E10" s="9">
        <v>28</v>
      </c>
      <c r="F10" s="176">
        <v>6</v>
      </c>
      <c r="G10" s="177" t="str">
        <f t="shared" si="0"/>
        <v>Baharuddin Barkah Pratama</v>
      </c>
      <c r="H10" s="178">
        <f t="shared" si="1"/>
        <v>2008075</v>
      </c>
      <c r="I10" s="179" t="str">
        <f t="shared" si="2"/>
        <v>0024374235</v>
      </c>
      <c r="J10" s="176">
        <v>6</v>
      </c>
      <c r="K10" s="180" t="s">
        <v>1570</v>
      </c>
      <c r="L10" s="181">
        <v>22101026</v>
      </c>
      <c r="M10" s="182">
        <v>139096677</v>
      </c>
      <c r="N10" s="176">
        <v>6</v>
      </c>
      <c r="O10" s="180" t="s">
        <v>1717</v>
      </c>
      <c r="P10" s="181">
        <v>22101041</v>
      </c>
      <c r="Q10" s="182">
        <v>68231644</v>
      </c>
      <c r="R10" s="176">
        <v>6</v>
      </c>
      <c r="S10" s="180" t="s">
        <v>1718</v>
      </c>
      <c r="T10" s="192">
        <v>22000000</v>
      </c>
      <c r="U10" s="182">
        <v>73708638</v>
      </c>
      <c r="V10" s="176">
        <v>6</v>
      </c>
      <c r="W10" s="180" t="s">
        <v>1719</v>
      </c>
      <c r="X10" s="181">
        <v>22101039</v>
      </c>
      <c r="Y10" s="182" t="s">
        <v>1720</v>
      </c>
      <c r="Z10" s="176">
        <v>6</v>
      </c>
      <c r="AA10" s="180" t="s">
        <v>1721</v>
      </c>
      <c r="AB10" s="181">
        <v>22101025</v>
      </c>
      <c r="AC10" s="182" t="s">
        <v>1722</v>
      </c>
      <c r="AD10" s="176">
        <v>6</v>
      </c>
      <c r="AE10" s="180" t="s">
        <v>1723</v>
      </c>
      <c r="AF10" s="181">
        <v>22102181</v>
      </c>
      <c r="AG10" s="182" t="s">
        <v>1724</v>
      </c>
      <c r="AH10" s="176">
        <v>6</v>
      </c>
      <c r="AI10" s="180" t="s">
        <v>1725</v>
      </c>
      <c r="AJ10" s="181">
        <v>22102229</v>
      </c>
      <c r="AK10" s="182" t="s">
        <v>1726</v>
      </c>
      <c r="AL10" s="176">
        <v>6</v>
      </c>
      <c r="AM10" s="180" t="s">
        <v>1727</v>
      </c>
      <c r="AN10" s="181">
        <v>22102202</v>
      </c>
      <c r="AO10" s="182" t="s">
        <v>1728</v>
      </c>
      <c r="AP10" s="176">
        <v>6</v>
      </c>
      <c r="AQ10" s="180" t="s">
        <v>1729</v>
      </c>
      <c r="AR10" s="181">
        <v>22102188</v>
      </c>
      <c r="AS10" s="182" t="s">
        <v>1730</v>
      </c>
      <c r="AT10" s="176">
        <v>6</v>
      </c>
      <c r="AU10" s="180" t="s">
        <v>1731</v>
      </c>
      <c r="AV10" s="181">
        <v>22102220</v>
      </c>
      <c r="AW10" s="182" t="s">
        <v>1732</v>
      </c>
      <c r="AX10" s="176">
        <v>6</v>
      </c>
      <c r="AY10" s="180" t="s">
        <v>1733</v>
      </c>
      <c r="AZ10" s="181">
        <v>22102213</v>
      </c>
      <c r="BA10" s="182" t="s">
        <v>1734</v>
      </c>
      <c r="BB10" s="176">
        <v>6</v>
      </c>
      <c r="BC10" s="180" t="s">
        <v>1735</v>
      </c>
      <c r="BD10" s="181">
        <v>22102234</v>
      </c>
      <c r="BE10" s="182" t="s">
        <v>1736</v>
      </c>
      <c r="BF10" s="176">
        <v>6</v>
      </c>
      <c r="BG10" s="180" t="s">
        <v>1737</v>
      </c>
      <c r="BH10" s="181">
        <v>22101380</v>
      </c>
      <c r="BI10" s="182" t="s">
        <v>1738</v>
      </c>
      <c r="BJ10" s="176">
        <v>6</v>
      </c>
      <c r="BK10" s="180" t="s">
        <v>444</v>
      </c>
      <c r="BL10" s="181">
        <v>21091020</v>
      </c>
      <c r="BM10" s="182" t="s">
        <v>445</v>
      </c>
      <c r="BN10" s="176">
        <v>6</v>
      </c>
      <c r="BO10" s="180" t="s">
        <v>446</v>
      </c>
      <c r="BP10" s="181">
        <v>21091028</v>
      </c>
      <c r="BQ10" s="182" t="s">
        <v>447</v>
      </c>
      <c r="BR10" s="176">
        <v>6</v>
      </c>
      <c r="BS10" s="180" t="s">
        <v>448</v>
      </c>
      <c r="BT10" s="181">
        <v>21091050</v>
      </c>
      <c r="BU10" s="182" t="s">
        <v>449</v>
      </c>
      <c r="BV10" s="176">
        <v>6</v>
      </c>
      <c r="BW10" s="180" t="s">
        <v>450</v>
      </c>
      <c r="BX10" s="181">
        <v>21091024</v>
      </c>
      <c r="BY10" s="182" t="s">
        <v>451</v>
      </c>
      <c r="BZ10" s="176">
        <v>6</v>
      </c>
      <c r="CA10" s="180" t="s">
        <v>452</v>
      </c>
      <c r="CB10" s="181">
        <v>21091016</v>
      </c>
      <c r="CC10" s="182" t="s">
        <v>453</v>
      </c>
      <c r="CD10" s="176">
        <v>6</v>
      </c>
      <c r="CE10" s="180" t="s">
        <v>454</v>
      </c>
      <c r="CF10" s="181">
        <v>21092183</v>
      </c>
      <c r="CG10" s="182" t="s">
        <v>455</v>
      </c>
      <c r="CH10" s="176">
        <v>6</v>
      </c>
      <c r="CI10" s="180" t="s">
        <v>456</v>
      </c>
      <c r="CJ10" s="181">
        <v>21092156</v>
      </c>
      <c r="CK10" s="182" t="s">
        <v>457</v>
      </c>
      <c r="CL10" s="176">
        <v>6</v>
      </c>
      <c r="CM10" s="180" t="s">
        <v>458</v>
      </c>
      <c r="CN10" s="181">
        <v>21092206</v>
      </c>
      <c r="CO10" s="182" t="s">
        <v>459</v>
      </c>
      <c r="CP10" s="176">
        <v>6</v>
      </c>
      <c r="CQ10" s="180" t="s">
        <v>460</v>
      </c>
      <c r="CR10" s="181">
        <v>21092163</v>
      </c>
      <c r="CS10" s="182" t="s">
        <v>461</v>
      </c>
      <c r="CT10" s="176">
        <v>6</v>
      </c>
      <c r="CU10" s="180" t="s">
        <v>462</v>
      </c>
      <c r="CV10" s="181">
        <v>21092170</v>
      </c>
      <c r="CW10" s="182" t="s">
        <v>463</v>
      </c>
      <c r="CX10" s="176">
        <v>6</v>
      </c>
      <c r="CY10" s="180" t="s">
        <v>510</v>
      </c>
      <c r="CZ10" s="181">
        <v>21092248</v>
      </c>
      <c r="DA10" s="182" t="s">
        <v>511</v>
      </c>
      <c r="DB10" s="176">
        <v>6</v>
      </c>
      <c r="DC10" s="180" t="s">
        <v>512</v>
      </c>
      <c r="DD10" s="181">
        <v>21092188</v>
      </c>
      <c r="DE10" s="182" t="s">
        <v>513</v>
      </c>
      <c r="DF10" s="176">
        <v>6</v>
      </c>
      <c r="DG10" s="180" t="s">
        <v>466</v>
      </c>
      <c r="DH10" s="181">
        <v>21092362</v>
      </c>
      <c r="DI10" s="182" t="s">
        <v>467</v>
      </c>
      <c r="DJ10" s="176">
        <v>6</v>
      </c>
      <c r="DK10" s="180" t="s">
        <v>468</v>
      </c>
      <c r="DL10" s="181">
        <v>2008130</v>
      </c>
      <c r="DM10" s="182" t="s">
        <v>469</v>
      </c>
      <c r="DN10" s="176">
        <v>6</v>
      </c>
      <c r="DO10" s="180" t="s">
        <v>1739</v>
      </c>
      <c r="DP10" s="181">
        <v>2008052</v>
      </c>
      <c r="DQ10" s="182" t="s">
        <v>470</v>
      </c>
      <c r="DR10" s="176">
        <v>6</v>
      </c>
      <c r="DS10" s="180" t="s">
        <v>1740</v>
      </c>
      <c r="DT10" s="181">
        <v>2008063</v>
      </c>
      <c r="DU10" s="182" t="s">
        <v>471</v>
      </c>
      <c r="DV10" s="176">
        <v>6</v>
      </c>
      <c r="DW10" s="180" t="s">
        <v>472</v>
      </c>
      <c r="DX10" s="181">
        <v>2008075</v>
      </c>
      <c r="DY10" s="182" t="s">
        <v>473</v>
      </c>
      <c r="DZ10" s="176">
        <v>6</v>
      </c>
      <c r="EA10" s="180" t="s">
        <v>474</v>
      </c>
      <c r="EB10" s="181">
        <v>2008080</v>
      </c>
      <c r="EC10" s="182" t="s">
        <v>475</v>
      </c>
      <c r="ED10" s="176">
        <v>6</v>
      </c>
      <c r="EE10" s="180" t="s">
        <v>476</v>
      </c>
      <c r="EF10" s="181">
        <v>2008073</v>
      </c>
      <c r="EG10" s="182" t="s">
        <v>477</v>
      </c>
      <c r="EH10" s="176">
        <v>6</v>
      </c>
      <c r="EI10" s="180" t="s">
        <v>478</v>
      </c>
      <c r="EJ10" s="181">
        <v>2008065</v>
      </c>
      <c r="EK10" s="182" t="s">
        <v>479</v>
      </c>
      <c r="EL10" s="176">
        <v>6</v>
      </c>
      <c r="EM10" s="180" t="s">
        <v>480</v>
      </c>
      <c r="EN10" s="181">
        <v>2008093</v>
      </c>
      <c r="EO10" s="182" t="s">
        <v>481</v>
      </c>
      <c r="EP10" s="176">
        <v>6</v>
      </c>
      <c r="EQ10" s="180" t="s">
        <v>482</v>
      </c>
      <c r="ER10" s="181">
        <v>2008060</v>
      </c>
      <c r="ES10" s="182" t="s">
        <v>483</v>
      </c>
      <c r="ET10" s="176">
        <v>6</v>
      </c>
      <c r="EU10" s="180" t="s">
        <v>484</v>
      </c>
      <c r="EV10" s="181">
        <v>2008045</v>
      </c>
      <c r="EW10" s="182" t="s">
        <v>485</v>
      </c>
      <c r="EX10" s="176">
        <v>6</v>
      </c>
      <c r="EY10" s="180" t="s">
        <v>159</v>
      </c>
      <c r="EZ10" s="181">
        <v>2008109</v>
      </c>
      <c r="FA10" s="182" t="s">
        <v>1741</v>
      </c>
      <c r="FB10" s="176">
        <v>6</v>
      </c>
      <c r="FC10" s="180" t="s">
        <v>486</v>
      </c>
      <c r="FD10" s="181">
        <v>2008038</v>
      </c>
      <c r="FE10" s="182" t="s">
        <v>487</v>
      </c>
      <c r="FF10" s="176">
        <v>6</v>
      </c>
      <c r="FG10" s="180" t="s">
        <v>488</v>
      </c>
      <c r="FH10" s="181">
        <v>2008362</v>
      </c>
      <c r="FI10" s="182" t="s">
        <v>489</v>
      </c>
    </row>
    <row r="11" spans="1:165" ht="15.75" x14ac:dyDescent="0.25">
      <c r="A11" s="9">
        <v>8</v>
      </c>
      <c r="B11" s="173" t="s">
        <v>1534</v>
      </c>
      <c r="C11" s="9">
        <v>30</v>
      </c>
      <c r="D11" s="9">
        <v>31</v>
      </c>
      <c r="E11" s="9">
        <v>32</v>
      </c>
      <c r="F11" s="176">
        <v>7</v>
      </c>
      <c r="G11" s="177" t="str">
        <f t="shared" si="0"/>
        <v>Daffa Arya Pudyastungkara</v>
      </c>
      <c r="H11" s="178">
        <f t="shared" si="1"/>
        <v>2008089</v>
      </c>
      <c r="I11" s="179" t="str">
        <f t="shared" si="2"/>
        <v>0043620048</v>
      </c>
      <c r="J11" s="176">
        <v>7</v>
      </c>
      <c r="K11" s="180" t="s">
        <v>1571</v>
      </c>
      <c r="L11" s="181">
        <v>22101029</v>
      </c>
      <c r="M11" s="182">
        <v>63124074</v>
      </c>
      <c r="N11" s="176">
        <v>7</v>
      </c>
      <c r="O11" s="180" t="s">
        <v>1742</v>
      </c>
      <c r="P11" s="181">
        <v>22101043</v>
      </c>
      <c r="Q11" s="182">
        <v>79369650</v>
      </c>
      <c r="R11" s="176">
        <v>7</v>
      </c>
      <c r="S11" s="180" t="s">
        <v>1743</v>
      </c>
      <c r="T11" s="192">
        <v>22000000</v>
      </c>
      <c r="U11" s="182">
        <v>72259392</v>
      </c>
      <c r="V11" s="176">
        <v>7</v>
      </c>
      <c r="W11" s="180" t="s">
        <v>1744</v>
      </c>
      <c r="X11" s="181">
        <v>22101044</v>
      </c>
      <c r="Y11" s="182" t="s">
        <v>1745</v>
      </c>
      <c r="Z11" s="176">
        <v>7</v>
      </c>
      <c r="AA11" s="180" t="s">
        <v>1746</v>
      </c>
      <c r="AB11" s="181">
        <v>22101035</v>
      </c>
      <c r="AC11" s="182" t="s">
        <v>1747</v>
      </c>
      <c r="AD11" s="176">
        <v>7</v>
      </c>
      <c r="AE11" s="180" t="s">
        <v>1748</v>
      </c>
      <c r="AF11" s="181">
        <v>22102182</v>
      </c>
      <c r="AG11" s="182" t="s">
        <v>1749</v>
      </c>
      <c r="AH11" s="176">
        <v>7</v>
      </c>
      <c r="AI11" s="180" t="s">
        <v>1750</v>
      </c>
      <c r="AJ11" s="181">
        <v>22102230</v>
      </c>
      <c r="AK11" s="182" t="s">
        <v>1751</v>
      </c>
      <c r="AL11" s="176">
        <v>7</v>
      </c>
      <c r="AM11" s="180" t="s">
        <v>1752</v>
      </c>
      <c r="AN11" s="181">
        <v>22102206</v>
      </c>
      <c r="AO11" s="182" t="s">
        <v>1753</v>
      </c>
      <c r="AP11" s="176">
        <v>7</v>
      </c>
      <c r="AQ11" s="180" t="s">
        <v>1754</v>
      </c>
      <c r="AR11" s="181">
        <v>22102191</v>
      </c>
      <c r="AS11" s="182" t="s">
        <v>1755</v>
      </c>
      <c r="AT11" s="176">
        <v>7</v>
      </c>
      <c r="AU11" s="180" t="s">
        <v>1756</v>
      </c>
      <c r="AV11" s="181">
        <v>22102221</v>
      </c>
      <c r="AW11" s="182" t="s">
        <v>1757</v>
      </c>
      <c r="AX11" s="176">
        <v>7</v>
      </c>
      <c r="AY11" s="180" t="s">
        <v>1758</v>
      </c>
      <c r="AZ11" s="181">
        <v>22102215</v>
      </c>
      <c r="BA11" s="182" t="s">
        <v>1759</v>
      </c>
      <c r="BB11" s="176">
        <v>7</v>
      </c>
      <c r="BC11" s="180" t="s">
        <v>1760</v>
      </c>
      <c r="BD11" s="181">
        <v>22102240</v>
      </c>
      <c r="BE11" s="182" t="s">
        <v>1761</v>
      </c>
      <c r="BF11" s="176">
        <v>7</v>
      </c>
      <c r="BG11" s="180" t="s">
        <v>1762</v>
      </c>
      <c r="BH11" s="181">
        <v>22102390</v>
      </c>
      <c r="BI11" s="182" t="s">
        <v>1763</v>
      </c>
      <c r="BJ11" s="176">
        <v>7</v>
      </c>
      <c r="BK11" s="180" t="s">
        <v>490</v>
      </c>
      <c r="BL11" s="181">
        <v>21091040</v>
      </c>
      <c r="BM11" s="182" t="s">
        <v>491</v>
      </c>
      <c r="BN11" s="176">
        <v>7</v>
      </c>
      <c r="BO11" s="180" t="s">
        <v>492</v>
      </c>
      <c r="BP11" s="181">
        <v>21091034</v>
      </c>
      <c r="BQ11" s="182" t="s">
        <v>493</v>
      </c>
      <c r="BR11" s="176">
        <v>7</v>
      </c>
      <c r="BS11" s="180" t="s">
        <v>494</v>
      </c>
      <c r="BT11" s="181">
        <v>21091056</v>
      </c>
      <c r="BU11" s="182" t="s">
        <v>495</v>
      </c>
      <c r="BV11" s="176">
        <v>7</v>
      </c>
      <c r="BW11" s="180" t="s">
        <v>496</v>
      </c>
      <c r="BX11" s="181">
        <v>21091029</v>
      </c>
      <c r="BY11" s="182" t="s">
        <v>497</v>
      </c>
      <c r="BZ11" s="176">
        <v>7</v>
      </c>
      <c r="CA11" s="180" t="s">
        <v>498</v>
      </c>
      <c r="CB11" s="181">
        <v>21091021</v>
      </c>
      <c r="CC11" s="182" t="s">
        <v>499</v>
      </c>
      <c r="CD11" s="176">
        <v>7</v>
      </c>
      <c r="CE11" s="180" t="s">
        <v>500</v>
      </c>
      <c r="CF11" s="181">
        <v>21092187</v>
      </c>
      <c r="CG11" s="182" t="s">
        <v>501</v>
      </c>
      <c r="CH11" s="176">
        <v>7</v>
      </c>
      <c r="CI11" s="180" t="s">
        <v>502</v>
      </c>
      <c r="CJ11" s="181">
        <v>21092171</v>
      </c>
      <c r="CK11" s="182" t="s">
        <v>503</v>
      </c>
      <c r="CL11" s="176">
        <v>7</v>
      </c>
      <c r="CM11" s="180" t="s">
        <v>504</v>
      </c>
      <c r="CN11" s="181">
        <v>21092209</v>
      </c>
      <c r="CO11" s="182" t="s">
        <v>505</v>
      </c>
      <c r="CP11" s="176">
        <v>7</v>
      </c>
      <c r="CQ11" s="180" t="s">
        <v>506</v>
      </c>
      <c r="CR11" s="181">
        <v>21092164</v>
      </c>
      <c r="CS11" s="182" t="s">
        <v>507</v>
      </c>
      <c r="CT11" s="176">
        <v>7</v>
      </c>
      <c r="CU11" s="180" t="s">
        <v>508</v>
      </c>
      <c r="CV11" s="181">
        <v>21092182</v>
      </c>
      <c r="CW11" s="182" t="s">
        <v>509</v>
      </c>
      <c r="CX11" s="176">
        <v>7</v>
      </c>
      <c r="CY11" s="180" t="s">
        <v>557</v>
      </c>
      <c r="CZ11" s="181">
        <v>21092251</v>
      </c>
      <c r="DA11" s="182" t="s">
        <v>558</v>
      </c>
      <c r="DB11" s="176">
        <v>7</v>
      </c>
      <c r="DC11" s="180" t="s">
        <v>559</v>
      </c>
      <c r="DD11" s="181">
        <v>21092189</v>
      </c>
      <c r="DE11" s="182" t="s">
        <v>560</v>
      </c>
      <c r="DF11" s="176">
        <v>7</v>
      </c>
      <c r="DG11" s="180" t="s">
        <v>514</v>
      </c>
      <c r="DH11" s="181">
        <v>21092363</v>
      </c>
      <c r="DI11" s="182" t="s">
        <v>515</v>
      </c>
      <c r="DJ11" s="176">
        <v>7</v>
      </c>
      <c r="DK11" s="180" t="s">
        <v>563</v>
      </c>
      <c r="DL11" s="181">
        <v>2008198</v>
      </c>
      <c r="DM11" s="182" t="s">
        <v>564</v>
      </c>
      <c r="DN11" s="176">
        <v>7</v>
      </c>
      <c r="DO11" s="180" t="s">
        <v>516</v>
      </c>
      <c r="DP11" s="181">
        <v>2008055</v>
      </c>
      <c r="DQ11" s="182" t="s">
        <v>517</v>
      </c>
      <c r="DR11" s="176">
        <v>7</v>
      </c>
      <c r="DS11" s="180" t="s">
        <v>518</v>
      </c>
      <c r="DT11" s="181">
        <v>2008076</v>
      </c>
      <c r="DU11" s="182" t="s">
        <v>519</v>
      </c>
      <c r="DV11" s="176">
        <v>7</v>
      </c>
      <c r="DW11" s="180" t="s">
        <v>520</v>
      </c>
      <c r="DX11" s="181">
        <v>2008089</v>
      </c>
      <c r="DY11" s="182" t="s">
        <v>521</v>
      </c>
      <c r="DZ11" s="176">
        <v>7</v>
      </c>
      <c r="EA11" s="180" t="s">
        <v>522</v>
      </c>
      <c r="EB11" s="181">
        <v>2008094</v>
      </c>
      <c r="EC11" s="182" t="s">
        <v>523</v>
      </c>
      <c r="ED11" s="176">
        <v>7</v>
      </c>
      <c r="EE11" s="180" t="s">
        <v>524</v>
      </c>
      <c r="EF11" s="181">
        <v>2008081</v>
      </c>
      <c r="EG11" s="182" t="s">
        <v>525</v>
      </c>
      <c r="EH11" s="176">
        <v>7</v>
      </c>
      <c r="EI11" s="180" t="s">
        <v>526</v>
      </c>
      <c r="EJ11" s="181">
        <v>2008069</v>
      </c>
      <c r="EK11" s="182" t="s">
        <v>527</v>
      </c>
      <c r="EL11" s="176">
        <v>7</v>
      </c>
      <c r="EM11" s="180" t="s">
        <v>528</v>
      </c>
      <c r="EN11" s="181">
        <v>2008120</v>
      </c>
      <c r="EO11" s="182" t="s">
        <v>529</v>
      </c>
      <c r="EP11" s="176">
        <v>7</v>
      </c>
      <c r="EQ11" s="180" t="s">
        <v>530</v>
      </c>
      <c r="ER11" s="181">
        <v>2008104</v>
      </c>
      <c r="ES11" s="182" t="s">
        <v>1764</v>
      </c>
      <c r="ET11" s="176">
        <v>7</v>
      </c>
      <c r="EU11" s="180" t="s">
        <v>531</v>
      </c>
      <c r="EV11" s="181">
        <v>2008056</v>
      </c>
      <c r="EW11" s="182" t="s">
        <v>532</v>
      </c>
      <c r="EX11" s="176">
        <v>7</v>
      </c>
      <c r="EY11" s="180" t="s">
        <v>160</v>
      </c>
      <c r="EZ11" s="181">
        <v>2008119</v>
      </c>
      <c r="FA11" s="182" t="s">
        <v>183</v>
      </c>
      <c r="FB11" s="176">
        <v>7</v>
      </c>
      <c r="FC11" s="180" t="s">
        <v>533</v>
      </c>
      <c r="FD11" s="181">
        <v>2008040</v>
      </c>
      <c r="FE11" s="182" t="s">
        <v>534</v>
      </c>
      <c r="FF11" s="176">
        <v>7</v>
      </c>
      <c r="FG11" s="180" t="s">
        <v>535</v>
      </c>
      <c r="FH11" s="181">
        <v>2008363</v>
      </c>
      <c r="FI11" s="182" t="s">
        <v>536</v>
      </c>
    </row>
    <row r="12" spans="1:165" ht="15.75" x14ac:dyDescent="0.25">
      <c r="A12" s="9">
        <v>9</v>
      </c>
      <c r="B12" s="173" t="s">
        <v>1535</v>
      </c>
      <c r="C12" s="9">
        <v>34</v>
      </c>
      <c r="D12" s="9">
        <v>35</v>
      </c>
      <c r="E12" s="9">
        <v>36</v>
      </c>
      <c r="F12" s="176">
        <v>8</v>
      </c>
      <c r="G12" s="177" t="str">
        <f t="shared" si="0"/>
        <v>Dody Muhammad Pasha</v>
      </c>
      <c r="H12" s="178">
        <f t="shared" si="1"/>
        <v>2008095</v>
      </c>
      <c r="I12" s="179" t="str">
        <f t="shared" si="2"/>
        <v>0053814584</v>
      </c>
      <c r="J12" s="176">
        <v>8</v>
      </c>
      <c r="K12" s="180" t="s">
        <v>1572</v>
      </c>
      <c r="L12" s="185">
        <v>22101037</v>
      </c>
      <c r="M12" s="186">
        <v>76705270</v>
      </c>
      <c r="N12" s="176">
        <v>8</v>
      </c>
      <c r="O12" s="180" t="s">
        <v>1765</v>
      </c>
      <c r="P12" s="185">
        <v>22101055</v>
      </c>
      <c r="Q12" s="186">
        <v>78709540</v>
      </c>
      <c r="R12" s="176">
        <v>8</v>
      </c>
      <c r="S12" s="180" t="s">
        <v>1766</v>
      </c>
      <c r="T12" s="194">
        <v>22000000</v>
      </c>
      <c r="U12" s="186">
        <v>63441667</v>
      </c>
      <c r="V12" s="176">
        <v>8</v>
      </c>
      <c r="W12" s="180" t="s">
        <v>1767</v>
      </c>
      <c r="X12" s="185">
        <v>22101045</v>
      </c>
      <c r="Y12" s="186" t="s">
        <v>1768</v>
      </c>
      <c r="Z12" s="176">
        <v>8</v>
      </c>
      <c r="AA12" s="180" t="s">
        <v>1769</v>
      </c>
      <c r="AB12" s="185">
        <v>22101036</v>
      </c>
      <c r="AC12" s="186" t="s">
        <v>1770</v>
      </c>
      <c r="AD12" s="176">
        <v>8</v>
      </c>
      <c r="AE12" s="180" t="s">
        <v>1771</v>
      </c>
      <c r="AF12" s="185">
        <v>22102194</v>
      </c>
      <c r="AG12" s="186" t="s">
        <v>1772</v>
      </c>
      <c r="AH12" s="176">
        <v>8</v>
      </c>
      <c r="AI12" s="180" t="s">
        <v>1773</v>
      </c>
      <c r="AJ12" s="185">
        <v>22102237</v>
      </c>
      <c r="AK12" s="186" t="s">
        <v>1774</v>
      </c>
      <c r="AL12" s="176">
        <v>8</v>
      </c>
      <c r="AM12" s="180" t="s">
        <v>1775</v>
      </c>
      <c r="AN12" s="185">
        <v>22102207</v>
      </c>
      <c r="AO12" s="186" t="s">
        <v>1776</v>
      </c>
      <c r="AP12" s="176">
        <v>8</v>
      </c>
      <c r="AQ12" s="180" t="s">
        <v>1777</v>
      </c>
      <c r="AR12" s="185">
        <v>22102201</v>
      </c>
      <c r="AS12" s="186" t="s">
        <v>1778</v>
      </c>
      <c r="AT12" s="176">
        <v>8</v>
      </c>
      <c r="AU12" s="180" t="s">
        <v>1779</v>
      </c>
      <c r="AV12" s="185">
        <v>22102224</v>
      </c>
      <c r="AW12" s="186" t="s">
        <v>1780</v>
      </c>
      <c r="AX12" s="176">
        <v>8</v>
      </c>
      <c r="AY12" s="180" t="s">
        <v>1781</v>
      </c>
      <c r="AZ12" s="185">
        <v>22102222</v>
      </c>
      <c r="BA12" s="186" t="s">
        <v>1782</v>
      </c>
      <c r="BB12" s="176">
        <v>8</v>
      </c>
      <c r="BC12" s="180" t="s">
        <v>1783</v>
      </c>
      <c r="BD12" s="185">
        <v>22102242</v>
      </c>
      <c r="BE12" s="186" t="s">
        <v>1784</v>
      </c>
      <c r="BF12" s="176">
        <v>8</v>
      </c>
      <c r="BG12" s="180" t="s">
        <v>1785</v>
      </c>
      <c r="BH12" s="185">
        <v>22101381</v>
      </c>
      <c r="BI12" s="186" t="s">
        <v>1786</v>
      </c>
      <c r="BJ12" s="176">
        <v>8</v>
      </c>
      <c r="BK12" s="180" t="s">
        <v>537</v>
      </c>
      <c r="BL12" s="185">
        <v>21091047</v>
      </c>
      <c r="BM12" s="186" t="s">
        <v>538</v>
      </c>
      <c r="BN12" s="176">
        <v>8</v>
      </c>
      <c r="BO12" s="180" t="s">
        <v>539</v>
      </c>
      <c r="BP12" s="185">
        <v>21091035</v>
      </c>
      <c r="BQ12" s="186" t="s">
        <v>540</v>
      </c>
      <c r="BR12" s="176">
        <v>8</v>
      </c>
      <c r="BS12" s="180" t="s">
        <v>541</v>
      </c>
      <c r="BT12" s="185">
        <v>21091061</v>
      </c>
      <c r="BU12" s="186" t="s">
        <v>542</v>
      </c>
      <c r="BV12" s="176">
        <v>8</v>
      </c>
      <c r="BW12" s="180" t="s">
        <v>543</v>
      </c>
      <c r="BX12" s="185">
        <v>21091030</v>
      </c>
      <c r="BY12" s="186" t="s">
        <v>544</v>
      </c>
      <c r="BZ12" s="176">
        <v>8</v>
      </c>
      <c r="CA12" s="180" t="s">
        <v>545</v>
      </c>
      <c r="CB12" s="185">
        <v>21091023</v>
      </c>
      <c r="CC12" s="186" t="s">
        <v>546</v>
      </c>
      <c r="CD12" s="176">
        <v>8</v>
      </c>
      <c r="CE12" s="180" t="s">
        <v>547</v>
      </c>
      <c r="CF12" s="185">
        <v>21092194</v>
      </c>
      <c r="CG12" s="186" t="s">
        <v>548</v>
      </c>
      <c r="CH12" s="176">
        <v>8</v>
      </c>
      <c r="CI12" s="180" t="s">
        <v>549</v>
      </c>
      <c r="CJ12" s="185">
        <v>21092172</v>
      </c>
      <c r="CK12" s="186" t="s">
        <v>550</v>
      </c>
      <c r="CL12" s="176">
        <v>8</v>
      </c>
      <c r="CM12" s="180" t="s">
        <v>551</v>
      </c>
      <c r="CN12" s="185">
        <v>21092214</v>
      </c>
      <c r="CO12" s="186" t="s">
        <v>552</v>
      </c>
      <c r="CP12" s="176">
        <v>8</v>
      </c>
      <c r="CQ12" s="180" t="s">
        <v>553</v>
      </c>
      <c r="CR12" s="185">
        <v>21092165</v>
      </c>
      <c r="CS12" s="186" t="s">
        <v>554</v>
      </c>
      <c r="CT12" s="176">
        <v>8</v>
      </c>
      <c r="CU12" s="180" t="s">
        <v>555</v>
      </c>
      <c r="CV12" s="185">
        <v>21092184</v>
      </c>
      <c r="CW12" s="186" t="s">
        <v>556</v>
      </c>
      <c r="CX12" s="176">
        <v>8</v>
      </c>
      <c r="CY12" s="180" t="s">
        <v>602</v>
      </c>
      <c r="CZ12" s="185">
        <v>21092253</v>
      </c>
      <c r="DA12" s="186" t="s">
        <v>603</v>
      </c>
      <c r="DB12" s="176">
        <v>8</v>
      </c>
      <c r="DC12" s="180" t="s">
        <v>604</v>
      </c>
      <c r="DD12" s="185">
        <v>21092192</v>
      </c>
      <c r="DE12" s="186" t="s">
        <v>605</v>
      </c>
      <c r="DF12" s="176">
        <v>8</v>
      </c>
      <c r="DG12" s="180" t="s">
        <v>561</v>
      </c>
      <c r="DH12" s="185">
        <v>21092364</v>
      </c>
      <c r="DI12" s="186" t="s">
        <v>562</v>
      </c>
      <c r="DJ12" s="176">
        <v>8</v>
      </c>
      <c r="DK12" s="180" t="s">
        <v>606</v>
      </c>
      <c r="DL12" s="185">
        <v>2008202</v>
      </c>
      <c r="DM12" s="186" t="s">
        <v>1787</v>
      </c>
      <c r="DN12" s="176">
        <v>8</v>
      </c>
      <c r="DO12" s="180" t="s">
        <v>565</v>
      </c>
      <c r="DP12" s="185">
        <v>2008058</v>
      </c>
      <c r="DQ12" s="186" t="s">
        <v>566</v>
      </c>
      <c r="DR12" s="176">
        <v>8</v>
      </c>
      <c r="DS12" s="180" t="s">
        <v>609</v>
      </c>
      <c r="DT12" s="185">
        <v>2008098</v>
      </c>
      <c r="DU12" s="186" t="s">
        <v>610</v>
      </c>
      <c r="DV12" s="176">
        <v>8</v>
      </c>
      <c r="DW12" s="180" t="s">
        <v>567</v>
      </c>
      <c r="DX12" s="185">
        <v>2008095</v>
      </c>
      <c r="DY12" s="186" t="s">
        <v>568</v>
      </c>
      <c r="DZ12" s="176">
        <v>8</v>
      </c>
      <c r="EA12" s="180" t="s">
        <v>569</v>
      </c>
      <c r="EB12" s="185">
        <v>2008097</v>
      </c>
      <c r="EC12" s="186" t="s">
        <v>570</v>
      </c>
      <c r="ED12" s="176">
        <v>8</v>
      </c>
      <c r="EE12" s="180" t="s">
        <v>571</v>
      </c>
      <c r="EF12" s="185">
        <v>2008107</v>
      </c>
      <c r="EG12" s="186" t="s">
        <v>572</v>
      </c>
      <c r="EH12" s="176">
        <v>8</v>
      </c>
      <c r="EI12" s="180" t="s">
        <v>573</v>
      </c>
      <c r="EJ12" s="185">
        <v>2008102</v>
      </c>
      <c r="EK12" s="186" t="s">
        <v>574</v>
      </c>
      <c r="EL12" s="176">
        <v>8</v>
      </c>
      <c r="EM12" s="180" t="s">
        <v>575</v>
      </c>
      <c r="EN12" s="185">
        <v>2008121</v>
      </c>
      <c r="EO12" s="186" t="s">
        <v>576</v>
      </c>
      <c r="EP12" s="176">
        <v>8</v>
      </c>
      <c r="EQ12" s="180" t="s">
        <v>577</v>
      </c>
      <c r="ER12" s="185">
        <v>2008140</v>
      </c>
      <c r="ES12" s="186" t="s">
        <v>578</v>
      </c>
      <c r="ET12" s="176">
        <v>8</v>
      </c>
      <c r="EU12" s="180" t="s">
        <v>579</v>
      </c>
      <c r="EV12" s="185">
        <v>2008067</v>
      </c>
      <c r="EW12" s="186" t="s">
        <v>580</v>
      </c>
      <c r="EX12" s="176">
        <v>8</v>
      </c>
      <c r="EY12" s="180" t="s">
        <v>161</v>
      </c>
      <c r="EZ12" s="185">
        <v>2008124</v>
      </c>
      <c r="FA12" s="186" t="s">
        <v>1788</v>
      </c>
      <c r="FB12" s="176">
        <v>8</v>
      </c>
      <c r="FC12" s="180" t="s">
        <v>1789</v>
      </c>
      <c r="FD12" s="185">
        <v>2008044</v>
      </c>
      <c r="FE12" s="186" t="s">
        <v>581</v>
      </c>
      <c r="FF12" s="176">
        <v>8</v>
      </c>
      <c r="FG12" s="180"/>
      <c r="FH12" s="185"/>
      <c r="FI12" s="186"/>
    </row>
    <row r="13" spans="1:165" ht="15.75" x14ac:dyDescent="0.25">
      <c r="A13" s="9">
        <v>10</v>
      </c>
      <c r="B13" s="173" t="s">
        <v>1536</v>
      </c>
      <c r="C13" s="9">
        <v>38</v>
      </c>
      <c r="D13" s="9">
        <v>39</v>
      </c>
      <c r="E13" s="9">
        <v>40</v>
      </c>
      <c r="F13" s="176">
        <v>9</v>
      </c>
      <c r="G13" s="177" t="str">
        <f t="shared" si="0"/>
        <v>Elga Perdana</v>
      </c>
      <c r="H13" s="178">
        <f t="shared" si="1"/>
        <v>2008099</v>
      </c>
      <c r="I13" s="179" t="str">
        <f t="shared" si="2"/>
        <v>0054718584</v>
      </c>
      <c r="J13" s="176">
        <v>9</v>
      </c>
      <c r="K13" s="180" t="s">
        <v>1573</v>
      </c>
      <c r="L13" s="181">
        <v>22101050</v>
      </c>
      <c r="M13" s="182">
        <v>75851782</v>
      </c>
      <c r="N13" s="176">
        <v>9</v>
      </c>
      <c r="O13" s="180" t="s">
        <v>1790</v>
      </c>
      <c r="P13" s="181">
        <v>22101057</v>
      </c>
      <c r="Q13" s="182">
        <v>71210286</v>
      </c>
      <c r="R13" s="176">
        <v>9</v>
      </c>
      <c r="S13" s="180" t="s">
        <v>1791</v>
      </c>
      <c r="T13" s="192">
        <v>22000000</v>
      </c>
      <c r="U13" s="182">
        <v>71610371</v>
      </c>
      <c r="V13" s="176">
        <v>9</v>
      </c>
      <c r="W13" s="180" t="s">
        <v>1792</v>
      </c>
      <c r="X13" s="181">
        <v>22101048</v>
      </c>
      <c r="Y13" s="182" t="s">
        <v>1793</v>
      </c>
      <c r="Z13" s="176">
        <v>9</v>
      </c>
      <c r="AA13" s="180" t="s">
        <v>1794</v>
      </c>
      <c r="AB13" s="181">
        <v>22101038</v>
      </c>
      <c r="AC13" s="182" t="s">
        <v>1795</v>
      </c>
      <c r="AD13" s="176">
        <v>9</v>
      </c>
      <c r="AE13" s="180" t="s">
        <v>1796</v>
      </c>
      <c r="AF13" s="181">
        <v>22102204</v>
      </c>
      <c r="AG13" s="182" t="s">
        <v>1797</v>
      </c>
      <c r="AH13" s="176">
        <v>9</v>
      </c>
      <c r="AI13" s="180" t="s">
        <v>1798</v>
      </c>
      <c r="AJ13" s="181">
        <v>22102239</v>
      </c>
      <c r="AK13" s="182" t="s">
        <v>1799</v>
      </c>
      <c r="AL13" s="176">
        <v>9</v>
      </c>
      <c r="AM13" s="180" t="s">
        <v>1800</v>
      </c>
      <c r="AN13" s="181">
        <v>22102225</v>
      </c>
      <c r="AO13" s="182" t="s">
        <v>1801</v>
      </c>
      <c r="AP13" s="176">
        <v>9</v>
      </c>
      <c r="AQ13" s="180" t="s">
        <v>1802</v>
      </c>
      <c r="AR13" s="181">
        <v>22102210</v>
      </c>
      <c r="AS13" s="182" t="s">
        <v>1803</v>
      </c>
      <c r="AT13" s="176">
        <v>9</v>
      </c>
      <c r="AU13" s="180" t="s">
        <v>1804</v>
      </c>
      <c r="AV13" s="181">
        <v>22102236</v>
      </c>
      <c r="AW13" s="182" t="s">
        <v>1805</v>
      </c>
      <c r="AX13" s="176">
        <v>9</v>
      </c>
      <c r="AY13" s="180" t="s">
        <v>1806</v>
      </c>
      <c r="AZ13" s="181">
        <v>22102228</v>
      </c>
      <c r="BA13" s="182" t="s">
        <v>1807</v>
      </c>
      <c r="BB13" s="176">
        <v>9</v>
      </c>
      <c r="BC13" s="180" t="s">
        <v>1808</v>
      </c>
      <c r="BD13" s="181">
        <v>22102248</v>
      </c>
      <c r="BE13" s="182" t="s">
        <v>1809</v>
      </c>
      <c r="BF13" s="176">
        <v>9</v>
      </c>
      <c r="BG13" s="180" t="s">
        <v>1810</v>
      </c>
      <c r="BH13" s="181">
        <v>22102391</v>
      </c>
      <c r="BI13" s="182" t="s">
        <v>1811</v>
      </c>
      <c r="BJ13" s="176">
        <v>9</v>
      </c>
      <c r="BK13" s="180" t="s">
        <v>582</v>
      </c>
      <c r="BL13" s="181">
        <v>21091048</v>
      </c>
      <c r="BM13" s="182" t="s">
        <v>583</v>
      </c>
      <c r="BN13" s="176">
        <v>9</v>
      </c>
      <c r="BO13" s="180" t="s">
        <v>584</v>
      </c>
      <c r="BP13" s="181">
        <v>21091037</v>
      </c>
      <c r="BQ13" s="182" t="s">
        <v>585</v>
      </c>
      <c r="BR13" s="176">
        <v>9</v>
      </c>
      <c r="BS13" s="180" t="s">
        <v>586</v>
      </c>
      <c r="BT13" s="181">
        <v>21091063</v>
      </c>
      <c r="BU13" s="182" t="s">
        <v>587</v>
      </c>
      <c r="BV13" s="176">
        <v>9</v>
      </c>
      <c r="BW13" s="180" t="s">
        <v>588</v>
      </c>
      <c r="BX13" s="181">
        <v>21091031</v>
      </c>
      <c r="BY13" s="182" t="s">
        <v>589</v>
      </c>
      <c r="BZ13" s="176">
        <v>9</v>
      </c>
      <c r="CA13" s="180" t="s">
        <v>590</v>
      </c>
      <c r="CB13" s="181">
        <v>21091032</v>
      </c>
      <c r="CC13" s="182" t="s">
        <v>591</v>
      </c>
      <c r="CD13" s="176">
        <v>9</v>
      </c>
      <c r="CE13" s="180" t="s">
        <v>592</v>
      </c>
      <c r="CF13" s="181">
        <v>21092199</v>
      </c>
      <c r="CG13" s="182" t="s">
        <v>593</v>
      </c>
      <c r="CH13" s="176">
        <v>9</v>
      </c>
      <c r="CI13" s="180" t="s">
        <v>594</v>
      </c>
      <c r="CJ13" s="181">
        <v>21092176</v>
      </c>
      <c r="CK13" s="182" t="s">
        <v>595</v>
      </c>
      <c r="CL13" s="176">
        <v>9</v>
      </c>
      <c r="CM13" s="180" t="s">
        <v>596</v>
      </c>
      <c r="CN13" s="181">
        <v>21092215</v>
      </c>
      <c r="CO13" s="182" t="s">
        <v>597</v>
      </c>
      <c r="CP13" s="176">
        <v>9</v>
      </c>
      <c r="CQ13" s="180" t="s">
        <v>598</v>
      </c>
      <c r="CR13" s="181">
        <v>21092168</v>
      </c>
      <c r="CS13" s="182" t="s">
        <v>599</v>
      </c>
      <c r="CT13" s="176">
        <v>9</v>
      </c>
      <c r="CU13" s="180" t="s">
        <v>600</v>
      </c>
      <c r="CV13" s="181">
        <v>21092185</v>
      </c>
      <c r="CW13" s="182" t="s">
        <v>601</v>
      </c>
      <c r="CX13" s="176">
        <v>9</v>
      </c>
      <c r="CY13" s="180" t="s">
        <v>647</v>
      </c>
      <c r="CZ13" s="181">
        <v>21092254</v>
      </c>
      <c r="DA13" s="182" t="s">
        <v>648</v>
      </c>
      <c r="DB13" s="176">
        <v>9</v>
      </c>
      <c r="DC13" s="180" t="s">
        <v>649</v>
      </c>
      <c r="DD13" s="181">
        <v>21092196</v>
      </c>
      <c r="DE13" s="182" t="s">
        <v>650</v>
      </c>
      <c r="DF13" s="176">
        <v>9</v>
      </c>
      <c r="DG13" s="180" t="s">
        <v>651</v>
      </c>
      <c r="DH13" s="181">
        <v>21092366</v>
      </c>
      <c r="DI13" s="182" t="s">
        <v>652</v>
      </c>
      <c r="DJ13" s="176">
        <v>9</v>
      </c>
      <c r="DK13" s="180" t="s">
        <v>653</v>
      </c>
      <c r="DL13" s="181">
        <v>2008203</v>
      </c>
      <c r="DM13" s="182" t="s">
        <v>654</v>
      </c>
      <c r="DN13" s="176">
        <v>9</v>
      </c>
      <c r="DO13" s="180" t="s">
        <v>607</v>
      </c>
      <c r="DP13" s="181">
        <v>2008061</v>
      </c>
      <c r="DQ13" s="182" t="s">
        <v>608</v>
      </c>
      <c r="DR13" s="176">
        <v>9</v>
      </c>
      <c r="DS13" s="180" t="s">
        <v>657</v>
      </c>
      <c r="DT13" s="181">
        <v>2008100</v>
      </c>
      <c r="DU13" s="182" t="s">
        <v>658</v>
      </c>
      <c r="DV13" s="176">
        <v>9</v>
      </c>
      <c r="DW13" s="180" t="s">
        <v>611</v>
      </c>
      <c r="DX13" s="181">
        <v>2008099</v>
      </c>
      <c r="DY13" s="182" t="s">
        <v>612</v>
      </c>
      <c r="DZ13" s="176">
        <v>9</v>
      </c>
      <c r="EA13" s="180" t="s">
        <v>613</v>
      </c>
      <c r="EB13" s="181">
        <v>2008105</v>
      </c>
      <c r="EC13" s="182" t="s">
        <v>614</v>
      </c>
      <c r="ED13" s="176">
        <v>9</v>
      </c>
      <c r="EE13" s="180" t="s">
        <v>615</v>
      </c>
      <c r="EF13" s="181">
        <v>2008115</v>
      </c>
      <c r="EG13" s="182" t="s">
        <v>616</v>
      </c>
      <c r="EH13" s="176">
        <v>9</v>
      </c>
      <c r="EI13" s="180" t="s">
        <v>617</v>
      </c>
      <c r="EJ13" s="181">
        <v>2008116</v>
      </c>
      <c r="EK13" s="182" t="s">
        <v>618</v>
      </c>
      <c r="EL13" s="176">
        <v>9</v>
      </c>
      <c r="EM13" s="180" t="s">
        <v>619</v>
      </c>
      <c r="EN13" s="181">
        <v>2008129</v>
      </c>
      <c r="EO13" s="182" t="s">
        <v>620</v>
      </c>
      <c r="EP13" s="176">
        <v>9</v>
      </c>
      <c r="EQ13" s="180" t="s">
        <v>621</v>
      </c>
      <c r="ER13" s="181">
        <v>2008150</v>
      </c>
      <c r="ES13" s="182" t="s">
        <v>622</v>
      </c>
      <c r="ET13" s="176">
        <v>9</v>
      </c>
      <c r="EU13" s="180" t="s">
        <v>623</v>
      </c>
      <c r="EV13" s="181">
        <v>2008071</v>
      </c>
      <c r="EW13" s="182" t="s">
        <v>624</v>
      </c>
      <c r="EX13" s="176">
        <v>9</v>
      </c>
      <c r="EY13" s="180" t="s">
        <v>162</v>
      </c>
      <c r="EZ13" s="181">
        <v>2008126</v>
      </c>
      <c r="FA13" s="182" t="s">
        <v>184</v>
      </c>
      <c r="FB13" s="176">
        <v>9</v>
      </c>
      <c r="FC13" s="180" t="s">
        <v>625</v>
      </c>
      <c r="FD13" s="181">
        <v>2008053</v>
      </c>
      <c r="FE13" s="182" t="s">
        <v>626</v>
      </c>
      <c r="FF13" s="176">
        <v>9</v>
      </c>
      <c r="FG13" s="180"/>
      <c r="FH13" s="181"/>
      <c r="FI13" s="182"/>
    </row>
    <row r="14" spans="1:165" ht="15.75" x14ac:dyDescent="0.25">
      <c r="A14" s="9">
        <v>11</v>
      </c>
      <c r="B14" s="173" t="s">
        <v>1537</v>
      </c>
      <c r="C14" s="9">
        <v>42</v>
      </c>
      <c r="D14" s="9">
        <v>43</v>
      </c>
      <c r="E14" s="9">
        <v>44</v>
      </c>
      <c r="F14" s="176">
        <v>10</v>
      </c>
      <c r="G14" s="177" t="str">
        <f t="shared" si="0"/>
        <v>Fathoni Daniswara</v>
      </c>
      <c r="H14" s="178">
        <f t="shared" si="1"/>
        <v>2008118</v>
      </c>
      <c r="I14" s="179" t="str">
        <f t="shared" si="2"/>
        <v>0057882873</v>
      </c>
      <c r="J14" s="176">
        <v>10</v>
      </c>
      <c r="K14" s="180" t="s">
        <v>1574</v>
      </c>
      <c r="L14" s="181">
        <v>22101056</v>
      </c>
      <c r="M14" s="182">
        <v>73801465</v>
      </c>
      <c r="N14" s="176">
        <v>10</v>
      </c>
      <c r="O14" s="180" t="s">
        <v>1812</v>
      </c>
      <c r="P14" s="181">
        <v>22101061</v>
      </c>
      <c r="Q14" s="182">
        <v>62208340</v>
      </c>
      <c r="R14" s="176">
        <v>10</v>
      </c>
      <c r="S14" s="180" t="s">
        <v>1813</v>
      </c>
      <c r="T14" s="192">
        <v>22000000</v>
      </c>
      <c r="U14" s="182">
        <v>72867600</v>
      </c>
      <c r="V14" s="176">
        <v>10</v>
      </c>
      <c r="W14" s="180" t="s">
        <v>1814</v>
      </c>
      <c r="X14" s="181">
        <v>22101051</v>
      </c>
      <c r="Y14" s="182" t="s">
        <v>1815</v>
      </c>
      <c r="Z14" s="176">
        <v>10</v>
      </c>
      <c r="AA14" s="180" t="s">
        <v>1816</v>
      </c>
      <c r="AB14" s="181">
        <v>22101042</v>
      </c>
      <c r="AC14" s="182" t="s">
        <v>1817</v>
      </c>
      <c r="AD14" s="176">
        <v>10</v>
      </c>
      <c r="AE14" s="180" t="s">
        <v>1818</v>
      </c>
      <c r="AF14" s="181">
        <v>22102208</v>
      </c>
      <c r="AG14" s="182" t="s">
        <v>1819</v>
      </c>
      <c r="AH14" s="176">
        <v>10</v>
      </c>
      <c r="AI14" s="180" t="s">
        <v>1820</v>
      </c>
      <c r="AJ14" s="181">
        <v>22102241</v>
      </c>
      <c r="AK14" s="182" t="s">
        <v>1821</v>
      </c>
      <c r="AL14" s="176">
        <v>10</v>
      </c>
      <c r="AM14" s="180" t="s">
        <v>1822</v>
      </c>
      <c r="AN14" s="181">
        <v>22102244</v>
      </c>
      <c r="AO14" s="182" t="s">
        <v>1823</v>
      </c>
      <c r="AP14" s="176">
        <v>10</v>
      </c>
      <c r="AQ14" s="180" t="s">
        <v>1824</v>
      </c>
      <c r="AR14" s="181">
        <v>22102219</v>
      </c>
      <c r="AS14" s="182" t="s">
        <v>1825</v>
      </c>
      <c r="AT14" s="176">
        <v>10</v>
      </c>
      <c r="AU14" s="180" t="s">
        <v>1826</v>
      </c>
      <c r="AV14" s="181">
        <v>22102247</v>
      </c>
      <c r="AW14" s="182" t="s">
        <v>1827</v>
      </c>
      <c r="AX14" s="176">
        <v>10</v>
      </c>
      <c r="AY14" s="180" t="s">
        <v>1828</v>
      </c>
      <c r="AZ14" s="181">
        <v>22102231</v>
      </c>
      <c r="BA14" s="182" t="s">
        <v>1829</v>
      </c>
      <c r="BB14" s="176">
        <v>10</v>
      </c>
      <c r="BC14" s="180" t="s">
        <v>1830</v>
      </c>
      <c r="BD14" s="181">
        <v>22102264</v>
      </c>
      <c r="BE14" s="182" t="s">
        <v>1831</v>
      </c>
      <c r="BF14" s="176">
        <v>10</v>
      </c>
      <c r="BG14" s="180" t="s">
        <v>1832</v>
      </c>
      <c r="BH14" s="181">
        <v>22102392</v>
      </c>
      <c r="BI14" s="182" t="s">
        <v>1833</v>
      </c>
      <c r="BJ14" s="176">
        <v>10</v>
      </c>
      <c r="BK14" s="180" t="s">
        <v>627</v>
      </c>
      <c r="BL14" s="181">
        <v>21091049</v>
      </c>
      <c r="BM14" s="182" t="s">
        <v>628</v>
      </c>
      <c r="BN14" s="176">
        <v>10</v>
      </c>
      <c r="BO14" s="180" t="s">
        <v>629</v>
      </c>
      <c r="BP14" s="181">
        <v>21091038</v>
      </c>
      <c r="BQ14" s="182" t="s">
        <v>630</v>
      </c>
      <c r="BR14" s="176">
        <v>10</v>
      </c>
      <c r="BS14" s="180" t="s">
        <v>631</v>
      </c>
      <c r="BT14" s="181">
        <v>21091066</v>
      </c>
      <c r="BU14" s="182" t="s">
        <v>632</v>
      </c>
      <c r="BV14" s="176">
        <v>10</v>
      </c>
      <c r="BW14" s="180" t="s">
        <v>633</v>
      </c>
      <c r="BX14" s="181">
        <v>21091043</v>
      </c>
      <c r="BY14" s="182" t="s">
        <v>634</v>
      </c>
      <c r="BZ14" s="176">
        <v>10</v>
      </c>
      <c r="CA14" s="180" t="s">
        <v>635</v>
      </c>
      <c r="CB14" s="181">
        <v>21091036</v>
      </c>
      <c r="CC14" s="182" t="s">
        <v>636</v>
      </c>
      <c r="CD14" s="176">
        <v>10</v>
      </c>
      <c r="CE14" s="180" t="s">
        <v>637</v>
      </c>
      <c r="CF14" s="181">
        <v>21092208</v>
      </c>
      <c r="CG14" s="182" t="s">
        <v>638</v>
      </c>
      <c r="CH14" s="176">
        <v>10</v>
      </c>
      <c r="CI14" s="180" t="s">
        <v>639</v>
      </c>
      <c r="CJ14" s="181">
        <v>21092181</v>
      </c>
      <c r="CK14" s="182" t="s">
        <v>640</v>
      </c>
      <c r="CL14" s="176">
        <v>10</v>
      </c>
      <c r="CM14" s="180" t="s">
        <v>641</v>
      </c>
      <c r="CN14" s="181">
        <v>21092222</v>
      </c>
      <c r="CO14" s="182" t="s">
        <v>642</v>
      </c>
      <c r="CP14" s="176">
        <v>10</v>
      </c>
      <c r="CQ14" s="180" t="s">
        <v>643</v>
      </c>
      <c r="CR14" s="181">
        <v>21092178</v>
      </c>
      <c r="CS14" s="182" t="s">
        <v>644</v>
      </c>
      <c r="CT14" s="176">
        <v>10</v>
      </c>
      <c r="CU14" s="180" t="s">
        <v>645</v>
      </c>
      <c r="CV14" s="181">
        <v>21092191</v>
      </c>
      <c r="CW14" s="182" t="s">
        <v>646</v>
      </c>
      <c r="CX14" s="176">
        <v>10</v>
      </c>
      <c r="CY14" s="180" t="s">
        <v>694</v>
      </c>
      <c r="CZ14" s="181">
        <v>21092257</v>
      </c>
      <c r="DA14" s="182" t="s">
        <v>695</v>
      </c>
      <c r="DB14" s="176">
        <v>10</v>
      </c>
      <c r="DC14" s="180" t="s">
        <v>696</v>
      </c>
      <c r="DD14" s="181">
        <v>21092198</v>
      </c>
      <c r="DE14" s="182" t="s">
        <v>697</v>
      </c>
      <c r="DF14" s="176">
        <v>10</v>
      </c>
      <c r="DG14" s="180" t="s">
        <v>698</v>
      </c>
      <c r="DH14" s="181">
        <v>21091367</v>
      </c>
      <c r="DI14" s="182" t="s">
        <v>699</v>
      </c>
      <c r="DJ14" s="176">
        <v>10</v>
      </c>
      <c r="DK14" s="180" t="s">
        <v>700</v>
      </c>
      <c r="DL14" s="181">
        <v>2008205</v>
      </c>
      <c r="DM14" s="182" t="s">
        <v>701</v>
      </c>
      <c r="DN14" s="176">
        <v>10</v>
      </c>
      <c r="DO14" s="180" t="s">
        <v>655</v>
      </c>
      <c r="DP14" s="181">
        <v>2008068</v>
      </c>
      <c r="DQ14" s="182" t="s">
        <v>656</v>
      </c>
      <c r="DR14" s="176">
        <v>10</v>
      </c>
      <c r="DS14" s="180" t="s">
        <v>704</v>
      </c>
      <c r="DT14" s="181">
        <v>2008106</v>
      </c>
      <c r="DU14" s="182" t="s">
        <v>705</v>
      </c>
      <c r="DV14" s="176">
        <v>10</v>
      </c>
      <c r="DW14" s="180" t="s">
        <v>659</v>
      </c>
      <c r="DX14" s="181">
        <v>2008118</v>
      </c>
      <c r="DY14" s="182" t="s">
        <v>660</v>
      </c>
      <c r="DZ14" s="176">
        <v>10</v>
      </c>
      <c r="EA14" s="180" t="s">
        <v>661</v>
      </c>
      <c r="EB14" s="181">
        <v>2008111</v>
      </c>
      <c r="EC14" s="182" t="s">
        <v>662</v>
      </c>
      <c r="ED14" s="176">
        <v>10</v>
      </c>
      <c r="EE14" s="180" t="s">
        <v>663</v>
      </c>
      <c r="EF14" s="181">
        <v>2008122</v>
      </c>
      <c r="EG14" s="182" t="s">
        <v>664</v>
      </c>
      <c r="EH14" s="176">
        <v>10</v>
      </c>
      <c r="EI14" s="180" t="s">
        <v>665</v>
      </c>
      <c r="EJ14" s="181">
        <v>2008149</v>
      </c>
      <c r="EK14" s="182" t="s">
        <v>1834</v>
      </c>
      <c r="EL14" s="176">
        <v>10</v>
      </c>
      <c r="EM14" s="180" t="s">
        <v>666</v>
      </c>
      <c r="EN14" s="181">
        <v>2008145</v>
      </c>
      <c r="EO14" s="182" t="s">
        <v>667</v>
      </c>
      <c r="EP14" s="176">
        <v>10</v>
      </c>
      <c r="EQ14" s="180" t="s">
        <v>668</v>
      </c>
      <c r="ER14" s="181">
        <v>2008154</v>
      </c>
      <c r="ES14" s="182" t="s">
        <v>669</v>
      </c>
      <c r="ET14" s="176">
        <v>10</v>
      </c>
      <c r="EU14" s="180" t="s">
        <v>670</v>
      </c>
      <c r="EV14" s="181">
        <v>2008078</v>
      </c>
      <c r="EW14" s="182" t="s">
        <v>671</v>
      </c>
      <c r="EX14" s="176">
        <v>10</v>
      </c>
      <c r="EY14" s="180" t="s">
        <v>163</v>
      </c>
      <c r="EZ14" s="181">
        <v>2008141</v>
      </c>
      <c r="FA14" s="182" t="s">
        <v>1835</v>
      </c>
      <c r="FB14" s="176">
        <v>10</v>
      </c>
      <c r="FC14" s="180" t="s">
        <v>672</v>
      </c>
      <c r="FD14" s="181">
        <v>2008062</v>
      </c>
      <c r="FE14" s="182" t="s">
        <v>673</v>
      </c>
      <c r="FF14" s="176">
        <v>10</v>
      </c>
      <c r="FG14" s="180"/>
      <c r="FH14" s="181"/>
      <c r="FI14" s="182"/>
    </row>
    <row r="15" spans="1:165" ht="15.75" x14ac:dyDescent="0.25">
      <c r="A15" s="9">
        <v>12</v>
      </c>
      <c r="B15" s="173" t="s">
        <v>1538</v>
      </c>
      <c r="C15" s="9">
        <v>46</v>
      </c>
      <c r="D15" s="9">
        <v>47</v>
      </c>
      <c r="E15" s="9">
        <v>48</v>
      </c>
      <c r="F15" s="176">
        <v>11</v>
      </c>
      <c r="G15" s="177" t="str">
        <f t="shared" si="0"/>
        <v>Gading Setyo Manunggal</v>
      </c>
      <c r="H15" s="178">
        <f t="shared" si="1"/>
        <v>2008127</v>
      </c>
      <c r="I15" s="179" t="str">
        <f t="shared" si="2"/>
        <v>0052532940</v>
      </c>
      <c r="J15" s="176">
        <v>11</v>
      </c>
      <c r="K15" s="180" t="s">
        <v>1575</v>
      </c>
      <c r="L15" s="181">
        <v>22101065</v>
      </c>
      <c r="M15" s="182">
        <v>77348641</v>
      </c>
      <c r="N15" s="176">
        <v>11</v>
      </c>
      <c r="O15" s="180" t="s">
        <v>1836</v>
      </c>
      <c r="P15" s="181">
        <v>22101068</v>
      </c>
      <c r="Q15" s="182">
        <v>76381652</v>
      </c>
      <c r="R15" s="176">
        <v>11</v>
      </c>
      <c r="S15" s="180" t="s">
        <v>1837</v>
      </c>
      <c r="T15" s="192">
        <v>22000000</v>
      </c>
      <c r="U15" s="182">
        <v>61476867</v>
      </c>
      <c r="V15" s="176">
        <v>11</v>
      </c>
      <c r="W15" s="180" t="s">
        <v>1838</v>
      </c>
      <c r="X15" s="181">
        <v>22101059</v>
      </c>
      <c r="Y15" s="182" t="s">
        <v>1839</v>
      </c>
      <c r="Z15" s="176">
        <v>11</v>
      </c>
      <c r="AA15" s="180" t="s">
        <v>1840</v>
      </c>
      <c r="AB15" s="181">
        <v>22101047</v>
      </c>
      <c r="AC15" s="182" t="s">
        <v>1841</v>
      </c>
      <c r="AD15" s="176">
        <v>11</v>
      </c>
      <c r="AE15" s="180" t="s">
        <v>1842</v>
      </c>
      <c r="AF15" s="181">
        <v>22102211</v>
      </c>
      <c r="AG15" s="182" t="s">
        <v>1843</v>
      </c>
      <c r="AH15" s="176">
        <v>11</v>
      </c>
      <c r="AI15" s="180" t="s">
        <v>1844</v>
      </c>
      <c r="AJ15" s="181">
        <v>22102243</v>
      </c>
      <c r="AK15" s="182" t="s">
        <v>1845</v>
      </c>
      <c r="AL15" s="176">
        <v>11</v>
      </c>
      <c r="AM15" s="180" t="s">
        <v>1846</v>
      </c>
      <c r="AN15" s="181">
        <v>22102254</v>
      </c>
      <c r="AO15" s="182" t="s">
        <v>1847</v>
      </c>
      <c r="AP15" s="176">
        <v>11</v>
      </c>
      <c r="AQ15" s="180" t="s">
        <v>1848</v>
      </c>
      <c r="AR15" s="181">
        <v>22102223</v>
      </c>
      <c r="AS15" s="182" t="s">
        <v>1849</v>
      </c>
      <c r="AT15" s="176">
        <v>11</v>
      </c>
      <c r="AU15" s="180" t="s">
        <v>1850</v>
      </c>
      <c r="AV15" s="181">
        <v>22102249</v>
      </c>
      <c r="AW15" s="182" t="s">
        <v>1851</v>
      </c>
      <c r="AX15" s="176">
        <v>11</v>
      </c>
      <c r="AY15" s="180" t="s">
        <v>1852</v>
      </c>
      <c r="AZ15" s="181">
        <v>22102232</v>
      </c>
      <c r="BA15" s="182" t="s">
        <v>1853</v>
      </c>
      <c r="BB15" s="176">
        <v>11</v>
      </c>
      <c r="BC15" s="180" t="s">
        <v>1854</v>
      </c>
      <c r="BD15" s="181">
        <v>22102270</v>
      </c>
      <c r="BE15" s="182" t="s">
        <v>1855</v>
      </c>
      <c r="BF15" s="176">
        <v>11</v>
      </c>
      <c r="BG15" s="180" t="s">
        <v>1856</v>
      </c>
      <c r="BH15" s="181">
        <v>22102393</v>
      </c>
      <c r="BI15" s="182" t="s">
        <v>1857</v>
      </c>
      <c r="BJ15" s="176">
        <v>11</v>
      </c>
      <c r="BK15" s="180" t="s">
        <v>674</v>
      </c>
      <c r="BL15" s="181">
        <v>21091055</v>
      </c>
      <c r="BM15" s="182" t="s">
        <v>675</v>
      </c>
      <c r="BN15" s="176">
        <v>11</v>
      </c>
      <c r="BO15" s="180" t="s">
        <v>676</v>
      </c>
      <c r="BP15" s="181">
        <v>21091039</v>
      </c>
      <c r="BQ15" s="182" t="s">
        <v>677</v>
      </c>
      <c r="BR15" s="176">
        <v>11</v>
      </c>
      <c r="BS15" s="180" t="s">
        <v>678</v>
      </c>
      <c r="BT15" s="181">
        <v>21091068</v>
      </c>
      <c r="BU15" s="182" t="s">
        <v>679</v>
      </c>
      <c r="BV15" s="176">
        <v>11</v>
      </c>
      <c r="BW15" s="180" t="s">
        <v>680</v>
      </c>
      <c r="BX15" s="181">
        <v>21091053</v>
      </c>
      <c r="BY15" s="182" t="s">
        <v>681</v>
      </c>
      <c r="BZ15" s="176">
        <v>11</v>
      </c>
      <c r="CA15" s="180" t="s">
        <v>682</v>
      </c>
      <c r="CB15" s="181">
        <v>21091044</v>
      </c>
      <c r="CC15" s="182" t="s">
        <v>683</v>
      </c>
      <c r="CD15" s="176">
        <v>11</v>
      </c>
      <c r="CE15" s="180" t="s">
        <v>684</v>
      </c>
      <c r="CF15" s="181">
        <v>21092212</v>
      </c>
      <c r="CG15" s="182" t="s">
        <v>685</v>
      </c>
      <c r="CH15" s="176">
        <v>11</v>
      </c>
      <c r="CI15" s="180" t="s">
        <v>686</v>
      </c>
      <c r="CJ15" s="181">
        <v>21092210</v>
      </c>
      <c r="CK15" s="182" t="s">
        <v>687</v>
      </c>
      <c r="CL15" s="176">
        <v>11</v>
      </c>
      <c r="CM15" s="180" t="s">
        <v>688</v>
      </c>
      <c r="CN15" s="181">
        <v>21092224</v>
      </c>
      <c r="CO15" s="182" t="s">
        <v>689</v>
      </c>
      <c r="CP15" s="176">
        <v>11</v>
      </c>
      <c r="CQ15" s="180" t="s">
        <v>690</v>
      </c>
      <c r="CR15" s="181">
        <v>21092186</v>
      </c>
      <c r="CS15" s="182" t="s">
        <v>691</v>
      </c>
      <c r="CT15" s="176">
        <v>11</v>
      </c>
      <c r="CU15" s="180" t="s">
        <v>692</v>
      </c>
      <c r="CV15" s="181">
        <v>21092203</v>
      </c>
      <c r="CW15" s="182" t="s">
        <v>693</v>
      </c>
      <c r="CX15" s="176">
        <v>11</v>
      </c>
      <c r="CY15" s="180" t="s">
        <v>738</v>
      </c>
      <c r="CZ15" s="181">
        <v>21092265</v>
      </c>
      <c r="DA15" s="182" t="s">
        <v>1858</v>
      </c>
      <c r="DB15" s="176">
        <v>11</v>
      </c>
      <c r="DC15" s="180" t="s">
        <v>739</v>
      </c>
      <c r="DD15" s="181">
        <v>21092201</v>
      </c>
      <c r="DE15" s="182" t="s">
        <v>740</v>
      </c>
      <c r="DF15" s="176">
        <v>11</v>
      </c>
      <c r="DG15" s="180" t="s">
        <v>741</v>
      </c>
      <c r="DH15" s="181">
        <v>21092368</v>
      </c>
      <c r="DI15" s="182" t="s">
        <v>742</v>
      </c>
      <c r="DJ15" s="176">
        <v>11</v>
      </c>
      <c r="DK15" s="180" t="s">
        <v>743</v>
      </c>
      <c r="DL15" s="181">
        <v>2008216</v>
      </c>
      <c r="DM15" s="182" t="s">
        <v>744</v>
      </c>
      <c r="DN15" s="176">
        <v>11</v>
      </c>
      <c r="DO15" s="180" t="s">
        <v>702</v>
      </c>
      <c r="DP15" s="181">
        <v>2008087</v>
      </c>
      <c r="DQ15" s="182" t="s">
        <v>703</v>
      </c>
      <c r="DR15" s="176">
        <v>11</v>
      </c>
      <c r="DS15" s="180" t="s">
        <v>745</v>
      </c>
      <c r="DT15" s="181">
        <v>2008114</v>
      </c>
      <c r="DU15" s="182" t="s">
        <v>746</v>
      </c>
      <c r="DV15" s="176">
        <v>11</v>
      </c>
      <c r="DW15" s="180" t="s">
        <v>706</v>
      </c>
      <c r="DX15" s="181">
        <v>2008127</v>
      </c>
      <c r="DY15" s="182" t="s">
        <v>707</v>
      </c>
      <c r="DZ15" s="176">
        <v>11</v>
      </c>
      <c r="EA15" s="180" t="s">
        <v>708</v>
      </c>
      <c r="EB15" s="181">
        <v>2008113</v>
      </c>
      <c r="EC15" s="182" t="s">
        <v>709</v>
      </c>
      <c r="ED15" s="176">
        <v>11</v>
      </c>
      <c r="EE15" s="180" t="s">
        <v>710</v>
      </c>
      <c r="EF15" s="181">
        <v>2008138</v>
      </c>
      <c r="EG15" s="182" t="s">
        <v>711</v>
      </c>
      <c r="EH15" s="176">
        <v>11</v>
      </c>
      <c r="EI15" s="180" t="s">
        <v>712</v>
      </c>
      <c r="EJ15" s="181">
        <v>2008156</v>
      </c>
      <c r="EK15" s="182" t="s">
        <v>713</v>
      </c>
      <c r="EL15" s="176">
        <v>11</v>
      </c>
      <c r="EM15" s="180" t="s">
        <v>714</v>
      </c>
      <c r="EN15" s="181">
        <v>2008167</v>
      </c>
      <c r="EO15" s="182" t="s">
        <v>715</v>
      </c>
      <c r="EP15" s="176">
        <v>11</v>
      </c>
      <c r="EQ15" s="180" t="s">
        <v>716</v>
      </c>
      <c r="ER15" s="181">
        <v>2008185</v>
      </c>
      <c r="ES15" s="182" t="s">
        <v>717</v>
      </c>
      <c r="ET15" s="176">
        <v>11</v>
      </c>
      <c r="EU15" s="180" t="s">
        <v>718</v>
      </c>
      <c r="EV15" s="181">
        <v>2008079</v>
      </c>
      <c r="EW15" s="182" t="s">
        <v>719</v>
      </c>
      <c r="EX15" s="176">
        <v>11</v>
      </c>
      <c r="EY15" s="180" t="s">
        <v>164</v>
      </c>
      <c r="EZ15" s="181">
        <v>2008152</v>
      </c>
      <c r="FA15" s="182" t="s">
        <v>185</v>
      </c>
      <c r="FB15" s="176">
        <v>11</v>
      </c>
      <c r="FC15" s="180" t="s">
        <v>720</v>
      </c>
      <c r="FD15" s="181">
        <v>2008070</v>
      </c>
      <c r="FE15" s="182" t="s">
        <v>721</v>
      </c>
      <c r="FF15" s="176">
        <v>11</v>
      </c>
      <c r="FG15" s="180"/>
      <c r="FH15" s="181"/>
      <c r="FI15" s="182"/>
    </row>
    <row r="16" spans="1:165" ht="15.75" x14ac:dyDescent="0.25">
      <c r="A16" s="9">
        <v>13</v>
      </c>
      <c r="B16" s="173" t="s">
        <v>1539</v>
      </c>
      <c r="C16" s="9">
        <v>50</v>
      </c>
      <c r="D16" s="9">
        <v>51</v>
      </c>
      <c r="E16" s="9">
        <v>52</v>
      </c>
      <c r="F16" s="176">
        <v>12</v>
      </c>
      <c r="G16" s="177" t="str">
        <f t="shared" si="0"/>
        <v>Ghifari Mabrur Al Burhani</v>
      </c>
      <c r="H16" s="178">
        <f t="shared" si="1"/>
        <v>2008128</v>
      </c>
      <c r="I16" s="179" t="str">
        <f t="shared" si="2"/>
        <v>0068080234</v>
      </c>
      <c r="J16" s="176">
        <v>12</v>
      </c>
      <c r="K16" s="180" t="s">
        <v>1576</v>
      </c>
      <c r="L16" s="181">
        <v>22101067</v>
      </c>
      <c r="M16" s="182">
        <v>79907426</v>
      </c>
      <c r="N16" s="176">
        <v>12</v>
      </c>
      <c r="O16" s="180" t="s">
        <v>1859</v>
      </c>
      <c r="P16" s="181">
        <v>22101069</v>
      </c>
      <c r="Q16" s="182">
        <v>71964833</v>
      </c>
      <c r="R16" s="176">
        <v>12</v>
      </c>
      <c r="S16" s="180" t="s">
        <v>1860</v>
      </c>
      <c r="T16" s="192">
        <v>22000000</v>
      </c>
      <c r="U16" s="182">
        <v>72488547</v>
      </c>
      <c r="V16" s="176">
        <v>12</v>
      </c>
      <c r="W16" s="180" t="s">
        <v>1861</v>
      </c>
      <c r="X16" s="181">
        <v>22101060</v>
      </c>
      <c r="Y16" s="182" t="s">
        <v>1862</v>
      </c>
      <c r="Z16" s="176">
        <v>12</v>
      </c>
      <c r="AA16" s="180" t="s">
        <v>1863</v>
      </c>
      <c r="AB16" s="181">
        <v>22101049</v>
      </c>
      <c r="AC16" s="182" t="s">
        <v>1864</v>
      </c>
      <c r="AD16" s="176">
        <v>12</v>
      </c>
      <c r="AE16" s="180" t="s">
        <v>1865</v>
      </c>
      <c r="AF16" s="181">
        <v>22102212</v>
      </c>
      <c r="AG16" s="182" t="s">
        <v>1866</v>
      </c>
      <c r="AH16" s="176">
        <v>12</v>
      </c>
      <c r="AI16" s="180" t="s">
        <v>1867</v>
      </c>
      <c r="AJ16" s="181">
        <v>22102255</v>
      </c>
      <c r="AK16" s="182" t="s">
        <v>1868</v>
      </c>
      <c r="AL16" s="176">
        <v>12</v>
      </c>
      <c r="AM16" s="180" t="s">
        <v>1869</v>
      </c>
      <c r="AN16" s="181">
        <v>22102273</v>
      </c>
      <c r="AO16" s="182" t="s">
        <v>1870</v>
      </c>
      <c r="AP16" s="176">
        <v>12</v>
      </c>
      <c r="AQ16" s="180" t="s">
        <v>1871</v>
      </c>
      <c r="AR16" s="181">
        <v>22102235</v>
      </c>
      <c r="AS16" s="182" t="s">
        <v>1872</v>
      </c>
      <c r="AT16" s="176">
        <v>12</v>
      </c>
      <c r="AU16" s="180" t="s">
        <v>1873</v>
      </c>
      <c r="AV16" s="181">
        <v>22102253</v>
      </c>
      <c r="AW16" s="182" t="s">
        <v>1874</v>
      </c>
      <c r="AX16" s="176">
        <v>12</v>
      </c>
      <c r="AY16" s="180" t="s">
        <v>1875</v>
      </c>
      <c r="AZ16" s="181">
        <v>22102245</v>
      </c>
      <c r="BA16" s="182" t="s">
        <v>1876</v>
      </c>
      <c r="BB16" s="176">
        <v>12</v>
      </c>
      <c r="BC16" s="180" t="s">
        <v>1877</v>
      </c>
      <c r="BD16" s="181">
        <v>22102272</v>
      </c>
      <c r="BE16" s="182" t="s">
        <v>1878</v>
      </c>
      <c r="BF16" s="176">
        <v>12</v>
      </c>
      <c r="BG16" s="180" t="s">
        <v>1879</v>
      </c>
      <c r="BH16" s="181">
        <v>22102394</v>
      </c>
      <c r="BI16" s="182" t="s">
        <v>1620</v>
      </c>
      <c r="BJ16" s="176">
        <v>12</v>
      </c>
      <c r="BK16" s="180" t="s">
        <v>722</v>
      </c>
      <c r="BL16" s="181">
        <v>21091057</v>
      </c>
      <c r="BM16" s="182" t="s">
        <v>723</v>
      </c>
      <c r="BN16" s="176">
        <v>12</v>
      </c>
      <c r="BO16" s="180" t="s">
        <v>763</v>
      </c>
      <c r="BP16" s="181">
        <v>21091042</v>
      </c>
      <c r="BQ16" s="182" t="s">
        <v>764</v>
      </c>
      <c r="BR16" s="176">
        <v>12</v>
      </c>
      <c r="BS16" s="180" t="s">
        <v>724</v>
      </c>
      <c r="BT16" s="181">
        <v>21091075</v>
      </c>
      <c r="BU16" s="182" t="s">
        <v>725</v>
      </c>
      <c r="BV16" s="176">
        <v>12</v>
      </c>
      <c r="BW16" s="180" t="s">
        <v>726</v>
      </c>
      <c r="BX16" s="181">
        <v>21091064</v>
      </c>
      <c r="BY16" s="182" t="s">
        <v>727</v>
      </c>
      <c r="BZ16" s="176">
        <v>12</v>
      </c>
      <c r="CA16" s="180" t="s">
        <v>728</v>
      </c>
      <c r="CB16" s="181">
        <v>21091051</v>
      </c>
      <c r="CC16" s="182" t="s">
        <v>729</v>
      </c>
      <c r="CD16" s="176">
        <v>12</v>
      </c>
      <c r="CE16" s="180" t="s">
        <v>730</v>
      </c>
      <c r="CF16" s="181">
        <v>21092218</v>
      </c>
      <c r="CG16" s="182" t="s">
        <v>731</v>
      </c>
      <c r="CH16" s="176">
        <v>12</v>
      </c>
      <c r="CI16" s="180" t="s">
        <v>772</v>
      </c>
      <c r="CJ16" s="181">
        <v>21092220</v>
      </c>
      <c r="CK16" s="182" t="s">
        <v>773</v>
      </c>
      <c r="CL16" s="176">
        <v>12</v>
      </c>
      <c r="CM16" s="180" t="s">
        <v>732</v>
      </c>
      <c r="CN16" s="181">
        <v>21092240</v>
      </c>
      <c r="CO16" s="182" t="s">
        <v>733</v>
      </c>
      <c r="CP16" s="176">
        <v>12</v>
      </c>
      <c r="CQ16" s="180" t="s">
        <v>734</v>
      </c>
      <c r="CR16" s="181">
        <v>21092190</v>
      </c>
      <c r="CS16" s="182" t="s">
        <v>735</v>
      </c>
      <c r="CT16" s="176">
        <v>12</v>
      </c>
      <c r="CU16" s="180" t="s">
        <v>736</v>
      </c>
      <c r="CV16" s="181">
        <v>21092204</v>
      </c>
      <c r="CW16" s="182" t="s">
        <v>737</v>
      </c>
      <c r="CX16" s="176">
        <v>12</v>
      </c>
      <c r="CY16" s="180" t="s">
        <v>780</v>
      </c>
      <c r="CZ16" s="181">
        <v>21092267</v>
      </c>
      <c r="DA16" s="182" t="s">
        <v>781</v>
      </c>
      <c r="DB16" s="176">
        <v>12</v>
      </c>
      <c r="DC16" s="180" t="s">
        <v>782</v>
      </c>
      <c r="DD16" s="181">
        <v>21092202</v>
      </c>
      <c r="DE16" s="182" t="s">
        <v>783</v>
      </c>
      <c r="DF16" s="176">
        <v>12</v>
      </c>
      <c r="DG16" s="180" t="s">
        <v>784</v>
      </c>
      <c r="DH16" s="181">
        <v>21092369</v>
      </c>
      <c r="DI16" s="182" t="s">
        <v>785</v>
      </c>
      <c r="DJ16" s="176">
        <v>12</v>
      </c>
      <c r="DK16" s="180" t="s">
        <v>786</v>
      </c>
      <c r="DL16" s="181">
        <v>2008219</v>
      </c>
      <c r="DM16" s="182" t="s">
        <v>787</v>
      </c>
      <c r="DN16" s="176">
        <v>12</v>
      </c>
      <c r="DO16" s="180" t="s">
        <v>788</v>
      </c>
      <c r="DP16" s="181">
        <v>2008135</v>
      </c>
      <c r="DQ16" s="182" t="s">
        <v>789</v>
      </c>
      <c r="DR16" s="176">
        <v>12</v>
      </c>
      <c r="DS16" s="180" t="s">
        <v>790</v>
      </c>
      <c r="DT16" s="181">
        <v>2008136</v>
      </c>
      <c r="DU16" s="182" t="s">
        <v>791</v>
      </c>
      <c r="DV16" s="176">
        <v>12</v>
      </c>
      <c r="DW16" s="180" t="s">
        <v>747</v>
      </c>
      <c r="DX16" s="181">
        <v>2008128</v>
      </c>
      <c r="DY16" s="182" t="s">
        <v>748</v>
      </c>
      <c r="DZ16" s="176">
        <v>12</v>
      </c>
      <c r="EA16" s="180" t="s">
        <v>1880</v>
      </c>
      <c r="EB16" s="181">
        <v>2008123</v>
      </c>
      <c r="EC16" s="182" t="s">
        <v>749</v>
      </c>
      <c r="ED16" s="176">
        <v>12</v>
      </c>
      <c r="EE16" s="180" t="s">
        <v>750</v>
      </c>
      <c r="EF16" s="181">
        <v>2008146</v>
      </c>
      <c r="EG16" s="182" t="s">
        <v>751</v>
      </c>
      <c r="EH16" s="176">
        <v>12</v>
      </c>
      <c r="EI16" s="180" t="s">
        <v>752</v>
      </c>
      <c r="EJ16" s="181">
        <v>2008159</v>
      </c>
      <c r="EK16" s="182" t="s">
        <v>753</v>
      </c>
      <c r="EL16" s="176">
        <v>12</v>
      </c>
      <c r="EM16" s="180" t="s">
        <v>754</v>
      </c>
      <c r="EN16" s="181">
        <v>2008170</v>
      </c>
      <c r="EO16" s="182" t="s">
        <v>755</v>
      </c>
      <c r="EP16" s="176">
        <v>12</v>
      </c>
      <c r="EQ16" s="180" t="s">
        <v>756</v>
      </c>
      <c r="ER16" s="181">
        <v>2008186</v>
      </c>
      <c r="ES16" s="182" t="s">
        <v>757</v>
      </c>
      <c r="ET16" s="176">
        <v>12</v>
      </c>
      <c r="EU16" s="180" t="s">
        <v>758</v>
      </c>
      <c r="EV16" s="181">
        <v>2008125</v>
      </c>
      <c r="EW16" s="182" t="s">
        <v>759</v>
      </c>
      <c r="EX16" s="176">
        <v>12</v>
      </c>
      <c r="EY16" s="180" t="s">
        <v>165</v>
      </c>
      <c r="EZ16" s="181">
        <v>2008155</v>
      </c>
      <c r="FA16" s="182" t="s">
        <v>186</v>
      </c>
      <c r="FB16" s="176">
        <v>12</v>
      </c>
      <c r="FC16" s="180" t="s">
        <v>1881</v>
      </c>
      <c r="FD16" s="181">
        <v>2008083</v>
      </c>
      <c r="FE16" s="182" t="s">
        <v>760</v>
      </c>
      <c r="FF16" s="176">
        <v>12</v>
      </c>
      <c r="FG16" s="180"/>
      <c r="FH16" s="181"/>
      <c r="FI16" s="182"/>
    </row>
    <row r="17" spans="1:165" ht="15.75" x14ac:dyDescent="0.25">
      <c r="A17" s="9">
        <v>14</v>
      </c>
      <c r="B17" s="173" t="s">
        <v>1540</v>
      </c>
      <c r="C17" s="9">
        <v>54</v>
      </c>
      <c r="D17" s="9">
        <v>55</v>
      </c>
      <c r="E17" s="9">
        <v>56</v>
      </c>
      <c r="F17" s="176">
        <v>13</v>
      </c>
      <c r="G17" s="177" t="str">
        <f t="shared" si="0"/>
        <v>Hafid Mahreza Ilham</v>
      </c>
      <c r="H17" s="178">
        <f t="shared" si="1"/>
        <v>2008131</v>
      </c>
      <c r="I17" s="179" t="str">
        <f t="shared" si="2"/>
        <v>0058288476</v>
      </c>
      <c r="J17" s="176">
        <v>13</v>
      </c>
      <c r="K17" s="180" t="s">
        <v>1577</v>
      </c>
      <c r="L17" s="181">
        <v>22101076</v>
      </c>
      <c r="M17" s="182">
        <v>73318230</v>
      </c>
      <c r="N17" s="176">
        <v>13</v>
      </c>
      <c r="O17" s="180" t="s">
        <v>1882</v>
      </c>
      <c r="P17" s="181">
        <v>22101070</v>
      </c>
      <c r="Q17" s="182">
        <v>66621576</v>
      </c>
      <c r="R17" s="176">
        <v>13</v>
      </c>
      <c r="S17" s="180" t="s">
        <v>1883</v>
      </c>
      <c r="T17" s="192">
        <v>22000000</v>
      </c>
      <c r="U17" s="182">
        <v>65092740</v>
      </c>
      <c r="V17" s="176">
        <v>13</v>
      </c>
      <c r="W17" s="180" t="s">
        <v>1884</v>
      </c>
      <c r="X17" s="181">
        <v>22101062</v>
      </c>
      <c r="Y17" s="182" t="s">
        <v>1885</v>
      </c>
      <c r="Z17" s="176">
        <v>13</v>
      </c>
      <c r="AA17" s="180" t="s">
        <v>1886</v>
      </c>
      <c r="AB17" s="181">
        <v>22101052</v>
      </c>
      <c r="AC17" s="182" t="s">
        <v>1887</v>
      </c>
      <c r="AD17" s="176">
        <v>13</v>
      </c>
      <c r="AE17" s="180" t="s">
        <v>1888</v>
      </c>
      <c r="AF17" s="181">
        <v>22102217</v>
      </c>
      <c r="AG17" s="182" t="s">
        <v>1889</v>
      </c>
      <c r="AH17" s="176">
        <v>13</v>
      </c>
      <c r="AI17" s="180" t="s">
        <v>1890</v>
      </c>
      <c r="AJ17" s="181">
        <v>22102256</v>
      </c>
      <c r="AK17" s="182" t="s">
        <v>1891</v>
      </c>
      <c r="AL17" s="176">
        <v>13</v>
      </c>
      <c r="AM17" s="180" t="s">
        <v>1892</v>
      </c>
      <c r="AN17" s="181">
        <v>22102275</v>
      </c>
      <c r="AO17" s="182" t="s">
        <v>1893</v>
      </c>
      <c r="AP17" s="176">
        <v>13</v>
      </c>
      <c r="AQ17" s="180" t="s">
        <v>1894</v>
      </c>
      <c r="AR17" s="181">
        <v>22102250</v>
      </c>
      <c r="AS17" s="182" t="s">
        <v>1895</v>
      </c>
      <c r="AT17" s="176">
        <v>13</v>
      </c>
      <c r="AU17" s="180" t="s">
        <v>1896</v>
      </c>
      <c r="AV17" s="181">
        <v>22102257</v>
      </c>
      <c r="AW17" s="182" t="s">
        <v>1897</v>
      </c>
      <c r="AX17" s="176">
        <v>13</v>
      </c>
      <c r="AY17" s="180" t="s">
        <v>1898</v>
      </c>
      <c r="AZ17" s="181">
        <v>22102252</v>
      </c>
      <c r="BA17" s="182" t="s">
        <v>1899</v>
      </c>
      <c r="BB17" s="176">
        <v>13</v>
      </c>
      <c r="BC17" s="180" t="s">
        <v>1900</v>
      </c>
      <c r="BD17" s="181">
        <v>22102274</v>
      </c>
      <c r="BE17" s="182" t="s">
        <v>1901</v>
      </c>
      <c r="BF17" s="176">
        <v>13</v>
      </c>
      <c r="BG17" s="180" t="s">
        <v>1902</v>
      </c>
      <c r="BH17" s="181">
        <v>22101383</v>
      </c>
      <c r="BI17" s="182" t="s">
        <v>1903</v>
      </c>
      <c r="BJ17" s="176">
        <v>13</v>
      </c>
      <c r="BK17" s="180" t="s">
        <v>761</v>
      </c>
      <c r="BL17" s="181">
        <v>21091058</v>
      </c>
      <c r="BM17" s="182" t="s">
        <v>762</v>
      </c>
      <c r="BN17" s="176">
        <v>13</v>
      </c>
      <c r="BO17" s="180" t="s">
        <v>809</v>
      </c>
      <c r="BP17" s="181">
        <v>21091052</v>
      </c>
      <c r="BQ17" s="182" t="s">
        <v>810</v>
      </c>
      <c r="BR17" s="176">
        <v>13</v>
      </c>
      <c r="BS17" s="180" t="s">
        <v>1904</v>
      </c>
      <c r="BT17" s="181">
        <v>21091354</v>
      </c>
      <c r="BU17" s="182" t="s">
        <v>765</v>
      </c>
      <c r="BV17" s="176">
        <v>13</v>
      </c>
      <c r="BW17" s="180" t="s">
        <v>766</v>
      </c>
      <c r="BX17" s="181">
        <v>21091065</v>
      </c>
      <c r="BY17" s="182" t="s">
        <v>767</v>
      </c>
      <c r="BZ17" s="176">
        <v>13</v>
      </c>
      <c r="CA17" s="180" t="s">
        <v>768</v>
      </c>
      <c r="CB17" s="181">
        <v>21091054</v>
      </c>
      <c r="CC17" s="182" t="s">
        <v>769</v>
      </c>
      <c r="CD17" s="176">
        <v>13</v>
      </c>
      <c r="CE17" s="180" t="s">
        <v>770</v>
      </c>
      <c r="CF17" s="181">
        <v>21092229</v>
      </c>
      <c r="CG17" s="182" t="s">
        <v>771</v>
      </c>
      <c r="CH17" s="176">
        <v>13</v>
      </c>
      <c r="CI17" s="180" t="s">
        <v>862</v>
      </c>
      <c r="CJ17" s="181">
        <v>21092223</v>
      </c>
      <c r="CK17" s="182" t="s">
        <v>863</v>
      </c>
      <c r="CL17" s="176">
        <v>13</v>
      </c>
      <c r="CM17" s="180" t="s">
        <v>774</v>
      </c>
      <c r="CN17" s="181">
        <v>21092241</v>
      </c>
      <c r="CO17" s="182" t="s">
        <v>775</v>
      </c>
      <c r="CP17" s="176">
        <v>13</v>
      </c>
      <c r="CQ17" s="180" t="s">
        <v>776</v>
      </c>
      <c r="CR17" s="181">
        <v>21092193</v>
      </c>
      <c r="CS17" s="182" t="s">
        <v>777</v>
      </c>
      <c r="CT17" s="176">
        <v>13</v>
      </c>
      <c r="CU17" s="180" t="s">
        <v>778</v>
      </c>
      <c r="CV17" s="181">
        <v>21092205</v>
      </c>
      <c r="CW17" s="182" t="s">
        <v>779</v>
      </c>
      <c r="CX17" s="176">
        <v>13</v>
      </c>
      <c r="CY17" s="180" t="s">
        <v>823</v>
      </c>
      <c r="CZ17" s="181">
        <v>21092270</v>
      </c>
      <c r="DA17" s="182" t="s">
        <v>824</v>
      </c>
      <c r="DB17" s="176">
        <v>13</v>
      </c>
      <c r="DC17" s="180" t="s">
        <v>825</v>
      </c>
      <c r="DD17" s="181">
        <v>21092207</v>
      </c>
      <c r="DE17" s="182" t="s">
        <v>826</v>
      </c>
      <c r="DF17" s="176">
        <v>13</v>
      </c>
      <c r="DG17" s="180" t="s">
        <v>827</v>
      </c>
      <c r="DH17" s="181">
        <v>21091370</v>
      </c>
      <c r="DI17" s="182" t="s">
        <v>828</v>
      </c>
      <c r="DJ17" s="176">
        <v>13</v>
      </c>
      <c r="DK17" s="180" t="s">
        <v>829</v>
      </c>
      <c r="DL17" s="181">
        <v>2008225</v>
      </c>
      <c r="DM17" s="182" t="s">
        <v>830</v>
      </c>
      <c r="DN17" s="176">
        <v>13</v>
      </c>
      <c r="DO17" s="180" t="s">
        <v>831</v>
      </c>
      <c r="DP17" s="181">
        <v>2008174</v>
      </c>
      <c r="DQ17" s="182" t="s">
        <v>832</v>
      </c>
      <c r="DR17" s="176">
        <v>13</v>
      </c>
      <c r="DS17" s="180" t="s">
        <v>1905</v>
      </c>
      <c r="DT17" s="181">
        <v>2008143</v>
      </c>
      <c r="DU17" s="182" t="s">
        <v>833</v>
      </c>
      <c r="DV17" s="176">
        <v>13</v>
      </c>
      <c r="DW17" s="180" t="s">
        <v>792</v>
      </c>
      <c r="DX17" s="181">
        <v>2008131</v>
      </c>
      <c r="DY17" s="182" t="s">
        <v>1906</v>
      </c>
      <c r="DZ17" s="176">
        <v>13</v>
      </c>
      <c r="EA17" s="180" t="s">
        <v>793</v>
      </c>
      <c r="EB17" s="181">
        <v>2008137</v>
      </c>
      <c r="EC17" s="182" t="s">
        <v>794</v>
      </c>
      <c r="ED17" s="176">
        <v>13</v>
      </c>
      <c r="EE17" s="180" t="s">
        <v>795</v>
      </c>
      <c r="EF17" s="181">
        <v>2008163</v>
      </c>
      <c r="EG17" s="182" t="s">
        <v>796</v>
      </c>
      <c r="EH17" s="176">
        <v>13</v>
      </c>
      <c r="EI17" s="180" t="s">
        <v>797</v>
      </c>
      <c r="EJ17" s="181">
        <v>2008177</v>
      </c>
      <c r="EK17" s="182" t="s">
        <v>798</v>
      </c>
      <c r="EL17" s="176">
        <v>13</v>
      </c>
      <c r="EM17" s="180" t="s">
        <v>799</v>
      </c>
      <c r="EN17" s="181">
        <v>2008178</v>
      </c>
      <c r="EO17" s="182" t="s">
        <v>800</v>
      </c>
      <c r="EP17" s="176">
        <v>13</v>
      </c>
      <c r="EQ17" s="180" t="s">
        <v>801</v>
      </c>
      <c r="ER17" s="181">
        <v>2008233</v>
      </c>
      <c r="ES17" s="182" t="s">
        <v>802</v>
      </c>
      <c r="ET17" s="176">
        <v>13</v>
      </c>
      <c r="EU17" s="180" t="s">
        <v>803</v>
      </c>
      <c r="EV17" s="181">
        <v>2008133</v>
      </c>
      <c r="EW17" s="182" t="s">
        <v>804</v>
      </c>
      <c r="EX17" s="176">
        <v>13</v>
      </c>
      <c r="EY17" s="180" t="s">
        <v>1907</v>
      </c>
      <c r="EZ17" s="181">
        <v>2008162</v>
      </c>
      <c r="FA17" s="182" t="s">
        <v>1908</v>
      </c>
      <c r="FB17" s="176">
        <v>13</v>
      </c>
      <c r="FC17" s="180" t="s">
        <v>805</v>
      </c>
      <c r="FD17" s="181">
        <v>2008085</v>
      </c>
      <c r="FE17" s="182" t="s">
        <v>806</v>
      </c>
      <c r="FF17" s="176">
        <v>13</v>
      </c>
      <c r="FG17" s="180"/>
      <c r="FH17" s="181"/>
      <c r="FI17" s="182"/>
    </row>
    <row r="18" spans="1:165" ht="15.75" x14ac:dyDescent="0.25">
      <c r="A18" s="9">
        <v>15</v>
      </c>
      <c r="B18" s="173" t="s">
        <v>1541</v>
      </c>
      <c r="C18" s="9">
        <v>58</v>
      </c>
      <c r="D18" s="9">
        <v>59</v>
      </c>
      <c r="E18" s="9">
        <v>60</v>
      </c>
      <c r="F18" s="176">
        <v>14</v>
      </c>
      <c r="G18" s="177" t="str">
        <f t="shared" si="0"/>
        <v>Haidar Rafif Hibatulloh</v>
      </c>
      <c r="H18" s="178">
        <f t="shared" si="1"/>
        <v>2008132</v>
      </c>
      <c r="I18" s="179" t="str">
        <f t="shared" si="2"/>
        <v>0054005743</v>
      </c>
      <c r="J18" s="176">
        <v>14</v>
      </c>
      <c r="K18" s="180" t="s">
        <v>1578</v>
      </c>
      <c r="L18" s="181">
        <v>22101084</v>
      </c>
      <c r="M18" s="182">
        <v>58344227</v>
      </c>
      <c r="N18" s="176">
        <v>14</v>
      </c>
      <c r="O18" s="180" t="s">
        <v>1909</v>
      </c>
      <c r="P18" s="181">
        <v>22101074</v>
      </c>
      <c r="Q18" s="182">
        <v>72624414</v>
      </c>
      <c r="R18" s="176">
        <v>14</v>
      </c>
      <c r="S18" s="180" t="s">
        <v>1910</v>
      </c>
      <c r="T18" s="192">
        <v>22000000</v>
      </c>
      <c r="U18" s="182">
        <v>61976429</v>
      </c>
      <c r="V18" s="176">
        <v>14</v>
      </c>
      <c r="W18" s="180" t="s">
        <v>1911</v>
      </c>
      <c r="X18" s="181">
        <v>22101063</v>
      </c>
      <c r="Y18" s="182" t="s">
        <v>1912</v>
      </c>
      <c r="Z18" s="176">
        <v>14</v>
      </c>
      <c r="AA18" s="180" t="s">
        <v>1913</v>
      </c>
      <c r="AB18" s="181">
        <v>22101072</v>
      </c>
      <c r="AC18" s="182" t="s">
        <v>1914</v>
      </c>
      <c r="AD18" s="176">
        <v>14</v>
      </c>
      <c r="AE18" s="180" t="s">
        <v>1915</v>
      </c>
      <c r="AF18" s="181">
        <v>22102227</v>
      </c>
      <c r="AG18" s="182" t="s">
        <v>1916</v>
      </c>
      <c r="AH18" s="176">
        <v>14</v>
      </c>
      <c r="AI18" s="180" t="s">
        <v>1917</v>
      </c>
      <c r="AJ18" s="181">
        <v>22102259</v>
      </c>
      <c r="AK18" s="182" t="s">
        <v>1918</v>
      </c>
      <c r="AL18" s="176">
        <v>14</v>
      </c>
      <c r="AM18" s="180" t="s">
        <v>1919</v>
      </c>
      <c r="AN18" s="181">
        <v>22102277</v>
      </c>
      <c r="AO18" s="182" t="s">
        <v>1920</v>
      </c>
      <c r="AP18" s="176">
        <v>14</v>
      </c>
      <c r="AQ18" s="180" t="s">
        <v>1921</v>
      </c>
      <c r="AR18" s="181">
        <v>22102251</v>
      </c>
      <c r="AS18" s="182" t="s">
        <v>1922</v>
      </c>
      <c r="AT18" s="176">
        <v>14</v>
      </c>
      <c r="AU18" s="180" t="s">
        <v>1923</v>
      </c>
      <c r="AV18" s="181">
        <v>22102265</v>
      </c>
      <c r="AW18" s="182" t="s">
        <v>1924</v>
      </c>
      <c r="AX18" s="176">
        <v>14</v>
      </c>
      <c r="AY18" s="180" t="s">
        <v>1925</v>
      </c>
      <c r="AZ18" s="181">
        <v>22102258</v>
      </c>
      <c r="BA18" s="182" t="s">
        <v>1926</v>
      </c>
      <c r="BB18" s="176">
        <v>14</v>
      </c>
      <c r="BC18" s="180" t="s">
        <v>1927</v>
      </c>
      <c r="BD18" s="181">
        <v>22102299</v>
      </c>
      <c r="BE18" s="182" t="s">
        <v>1928</v>
      </c>
      <c r="BF18" s="176">
        <v>14</v>
      </c>
      <c r="BG18" s="180" t="s">
        <v>1929</v>
      </c>
      <c r="BH18" s="181">
        <v>22102396</v>
      </c>
      <c r="BI18" s="182" t="s">
        <v>1930</v>
      </c>
      <c r="BJ18" s="176">
        <v>14</v>
      </c>
      <c r="BK18" s="180" t="s">
        <v>807</v>
      </c>
      <c r="BL18" s="181">
        <v>21091062</v>
      </c>
      <c r="BM18" s="182" t="s">
        <v>808</v>
      </c>
      <c r="BN18" s="176">
        <v>14</v>
      </c>
      <c r="BO18" s="180" t="s">
        <v>852</v>
      </c>
      <c r="BP18" s="181">
        <v>21091059</v>
      </c>
      <c r="BQ18" s="182" t="s">
        <v>853</v>
      </c>
      <c r="BR18" s="176">
        <v>14</v>
      </c>
      <c r="BS18" s="180" t="s">
        <v>811</v>
      </c>
      <c r="BT18" s="181">
        <v>21091081</v>
      </c>
      <c r="BU18" s="182" t="s">
        <v>812</v>
      </c>
      <c r="BV18" s="176">
        <v>14</v>
      </c>
      <c r="BW18" s="180" t="s">
        <v>813</v>
      </c>
      <c r="BX18" s="181">
        <v>21091067</v>
      </c>
      <c r="BY18" s="182" t="s">
        <v>814</v>
      </c>
      <c r="BZ18" s="176">
        <v>14</v>
      </c>
      <c r="CA18" s="180" t="s">
        <v>815</v>
      </c>
      <c r="CB18" s="181">
        <v>21091069</v>
      </c>
      <c r="CC18" s="182" t="s">
        <v>816</v>
      </c>
      <c r="CD18" s="176">
        <v>14</v>
      </c>
      <c r="CE18" s="180" t="s">
        <v>817</v>
      </c>
      <c r="CF18" s="181">
        <v>21092230</v>
      </c>
      <c r="CG18" s="182" t="s">
        <v>818</v>
      </c>
      <c r="CH18" s="176">
        <v>14</v>
      </c>
      <c r="CI18" s="180" t="s">
        <v>909</v>
      </c>
      <c r="CJ18" s="181">
        <v>21092225</v>
      </c>
      <c r="CK18" s="182" t="s">
        <v>910</v>
      </c>
      <c r="CL18" s="176">
        <v>14</v>
      </c>
      <c r="CM18" s="180" t="s">
        <v>819</v>
      </c>
      <c r="CN18" s="181">
        <v>21092355</v>
      </c>
      <c r="CO18" s="182" t="s">
        <v>820</v>
      </c>
      <c r="CP18" s="176">
        <v>14</v>
      </c>
      <c r="CQ18" s="180" t="s">
        <v>821</v>
      </c>
      <c r="CR18" s="181">
        <v>21092200</v>
      </c>
      <c r="CS18" s="182" t="s">
        <v>822</v>
      </c>
      <c r="CT18" s="176">
        <v>14</v>
      </c>
      <c r="CU18" s="180" t="s">
        <v>868</v>
      </c>
      <c r="CV18" s="181">
        <v>21092226</v>
      </c>
      <c r="CW18" s="182" t="s">
        <v>869</v>
      </c>
      <c r="CX18" s="176">
        <v>14</v>
      </c>
      <c r="CY18" s="180" t="s">
        <v>870</v>
      </c>
      <c r="CZ18" s="181">
        <v>21092286</v>
      </c>
      <c r="DA18" s="182" t="s">
        <v>871</v>
      </c>
      <c r="DB18" s="176">
        <v>14</v>
      </c>
      <c r="DC18" s="180" t="s">
        <v>872</v>
      </c>
      <c r="DD18" s="181">
        <v>21092231</v>
      </c>
      <c r="DE18" s="182" t="s">
        <v>873</v>
      </c>
      <c r="DF18" s="176">
        <v>14</v>
      </c>
      <c r="DG18" s="180" t="s">
        <v>874</v>
      </c>
      <c r="DH18" s="181">
        <v>21091371</v>
      </c>
      <c r="DI18" s="182" t="s">
        <v>875</v>
      </c>
      <c r="DJ18" s="176">
        <v>14</v>
      </c>
      <c r="DK18" s="180" t="s">
        <v>876</v>
      </c>
      <c r="DL18" s="181">
        <v>2008228</v>
      </c>
      <c r="DM18" s="182" t="s">
        <v>877</v>
      </c>
      <c r="DN18" s="176">
        <v>14</v>
      </c>
      <c r="DO18" s="180" t="s">
        <v>878</v>
      </c>
      <c r="DP18" s="181">
        <v>2008176</v>
      </c>
      <c r="DQ18" s="182" t="s">
        <v>879</v>
      </c>
      <c r="DR18" s="176">
        <v>14</v>
      </c>
      <c r="DS18" s="180" t="s">
        <v>880</v>
      </c>
      <c r="DT18" s="181">
        <v>2008144</v>
      </c>
      <c r="DU18" s="182" t="s">
        <v>881</v>
      </c>
      <c r="DV18" s="176">
        <v>14</v>
      </c>
      <c r="DW18" s="180" t="s">
        <v>834</v>
      </c>
      <c r="DX18" s="181">
        <v>2008132</v>
      </c>
      <c r="DY18" s="182" t="s">
        <v>835</v>
      </c>
      <c r="DZ18" s="176">
        <v>14</v>
      </c>
      <c r="EA18" s="180" t="s">
        <v>836</v>
      </c>
      <c r="EB18" s="181">
        <v>2008139</v>
      </c>
      <c r="EC18" s="182" t="s">
        <v>837</v>
      </c>
      <c r="ED18" s="176">
        <v>14</v>
      </c>
      <c r="EE18" s="180" t="s">
        <v>838</v>
      </c>
      <c r="EF18" s="181">
        <v>2008235</v>
      </c>
      <c r="EG18" s="182" t="s">
        <v>839</v>
      </c>
      <c r="EH18" s="176">
        <v>14</v>
      </c>
      <c r="EI18" s="180" t="s">
        <v>840</v>
      </c>
      <c r="EJ18" s="181">
        <v>2008179</v>
      </c>
      <c r="EK18" s="182" t="s">
        <v>841</v>
      </c>
      <c r="EL18" s="176">
        <v>14</v>
      </c>
      <c r="EM18" s="180" t="s">
        <v>842</v>
      </c>
      <c r="EN18" s="181">
        <v>2008184</v>
      </c>
      <c r="EO18" s="182" t="s">
        <v>843</v>
      </c>
      <c r="EP18" s="176">
        <v>14</v>
      </c>
      <c r="EQ18" s="180" t="s">
        <v>844</v>
      </c>
      <c r="ER18" s="181">
        <v>2008239</v>
      </c>
      <c r="ES18" s="182" t="s">
        <v>845</v>
      </c>
      <c r="ET18" s="176">
        <v>14</v>
      </c>
      <c r="EU18" s="180" t="s">
        <v>846</v>
      </c>
      <c r="EV18" s="181">
        <v>2008142</v>
      </c>
      <c r="EW18" s="182" t="s">
        <v>847</v>
      </c>
      <c r="EX18" s="176">
        <v>14</v>
      </c>
      <c r="EY18" s="180" t="s">
        <v>166</v>
      </c>
      <c r="EZ18" s="181">
        <v>2008168</v>
      </c>
      <c r="FA18" s="182" t="s">
        <v>1931</v>
      </c>
      <c r="FB18" s="176">
        <v>14</v>
      </c>
      <c r="FC18" s="180" t="s">
        <v>848</v>
      </c>
      <c r="FD18" s="181">
        <v>2008112</v>
      </c>
      <c r="FE18" s="182" t="s">
        <v>849</v>
      </c>
      <c r="FF18" s="176">
        <v>14</v>
      </c>
      <c r="FG18" s="180"/>
      <c r="FH18" s="181"/>
      <c r="FI18" s="182"/>
    </row>
    <row r="19" spans="1:165" ht="15.75" x14ac:dyDescent="0.25">
      <c r="A19" s="9">
        <v>16</v>
      </c>
      <c r="B19" s="173" t="s">
        <v>1542</v>
      </c>
      <c r="C19" s="9">
        <v>62</v>
      </c>
      <c r="D19" s="9">
        <v>63</v>
      </c>
      <c r="E19" s="9">
        <v>64</v>
      </c>
      <c r="F19" s="176">
        <v>15</v>
      </c>
      <c r="G19" s="177" t="str">
        <f t="shared" si="0"/>
        <v>Kelvin Oktabrian Ramadhan</v>
      </c>
      <c r="H19" s="178">
        <f t="shared" si="1"/>
        <v>2008169</v>
      </c>
      <c r="I19" s="179" t="str">
        <f t="shared" si="2"/>
        <v>0045893001</v>
      </c>
      <c r="J19" s="176">
        <v>15</v>
      </c>
      <c r="K19" s="180" t="s">
        <v>1579</v>
      </c>
      <c r="L19" s="181">
        <v>22101090</v>
      </c>
      <c r="M19" s="182">
        <v>75124609</v>
      </c>
      <c r="N19" s="176">
        <v>15</v>
      </c>
      <c r="O19" s="180" t="s">
        <v>1932</v>
      </c>
      <c r="P19" s="181">
        <v>22101085</v>
      </c>
      <c r="Q19" s="182">
        <v>78274718</v>
      </c>
      <c r="R19" s="176">
        <v>15</v>
      </c>
      <c r="S19" s="180" t="s">
        <v>1933</v>
      </c>
      <c r="T19" s="192">
        <v>22000000</v>
      </c>
      <c r="U19" s="182">
        <v>61464948</v>
      </c>
      <c r="V19" s="176">
        <v>15</v>
      </c>
      <c r="W19" s="180" t="s">
        <v>1934</v>
      </c>
      <c r="X19" s="181">
        <v>22101064</v>
      </c>
      <c r="Y19" s="182" t="s">
        <v>1935</v>
      </c>
      <c r="Z19" s="176">
        <v>15</v>
      </c>
      <c r="AA19" s="180" t="s">
        <v>1936</v>
      </c>
      <c r="AB19" s="181">
        <v>22101073</v>
      </c>
      <c r="AC19" s="182" t="s">
        <v>1937</v>
      </c>
      <c r="AD19" s="176">
        <v>15</v>
      </c>
      <c r="AE19" s="180" t="s">
        <v>1938</v>
      </c>
      <c r="AF19" s="181">
        <v>22102238</v>
      </c>
      <c r="AG19" s="182" t="s">
        <v>1939</v>
      </c>
      <c r="AH19" s="176">
        <v>15</v>
      </c>
      <c r="AI19" s="180" t="s">
        <v>1940</v>
      </c>
      <c r="AJ19" s="181">
        <v>22102260</v>
      </c>
      <c r="AK19" s="182" t="s">
        <v>1941</v>
      </c>
      <c r="AL19" s="176">
        <v>15</v>
      </c>
      <c r="AM19" s="180" t="s">
        <v>1942</v>
      </c>
      <c r="AN19" s="181">
        <v>22102284</v>
      </c>
      <c r="AO19" s="182" t="s">
        <v>1943</v>
      </c>
      <c r="AP19" s="176">
        <v>15</v>
      </c>
      <c r="AQ19" s="180" t="s">
        <v>1944</v>
      </c>
      <c r="AR19" s="181">
        <v>22102266</v>
      </c>
      <c r="AS19" s="182" t="s">
        <v>1945</v>
      </c>
      <c r="AT19" s="176">
        <v>15</v>
      </c>
      <c r="AU19" s="180" t="s">
        <v>1946</v>
      </c>
      <c r="AV19" s="181">
        <v>22102278</v>
      </c>
      <c r="AW19" s="182" t="s">
        <v>1947</v>
      </c>
      <c r="AX19" s="176">
        <v>15</v>
      </c>
      <c r="AY19" s="180" t="s">
        <v>1948</v>
      </c>
      <c r="AZ19" s="181">
        <v>22102268</v>
      </c>
      <c r="BA19" s="182" t="s">
        <v>1949</v>
      </c>
      <c r="BB19" s="176">
        <v>15</v>
      </c>
      <c r="BC19" s="180" t="s">
        <v>1950</v>
      </c>
      <c r="BD19" s="181">
        <v>22102303</v>
      </c>
      <c r="BE19" s="182" t="s">
        <v>1951</v>
      </c>
      <c r="BF19" s="176">
        <v>15</v>
      </c>
      <c r="BG19" s="180" t="s">
        <v>1952</v>
      </c>
      <c r="BH19" s="181">
        <v>22102397</v>
      </c>
      <c r="BI19" s="182" t="s">
        <v>1953</v>
      </c>
      <c r="BJ19" s="176">
        <v>15</v>
      </c>
      <c r="BK19" s="180" t="s">
        <v>850</v>
      </c>
      <c r="BL19" s="181">
        <v>21091076</v>
      </c>
      <c r="BM19" s="182" t="s">
        <v>851</v>
      </c>
      <c r="BN19" s="176">
        <v>15</v>
      </c>
      <c r="BO19" s="180" t="s">
        <v>899</v>
      </c>
      <c r="BP19" s="181">
        <v>21091060</v>
      </c>
      <c r="BQ19" s="182" t="s">
        <v>900</v>
      </c>
      <c r="BR19" s="176">
        <v>15</v>
      </c>
      <c r="BS19" s="180" t="s">
        <v>854</v>
      </c>
      <c r="BT19" s="181">
        <v>21091085</v>
      </c>
      <c r="BU19" s="182" t="s">
        <v>855</v>
      </c>
      <c r="BV19" s="176">
        <v>15</v>
      </c>
      <c r="BW19" s="180" t="s">
        <v>856</v>
      </c>
      <c r="BX19" s="181">
        <v>21091084</v>
      </c>
      <c r="BY19" s="182" t="s">
        <v>857</v>
      </c>
      <c r="BZ19" s="176">
        <v>15</v>
      </c>
      <c r="CA19" s="180" t="s">
        <v>858</v>
      </c>
      <c r="CB19" s="181">
        <v>21091070</v>
      </c>
      <c r="CC19" s="182" t="s">
        <v>859</v>
      </c>
      <c r="CD19" s="176">
        <v>15</v>
      </c>
      <c r="CE19" s="180" t="s">
        <v>860</v>
      </c>
      <c r="CF19" s="181">
        <v>21092236</v>
      </c>
      <c r="CG19" s="182" t="s">
        <v>861</v>
      </c>
      <c r="CH19" s="176">
        <v>15</v>
      </c>
      <c r="CI19" s="180" t="s">
        <v>954</v>
      </c>
      <c r="CJ19" s="181">
        <v>21092228</v>
      </c>
      <c r="CK19" s="182" t="s">
        <v>955</v>
      </c>
      <c r="CL19" s="176">
        <v>15</v>
      </c>
      <c r="CM19" s="180" t="s">
        <v>864</v>
      </c>
      <c r="CN19" s="181">
        <v>21092252</v>
      </c>
      <c r="CO19" s="182" t="s">
        <v>865</v>
      </c>
      <c r="CP19" s="176">
        <v>15</v>
      </c>
      <c r="CQ19" s="180" t="s">
        <v>866</v>
      </c>
      <c r="CR19" s="181">
        <v>21092227</v>
      </c>
      <c r="CS19" s="182" t="s">
        <v>867</v>
      </c>
      <c r="CT19" s="176">
        <v>15</v>
      </c>
      <c r="CU19" s="180" t="s">
        <v>915</v>
      </c>
      <c r="CV19" s="181">
        <v>21092235</v>
      </c>
      <c r="CW19" s="182" t="s">
        <v>916</v>
      </c>
      <c r="CX19" s="176">
        <v>15</v>
      </c>
      <c r="CY19" s="180" t="s">
        <v>917</v>
      </c>
      <c r="CZ19" s="181">
        <v>21092295</v>
      </c>
      <c r="DA19" s="182" t="s">
        <v>918</v>
      </c>
      <c r="DB19" s="176">
        <v>15</v>
      </c>
      <c r="DC19" s="180" t="s">
        <v>919</v>
      </c>
      <c r="DD19" s="181">
        <v>21092233</v>
      </c>
      <c r="DE19" s="182" t="s">
        <v>920</v>
      </c>
      <c r="DF19" s="176">
        <v>15</v>
      </c>
      <c r="DG19" s="180" t="s">
        <v>921</v>
      </c>
      <c r="DH19" s="181">
        <v>21091372</v>
      </c>
      <c r="DI19" s="182" t="s">
        <v>922</v>
      </c>
      <c r="DJ19" s="176">
        <v>15</v>
      </c>
      <c r="DK19" s="180" t="s">
        <v>923</v>
      </c>
      <c r="DL19" s="181">
        <v>2008229</v>
      </c>
      <c r="DM19" s="182" t="s">
        <v>924</v>
      </c>
      <c r="DN19" s="176">
        <v>15</v>
      </c>
      <c r="DO19" s="180" t="s">
        <v>925</v>
      </c>
      <c r="DP19" s="181">
        <v>2008181</v>
      </c>
      <c r="DQ19" s="182" t="s">
        <v>926</v>
      </c>
      <c r="DR19" s="176">
        <v>15</v>
      </c>
      <c r="DS19" s="180" t="s">
        <v>927</v>
      </c>
      <c r="DT19" s="181">
        <v>2008147</v>
      </c>
      <c r="DU19" s="182" t="s">
        <v>928</v>
      </c>
      <c r="DV19" s="176">
        <v>15</v>
      </c>
      <c r="DW19" s="180" t="s">
        <v>882</v>
      </c>
      <c r="DX19" s="181">
        <v>2008169</v>
      </c>
      <c r="DY19" s="182" t="s">
        <v>883</v>
      </c>
      <c r="DZ19" s="176">
        <v>15</v>
      </c>
      <c r="EA19" s="180" t="s">
        <v>884</v>
      </c>
      <c r="EB19" s="181">
        <v>2008153</v>
      </c>
      <c r="EC19" s="182" t="s">
        <v>885</v>
      </c>
      <c r="ED19" s="176">
        <v>15</v>
      </c>
      <c r="EE19" s="180" t="s">
        <v>886</v>
      </c>
      <c r="EF19" s="181">
        <v>2008236</v>
      </c>
      <c r="EG19" s="182" t="s">
        <v>887</v>
      </c>
      <c r="EH19" s="176">
        <v>15</v>
      </c>
      <c r="EI19" s="180" t="s">
        <v>888</v>
      </c>
      <c r="EJ19" s="181">
        <v>2008180</v>
      </c>
      <c r="EK19" s="182" t="s">
        <v>889</v>
      </c>
      <c r="EL19" s="176">
        <v>15</v>
      </c>
      <c r="EM19" s="180" t="s">
        <v>890</v>
      </c>
      <c r="EN19" s="181">
        <v>2008194</v>
      </c>
      <c r="EO19" s="182" t="s">
        <v>891</v>
      </c>
      <c r="EP19" s="176">
        <v>15</v>
      </c>
      <c r="EQ19" s="180" t="s">
        <v>892</v>
      </c>
      <c r="ER19" s="181">
        <v>2008252</v>
      </c>
      <c r="ES19" s="182" t="s">
        <v>893</v>
      </c>
      <c r="ET19" s="176">
        <v>15</v>
      </c>
      <c r="EU19" s="180" t="s">
        <v>894</v>
      </c>
      <c r="EV19" s="181">
        <v>2008151</v>
      </c>
      <c r="EW19" s="182" t="s">
        <v>1954</v>
      </c>
      <c r="EX19" s="176">
        <v>15</v>
      </c>
      <c r="EY19" s="180" t="s">
        <v>167</v>
      </c>
      <c r="EZ19" s="181">
        <v>2008193</v>
      </c>
      <c r="FA19" s="182" t="s">
        <v>187</v>
      </c>
      <c r="FB19" s="176">
        <v>15</v>
      </c>
      <c r="FC19" s="180" t="s">
        <v>895</v>
      </c>
      <c r="FD19" s="181">
        <v>2008117</v>
      </c>
      <c r="FE19" s="182" t="s">
        <v>896</v>
      </c>
      <c r="FF19" s="176">
        <v>15</v>
      </c>
      <c r="FG19" s="180"/>
      <c r="FH19" s="181"/>
      <c r="FI19" s="182"/>
    </row>
    <row r="20" spans="1:165" ht="15.75" x14ac:dyDescent="0.25">
      <c r="A20" s="9">
        <v>17</v>
      </c>
      <c r="B20" s="173" t="s">
        <v>1543</v>
      </c>
      <c r="C20" s="9">
        <v>66</v>
      </c>
      <c r="D20" s="9">
        <v>67</v>
      </c>
      <c r="E20" s="9">
        <v>68</v>
      </c>
      <c r="F20" s="176">
        <v>16</v>
      </c>
      <c r="G20" s="177" t="str">
        <f t="shared" si="0"/>
        <v>Mohamad Khoiril Afwa</v>
      </c>
      <c r="H20" s="178">
        <f t="shared" si="1"/>
        <v>2008197</v>
      </c>
      <c r="I20" s="179" t="str">
        <f t="shared" si="2"/>
        <v>0044910894</v>
      </c>
      <c r="J20" s="176">
        <v>16</v>
      </c>
      <c r="K20" s="180" t="s">
        <v>1580</v>
      </c>
      <c r="L20" s="181">
        <v>22101092</v>
      </c>
      <c r="M20" s="182">
        <v>3140634494</v>
      </c>
      <c r="N20" s="176">
        <v>16</v>
      </c>
      <c r="O20" s="180" t="s">
        <v>1955</v>
      </c>
      <c r="P20" s="181">
        <v>22101086</v>
      </c>
      <c r="Q20" s="182">
        <v>66286413</v>
      </c>
      <c r="R20" s="176">
        <v>16</v>
      </c>
      <c r="S20" s="180" t="s">
        <v>1956</v>
      </c>
      <c r="T20" s="192">
        <v>22000000</v>
      </c>
      <c r="U20" s="182">
        <v>75868237</v>
      </c>
      <c r="V20" s="176">
        <v>16</v>
      </c>
      <c r="W20" s="180" t="s">
        <v>1957</v>
      </c>
      <c r="X20" s="181">
        <v>22101078</v>
      </c>
      <c r="Y20" s="182" t="s">
        <v>1958</v>
      </c>
      <c r="Z20" s="176">
        <v>16</v>
      </c>
      <c r="AA20" s="180" t="s">
        <v>1959</v>
      </c>
      <c r="AB20" s="181">
        <v>22101075</v>
      </c>
      <c r="AC20" s="182" t="s">
        <v>1960</v>
      </c>
      <c r="AD20" s="176">
        <v>16</v>
      </c>
      <c r="AE20" s="180" t="s">
        <v>1961</v>
      </c>
      <c r="AF20" s="181">
        <v>22102246</v>
      </c>
      <c r="AG20" s="182" t="s">
        <v>1962</v>
      </c>
      <c r="AH20" s="176">
        <v>16</v>
      </c>
      <c r="AI20" s="180" t="s">
        <v>1963</v>
      </c>
      <c r="AJ20" s="181">
        <v>22102261</v>
      </c>
      <c r="AK20" s="182" t="s">
        <v>1964</v>
      </c>
      <c r="AL20" s="176">
        <v>16</v>
      </c>
      <c r="AM20" s="180" t="s">
        <v>1965</v>
      </c>
      <c r="AN20" s="181">
        <v>22102285</v>
      </c>
      <c r="AO20" s="182" t="s">
        <v>1966</v>
      </c>
      <c r="AP20" s="176">
        <v>16</v>
      </c>
      <c r="AQ20" s="180" t="s">
        <v>1967</v>
      </c>
      <c r="AR20" s="181">
        <v>22102267</v>
      </c>
      <c r="AS20" s="182" t="s">
        <v>1968</v>
      </c>
      <c r="AT20" s="176">
        <v>16</v>
      </c>
      <c r="AU20" s="180" t="s">
        <v>1969</v>
      </c>
      <c r="AV20" s="181">
        <v>22102279</v>
      </c>
      <c r="AW20" s="182" t="s">
        <v>1970</v>
      </c>
      <c r="AX20" s="176">
        <v>16</v>
      </c>
      <c r="AY20" s="180" t="s">
        <v>1971</v>
      </c>
      <c r="AZ20" s="181">
        <v>22102276</v>
      </c>
      <c r="BA20" s="182" t="s">
        <v>1972</v>
      </c>
      <c r="BB20" s="176">
        <v>16</v>
      </c>
      <c r="BC20" s="180" t="s">
        <v>1973</v>
      </c>
      <c r="BD20" s="181">
        <v>22102312</v>
      </c>
      <c r="BE20" s="182" t="s">
        <v>1974</v>
      </c>
      <c r="BF20" s="176">
        <v>16</v>
      </c>
      <c r="BG20" s="180" t="s">
        <v>1975</v>
      </c>
      <c r="BH20" s="181">
        <v>22102398</v>
      </c>
      <c r="BI20" s="182" t="s">
        <v>1976</v>
      </c>
      <c r="BJ20" s="176">
        <v>16</v>
      </c>
      <c r="BK20" s="180" t="s">
        <v>897</v>
      </c>
      <c r="BL20" s="181">
        <v>21091077</v>
      </c>
      <c r="BM20" s="182" t="s">
        <v>898</v>
      </c>
      <c r="BN20" s="176">
        <v>16</v>
      </c>
      <c r="BO20" s="180" t="s">
        <v>944</v>
      </c>
      <c r="BP20" s="185">
        <v>21091073</v>
      </c>
      <c r="BQ20" s="186" t="s">
        <v>945</v>
      </c>
      <c r="BR20" s="176">
        <v>16</v>
      </c>
      <c r="BS20" s="180" t="s">
        <v>901</v>
      </c>
      <c r="BT20" s="181">
        <v>21091093</v>
      </c>
      <c r="BU20" s="182" t="s">
        <v>902</v>
      </c>
      <c r="BV20" s="176">
        <v>16</v>
      </c>
      <c r="BW20" s="180" t="s">
        <v>903</v>
      </c>
      <c r="BX20" s="181">
        <v>21091087</v>
      </c>
      <c r="BY20" s="182" t="s">
        <v>904</v>
      </c>
      <c r="BZ20" s="176">
        <v>16</v>
      </c>
      <c r="CA20" s="180" t="s">
        <v>905</v>
      </c>
      <c r="CB20" s="181">
        <v>21091071</v>
      </c>
      <c r="CC20" s="182" t="s">
        <v>906</v>
      </c>
      <c r="CD20" s="176">
        <v>16</v>
      </c>
      <c r="CE20" s="180" t="s">
        <v>907</v>
      </c>
      <c r="CF20" s="181">
        <v>21092239</v>
      </c>
      <c r="CG20" s="182" t="s">
        <v>908</v>
      </c>
      <c r="CH20" s="176">
        <v>16</v>
      </c>
      <c r="CI20" s="180" t="s">
        <v>998</v>
      </c>
      <c r="CJ20" s="181">
        <v>21092237</v>
      </c>
      <c r="CK20" s="182" t="s">
        <v>999</v>
      </c>
      <c r="CL20" s="176">
        <v>16</v>
      </c>
      <c r="CM20" s="180" t="s">
        <v>911</v>
      </c>
      <c r="CN20" s="181">
        <v>21092259</v>
      </c>
      <c r="CO20" s="182" t="s">
        <v>912</v>
      </c>
      <c r="CP20" s="176">
        <v>16</v>
      </c>
      <c r="CQ20" s="180" t="s">
        <v>913</v>
      </c>
      <c r="CR20" s="181">
        <v>21092238</v>
      </c>
      <c r="CS20" s="182" t="s">
        <v>914</v>
      </c>
      <c r="CT20" s="176">
        <v>16</v>
      </c>
      <c r="CU20" s="180" t="s">
        <v>960</v>
      </c>
      <c r="CV20" s="181">
        <v>21092244</v>
      </c>
      <c r="CW20" s="182" t="s">
        <v>961</v>
      </c>
      <c r="CX20" s="176">
        <v>16</v>
      </c>
      <c r="CY20" s="180" t="s">
        <v>962</v>
      </c>
      <c r="CZ20" s="181">
        <v>21092302</v>
      </c>
      <c r="DA20" s="182" t="s">
        <v>963</v>
      </c>
      <c r="DB20" s="176">
        <v>16</v>
      </c>
      <c r="DC20" s="180" t="s">
        <v>964</v>
      </c>
      <c r="DD20" s="181">
        <v>21092234</v>
      </c>
      <c r="DE20" s="182" t="s">
        <v>965</v>
      </c>
      <c r="DF20" s="176">
        <v>16</v>
      </c>
      <c r="DG20" s="180" t="s">
        <v>1977</v>
      </c>
      <c r="DH20" s="181">
        <v>21092375</v>
      </c>
      <c r="DI20" s="182" t="s">
        <v>1978</v>
      </c>
      <c r="DJ20" s="176">
        <v>16</v>
      </c>
      <c r="DK20" s="180" t="s">
        <v>966</v>
      </c>
      <c r="DL20" s="181">
        <v>2008245</v>
      </c>
      <c r="DM20" s="182" t="s">
        <v>967</v>
      </c>
      <c r="DN20" s="176">
        <v>16</v>
      </c>
      <c r="DO20" s="180" t="s">
        <v>968</v>
      </c>
      <c r="DP20" s="181">
        <v>2008196</v>
      </c>
      <c r="DQ20" s="182" t="s">
        <v>969</v>
      </c>
      <c r="DR20" s="176">
        <v>16</v>
      </c>
      <c r="DS20" s="180" t="s">
        <v>970</v>
      </c>
      <c r="DT20" s="181">
        <v>2008148</v>
      </c>
      <c r="DU20" s="182" t="s">
        <v>971</v>
      </c>
      <c r="DV20" s="176">
        <v>16</v>
      </c>
      <c r="DW20" s="180" t="s">
        <v>929</v>
      </c>
      <c r="DX20" s="181">
        <v>2008197</v>
      </c>
      <c r="DY20" s="182" t="s">
        <v>930</v>
      </c>
      <c r="DZ20" s="176">
        <v>16</v>
      </c>
      <c r="EA20" s="180" t="s">
        <v>931</v>
      </c>
      <c r="EB20" s="181">
        <v>2008189</v>
      </c>
      <c r="EC20" s="182" t="s">
        <v>932</v>
      </c>
      <c r="ED20" s="176">
        <v>16</v>
      </c>
      <c r="EE20" s="180" t="s">
        <v>933</v>
      </c>
      <c r="EF20" s="181">
        <v>2008237</v>
      </c>
      <c r="EG20" s="182" t="s">
        <v>934</v>
      </c>
      <c r="EH20" s="176">
        <v>16</v>
      </c>
      <c r="EI20" s="180" t="s">
        <v>935</v>
      </c>
      <c r="EJ20" s="181">
        <v>2008183</v>
      </c>
      <c r="EK20" s="182" t="s">
        <v>936</v>
      </c>
      <c r="EL20" s="176">
        <v>16</v>
      </c>
      <c r="EM20" s="180" t="s">
        <v>937</v>
      </c>
      <c r="EN20" s="181">
        <v>2008195</v>
      </c>
      <c r="EO20" s="182" t="s">
        <v>938</v>
      </c>
      <c r="EP20" s="176">
        <v>16</v>
      </c>
      <c r="EQ20" s="180" t="s">
        <v>1979</v>
      </c>
      <c r="ER20" s="181">
        <v>2008254</v>
      </c>
      <c r="ES20" s="182" t="s">
        <v>1980</v>
      </c>
      <c r="ET20" s="176">
        <v>16</v>
      </c>
      <c r="EU20" s="180" t="s">
        <v>939</v>
      </c>
      <c r="EV20" s="181">
        <v>2008160</v>
      </c>
      <c r="EW20" s="182" t="s">
        <v>1981</v>
      </c>
      <c r="EX20" s="176">
        <v>16</v>
      </c>
      <c r="EY20" s="180" t="s">
        <v>168</v>
      </c>
      <c r="EZ20" s="181">
        <v>2008234</v>
      </c>
      <c r="FA20" s="182" t="s">
        <v>188</v>
      </c>
      <c r="FB20" s="176">
        <v>16</v>
      </c>
      <c r="FC20" s="180" t="s">
        <v>940</v>
      </c>
      <c r="FD20" s="181">
        <v>2008134</v>
      </c>
      <c r="FE20" s="182" t="s">
        <v>941</v>
      </c>
      <c r="FF20" s="176">
        <v>16</v>
      </c>
      <c r="FG20" s="180"/>
      <c r="FH20" s="181"/>
      <c r="FI20" s="182"/>
    </row>
    <row r="21" spans="1:165" ht="15.75" x14ac:dyDescent="0.25">
      <c r="A21" s="9">
        <v>18</v>
      </c>
      <c r="B21" s="173" t="s">
        <v>1544</v>
      </c>
      <c r="C21" s="9">
        <v>70</v>
      </c>
      <c r="D21" s="9">
        <v>71</v>
      </c>
      <c r="E21" s="9">
        <v>72</v>
      </c>
      <c r="F21" s="176">
        <v>17</v>
      </c>
      <c r="G21" s="177" t="str">
        <f t="shared" si="0"/>
        <v>Muhammad Hanif Pearlyaradja</v>
      </c>
      <c r="H21" s="178">
        <f t="shared" si="1"/>
        <v>2008214</v>
      </c>
      <c r="I21" s="179" t="str">
        <f t="shared" si="2"/>
        <v>0052096412</v>
      </c>
      <c r="J21" s="176">
        <v>17</v>
      </c>
      <c r="K21" s="180" t="s">
        <v>1581</v>
      </c>
      <c r="L21" s="185">
        <v>22101093</v>
      </c>
      <c r="M21" s="186">
        <v>72313580</v>
      </c>
      <c r="N21" s="176">
        <v>17</v>
      </c>
      <c r="O21" s="180" t="s">
        <v>1982</v>
      </c>
      <c r="P21" s="185">
        <v>22101089</v>
      </c>
      <c r="Q21" s="186">
        <v>77523959</v>
      </c>
      <c r="R21" s="176">
        <v>17</v>
      </c>
      <c r="S21" s="180" t="s">
        <v>1983</v>
      </c>
      <c r="T21" s="194">
        <v>22000000</v>
      </c>
      <c r="U21" s="186">
        <v>65725410</v>
      </c>
      <c r="V21" s="176">
        <v>17</v>
      </c>
      <c r="W21" s="180" t="s">
        <v>1984</v>
      </c>
      <c r="X21" s="185">
        <v>22101100</v>
      </c>
      <c r="Y21" s="186" t="s">
        <v>1985</v>
      </c>
      <c r="Z21" s="176">
        <v>17</v>
      </c>
      <c r="AA21" s="180" t="s">
        <v>1986</v>
      </c>
      <c r="AB21" s="185">
        <v>22101080</v>
      </c>
      <c r="AC21" s="186" t="s">
        <v>1987</v>
      </c>
      <c r="AD21" s="176">
        <v>17</v>
      </c>
      <c r="AE21" s="180" t="s">
        <v>1988</v>
      </c>
      <c r="AF21" s="185">
        <v>22102262</v>
      </c>
      <c r="AG21" s="186" t="s">
        <v>1989</v>
      </c>
      <c r="AH21" s="176">
        <v>17</v>
      </c>
      <c r="AI21" s="180" t="s">
        <v>1990</v>
      </c>
      <c r="AJ21" s="185">
        <v>22102263</v>
      </c>
      <c r="AK21" s="186" t="s">
        <v>1991</v>
      </c>
      <c r="AL21" s="176">
        <v>17</v>
      </c>
      <c r="AM21" s="180" t="s">
        <v>1992</v>
      </c>
      <c r="AN21" s="185">
        <v>22102320</v>
      </c>
      <c r="AO21" s="186" t="s">
        <v>1993</v>
      </c>
      <c r="AP21" s="176">
        <v>17</v>
      </c>
      <c r="AQ21" s="180" t="s">
        <v>1994</v>
      </c>
      <c r="AR21" s="185">
        <v>22102293</v>
      </c>
      <c r="AS21" s="186" t="s">
        <v>1995</v>
      </c>
      <c r="AT21" s="176">
        <v>17</v>
      </c>
      <c r="AU21" s="180" t="s">
        <v>1996</v>
      </c>
      <c r="AV21" s="185">
        <v>22102280</v>
      </c>
      <c r="AW21" s="186" t="s">
        <v>1997</v>
      </c>
      <c r="AX21" s="176">
        <v>17</v>
      </c>
      <c r="AY21" s="180" t="s">
        <v>1998</v>
      </c>
      <c r="AZ21" s="185">
        <v>22102287</v>
      </c>
      <c r="BA21" s="186" t="s">
        <v>1999</v>
      </c>
      <c r="BB21" s="176">
        <v>17</v>
      </c>
      <c r="BC21" s="180" t="s">
        <v>2000</v>
      </c>
      <c r="BD21" s="185">
        <v>22102316</v>
      </c>
      <c r="BE21" s="186" t="s">
        <v>2001</v>
      </c>
      <c r="BF21" s="176">
        <v>17</v>
      </c>
      <c r="BG21" s="180" t="s">
        <v>2002</v>
      </c>
      <c r="BH21" s="185">
        <v>22102399</v>
      </c>
      <c r="BI21" s="186" t="s">
        <v>2003</v>
      </c>
      <c r="BJ21" s="176">
        <v>17</v>
      </c>
      <c r="BK21" s="180" t="s">
        <v>942</v>
      </c>
      <c r="BL21" s="185">
        <v>21091079</v>
      </c>
      <c r="BM21" s="186" t="s">
        <v>943</v>
      </c>
      <c r="BN21" s="176">
        <v>17</v>
      </c>
      <c r="BO21" s="180" t="s">
        <v>988</v>
      </c>
      <c r="BP21" s="181">
        <v>21091080</v>
      </c>
      <c r="BQ21" s="182" t="s">
        <v>989</v>
      </c>
      <c r="BR21" s="176">
        <v>17</v>
      </c>
      <c r="BS21" s="180" t="s">
        <v>946</v>
      </c>
      <c r="BT21" s="185">
        <v>21091102</v>
      </c>
      <c r="BU21" s="186" t="s">
        <v>947</v>
      </c>
      <c r="BV21" s="176">
        <v>17</v>
      </c>
      <c r="BW21" s="180" t="s">
        <v>948</v>
      </c>
      <c r="BX21" s="185">
        <v>21091088</v>
      </c>
      <c r="BY21" s="186" t="s">
        <v>949</v>
      </c>
      <c r="BZ21" s="176">
        <v>17</v>
      </c>
      <c r="CA21" s="180" t="s">
        <v>950</v>
      </c>
      <c r="CB21" s="185">
        <v>21091072</v>
      </c>
      <c r="CC21" s="186" t="s">
        <v>951</v>
      </c>
      <c r="CD21" s="176">
        <v>17</v>
      </c>
      <c r="CE21" s="180" t="s">
        <v>952</v>
      </c>
      <c r="CF21" s="185">
        <v>21092243</v>
      </c>
      <c r="CG21" s="186" t="s">
        <v>953</v>
      </c>
      <c r="CH21" s="176">
        <v>17</v>
      </c>
      <c r="CI21" s="180" t="s">
        <v>1043</v>
      </c>
      <c r="CJ21" s="185">
        <v>21092250</v>
      </c>
      <c r="CK21" s="186" t="s">
        <v>1044</v>
      </c>
      <c r="CL21" s="176">
        <v>17</v>
      </c>
      <c r="CM21" s="180" t="s">
        <v>956</v>
      </c>
      <c r="CN21" s="185">
        <v>21092266</v>
      </c>
      <c r="CO21" s="186" t="s">
        <v>957</v>
      </c>
      <c r="CP21" s="176">
        <v>17</v>
      </c>
      <c r="CQ21" s="180" t="s">
        <v>958</v>
      </c>
      <c r="CR21" s="185">
        <v>21092247</v>
      </c>
      <c r="CS21" s="186" t="s">
        <v>959</v>
      </c>
      <c r="CT21" s="176">
        <v>17</v>
      </c>
      <c r="CU21" s="180" t="s">
        <v>1004</v>
      </c>
      <c r="CV21" s="185">
        <v>21092245</v>
      </c>
      <c r="CW21" s="186" t="s">
        <v>1005</v>
      </c>
      <c r="CX21" s="176">
        <v>17</v>
      </c>
      <c r="CY21" s="180" t="s">
        <v>1006</v>
      </c>
      <c r="CZ21" s="185">
        <v>21092309</v>
      </c>
      <c r="DA21" s="186" t="s">
        <v>1007</v>
      </c>
      <c r="DB21" s="176">
        <v>17</v>
      </c>
      <c r="DC21" s="180" t="s">
        <v>1008</v>
      </c>
      <c r="DD21" s="185">
        <v>21092242</v>
      </c>
      <c r="DE21" s="186" t="s">
        <v>1009</v>
      </c>
      <c r="DF21" s="176">
        <v>17</v>
      </c>
      <c r="DG21" s="180"/>
      <c r="DH21" s="185"/>
      <c r="DI21" s="186"/>
      <c r="DJ21" s="176">
        <v>17</v>
      </c>
      <c r="DK21" s="180" t="s">
        <v>1010</v>
      </c>
      <c r="DL21" s="185">
        <v>2008269</v>
      </c>
      <c r="DM21" s="186" t="s">
        <v>1011</v>
      </c>
      <c r="DN21" s="176">
        <v>17</v>
      </c>
      <c r="DO21" s="180" t="s">
        <v>1012</v>
      </c>
      <c r="DP21" s="185">
        <v>2008199</v>
      </c>
      <c r="DQ21" s="186" t="s">
        <v>1013</v>
      </c>
      <c r="DR21" s="176">
        <v>17</v>
      </c>
      <c r="DS21" s="180" t="s">
        <v>1014</v>
      </c>
      <c r="DT21" s="185">
        <v>2008161</v>
      </c>
      <c r="DU21" s="186" t="s">
        <v>1015</v>
      </c>
      <c r="DV21" s="176">
        <v>17</v>
      </c>
      <c r="DW21" s="180" t="s">
        <v>972</v>
      </c>
      <c r="DX21" s="185">
        <v>2008214</v>
      </c>
      <c r="DY21" s="186" t="s">
        <v>973</v>
      </c>
      <c r="DZ21" s="176">
        <v>17</v>
      </c>
      <c r="EA21" s="180" t="s">
        <v>974</v>
      </c>
      <c r="EB21" s="185">
        <v>2008201</v>
      </c>
      <c r="EC21" s="186" t="s">
        <v>975</v>
      </c>
      <c r="ED21" s="176">
        <v>17</v>
      </c>
      <c r="EE21" s="180" t="s">
        <v>976</v>
      </c>
      <c r="EF21" s="185">
        <v>2008244</v>
      </c>
      <c r="EG21" s="186" t="s">
        <v>977</v>
      </c>
      <c r="EH21" s="176">
        <v>17</v>
      </c>
      <c r="EI21" s="180" t="s">
        <v>978</v>
      </c>
      <c r="EJ21" s="185">
        <v>2008240</v>
      </c>
      <c r="EK21" s="186" t="s">
        <v>979</v>
      </c>
      <c r="EL21" s="176">
        <v>17</v>
      </c>
      <c r="EM21" s="180" t="s">
        <v>2004</v>
      </c>
      <c r="EN21" s="185">
        <v>2008258</v>
      </c>
      <c r="EO21" s="186" t="s">
        <v>980</v>
      </c>
      <c r="EP21" s="176">
        <v>17</v>
      </c>
      <c r="EQ21" s="180" t="s">
        <v>981</v>
      </c>
      <c r="ER21" s="185">
        <v>2008262</v>
      </c>
      <c r="ES21" s="186" t="s">
        <v>982</v>
      </c>
      <c r="ET21" s="176">
        <v>17</v>
      </c>
      <c r="EU21" s="180" t="s">
        <v>983</v>
      </c>
      <c r="EV21" s="185">
        <v>2008164</v>
      </c>
      <c r="EW21" s="186" t="s">
        <v>2005</v>
      </c>
      <c r="EX21" s="176">
        <v>17</v>
      </c>
      <c r="EY21" s="180" t="s">
        <v>169</v>
      </c>
      <c r="EZ21" s="185">
        <v>2008241</v>
      </c>
      <c r="FA21" s="186" t="s">
        <v>189</v>
      </c>
      <c r="FB21" s="176">
        <v>17</v>
      </c>
      <c r="FC21" s="180" t="s">
        <v>984</v>
      </c>
      <c r="FD21" s="185">
        <v>2008158</v>
      </c>
      <c r="FE21" s="186" t="s">
        <v>985</v>
      </c>
      <c r="FF21" s="176">
        <v>17</v>
      </c>
      <c r="FG21" s="180"/>
      <c r="FH21" s="185"/>
      <c r="FI21" s="186"/>
    </row>
    <row r="22" spans="1:165" ht="15.75" x14ac:dyDescent="0.25">
      <c r="A22" s="9">
        <v>19</v>
      </c>
      <c r="B22" s="173" t="s">
        <v>1545</v>
      </c>
      <c r="C22" s="9">
        <v>74</v>
      </c>
      <c r="D22" s="9">
        <v>75</v>
      </c>
      <c r="E22" s="9">
        <v>76</v>
      </c>
      <c r="F22" s="176">
        <v>18</v>
      </c>
      <c r="G22" s="177" t="str">
        <f t="shared" si="0"/>
        <v>Muhammad Maurel Han</v>
      </c>
      <c r="H22" s="178">
        <f t="shared" si="1"/>
        <v>2008218</v>
      </c>
      <c r="I22" s="179" t="str">
        <f t="shared" si="2"/>
        <v>9015578324</v>
      </c>
      <c r="J22" s="176">
        <v>18</v>
      </c>
      <c r="K22" s="180" t="s">
        <v>1582</v>
      </c>
      <c r="L22" s="181">
        <v>22101095</v>
      </c>
      <c r="M22" s="182">
        <v>71310571</v>
      </c>
      <c r="N22" s="176">
        <v>18</v>
      </c>
      <c r="O22" s="180" t="s">
        <v>2006</v>
      </c>
      <c r="P22" s="181">
        <v>22101091</v>
      </c>
      <c r="Q22" s="182">
        <v>76031196</v>
      </c>
      <c r="R22" s="176">
        <v>18</v>
      </c>
      <c r="S22" s="180" t="s">
        <v>2007</v>
      </c>
      <c r="T22" s="192">
        <v>22000000</v>
      </c>
      <c r="U22" s="182">
        <v>77243596</v>
      </c>
      <c r="V22" s="176">
        <v>18</v>
      </c>
      <c r="W22" s="180" t="s">
        <v>2008</v>
      </c>
      <c r="X22" s="181">
        <v>22101105</v>
      </c>
      <c r="Y22" s="182" t="s">
        <v>2009</v>
      </c>
      <c r="Z22" s="176">
        <v>18</v>
      </c>
      <c r="AA22" s="180" t="s">
        <v>2010</v>
      </c>
      <c r="AB22" s="181">
        <v>22101087</v>
      </c>
      <c r="AC22" s="182" t="s">
        <v>2011</v>
      </c>
      <c r="AD22" s="176">
        <v>18</v>
      </c>
      <c r="AE22" s="180" t="s">
        <v>2012</v>
      </c>
      <c r="AF22" s="181">
        <v>22102281</v>
      </c>
      <c r="AG22" s="182" t="s">
        <v>2013</v>
      </c>
      <c r="AH22" s="176">
        <v>18</v>
      </c>
      <c r="AI22" s="180" t="s">
        <v>2014</v>
      </c>
      <c r="AJ22" s="181">
        <v>22102271</v>
      </c>
      <c r="AK22" s="182" t="s">
        <v>2015</v>
      </c>
      <c r="AL22" s="176">
        <v>18</v>
      </c>
      <c r="AM22" s="180" t="s">
        <v>2016</v>
      </c>
      <c r="AN22" s="181">
        <v>22102321</v>
      </c>
      <c r="AO22" s="182" t="s">
        <v>2017</v>
      </c>
      <c r="AP22" s="176">
        <v>18</v>
      </c>
      <c r="AQ22" s="180" t="s">
        <v>2018</v>
      </c>
      <c r="AR22" s="181">
        <v>22102297</v>
      </c>
      <c r="AS22" s="182" t="s">
        <v>2019</v>
      </c>
      <c r="AT22" s="176">
        <v>18</v>
      </c>
      <c r="AU22" s="180" t="s">
        <v>2020</v>
      </c>
      <c r="AV22" s="181">
        <v>22102294</v>
      </c>
      <c r="AW22" s="182" t="s">
        <v>2021</v>
      </c>
      <c r="AX22" s="176">
        <v>18</v>
      </c>
      <c r="AY22" s="180" t="s">
        <v>2022</v>
      </c>
      <c r="AZ22" s="181">
        <v>22102295</v>
      </c>
      <c r="BA22" s="182" t="s">
        <v>2023</v>
      </c>
      <c r="BB22" s="176">
        <v>18</v>
      </c>
      <c r="BC22" s="180" t="s">
        <v>2024</v>
      </c>
      <c r="BD22" s="181">
        <v>22102322</v>
      </c>
      <c r="BE22" s="182" t="s">
        <v>2025</v>
      </c>
      <c r="BF22" s="176">
        <v>18</v>
      </c>
      <c r="BG22" s="180" t="s">
        <v>2026</v>
      </c>
      <c r="BH22" s="181">
        <v>22102400</v>
      </c>
      <c r="BI22" s="182" t="s">
        <v>2027</v>
      </c>
      <c r="BJ22" s="176">
        <v>18</v>
      </c>
      <c r="BK22" s="180" t="s">
        <v>986</v>
      </c>
      <c r="BL22" s="181">
        <v>21091082</v>
      </c>
      <c r="BM22" s="182" t="s">
        <v>987</v>
      </c>
      <c r="BN22" s="176">
        <v>18</v>
      </c>
      <c r="BO22" s="180" t="s">
        <v>1033</v>
      </c>
      <c r="BP22" s="181">
        <v>21091094</v>
      </c>
      <c r="BQ22" s="182" t="s">
        <v>1034</v>
      </c>
      <c r="BR22" s="176">
        <v>18</v>
      </c>
      <c r="BS22" s="180" t="s">
        <v>990</v>
      </c>
      <c r="BT22" s="181">
        <v>21091103</v>
      </c>
      <c r="BU22" s="182" t="s">
        <v>991</v>
      </c>
      <c r="BV22" s="176">
        <v>18</v>
      </c>
      <c r="BW22" s="180" t="s">
        <v>992</v>
      </c>
      <c r="BX22" s="181">
        <v>21091089</v>
      </c>
      <c r="BY22" s="182" t="s">
        <v>993</v>
      </c>
      <c r="BZ22" s="176">
        <v>18</v>
      </c>
      <c r="CA22" s="180" t="s">
        <v>994</v>
      </c>
      <c r="CB22" s="181">
        <v>21091074</v>
      </c>
      <c r="CC22" s="182" t="s">
        <v>995</v>
      </c>
      <c r="CD22" s="176">
        <v>18</v>
      </c>
      <c r="CE22" s="180" t="s">
        <v>996</v>
      </c>
      <c r="CF22" s="181">
        <v>21092258</v>
      </c>
      <c r="CG22" s="182" t="s">
        <v>997</v>
      </c>
      <c r="CH22" s="176">
        <v>18</v>
      </c>
      <c r="CI22" s="180" t="s">
        <v>1083</v>
      </c>
      <c r="CJ22" s="181">
        <v>21092256</v>
      </c>
      <c r="CK22" s="182" t="s">
        <v>1084</v>
      </c>
      <c r="CL22" s="176">
        <v>18</v>
      </c>
      <c r="CM22" s="180" t="s">
        <v>1000</v>
      </c>
      <c r="CN22" s="181">
        <v>21092278</v>
      </c>
      <c r="CO22" s="182" t="s">
        <v>1001</v>
      </c>
      <c r="CP22" s="176">
        <v>18</v>
      </c>
      <c r="CQ22" s="180" t="s">
        <v>1002</v>
      </c>
      <c r="CR22" s="181">
        <v>21092255</v>
      </c>
      <c r="CS22" s="182" t="s">
        <v>1003</v>
      </c>
      <c r="CT22" s="176">
        <v>18</v>
      </c>
      <c r="CU22" s="180" t="s">
        <v>1047</v>
      </c>
      <c r="CV22" s="181">
        <v>21092246</v>
      </c>
      <c r="CW22" s="182" t="s">
        <v>1048</v>
      </c>
      <c r="CX22" s="176">
        <v>18</v>
      </c>
      <c r="CY22" s="180" t="s">
        <v>1049</v>
      </c>
      <c r="CZ22" s="181">
        <v>21092311</v>
      </c>
      <c r="DA22" s="182" t="s">
        <v>1050</v>
      </c>
      <c r="DB22" s="176">
        <v>18</v>
      </c>
      <c r="DC22" s="180" t="s">
        <v>1051</v>
      </c>
      <c r="DD22" s="181">
        <v>21092262</v>
      </c>
      <c r="DE22" s="182" t="s">
        <v>1052</v>
      </c>
      <c r="DF22" s="176">
        <v>18</v>
      </c>
      <c r="DG22" s="180"/>
      <c r="DH22" s="181"/>
      <c r="DI22" s="182"/>
      <c r="DJ22" s="176">
        <v>18</v>
      </c>
      <c r="DK22" s="180" t="s">
        <v>1053</v>
      </c>
      <c r="DL22" s="181">
        <v>2008270</v>
      </c>
      <c r="DM22" s="182" t="s">
        <v>1054</v>
      </c>
      <c r="DN22" s="176">
        <v>18</v>
      </c>
      <c r="DO22" s="180" t="s">
        <v>1055</v>
      </c>
      <c r="DP22" s="181">
        <v>2008227</v>
      </c>
      <c r="DQ22" s="182" t="s">
        <v>1056</v>
      </c>
      <c r="DR22" s="176">
        <v>18</v>
      </c>
      <c r="DS22" s="180" t="s">
        <v>1057</v>
      </c>
      <c r="DT22" s="181">
        <v>2008188</v>
      </c>
      <c r="DU22" s="182" t="s">
        <v>1058</v>
      </c>
      <c r="DV22" s="176">
        <v>18</v>
      </c>
      <c r="DW22" s="180" t="s">
        <v>1016</v>
      </c>
      <c r="DX22" s="181">
        <v>2008218</v>
      </c>
      <c r="DY22" s="182" t="s">
        <v>1017</v>
      </c>
      <c r="DZ22" s="176">
        <v>18</v>
      </c>
      <c r="EA22" s="180" t="s">
        <v>1018</v>
      </c>
      <c r="EB22" s="181">
        <v>2008204</v>
      </c>
      <c r="EC22" s="182" t="s">
        <v>1019</v>
      </c>
      <c r="ED22" s="176">
        <v>18</v>
      </c>
      <c r="EE22" s="180" t="s">
        <v>1020</v>
      </c>
      <c r="EF22" s="181">
        <v>2008248</v>
      </c>
      <c r="EG22" s="182" t="s">
        <v>1021</v>
      </c>
      <c r="EH22" s="176">
        <v>18</v>
      </c>
      <c r="EI22" s="180" t="s">
        <v>1022</v>
      </c>
      <c r="EJ22" s="181">
        <v>2008243</v>
      </c>
      <c r="EK22" s="182" t="s">
        <v>1023</v>
      </c>
      <c r="EL22" s="176">
        <v>18</v>
      </c>
      <c r="EM22" s="180" t="s">
        <v>2028</v>
      </c>
      <c r="EN22" s="181">
        <v>2008261</v>
      </c>
      <c r="EO22" s="182" t="s">
        <v>1024</v>
      </c>
      <c r="EP22" s="176">
        <v>18</v>
      </c>
      <c r="EQ22" s="180" t="s">
        <v>1025</v>
      </c>
      <c r="ER22" s="181">
        <v>2008264</v>
      </c>
      <c r="ES22" s="182" t="s">
        <v>1026</v>
      </c>
      <c r="ET22" s="176">
        <v>18</v>
      </c>
      <c r="EU22" s="180" t="s">
        <v>1027</v>
      </c>
      <c r="EV22" s="181">
        <v>2008165</v>
      </c>
      <c r="EW22" s="182" t="s">
        <v>1028</v>
      </c>
      <c r="EX22" s="176">
        <v>18</v>
      </c>
      <c r="EY22" s="180" t="s">
        <v>170</v>
      </c>
      <c r="EZ22" s="181">
        <v>2008257</v>
      </c>
      <c r="FA22" s="182" t="s">
        <v>2029</v>
      </c>
      <c r="FB22" s="176">
        <v>18</v>
      </c>
      <c r="FC22" s="180" t="s">
        <v>1029</v>
      </c>
      <c r="FD22" s="181">
        <v>2008166</v>
      </c>
      <c r="FE22" s="182" t="s">
        <v>1030</v>
      </c>
      <c r="FF22" s="176">
        <v>18</v>
      </c>
      <c r="FG22" s="180"/>
      <c r="FH22" s="181"/>
      <c r="FI22" s="182"/>
    </row>
    <row r="23" spans="1:165" ht="15.75" x14ac:dyDescent="0.25">
      <c r="A23" s="9">
        <v>20</v>
      </c>
      <c r="B23" s="173" t="s">
        <v>1546</v>
      </c>
      <c r="C23" s="9">
        <v>78</v>
      </c>
      <c r="D23" s="9">
        <v>79</v>
      </c>
      <c r="E23" s="9">
        <v>80</v>
      </c>
      <c r="F23" s="176">
        <v>19</v>
      </c>
      <c r="G23" s="177" t="str">
        <f t="shared" si="0"/>
        <v>Muhammad Niam Masykuri</v>
      </c>
      <c r="H23" s="178">
        <f t="shared" si="1"/>
        <v>2008220</v>
      </c>
      <c r="I23" s="179" t="str">
        <f t="shared" si="2"/>
        <v>0044193368</v>
      </c>
      <c r="J23" s="176">
        <v>19</v>
      </c>
      <c r="K23" s="180" t="s">
        <v>1583</v>
      </c>
      <c r="L23" s="181">
        <v>22101096</v>
      </c>
      <c r="M23" s="182">
        <v>67138255</v>
      </c>
      <c r="N23" s="176">
        <v>19</v>
      </c>
      <c r="O23" s="180" t="s">
        <v>2030</v>
      </c>
      <c r="P23" s="181">
        <v>22101097</v>
      </c>
      <c r="Q23" s="182">
        <v>64140258</v>
      </c>
      <c r="R23" s="176">
        <v>19</v>
      </c>
      <c r="S23" s="180" t="s">
        <v>2031</v>
      </c>
      <c r="T23" s="192">
        <v>22000000</v>
      </c>
      <c r="U23" s="182">
        <v>89718164</v>
      </c>
      <c r="V23" s="176">
        <v>19</v>
      </c>
      <c r="W23" s="180" t="s">
        <v>2032</v>
      </c>
      <c r="X23" s="181">
        <v>22101109</v>
      </c>
      <c r="Y23" s="182" t="s">
        <v>2033</v>
      </c>
      <c r="Z23" s="176">
        <v>19</v>
      </c>
      <c r="AA23" s="180" t="s">
        <v>2034</v>
      </c>
      <c r="AB23" s="181">
        <v>22101004</v>
      </c>
      <c r="AC23" s="182" t="s">
        <v>2035</v>
      </c>
      <c r="AD23" s="176">
        <v>19</v>
      </c>
      <c r="AE23" s="180" t="s">
        <v>2036</v>
      </c>
      <c r="AF23" s="181">
        <v>22102286</v>
      </c>
      <c r="AG23" s="182" t="s">
        <v>2037</v>
      </c>
      <c r="AH23" s="176">
        <v>19</v>
      </c>
      <c r="AI23" s="180" t="s">
        <v>2038</v>
      </c>
      <c r="AJ23" s="181">
        <v>22102282</v>
      </c>
      <c r="AK23" s="182" t="s">
        <v>2039</v>
      </c>
      <c r="AL23" s="176">
        <v>19</v>
      </c>
      <c r="AM23" s="180" t="s">
        <v>2040</v>
      </c>
      <c r="AN23" s="181">
        <v>22102333</v>
      </c>
      <c r="AO23" s="182" t="s">
        <v>2041</v>
      </c>
      <c r="AP23" s="176">
        <v>19</v>
      </c>
      <c r="AQ23" s="180" t="s">
        <v>2042</v>
      </c>
      <c r="AR23" s="181">
        <v>22102300</v>
      </c>
      <c r="AS23" s="182" t="s">
        <v>2043</v>
      </c>
      <c r="AT23" s="176">
        <v>19</v>
      </c>
      <c r="AU23" s="180" t="s">
        <v>2044</v>
      </c>
      <c r="AV23" s="181">
        <v>22102301</v>
      </c>
      <c r="AW23" s="182" t="s">
        <v>2045</v>
      </c>
      <c r="AX23" s="176">
        <v>19</v>
      </c>
      <c r="AY23" s="180" t="s">
        <v>2046</v>
      </c>
      <c r="AZ23" s="181">
        <v>22102296</v>
      </c>
      <c r="BA23" s="182" t="s">
        <v>2047</v>
      </c>
      <c r="BB23" s="176">
        <v>19</v>
      </c>
      <c r="BC23" s="180" t="s">
        <v>2048</v>
      </c>
      <c r="BD23" s="181">
        <v>22102330</v>
      </c>
      <c r="BE23" s="182" t="s">
        <v>2049</v>
      </c>
      <c r="BF23" s="176">
        <v>19</v>
      </c>
      <c r="BG23" s="180" t="s">
        <v>2050</v>
      </c>
      <c r="BH23" s="181">
        <v>22101384</v>
      </c>
      <c r="BI23" s="182" t="s">
        <v>2051</v>
      </c>
      <c r="BJ23" s="176">
        <v>19</v>
      </c>
      <c r="BK23" s="180" t="s">
        <v>1031</v>
      </c>
      <c r="BL23" s="181">
        <v>21091090</v>
      </c>
      <c r="BM23" s="182" t="s">
        <v>1032</v>
      </c>
      <c r="BN23" s="176">
        <v>19</v>
      </c>
      <c r="BO23" s="180" t="s">
        <v>1117</v>
      </c>
      <c r="BP23" s="181">
        <v>21091096</v>
      </c>
      <c r="BQ23" s="182" t="s">
        <v>1118</v>
      </c>
      <c r="BR23" s="176">
        <v>19</v>
      </c>
      <c r="BS23" s="180" t="s">
        <v>1035</v>
      </c>
      <c r="BT23" s="181">
        <v>21091105</v>
      </c>
      <c r="BU23" s="182" t="s">
        <v>1036</v>
      </c>
      <c r="BV23" s="176">
        <v>19</v>
      </c>
      <c r="BW23" s="180" t="s">
        <v>1037</v>
      </c>
      <c r="BX23" s="181">
        <v>21091092</v>
      </c>
      <c r="BY23" s="182" t="s">
        <v>1038</v>
      </c>
      <c r="BZ23" s="176">
        <v>19</v>
      </c>
      <c r="CA23" s="180" t="s">
        <v>1039</v>
      </c>
      <c r="CB23" s="181">
        <v>21091078</v>
      </c>
      <c r="CC23" s="182" t="s">
        <v>1040</v>
      </c>
      <c r="CD23" s="176">
        <v>19</v>
      </c>
      <c r="CE23" s="180" t="s">
        <v>1041</v>
      </c>
      <c r="CF23" s="181">
        <v>21092261</v>
      </c>
      <c r="CG23" s="182" t="s">
        <v>1042</v>
      </c>
      <c r="CH23" s="176">
        <v>19</v>
      </c>
      <c r="CI23" s="180" t="s">
        <v>1168</v>
      </c>
      <c r="CJ23" s="181">
        <v>21092269</v>
      </c>
      <c r="CK23" s="182" t="s">
        <v>1169</v>
      </c>
      <c r="CL23" s="176">
        <v>19</v>
      </c>
      <c r="CM23" s="180" t="s">
        <v>1045</v>
      </c>
      <c r="CN23" s="181">
        <v>21092287</v>
      </c>
      <c r="CO23" s="182" t="s">
        <v>1046</v>
      </c>
      <c r="CP23" s="176">
        <v>19</v>
      </c>
      <c r="CQ23" s="180" t="s">
        <v>1087</v>
      </c>
      <c r="CR23" s="181">
        <v>21092290</v>
      </c>
      <c r="CS23" s="182" t="s">
        <v>1088</v>
      </c>
      <c r="CT23" s="176">
        <v>19</v>
      </c>
      <c r="CU23" s="180" t="s">
        <v>1089</v>
      </c>
      <c r="CV23" s="181">
        <v>21092249</v>
      </c>
      <c r="CW23" s="182" t="s">
        <v>1090</v>
      </c>
      <c r="CX23" s="176">
        <v>19</v>
      </c>
      <c r="CY23" s="180" t="s">
        <v>1091</v>
      </c>
      <c r="CZ23" s="181">
        <v>21092317</v>
      </c>
      <c r="DA23" s="182" t="s">
        <v>1092</v>
      </c>
      <c r="DB23" s="176">
        <v>19</v>
      </c>
      <c r="DC23" s="180" t="s">
        <v>1093</v>
      </c>
      <c r="DD23" s="181">
        <v>21092274</v>
      </c>
      <c r="DE23" s="182" t="s">
        <v>1094</v>
      </c>
      <c r="DF23" s="176">
        <v>19</v>
      </c>
      <c r="DG23" s="180"/>
      <c r="DH23" s="181"/>
      <c r="DI23" s="182"/>
      <c r="DJ23" s="176">
        <v>19</v>
      </c>
      <c r="DK23" s="180" t="s">
        <v>1095</v>
      </c>
      <c r="DL23" s="181">
        <v>2008295</v>
      </c>
      <c r="DM23" s="182" t="s">
        <v>1096</v>
      </c>
      <c r="DN23" s="176">
        <v>19</v>
      </c>
      <c r="DO23" s="180" t="s">
        <v>1097</v>
      </c>
      <c r="DP23" s="181">
        <v>2008232</v>
      </c>
      <c r="DQ23" s="182" t="s">
        <v>1098</v>
      </c>
      <c r="DR23" s="176">
        <v>19</v>
      </c>
      <c r="DS23" s="180" t="s">
        <v>1099</v>
      </c>
      <c r="DT23" s="181">
        <v>2008207</v>
      </c>
      <c r="DU23" s="182" t="s">
        <v>1100</v>
      </c>
      <c r="DV23" s="176">
        <v>19</v>
      </c>
      <c r="DW23" s="180" t="s">
        <v>1059</v>
      </c>
      <c r="DX23" s="181">
        <v>2008220</v>
      </c>
      <c r="DY23" s="182" t="s">
        <v>2052</v>
      </c>
      <c r="DZ23" s="176">
        <v>19</v>
      </c>
      <c r="EA23" s="180" t="s">
        <v>1060</v>
      </c>
      <c r="EB23" s="181">
        <v>2008206</v>
      </c>
      <c r="EC23" s="182" t="s">
        <v>1061</v>
      </c>
      <c r="ED23" s="176">
        <v>19</v>
      </c>
      <c r="EE23" s="180" t="s">
        <v>1062</v>
      </c>
      <c r="EF23" s="181">
        <v>2008256</v>
      </c>
      <c r="EG23" s="182" t="s">
        <v>1063</v>
      </c>
      <c r="EH23" s="176">
        <v>19</v>
      </c>
      <c r="EI23" s="180" t="s">
        <v>1064</v>
      </c>
      <c r="EJ23" s="181">
        <v>2008266</v>
      </c>
      <c r="EK23" s="182" t="s">
        <v>1065</v>
      </c>
      <c r="EL23" s="176">
        <v>19</v>
      </c>
      <c r="EM23" s="180" t="s">
        <v>1066</v>
      </c>
      <c r="EN23" s="181">
        <v>2008271</v>
      </c>
      <c r="EO23" s="182" t="s">
        <v>1067</v>
      </c>
      <c r="EP23" s="176">
        <v>19</v>
      </c>
      <c r="EQ23" s="180" t="s">
        <v>1068</v>
      </c>
      <c r="ER23" s="181">
        <v>2008277</v>
      </c>
      <c r="ES23" s="182" t="s">
        <v>2053</v>
      </c>
      <c r="ET23" s="176">
        <v>19</v>
      </c>
      <c r="EU23" s="180" t="s">
        <v>1069</v>
      </c>
      <c r="EV23" s="181">
        <v>2008173</v>
      </c>
      <c r="EW23" s="182" t="s">
        <v>1070</v>
      </c>
      <c r="EX23" s="176">
        <v>19</v>
      </c>
      <c r="EY23" s="180" t="s">
        <v>171</v>
      </c>
      <c r="EZ23" s="181">
        <v>2008278</v>
      </c>
      <c r="FA23" s="182" t="s">
        <v>190</v>
      </c>
      <c r="FB23" s="176">
        <v>19</v>
      </c>
      <c r="FC23" s="180" t="s">
        <v>1071</v>
      </c>
      <c r="FD23" s="181">
        <v>2008172</v>
      </c>
      <c r="FE23" s="182" t="s">
        <v>1072</v>
      </c>
      <c r="FF23" s="176">
        <v>19</v>
      </c>
      <c r="FG23" s="180"/>
      <c r="FH23" s="181"/>
      <c r="FI23" s="182"/>
    </row>
    <row r="24" spans="1:165" ht="15.75" x14ac:dyDescent="0.25">
      <c r="A24" s="9">
        <v>21</v>
      </c>
      <c r="B24" s="173" t="s">
        <v>1547</v>
      </c>
      <c r="C24" s="9">
        <v>82</v>
      </c>
      <c r="D24" s="9">
        <v>83</v>
      </c>
      <c r="E24" s="9">
        <v>84</v>
      </c>
      <c r="F24" s="176">
        <v>20</v>
      </c>
      <c r="G24" s="177" t="str">
        <f t="shared" si="0"/>
        <v>Muhammad Nur Arzhian Kusuma</v>
      </c>
      <c r="H24" s="178">
        <f t="shared" si="1"/>
        <v>2008221</v>
      </c>
      <c r="I24" s="179" t="str">
        <f t="shared" si="2"/>
        <v>0053421781</v>
      </c>
      <c r="J24" s="176">
        <v>20</v>
      </c>
      <c r="K24" s="180" t="s">
        <v>1584</v>
      </c>
      <c r="L24" s="181">
        <v>22101101</v>
      </c>
      <c r="M24" s="182">
        <v>78084505</v>
      </c>
      <c r="N24" s="176">
        <v>20</v>
      </c>
      <c r="O24" s="180" t="s">
        <v>2054</v>
      </c>
      <c r="P24" s="181">
        <v>22101110</v>
      </c>
      <c r="Q24" s="182">
        <v>69346087</v>
      </c>
      <c r="R24" s="176">
        <v>20</v>
      </c>
      <c r="S24" s="180" t="s">
        <v>2055</v>
      </c>
      <c r="T24" s="192">
        <v>22000000</v>
      </c>
      <c r="U24" s="182">
        <v>61596320</v>
      </c>
      <c r="V24" s="176">
        <v>20</v>
      </c>
      <c r="W24" s="180" t="s">
        <v>2056</v>
      </c>
      <c r="X24" s="181">
        <v>22101116</v>
      </c>
      <c r="Y24" s="182" t="s">
        <v>2057</v>
      </c>
      <c r="Z24" s="176">
        <v>20</v>
      </c>
      <c r="AA24" s="180" t="s">
        <v>2058</v>
      </c>
      <c r="AB24" s="181">
        <v>22101098</v>
      </c>
      <c r="AC24" s="182" t="s">
        <v>2059</v>
      </c>
      <c r="AD24" s="176">
        <v>20</v>
      </c>
      <c r="AE24" s="180" t="s">
        <v>2060</v>
      </c>
      <c r="AF24" s="181">
        <v>22102290</v>
      </c>
      <c r="AG24" s="182" t="s">
        <v>2061</v>
      </c>
      <c r="AH24" s="176">
        <v>20</v>
      </c>
      <c r="AI24" s="180" t="s">
        <v>2062</v>
      </c>
      <c r="AJ24" s="181">
        <v>22102283</v>
      </c>
      <c r="AK24" s="182" t="s">
        <v>2063</v>
      </c>
      <c r="AL24" s="176">
        <v>20</v>
      </c>
      <c r="AM24" s="180" t="s">
        <v>2064</v>
      </c>
      <c r="AN24" s="181">
        <v>22102338</v>
      </c>
      <c r="AO24" s="182" t="s">
        <v>2065</v>
      </c>
      <c r="AP24" s="176">
        <v>20</v>
      </c>
      <c r="AQ24" s="180" t="s">
        <v>2066</v>
      </c>
      <c r="AR24" s="181">
        <v>22102304</v>
      </c>
      <c r="AS24" s="182" t="s">
        <v>2067</v>
      </c>
      <c r="AT24" s="176">
        <v>20</v>
      </c>
      <c r="AU24" s="180" t="s">
        <v>2068</v>
      </c>
      <c r="AV24" s="181">
        <v>22102306</v>
      </c>
      <c r="AW24" s="182" t="s">
        <v>2069</v>
      </c>
      <c r="AX24" s="176">
        <v>20</v>
      </c>
      <c r="AY24" s="180" t="s">
        <v>2070</v>
      </c>
      <c r="AZ24" s="181">
        <v>22102310</v>
      </c>
      <c r="BA24" s="182" t="s">
        <v>2071</v>
      </c>
      <c r="BB24" s="176">
        <v>20</v>
      </c>
      <c r="BC24" s="180" t="s">
        <v>2072</v>
      </c>
      <c r="BD24" s="181">
        <v>22102332</v>
      </c>
      <c r="BE24" s="182" t="s">
        <v>2073</v>
      </c>
      <c r="BF24" s="176">
        <v>20</v>
      </c>
      <c r="BG24" s="180" t="s">
        <v>2074</v>
      </c>
      <c r="BH24" s="181">
        <v>22101385</v>
      </c>
      <c r="BI24" s="182" t="s">
        <v>2075</v>
      </c>
      <c r="BJ24" s="176">
        <v>20</v>
      </c>
      <c r="BK24" s="180" t="s">
        <v>1073</v>
      </c>
      <c r="BL24" s="181">
        <v>21091091</v>
      </c>
      <c r="BM24" s="182" t="s">
        <v>1074</v>
      </c>
      <c r="BN24" s="176">
        <v>20</v>
      </c>
      <c r="BO24" s="180" t="s">
        <v>1158</v>
      </c>
      <c r="BP24" s="181">
        <v>21091098</v>
      </c>
      <c r="BQ24" s="182" t="s">
        <v>1159</v>
      </c>
      <c r="BR24" s="176">
        <v>20</v>
      </c>
      <c r="BS24" s="180" t="s">
        <v>1075</v>
      </c>
      <c r="BT24" s="181">
        <v>21091106</v>
      </c>
      <c r="BU24" s="182" t="s">
        <v>1076</v>
      </c>
      <c r="BV24" s="176">
        <v>20</v>
      </c>
      <c r="BW24" s="180" t="s">
        <v>1077</v>
      </c>
      <c r="BX24" s="181">
        <v>21091111</v>
      </c>
      <c r="BY24" s="182" t="s">
        <v>1078</v>
      </c>
      <c r="BZ24" s="176">
        <v>20</v>
      </c>
      <c r="CA24" s="180" t="s">
        <v>1079</v>
      </c>
      <c r="CB24" s="181">
        <v>21091083</v>
      </c>
      <c r="CC24" s="182" t="s">
        <v>1080</v>
      </c>
      <c r="CD24" s="176">
        <v>20</v>
      </c>
      <c r="CE24" s="180" t="s">
        <v>1081</v>
      </c>
      <c r="CF24" s="181">
        <v>21092264</v>
      </c>
      <c r="CG24" s="182" t="s">
        <v>1082</v>
      </c>
      <c r="CH24" s="176">
        <v>20</v>
      </c>
      <c r="CI24" s="180" t="s">
        <v>1251</v>
      </c>
      <c r="CJ24" s="181">
        <v>21092275</v>
      </c>
      <c r="CK24" s="182" t="s">
        <v>1252</v>
      </c>
      <c r="CL24" s="176">
        <v>20</v>
      </c>
      <c r="CM24" s="180" t="s">
        <v>1085</v>
      </c>
      <c r="CN24" s="181">
        <v>21092289</v>
      </c>
      <c r="CO24" s="182" t="s">
        <v>1086</v>
      </c>
      <c r="CP24" s="176">
        <v>20</v>
      </c>
      <c r="CQ24" s="180" t="s">
        <v>1172</v>
      </c>
      <c r="CR24" s="181">
        <v>21092298</v>
      </c>
      <c r="CS24" s="182" t="s">
        <v>1173</v>
      </c>
      <c r="CT24" s="176">
        <v>20</v>
      </c>
      <c r="CU24" s="180" t="s">
        <v>1129</v>
      </c>
      <c r="CV24" s="181">
        <v>21092263</v>
      </c>
      <c r="CW24" s="182" t="s">
        <v>1130</v>
      </c>
      <c r="CX24" s="176">
        <v>20</v>
      </c>
      <c r="CY24" s="180" t="s">
        <v>1131</v>
      </c>
      <c r="CZ24" s="181">
        <v>21092322</v>
      </c>
      <c r="DA24" s="182" t="s">
        <v>1132</v>
      </c>
      <c r="DB24" s="176">
        <v>20</v>
      </c>
      <c r="DC24" s="180" t="s">
        <v>1133</v>
      </c>
      <c r="DD24" s="181">
        <v>21092277</v>
      </c>
      <c r="DE24" s="182" t="s">
        <v>1134</v>
      </c>
      <c r="DF24" s="176">
        <v>20</v>
      </c>
      <c r="DG24" s="180"/>
      <c r="DH24" s="181"/>
      <c r="DI24" s="182"/>
      <c r="DJ24" s="176">
        <v>20</v>
      </c>
      <c r="DK24" s="180" t="s">
        <v>2076</v>
      </c>
      <c r="DL24" s="181">
        <v>2008299</v>
      </c>
      <c r="DM24" s="182" t="s">
        <v>1135</v>
      </c>
      <c r="DN24" s="176">
        <v>20</v>
      </c>
      <c r="DO24" s="180" t="s">
        <v>1136</v>
      </c>
      <c r="DP24" s="181">
        <v>2008246</v>
      </c>
      <c r="DQ24" s="182" t="s">
        <v>1137</v>
      </c>
      <c r="DR24" s="176">
        <v>20</v>
      </c>
      <c r="DS24" s="180" t="s">
        <v>1138</v>
      </c>
      <c r="DT24" s="181">
        <v>2008208</v>
      </c>
      <c r="DU24" s="182" t="s">
        <v>1139</v>
      </c>
      <c r="DV24" s="176">
        <v>20</v>
      </c>
      <c r="DW24" s="180" t="s">
        <v>1101</v>
      </c>
      <c r="DX24" s="181">
        <v>2008221</v>
      </c>
      <c r="DY24" s="182" t="s">
        <v>1102</v>
      </c>
      <c r="DZ24" s="176">
        <v>20</v>
      </c>
      <c r="EA24" s="180" t="s">
        <v>1103</v>
      </c>
      <c r="EB24" s="181">
        <v>2008211</v>
      </c>
      <c r="EC24" s="182" t="s">
        <v>1104</v>
      </c>
      <c r="ED24" s="176">
        <v>20</v>
      </c>
      <c r="EE24" s="180" t="s">
        <v>1105</v>
      </c>
      <c r="EF24" s="181">
        <v>2008260</v>
      </c>
      <c r="EG24" s="182" t="s">
        <v>1106</v>
      </c>
      <c r="EH24" s="176">
        <v>20</v>
      </c>
      <c r="EI24" s="180" t="s">
        <v>1107</v>
      </c>
      <c r="EJ24" s="181">
        <v>2008268</v>
      </c>
      <c r="EK24" s="182" t="s">
        <v>2077</v>
      </c>
      <c r="EL24" s="176">
        <v>20</v>
      </c>
      <c r="EM24" s="180" t="s">
        <v>1108</v>
      </c>
      <c r="EN24" s="181">
        <v>2008280</v>
      </c>
      <c r="EO24" s="182" t="s">
        <v>1109</v>
      </c>
      <c r="EP24" s="176">
        <v>20</v>
      </c>
      <c r="EQ24" s="180" t="s">
        <v>1110</v>
      </c>
      <c r="ER24" s="181">
        <v>2008298</v>
      </c>
      <c r="ES24" s="182" t="s">
        <v>2078</v>
      </c>
      <c r="ET24" s="176">
        <v>20</v>
      </c>
      <c r="EU24" s="180" t="s">
        <v>1111</v>
      </c>
      <c r="EV24" s="181">
        <v>2008175</v>
      </c>
      <c r="EW24" s="182" t="s">
        <v>1112</v>
      </c>
      <c r="EX24" s="176">
        <v>20</v>
      </c>
      <c r="EY24" s="180" t="s">
        <v>172</v>
      </c>
      <c r="EZ24" s="181">
        <v>2008281</v>
      </c>
      <c r="FA24" s="182" t="s">
        <v>2079</v>
      </c>
      <c r="FB24" s="176">
        <v>20</v>
      </c>
      <c r="FC24" s="180" t="s">
        <v>1113</v>
      </c>
      <c r="FD24" s="181">
        <v>2008187</v>
      </c>
      <c r="FE24" s="182" t="s">
        <v>1114</v>
      </c>
      <c r="FF24" s="176">
        <v>20</v>
      </c>
      <c r="FG24" s="180"/>
      <c r="FH24" s="181"/>
      <c r="FI24" s="182"/>
    </row>
    <row r="25" spans="1:165" ht="15.75" x14ac:dyDescent="0.25">
      <c r="A25" s="9">
        <v>22</v>
      </c>
      <c r="B25" s="173" t="s">
        <v>1548</v>
      </c>
      <c r="C25" s="9">
        <v>86</v>
      </c>
      <c r="D25" s="9">
        <v>87</v>
      </c>
      <c r="E25" s="9">
        <v>88</v>
      </c>
      <c r="F25" s="176">
        <v>21</v>
      </c>
      <c r="G25" s="177" t="str">
        <f t="shared" si="0"/>
        <v>Muhammad Rafif Rizqullah</v>
      </c>
      <c r="H25" s="178">
        <f t="shared" si="1"/>
        <v>2008222</v>
      </c>
      <c r="I25" s="179" t="str">
        <f t="shared" si="2"/>
        <v>0044559979</v>
      </c>
      <c r="J25" s="176">
        <v>21</v>
      </c>
      <c r="K25" s="180" t="s">
        <v>1585</v>
      </c>
      <c r="L25" s="181">
        <v>22101102</v>
      </c>
      <c r="M25" s="182">
        <v>78200841</v>
      </c>
      <c r="N25" s="176">
        <v>21</v>
      </c>
      <c r="O25" s="180" t="s">
        <v>2080</v>
      </c>
      <c r="P25" s="181">
        <v>22101111</v>
      </c>
      <c r="Q25" s="182">
        <v>77394489</v>
      </c>
      <c r="R25" s="176">
        <v>21</v>
      </c>
      <c r="S25" s="180" t="s">
        <v>2081</v>
      </c>
      <c r="T25" s="192">
        <v>22000000</v>
      </c>
      <c r="U25" s="182">
        <v>72710119</v>
      </c>
      <c r="V25" s="176">
        <v>21</v>
      </c>
      <c r="W25" s="180" t="s">
        <v>2082</v>
      </c>
      <c r="X25" s="181">
        <v>22101126</v>
      </c>
      <c r="Y25" s="182" t="s">
        <v>2083</v>
      </c>
      <c r="Z25" s="176">
        <v>21</v>
      </c>
      <c r="AA25" s="180" t="s">
        <v>2084</v>
      </c>
      <c r="AB25" s="181">
        <v>22101099</v>
      </c>
      <c r="AC25" s="182" t="s">
        <v>2085</v>
      </c>
      <c r="AD25" s="176">
        <v>21</v>
      </c>
      <c r="AE25" s="180" t="s">
        <v>2086</v>
      </c>
      <c r="AF25" s="181">
        <v>22102291</v>
      </c>
      <c r="AG25" s="182" t="s">
        <v>2087</v>
      </c>
      <c r="AH25" s="176">
        <v>21</v>
      </c>
      <c r="AI25" s="180" t="s">
        <v>2088</v>
      </c>
      <c r="AJ25" s="181">
        <v>22102288</v>
      </c>
      <c r="AK25" s="182" t="s">
        <v>2089</v>
      </c>
      <c r="AL25" s="176">
        <v>21</v>
      </c>
      <c r="AM25" s="180" t="s">
        <v>2090</v>
      </c>
      <c r="AN25" s="181">
        <v>22102348</v>
      </c>
      <c r="AO25" s="182" t="s">
        <v>2091</v>
      </c>
      <c r="AP25" s="176">
        <v>21</v>
      </c>
      <c r="AQ25" s="180" t="s">
        <v>2092</v>
      </c>
      <c r="AR25" s="181">
        <v>22102309</v>
      </c>
      <c r="AS25" s="182" t="s">
        <v>2093</v>
      </c>
      <c r="AT25" s="176">
        <v>21</v>
      </c>
      <c r="AU25" s="180" t="s">
        <v>2094</v>
      </c>
      <c r="AV25" s="181">
        <v>22102313</v>
      </c>
      <c r="AW25" s="182" t="s">
        <v>2095</v>
      </c>
      <c r="AX25" s="176">
        <v>21</v>
      </c>
      <c r="AY25" s="180" t="s">
        <v>2096</v>
      </c>
      <c r="AZ25" s="181">
        <v>22102311</v>
      </c>
      <c r="BA25" s="182" t="s">
        <v>2097</v>
      </c>
      <c r="BB25" s="176">
        <v>21</v>
      </c>
      <c r="BC25" s="180" t="s">
        <v>2098</v>
      </c>
      <c r="BD25" s="181">
        <v>22102334</v>
      </c>
      <c r="BE25" s="182" t="s">
        <v>2099</v>
      </c>
      <c r="BF25" s="176">
        <v>21</v>
      </c>
      <c r="BG25" s="180" t="s">
        <v>2100</v>
      </c>
      <c r="BH25" s="181">
        <v>22102401</v>
      </c>
      <c r="BI25" s="182" t="s">
        <v>2101</v>
      </c>
      <c r="BJ25" s="176">
        <v>21</v>
      </c>
      <c r="BK25" s="180" t="s">
        <v>1115</v>
      </c>
      <c r="BL25" s="181">
        <v>21091100</v>
      </c>
      <c r="BM25" s="182" t="s">
        <v>1116</v>
      </c>
      <c r="BN25" s="176">
        <v>21</v>
      </c>
      <c r="BO25" s="180" t="s">
        <v>1198</v>
      </c>
      <c r="BP25" s="181">
        <v>21091099</v>
      </c>
      <c r="BQ25" s="182" t="s">
        <v>1199</v>
      </c>
      <c r="BR25" s="176">
        <v>21</v>
      </c>
      <c r="BS25" s="180" t="s">
        <v>1119</v>
      </c>
      <c r="BT25" s="181">
        <v>21091116</v>
      </c>
      <c r="BU25" s="182" t="s">
        <v>1120</v>
      </c>
      <c r="BV25" s="176">
        <v>21</v>
      </c>
      <c r="BW25" s="180" t="s">
        <v>1121</v>
      </c>
      <c r="BX25" s="181">
        <v>21091114</v>
      </c>
      <c r="BY25" s="182" t="s">
        <v>1122</v>
      </c>
      <c r="BZ25" s="176">
        <v>21</v>
      </c>
      <c r="CA25" s="180" t="s">
        <v>1123</v>
      </c>
      <c r="CB25" s="181">
        <v>21091086</v>
      </c>
      <c r="CC25" s="182" t="s">
        <v>1124</v>
      </c>
      <c r="CD25" s="176">
        <v>21</v>
      </c>
      <c r="CE25" s="180" t="s">
        <v>1125</v>
      </c>
      <c r="CF25" s="181">
        <v>21092272</v>
      </c>
      <c r="CG25" s="182" t="s">
        <v>1126</v>
      </c>
      <c r="CH25" s="176">
        <v>21</v>
      </c>
      <c r="CI25" s="180" t="s">
        <v>1296</v>
      </c>
      <c r="CJ25" s="181">
        <v>21092281</v>
      </c>
      <c r="CK25" s="182" t="s">
        <v>1297</v>
      </c>
      <c r="CL25" s="176">
        <v>21</v>
      </c>
      <c r="CM25" s="180" t="s">
        <v>1127</v>
      </c>
      <c r="CN25" s="181">
        <v>21092292</v>
      </c>
      <c r="CO25" s="182" t="s">
        <v>1128</v>
      </c>
      <c r="CP25" s="176">
        <v>21</v>
      </c>
      <c r="CQ25" s="180" t="s">
        <v>1210</v>
      </c>
      <c r="CR25" s="181">
        <v>21092306</v>
      </c>
      <c r="CS25" s="182" t="s">
        <v>1211</v>
      </c>
      <c r="CT25" s="176">
        <v>21</v>
      </c>
      <c r="CU25" s="180" t="s">
        <v>1174</v>
      </c>
      <c r="CV25" s="181">
        <v>21092276</v>
      </c>
      <c r="CW25" s="182" t="s">
        <v>1175</v>
      </c>
      <c r="CX25" s="176">
        <v>21</v>
      </c>
      <c r="CY25" s="180" t="s">
        <v>1176</v>
      </c>
      <c r="CZ25" s="181">
        <v>21092325</v>
      </c>
      <c r="DA25" s="182" t="s">
        <v>1177</v>
      </c>
      <c r="DB25" s="176">
        <v>21</v>
      </c>
      <c r="DC25" s="180" t="s">
        <v>1178</v>
      </c>
      <c r="DD25" s="181">
        <v>21092280</v>
      </c>
      <c r="DE25" s="182" t="s">
        <v>1179</v>
      </c>
      <c r="DF25" s="176">
        <v>21</v>
      </c>
      <c r="DG25" s="180"/>
      <c r="DH25" s="181"/>
      <c r="DI25" s="182"/>
      <c r="DJ25" s="176">
        <v>21</v>
      </c>
      <c r="DK25" s="180" t="s">
        <v>1180</v>
      </c>
      <c r="DL25" s="181">
        <v>2008301</v>
      </c>
      <c r="DM25" s="182" t="s">
        <v>2102</v>
      </c>
      <c r="DN25" s="176">
        <v>21</v>
      </c>
      <c r="DO25" s="180" t="s">
        <v>1181</v>
      </c>
      <c r="DP25" s="181">
        <v>2008250</v>
      </c>
      <c r="DQ25" s="182" t="s">
        <v>1182</v>
      </c>
      <c r="DR25" s="176">
        <v>21</v>
      </c>
      <c r="DS25" s="180" t="s">
        <v>1183</v>
      </c>
      <c r="DT25" s="181">
        <v>2008209</v>
      </c>
      <c r="DU25" s="182" t="s">
        <v>2103</v>
      </c>
      <c r="DV25" s="176">
        <v>21</v>
      </c>
      <c r="DW25" s="180" t="s">
        <v>1140</v>
      </c>
      <c r="DX25" s="181">
        <v>2008222</v>
      </c>
      <c r="DY25" s="182" t="s">
        <v>1141</v>
      </c>
      <c r="DZ25" s="176">
        <v>21</v>
      </c>
      <c r="EA25" s="180" t="s">
        <v>1142</v>
      </c>
      <c r="EB25" s="181">
        <v>2008213</v>
      </c>
      <c r="EC25" s="182" t="s">
        <v>1143</v>
      </c>
      <c r="ED25" s="176">
        <v>21</v>
      </c>
      <c r="EE25" s="180" t="s">
        <v>1144</v>
      </c>
      <c r="EF25" s="181">
        <v>2008265</v>
      </c>
      <c r="EG25" s="182" t="s">
        <v>1145</v>
      </c>
      <c r="EH25" s="176">
        <v>21</v>
      </c>
      <c r="EI25" s="180" t="s">
        <v>1146</v>
      </c>
      <c r="EJ25" s="181">
        <v>2008293</v>
      </c>
      <c r="EK25" s="182" t="s">
        <v>1147</v>
      </c>
      <c r="EL25" s="176">
        <v>21</v>
      </c>
      <c r="EM25" s="180" t="s">
        <v>1148</v>
      </c>
      <c r="EN25" s="181">
        <v>2008285</v>
      </c>
      <c r="EO25" s="182" t="s">
        <v>1149</v>
      </c>
      <c r="EP25" s="176">
        <v>21</v>
      </c>
      <c r="EQ25" s="180" t="s">
        <v>1150</v>
      </c>
      <c r="ER25" s="181">
        <v>2008305</v>
      </c>
      <c r="ES25" s="182" t="s">
        <v>1151</v>
      </c>
      <c r="ET25" s="176">
        <v>21</v>
      </c>
      <c r="EU25" s="180" t="s">
        <v>1152</v>
      </c>
      <c r="EV25" s="181">
        <v>2008182</v>
      </c>
      <c r="EW25" s="182" t="s">
        <v>1153</v>
      </c>
      <c r="EX25" s="176">
        <v>21</v>
      </c>
      <c r="EY25" s="180" t="s">
        <v>173</v>
      </c>
      <c r="EZ25" s="181">
        <v>2008284</v>
      </c>
      <c r="FA25" s="182" t="s">
        <v>191</v>
      </c>
      <c r="FB25" s="176">
        <v>21</v>
      </c>
      <c r="FC25" s="180" t="s">
        <v>1154</v>
      </c>
      <c r="FD25" s="181">
        <v>2008190</v>
      </c>
      <c r="FE25" s="182" t="s">
        <v>1155</v>
      </c>
      <c r="FF25" s="176">
        <v>21</v>
      </c>
      <c r="FG25" s="180"/>
      <c r="FH25" s="181"/>
      <c r="FI25" s="182"/>
    </row>
    <row r="26" spans="1:165" ht="15.75" x14ac:dyDescent="0.25">
      <c r="A26" s="9">
        <v>23</v>
      </c>
      <c r="B26" s="173" t="s">
        <v>1549</v>
      </c>
      <c r="C26" s="9">
        <v>90</v>
      </c>
      <c r="D26" s="9">
        <v>91</v>
      </c>
      <c r="E26" s="9">
        <v>92</v>
      </c>
      <c r="F26" s="176">
        <v>22</v>
      </c>
      <c r="G26" s="177" t="str">
        <f t="shared" si="0"/>
        <v>Muhammad Raihan Al Faridzi</v>
      </c>
      <c r="H26" s="178">
        <f t="shared" si="1"/>
        <v>2008223</v>
      </c>
      <c r="I26" s="179" t="str">
        <f t="shared" si="2"/>
        <v>0047550264</v>
      </c>
      <c r="J26" s="176">
        <v>22</v>
      </c>
      <c r="K26" s="180" t="s">
        <v>1586</v>
      </c>
      <c r="L26" s="181">
        <v>22101103</v>
      </c>
      <c r="M26" s="182">
        <v>74707223</v>
      </c>
      <c r="N26" s="176">
        <v>22</v>
      </c>
      <c r="O26" s="180" t="s">
        <v>2104</v>
      </c>
      <c r="P26" s="181">
        <v>22101118</v>
      </c>
      <c r="Q26" s="182">
        <v>139393404</v>
      </c>
      <c r="R26" s="176">
        <v>22</v>
      </c>
      <c r="S26" s="180" t="s">
        <v>2105</v>
      </c>
      <c r="T26" s="192">
        <v>22000000</v>
      </c>
      <c r="U26" s="182">
        <v>69891513</v>
      </c>
      <c r="V26" s="176">
        <v>22</v>
      </c>
      <c r="W26" s="180" t="s">
        <v>2106</v>
      </c>
      <c r="X26" s="181">
        <v>22101128</v>
      </c>
      <c r="Y26" s="182" t="s">
        <v>2107</v>
      </c>
      <c r="Z26" s="176">
        <v>22</v>
      </c>
      <c r="AA26" s="180" t="s">
        <v>2108</v>
      </c>
      <c r="AB26" s="181">
        <v>22101106</v>
      </c>
      <c r="AC26" s="182" t="s">
        <v>2109</v>
      </c>
      <c r="AD26" s="176">
        <v>22</v>
      </c>
      <c r="AE26" s="180" t="s">
        <v>2110</v>
      </c>
      <c r="AF26" s="181">
        <v>22102292</v>
      </c>
      <c r="AG26" s="182" t="s">
        <v>2111</v>
      </c>
      <c r="AH26" s="176">
        <v>22</v>
      </c>
      <c r="AI26" s="180" t="s">
        <v>2112</v>
      </c>
      <c r="AJ26" s="181">
        <v>22102289</v>
      </c>
      <c r="AK26" s="182" t="s">
        <v>2113</v>
      </c>
      <c r="AL26" s="176">
        <v>22</v>
      </c>
      <c r="AM26" s="180" t="s">
        <v>2114</v>
      </c>
      <c r="AN26" s="181">
        <v>22102351</v>
      </c>
      <c r="AO26" s="182" t="s">
        <v>2115</v>
      </c>
      <c r="AP26" s="176">
        <v>22</v>
      </c>
      <c r="AQ26" s="180" t="s">
        <v>2116</v>
      </c>
      <c r="AR26" s="181">
        <v>22102331</v>
      </c>
      <c r="AS26" s="182" t="s">
        <v>2117</v>
      </c>
      <c r="AT26" s="176">
        <v>22</v>
      </c>
      <c r="AU26" s="180" t="s">
        <v>2118</v>
      </c>
      <c r="AV26" s="181">
        <v>22102319</v>
      </c>
      <c r="AW26" s="182" t="s">
        <v>2119</v>
      </c>
      <c r="AX26" s="176">
        <v>22</v>
      </c>
      <c r="AY26" s="180" t="s">
        <v>2120</v>
      </c>
      <c r="AZ26" s="181">
        <v>22102326</v>
      </c>
      <c r="BA26" s="182" t="s">
        <v>2121</v>
      </c>
      <c r="BB26" s="176">
        <v>22</v>
      </c>
      <c r="BC26" s="180" t="s">
        <v>2122</v>
      </c>
      <c r="BD26" s="181">
        <v>22102336</v>
      </c>
      <c r="BE26" s="182" t="s">
        <v>2123</v>
      </c>
      <c r="BF26" s="176">
        <v>22</v>
      </c>
      <c r="BG26" s="180" t="s">
        <v>2124</v>
      </c>
      <c r="BH26" s="181">
        <v>22102402</v>
      </c>
      <c r="BI26" s="182" t="s">
        <v>2125</v>
      </c>
      <c r="BJ26" s="176">
        <v>22</v>
      </c>
      <c r="BK26" s="180" t="s">
        <v>1156</v>
      </c>
      <c r="BL26" s="181">
        <v>21091104</v>
      </c>
      <c r="BM26" s="182" t="s">
        <v>1157</v>
      </c>
      <c r="BN26" s="176">
        <v>22</v>
      </c>
      <c r="BO26" s="180" t="s">
        <v>1241</v>
      </c>
      <c r="BP26" s="181">
        <v>21091101</v>
      </c>
      <c r="BQ26" s="182" t="s">
        <v>1242</v>
      </c>
      <c r="BR26" s="176">
        <v>22</v>
      </c>
      <c r="BS26" s="180" t="s">
        <v>1160</v>
      </c>
      <c r="BT26" s="181">
        <v>21091121</v>
      </c>
      <c r="BU26" s="182" t="s">
        <v>1161</v>
      </c>
      <c r="BV26" s="176">
        <v>22</v>
      </c>
      <c r="BW26" s="180" t="s">
        <v>1162</v>
      </c>
      <c r="BX26" s="181">
        <v>21091115</v>
      </c>
      <c r="BY26" s="182" t="s">
        <v>1163</v>
      </c>
      <c r="BZ26" s="176">
        <v>22</v>
      </c>
      <c r="CA26" s="180" t="s">
        <v>1164</v>
      </c>
      <c r="CB26" s="181">
        <v>21091097</v>
      </c>
      <c r="CC26" s="182" t="s">
        <v>1165</v>
      </c>
      <c r="CD26" s="176">
        <v>22</v>
      </c>
      <c r="CE26" s="180" t="s">
        <v>1166</v>
      </c>
      <c r="CF26" s="181">
        <v>21092273</v>
      </c>
      <c r="CG26" s="182" t="s">
        <v>1167</v>
      </c>
      <c r="CH26" s="176">
        <v>22</v>
      </c>
      <c r="CI26" s="180" t="s">
        <v>1338</v>
      </c>
      <c r="CJ26" s="181">
        <v>21092288</v>
      </c>
      <c r="CK26" s="182" t="s">
        <v>1339</v>
      </c>
      <c r="CL26" s="176">
        <v>22</v>
      </c>
      <c r="CM26" s="180" t="s">
        <v>1170</v>
      </c>
      <c r="CN26" s="181">
        <v>21092294</v>
      </c>
      <c r="CO26" s="182" t="s">
        <v>1171</v>
      </c>
      <c r="CP26" s="176">
        <v>22</v>
      </c>
      <c r="CQ26" s="180" t="s">
        <v>1255</v>
      </c>
      <c r="CR26" s="181">
        <v>21092314</v>
      </c>
      <c r="CS26" s="182" t="s">
        <v>1256</v>
      </c>
      <c r="CT26" s="176">
        <v>22</v>
      </c>
      <c r="CU26" s="180" t="s">
        <v>1212</v>
      </c>
      <c r="CV26" s="181">
        <v>21092297</v>
      </c>
      <c r="CW26" s="182" t="s">
        <v>1213</v>
      </c>
      <c r="CX26" s="176">
        <v>22</v>
      </c>
      <c r="CY26" s="180" t="s">
        <v>1214</v>
      </c>
      <c r="CZ26" s="181">
        <v>21092327</v>
      </c>
      <c r="DA26" s="182" t="s">
        <v>1215</v>
      </c>
      <c r="DB26" s="176">
        <v>22</v>
      </c>
      <c r="DC26" s="180" t="s">
        <v>1216</v>
      </c>
      <c r="DD26" s="181">
        <v>21092282</v>
      </c>
      <c r="DE26" s="182" t="s">
        <v>1217</v>
      </c>
      <c r="DF26" s="176">
        <v>22</v>
      </c>
      <c r="DG26" s="180"/>
      <c r="DH26" s="181"/>
      <c r="DI26" s="182"/>
      <c r="DJ26" s="176">
        <v>22</v>
      </c>
      <c r="DK26" s="180" t="s">
        <v>1218</v>
      </c>
      <c r="DL26" s="181">
        <v>2008328</v>
      </c>
      <c r="DM26" s="182" t="s">
        <v>1219</v>
      </c>
      <c r="DN26" s="176">
        <v>22</v>
      </c>
      <c r="DO26" s="180" t="s">
        <v>1220</v>
      </c>
      <c r="DP26" s="181">
        <v>2008273</v>
      </c>
      <c r="DQ26" s="182" t="s">
        <v>1221</v>
      </c>
      <c r="DR26" s="176">
        <v>22</v>
      </c>
      <c r="DS26" s="180" t="s">
        <v>1222</v>
      </c>
      <c r="DT26" s="181">
        <v>2008210</v>
      </c>
      <c r="DU26" s="182" t="s">
        <v>1223</v>
      </c>
      <c r="DV26" s="176">
        <v>22</v>
      </c>
      <c r="DW26" s="180" t="s">
        <v>1184</v>
      </c>
      <c r="DX26" s="181">
        <v>2008223</v>
      </c>
      <c r="DY26" s="182" t="s">
        <v>2126</v>
      </c>
      <c r="DZ26" s="176">
        <v>22</v>
      </c>
      <c r="EA26" s="180" t="s">
        <v>1185</v>
      </c>
      <c r="EB26" s="181">
        <v>2008217</v>
      </c>
      <c r="EC26" s="182" t="s">
        <v>1186</v>
      </c>
      <c r="ED26" s="176">
        <v>22</v>
      </c>
      <c r="EE26" s="180" t="s">
        <v>1187</v>
      </c>
      <c r="EF26" s="181">
        <v>2008279</v>
      </c>
      <c r="EG26" s="182" t="s">
        <v>1188</v>
      </c>
      <c r="EH26" s="176">
        <v>22</v>
      </c>
      <c r="EI26" s="180" t="s">
        <v>1189</v>
      </c>
      <c r="EJ26" s="181">
        <v>2008308</v>
      </c>
      <c r="EK26" s="182" t="s">
        <v>1190</v>
      </c>
      <c r="EL26" s="176">
        <v>22</v>
      </c>
      <c r="EM26" s="180" t="s">
        <v>1191</v>
      </c>
      <c r="EN26" s="181">
        <v>2008309</v>
      </c>
      <c r="EO26" s="182" t="s">
        <v>1192</v>
      </c>
      <c r="EP26" s="176">
        <v>22</v>
      </c>
      <c r="EQ26" s="180" t="s">
        <v>1193</v>
      </c>
      <c r="ER26" s="181">
        <v>2008321</v>
      </c>
      <c r="ES26" s="182" t="s">
        <v>1194</v>
      </c>
      <c r="ET26" s="176">
        <v>22</v>
      </c>
      <c r="EU26" s="180" t="s">
        <v>2127</v>
      </c>
      <c r="EV26" s="181">
        <v>2008255</v>
      </c>
      <c r="EW26" s="182" t="s">
        <v>2128</v>
      </c>
      <c r="EX26" s="176">
        <v>22</v>
      </c>
      <c r="EY26" s="180" t="s">
        <v>174</v>
      </c>
      <c r="EZ26" s="181">
        <v>2008306</v>
      </c>
      <c r="FA26" s="182" t="s">
        <v>192</v>
      </c>
      <c r="FB26" s="176">
        <v>22</v>
      </c>
      <c r="FC26" s="180" t="s">
        <v>1195</v>
      </c>
      <c r="FD26" s="181">
        <v>2008200</v>
      </c>
      <c r="FE26" s="182" t="s">
        <v>2129</v>
      </c>
      <c r="FF26" s="176">
        <v>22</v>
      </c>
      <c r="FG26" s="180"/>
      <c r="FH26" s="181"/>
      <c r="FI26" s="182"/>
    </row>
    <row r="27" spans="1:165" ht="15.75" x14ac:dyDescent="0.25">
      <c r="A27" s="9">
        <v>24</v>
      </c>
      <c r="B27" s="173" t="s">
        <v>1550</v>
      </c>
      <c r="C27" s="9">
        <v>94</v>
      </c>
      <c r="D27" s="9">
        <v>95</v>
      </c>
      <c r="E27" s="9">
        <v>96</v>
      </c>
      <c r="F27" s="176">
        <v>23</v>
      </c>
      <c r="G27" s="177" t="str">
        <f t="shared" si="0"/>
        <v>Muhammad Rakan Hafidh Al Ghalib</v>
      </c>
      <c r="H27" s="178">
        <f t="shared" si="1"/>
        <v>2008224</v>
      </c>
      <c r="I27" s="179" t="str">
        <f t="shared" si="2"/>
        <v>0053955049</v>
      </c>
      <c r="J27" s="176">
        <v>23</v>
      </c>
      <c r="K27" s="180" t="s">
        <v>1587</v>
      </c>
      <c r="L27" s="181">
        <v>22101107</v>
      </c>
      <c r="M27" s="182">
        <v>71330083</v>
      </c>
      <c r="N27" s="176">
        <v>23</v>
      </c>
      <c r="O27" s="180" t="s">
        <v>2130</v>
      </c>
      <c r="P27" s="181">
        <v>22101119</v>
      </c>
      <c r="Q27" s="182">
        <v>77249788</v>
      </c>
      <c r="R27" s="176">
        <v>23</v>
      </c>
      <c r="S27" s="180" t="s">
        <v>2131</v>
      </c>
      <c r="T27" s="192">
        <v>22000000</v>
      </c>
      <c r="U27" s="182">
        <v>76250830</v>
      </c>
      <c r="V27" s="176">
        <v>23</v>
      </c>
      <c r="W27" s="180" t="s">
        <v>2132</v>
      </c>
      <c r="X27" s="181">
        <v>22101130</v>
      </c>
      <c r="Y27" s="182" t="s">
        <v>2133</v>
      </c>
      <c r="Z27" s="176">
        <v>23</v>
      </c>
      <c r="AA27" s="180" t="s">
        <v>2134</v>
      </c>
      <c r="AB27" s="181">
        <v>22101114</v>
      </c>
      <c r="AC27" s="182" t="s">
        <v>2135</v>
      </c>
      <c r="AD27" s="176">
        <v>23</v>
      </c>
      <c r="AE27" s="180" t="s">
        <v>2136</v>
      </c>
      <c r="AF27" s="181">
        <v>22102302</v>
      </c>
      <c r="AG27" s="182" t="s">
        <v>2137</v>
      </c>
      <c r="AH27" s="176">
        <v>23</v>
      </c>
      <c r="AI27" s="180" t="s">
        <v>2138</v>
      </c>
      <c r="AJ27" s="181">
        <v>22102298</v>
      </c>
      <c r="AK27" s="182" t="s">
        <v>2139</v>
      </c>
      <c r="AL27" s="176">
        <v>23</v>
      </c>
      <c r="AM27" s="180" t="s">
        <v>2140</v>
      </c>
      <c r="AN27" s="181">
        <v>22102355</v>
      </c>
      <c r="AO27" s="182" t="s">
        <v>2141</v>
      </c>
      <c r="AP27" s="176">
        <v>23</v>
      </c>
      <c r="AQ27" s="180" t="s">
        <v>2142</v>
      </c>
      <c r="AR27" s="181">
        <v>22102337</v>
      </c>
      <c r="AS27" s="182" t="s">
        <v>2143</v>
      </c>
      <c r="AT27" s="176">
        <v>23</v>
      </c>
      <c r="AU27" s="180" t="s">
        <v>2144</v>
      </c>
      <c r="AV27" s="181">
        <v>22102328</v>
      </c>
      <c r="AW27" s="182" t="s">
        <v>2145</v>
      </c>
      <c r="AX27" s="176">
        <v>23</v>
      </c>
      <c r="AY27" s="180" t="s">
        <v>2146</v>
      </c>
      <c r="AZ27" s="181">
        <v>22102340</v>
      </c>
      <c r="BA27" s="182" t="s">
        <v>2147</v>
      </c>
      <c r="BB27" s="176">
        <v>23</v>
      </c>
      <c r="BC27" s="180" t="s">
        <v>2148</v>
      </c>
      <c r="BD27" s="181">
        <v>22102341</v>
      </c>
      <c r="BE27" s="182" t="s">
        <v>2149</v>
      </c>
      <c r="BF27" s="176">
        <v>23</v>
      </c>
      <c r="BG27" s="180" t="s">
        <v>2150</v>
      </c>
      <c r="BH27" s="181">
        <v>22101386</v>
      </c>
      <c r="BI27" s="182" t="s">
        <v>2151</v>
      </c>
      <c r="BJ27" s="176">
        <v>23</v>
      </c>
      <c r="BK27" s="180" t="s">
        <v>1196</v>
      </c>
      <c r="BL27" s="181">
        <v>21091107</v>
      </c>
      <c r="BM27" s="182" t="s">
        <v>1197</v>
      </c>
      <c r="BN27" s="176">
        <v>23</v>
      </c>
      <c r="BO27" s="180" t="s">
        <v>1286</v>
      </c>
      <c r="BP27" s="181">
        <v>21091119</v>
      </c>
      <c r="BQ27" s="182" t="s">
        <v>1287</v>
      </c>
      <c r="BR27" s="176">
        <v>23</v>
      </c>
      <c r="BS27" s="180" t="s">
        <v>1200</v>
      </c>
      <c r="BT27" s="181">
        <v>21091122</v>
      </c>
      <c r="BU27" s="182" t="s">
        <v>1201</v>
      </c>
      <c r="BV27" s="176">
        <v>23</v>
      </c>
      <c r="BW27" s="180" t="s">
        <v>1202</v>
      </c>
      <c r="BX27" s="181">
        <v>21091117</v>
      </c>
      <c r="BY27" s="182" t="s">
        <v>1203</v>
      </c>
      <c r="BZ27" s="176">
        <v>23</v>
      </c>
      <c r="CA27" s="180" t="s">
        <v>1204</v>
      </c>
      <c r="CB27" s="181">
        <v>21091109</v>
      </c>
      <c r="CC27" s="182" t="s">
        <v>1205</v>
      </c>
      <c r="CD27" s="176">
        <v>23</v>
      </c>
      <c r="CE27" s="180" t="s">
        <v>1206</v>
      </c>
      <c r="CF27" s="181">
        <v>21092279</v>
      </c>
      <c r="CG27" s="182" t="s">
        <v>1207</v>
      </c>
      <c r="CH27" s="176">
        <v>23</v>
      </c>
      <c r="CI27" s="180" t="s">
        <v>1380</v>
      </c>
      <c r="CJ27" s="181">
        <v>21092299</v>
      </c>
      <c r="CK27" s="182" t="s">
        <v>1381</v>
      </c>
      <c r="CL27" s="176">
        <v>23</v>
      </c>
      <c r="CM27" s="180" t="s">
        <v>1208</v>
      </c>
      <c r="CN27" s="181">
        <v>21092319</v>
      </c>
      <c r="CO27" s="182" t="s">
        <v>1209</v>
      </c>
      <c r="CP27" s="176">
        <v>23</v>
      </c>
      <c r="CQ27" s="180" t="s">
        <v>1300</v>
      </c>
      <c r="CR27" s="181">
        <v>21092318</v>
      </c>
      <c r="CS27" s="182" t="s">
        <v>1301</v>
      </c>
      <c r="CT27" s="176">
        <v>23</v>
      </c>
      <c r="CU27" s="180" t="s">
        <v>1257</v>
      </c>
      <c r="CV27" s="181">
        <v>21092300</v>
      </c>
      <c r="CW27" s="182" t="s">
        <v>1258</v>
      </c>
      <c r="CX27" s="176">
        <v>23</v>
      </c>
      <c r="CY27" s="180" t="s">
        <v>1259</v>
      </c>
      <c r="CZ27" s="181">
        <v>21092333</v>
      </c>
      <c r="DA27" s="182" t="s">
        <v>1260</v>
      </c>
      <c r="DB27" s="176">
        <v>23</v>
      </c>
      <c r="DC27" s="180" t="s">
        <v>1261</v>
      </c>
      <c r="DD27" s="181">
        <v>21092284</v>
      </c>
      <c r="DE27" s="182" t="s">
        <v>1262</v>
      </c>
      <c r="DF27" s="176">
        <v>23</v>
      </c>
      <c r="DG27" s="180"/>
      <c r="DH27" s="181"/>
      <c r="DI27" s="182"/>
      <c r="DJ27" s="176">
        <v>23</v>
      </c>
      <c r="DK27" s="180" t="s">
        <v>1263</v>
      </c>
      <c r="DL27" s="181">
        <v>2008340</v>
      </c>
      <c r="DM27" s="182" t="s">
        <v>1264</v>
      </c>
      <c r="DN27" s="176">
        <v>23</v>
      </c>
      <c r="DO27" s="180" t="s">
        <v>1265</v>
      </c>
      <c r="DP27" s="181">
        <v>2008286</v>
      </c>
      <c r="DQ27" s="182" t="s">
        <v>1266</v>
      </c>
      <c r="DR27" s="176">
        <v>23</v>
      </c>
      <c r="DS27" s="180" t="s">
        <v>1267</v>
      </c>
      <c r="DT27" s="181">
        <v>2008212</v>
      </c>
      <c r="DU27" s="182" t="s">
        <v>1268</v>
      </c>
      <c r="DV27" s="176">
        <v>23</v>
      </c>
      <c r="DW27" s="180" t="s">
        <v>1224</v>
      </c>
      <c r="DX27" s="181">
        <v>2008224</v>
      </c>
      <c r="DY27" s="182" t="s">
        <v>1225</v>
      </c>
      <c r="DZ27" s="176">
        <v>23</v>
      </c>
      <c r="EA27" s="180" t="s">
        <v>1226</v>
      </c>
      <c r="EB27" s="181">
        <v>2008226</v>
      </c>
      <c r="EC27" s="182" t="s">
        <v>1227</v>
      </c>
      <c r="ED27" s="176">
        <v>23</v>
      </c>
      <c r="EE27" s="180" t="s">
        <v>1228</v>
      </c>
      <c r="EF27" s="181">
        <v>2008310</v>
      </c>
      <c r="EG27" s="182" t="s">
        <v>1229</v>
      </c>
      <c r="EH27" s="176">
        <v>23</v>
      </c>
      <c r="EI27" s="180" t="s">
        <v>1230</v>
      </c>
      <c r="EJ27" s="181">
        <v>2008312</v>
      </c>
      <c r="EK27" s="182" t="s">
        <v>1231</v>
      </c>
      <c r="EL27" s="176">
        <v>23</v>
      </c>
      <c r="EM27" s="180" t="s">
        <v>1232</v>
      </c>
      <c r="EN27" s="181">
        <v>2008317</v>
      </c>
      <c r="EO27" s="182" t="s">
        <v>1233</v>
      </c>
      <c r="EP27" s="176">
        <v>23</v>
      </c>
      <c r="EQ27" s="180" t="s">
        <v>1234</v>
      </c>
      <c r="ER27" s="181">
        <v>2008322</v>
      </c>
      <c r="ES27" s="182" t="s">
        <v>1235</v>
      </c>
      <c r="ET27" s="176">
        <v>23</v>
      </c>
      <c r="EU27" s="180" t="s">
        <v>1236</v>
      </c>
      <c r="EV27" s="181">
        <v>2008259</v>
      </c>
      <c r="EW27" s="182" t="s">
        <v>2152</v>
      </c>
      <c r="EX27" s="176">
        <v>23</v>
      </c>
      <c r="EY27" s="180" t="s">
        <v>175</v>
      </c>
      <c r="EZ27" s="181">
        <v>2008330</v>
      </c>
      <c r="FA27" s="182" t="s">
        <v>193</v>
      </c>
      <c r="FB27" s="176">
        <v>23</v>
      </c>
      <c r="FC27" s="180" t="s">
        <v>1237</v>
      </c>
      <c r="FD27" s="181">
        <v>2008238</v>
      </c>
      <c r="FE27" s="182" t="s">
        <v>1238</v>
      </c>
      <c r="FF27" s="176">
        <v>23</v>
      </c>
      <c r="FG27" s="180"/>
      <c r="FH27" s="181"/>
      <c r="FI27" s="182"/>
    </row>
    <row r="28" spans="1:165" ht="15.75" x14ac:dyDescent="0.25">
      <c r="A28" s="9">
        <v>25</v>
      </c>
      <c r="B28" s="173" t="s">
        <v>1551</v>
      </c>
      <c r="C28" s="9">
        <v>98</v>
      </c>
      <c r="D28" s="9">
        <v>99</v>
      </c>
      <c r="E28" s="9">
        <v>100</v>
      </c>
      <c r="F28" s="176">
        <v>24</v>
      </c>
      <c r="G28" s="177" t="str">
        <f t="shared" si="0"/>
        <v>Muhammad Syamu Naufal</v>
      </c>
      <c r="H28" s="178">
        <f t="shared" si="1"/>
        <v>2008230</v>
      </c>
      <c r="I28" s="179" t="str">
        <f t="shared" si="2"/>
        <v>0045892500</v>
      </c>
      <c r="J28" s="176">
        <v>24</v>
      </c>
      <c r="K28" s="180" t="s">
        <v>1588</v>
      </c>
      <c r="L28" s="181">
        <v>22101113</v>
      </c>
      <c r="M28" s="182">
        <v>68941846</v>
      </c>
      <c r="N28" s="176">
        <v>24</v>
      </c>
      <c r="O28" s="180" t="s">
        <v>2153</v>
      </c>
      <c r="P28" s="181">
        <v>22101129</v>
      </c>
      <c r="Q28" s="182">
        <v>74179195</v>
      </c>
      <c r="R28" s="176">
        <v>24</v>
      </c>
      <c r="S28" s="180" t="s">
        <v>2154</v>
      </c>
      <c r="T28" s="192">
        <v>22000000</v>
      </c>
      <c r="U28" s="182">
        <v>69457391</v>
      </c>
      <c r="V28" s="176">
        <v>24</v>
      </c>
      <c r="W28" s="180" t="s">
        <v>2155</v>
      </c>
      <c r="X28" s="181">
        <v>22101137</v>
      </c>
      <c r="Y28" s="182" t="s">
        <v>2156</v>
      </c>
      <c r="Z28" s="176">
        <v>24</v>
      </c>
      <c r="AA28" s="180" t="s">
        <v>2157</v>
      </c>
      <c r="AB28" s="181">
        <v>22101120</v>
      </c>
      <c r="AC28" s="182" t="s">
        <v>2158</v>
      </c>
      <c r="AD28" s="176">
        <v>24</v>
      </c>
      <c r="AE28" s="180" t="s">
        <v>2159</v>
      </c>
      <c r="AF28" s="181">
        <v>22102305</v>
      </c>
      <c r="AG28" s="182" t="s">
        <v>2160</v>
      </c>
      <c r="AH28" s="176">
        <v>24</v>
      </c>
      <c r="AI28" s="180" t="s">
        <v>2161</v>
      </c>
      <c r="AJ28" s="181">
        <v>22102307</v>
      </c>
      <c r="AK28" s="182" t="s">
        <v>2162</v>
      </c>
      <c r="AL28" s="176">
        <v>24</v>
      </c>
      <c r="AM28" s="180" t="s">
        <v>2163</v>
      </c>
      <c r="AN28" s="181">
        <v>22102357</v>
      </c>
      <c r="AO28" s="182" t="s">
        <v>2164</v>
      </c>
      <c r="AP28" s="176">
        <v>24</v>
      </c>
      <c r="AQ28" s="180" t="s">
        <v>2165</v>
      </c>
      <c r="AR28" s="181">
        <v>22102339</v>
      </c>
      <c r="AS28" s="182" t="s">
        <v>2166</v>
      </c>
      <c r="AT28" s="176">
        <v>24</v>
      </c>
      <c r="AU28" s="180" t="s">
        <v>2167</v>
      </c>
      <c r="AV28" s="181">
        <v>22102329</v>
      </c>
      <c r="AW28" s="182" t="s">
        <v>2168</v>
      </c>
      <c r="AX28" s="176">
        <v>24</v>
      </c>
      <c r="AY28" s="180" t="s">
        <v>2169</v>
      </c>
      <c r="AZ28" s="181">
        <v>22102361</v>
      </c>
      <c r="BA28" s="182" t="s">
        <v>2170</v>
      </c>
      <c r="BB28" s="176">
        <v>24</v>
      </c>
      <c r="BC28" s="180" t="s">
        <v>2171</v>
      </c>
      <c r="BD28" s="181">
        <v>22102344</v>
      </c>
      <c r="BE28" s="182" t="s">
        <v>2172</v>
      </c>
      <c r="BF28" s="176">
        <v>24</v>
      </c>
      <c r="BG28" s="180"/>
      <c r="BH28" s="181"/>
      <c r="BI28" s="182"/>
      <c r="BJ28" s="176">
        <v>24</v>
      </c>
      <c r="BK28" s="180" t="s">
        <v>1239</v>
      </c>
      <c r="BL28" s="181">
        <v>21091108</v>
      </c>
      <c r="BM28" s="182" t="s">
        <v>1240</v>
      </c>
      <c r="BN28" s="176">
        <v>24</v>
      </c>
      <c r="BO28" s="180" t="s">
        <v>1330</v>
      </c>
      <c r="BP28" s="181">
        <v>21091126</v>
      </c>
      <c r="BQ28" s="182" t="s">
        <v>1331</v>
      </c>
      <c r="BR28" s="176">
        <v>24</v>
      </c>
      <c r="BS28" s="180" t="s">
        <v>1243</v>
      </c>
      <c r="BT28" s="181">
        <v>21091123</v>
      </c>
      <c r="BU28" s="182" t="s">
        <v>1244</v>
      </c>
      <c r="BV28" s="176">
        <v>24</v>
      </c>
      <c r="BW28" s="180" t="s">
        <v>1245</v>
      </c>
      <c r="BX28" s="181">
        <v>21091118</v>
      </c>
      <c r="BY28" s="182" t="s">
        <v>1246</v>
      </c>
      <c r="BZ28" s="176">
        <v>24</v>
      </c>
      <c r="CA28" s="180" t="s">
        <v>1247</v>
      </c>
      <c r="CB28" s="181">
        <v>21091112</v>
      </c>
      <c r="CC28" s="182" t="s">
        <v>1248</v>
      </c>
      <c r="CD28" s="176">
        <v>24</v>
      </c>
      <c r="CE28" s="180" t="s">
        <v>1249</v>
      </c>
      <c r="CF28" s="181">
        <v>21092283</v>
      </c>
      <c r="CG28" s="182" t="s">
        <v>1250</v>
      </c>
      <c r="CH28" s="176">
        <v>24</v>
      </c>
      <c r="CI28" s="180" t="s">
        <v>1440</v>
      </c>
      <c r="CJ28" s="181">
        <v>21092310</v>
      </c>
      <c r="CK28" s="182" t="s">
        <v>1441</v>
      </c>
      <c r="CL28" s="176">
        <v>24</v>
      </c>
      <c r="CM28" s="180" t="s">
        <v>1253</v>
      </c>
      <c r="CN28" s="181">
        <v>21092321</v>
      </c>
      <c r="CO28" s="182" t="s">
        <v>1254</v>
      </c>
      <c r="CP28" s="176">
        <v>24</v>
      </c>
      <c r="CQ28" s="180" t="s">
        <v>1342</v>
      </c>
      <c r="CR28" s="181">
        <v>21092326</v>
      </c>
      <c r="CS28" s="182" t="s">
        <v>1343</v>
      </c>
      <c r="CT28" s="176">
        <v>24</v>
      </c>
      <c r="CU28" s="180" t="s">
        <v>1302</v>
      </c>
      <c r="CV28" s="181">
        <v>21092313</v>
      </c>
      <c r="CW28" s="182" t="s">
        <v>1303</v>
      </c>
      <c r="CX28" s="176">
        <v>24</v>
      </c>
      <c r="CY28" s="180" t="s">
        <v>1304</v>
      </c>
      <c r="CZ28" s="181">
        <v>21092335</v>
      </c>
      <c r="DA28" s="182" t="s">
        <v>1305</v>
      </c>
      <c r="DB28" s="176">
        <v>24</v>
      </c>
      <c r="DC28" s="180" t="s">
        <v>1306</v>
      </c>
      <c r="DD28" s="181">
        <v>21092285</v>
      </c>
      <c r="DE28" s="182" t="s">
        <v>1307</v>
      </c>
      <c r="DF28" s="176">
        <v>24</v>
      </c>
      <c r="DG28" s="180"/>
      <c r="DH28" s="181"/>
      <c r="DI28" s="182"/>
      <c r="DJ28" s="176">
        <v>24</v>
      </c>
      <c r="DK28" s="180" t="s">
        <v>1308</v>
      </c>
      <c r="DL28" s="181">
        <v>2008341</v>
      </c>
      <c r="DM28" s="182" t="s">
        <v>1309</v>
      </c>
      <c r="DN28" s="176">
        <v>24</v>
      </c>
      <c r="DO28" s="180" t="s">
        <v>1310</v>
      </c>
      <c r="DP28" s="181">
        <v>2008289</v>
      </c>
      <c r="DQ28" s="182" t="s">
        <v>1311</v>
      </c>
      <c r="DR28" s="176">
        <v>24</v>
      </c>
      <c r="DS28" s="180" t="s">
        <v>1312</v>
      </c>
      <c r="DT28" s="181">
        <v>2008215</v>
      </c>
      <c r="DU28" s="182" t="s">
        <v>1313</v>
      </c>
      <c r="DV28" s="176">
        <v>24</v>
      </c>
      <c r="DW28" s="180" t="s">
        <v>1269</v>
      </c>
      <c r="DX28" s="181">
        <v>2008230</v>
      </c>
      <c r="DY28" s="182" t="s">
        <v>1270</v>
      </c>
      <c r="DZ28" s="176">
        <v>24</v>
      </c>
      <c r="EA28" s="180" t="s">
        <v>1271</v>
      </c>
      <c r="EB28" s="181">
        <v>2008231</v>
      </c>
      <c r="EC28" s="182" t="s">
        <v>2173</v>
      </c>
      <c r="ED28" s="176">
        <v>24</v>
      </c>
      <c r="EE28" s="180" t="s">
        <v>1272</v>
      </c>
      <c r="EF28" s="181">
        <v>2008314</v>
      </c>
      <c r="EG28" s="182" t="s">
        <v>1273</v>
      </c>
      <c r="EH28" s="176">
        <v>24</v>
      </c>
      <c r="EI28" s="180" t="s">
        <v>1274</v>
      </c>
      <c r="EJ28" s="181">
        <v>2008325</v>
      </c>
      <c r="EK28" s="182" t="s">
        <v>1275</v>
      </c>
      <c r="EL28" s="176">
        <v>24</v>
      </c>
      <c r="EM28" s="180" t="s">
        <v>1276</v>
      </c>
      <c r="EN28" s="181">
        <v>2008319</v>
      </c>
      <c r="EO28" s="182" t="s">
        <v>1277</v>
      </c>
      <c r="EP28" s="176">
        <v>24</v>
      </c>
      <c r="EQ28" s="180" t="s">
        <v>1278</v>
      </c>
      <c r="ER28" s="181">
        <v>2008339</v>
      </c>
      <c r="ES28" s="182" t="s">
        <v>1279</v>
      </c>
      <c r="ET28" s="176">
        <v>24</v>
      </c>
      <c r="EU28" s="180" t="s">
        <v>1280</v>
      </c>
      <c r="EV28" s="181">
        <v>2008267</v>
      </c>
      <c r="EW28" s="182" t="s">
        <v>1281</v>
      </c>
      <c r="EX28" s="176">
        <v>24</v>
      </c>
      <c r="EY28" s="180" t="s">
        <v>176</v>
      </c>
      <c r="EZ28" s="181">
        <v>2008334</v>
      </c>
      <c r="FA28" s="182" t="s">
        <v>2174</v>
      </c>
      <c r="FB28" s="176">
        <v>24</v>
      </c>
      <c r="FC28" s="180" t="s">
        <v>1282</v>
      </c>
      <c r="FD28" s="181">
        <v>2008247</v>
      </c>
      <c r="FE28" s="182" t="s">
        <v>1283</v>
      </c>
      <c r="FF28" s="176">
        <v>24</v>
      </c>
      <c r="FG28" s="180"/>
      <c r="FH28" s="181"/>
      <c r="FI28" s="182"/>
    </row>
    <row r="29" spans="1:165" ht="15.75" x14ac:dyDescent="0.25">
      <c r="A29" s="9">
        <v>26</v>
      </c>
      <c r="B29" s="173" t="s">
        <v>1552</v>
      </c>
      <c r="C29" s="9">
        <v>102</v>
      </c>
      <c r="D29" s="9">
        <v>103</v>
      </c>
      <c r="E29" s="9">
        <v>104</v>
      </c>
      <c r="F29" s="176">
        <v>25</v>
      </c>
      <c r="G29" s="177" t="str">
        <f t="shared" si="0"/>
        <v>Naufal Muhammad Iqbal</v>
      </c>
      <c r="H29" s="178">
        <f t="shared" si="1"/>
        <v>2008251</v>
      </c>
      <c r="I29" s="179" t="str">
        <f t="shared" si="2"/>
        <v>0056904636</v>
      </c>
      <c r="J29" s="176">
        <v>25</v>
      </c>
      <c r="K29" s="180" t="s">
        <v>1589</v>
      </c>
      <c r="L29" s="181">
        <v>22101115</v>
      </c>
      <c r="M29" s="182">
        <v>78128043</v>
      </c>
      <c r="N29" s="176">
        <v>25</v>
      </c>
      <c r="O29" s="180" t="s">
        <v>2175</v>
      </c>
      <c r="P29" s="181">
        <v>22101133</v>
      </c>
      <c r="Q29" s="182">
        <v>73459978</v>
      </c>
      <c r="R29" s="176">
        <v>25</v>
      </c>
      <c r="S29" s="180" t="s">
        <v>2176</v>
      </c>
      <c r="T29" s="192">
        <v>22000000</v>
      </c>
      <c r="U29" s="182">
        <v>66717179</v>
      </c>
      <c r="V29" s="176">
        <v>25</v>
      </c>
      <c r="W29" s="180" t="s">
        <v>2177</v>
      </c>
      <c r="X29" s="181">
        <v>22101140</v>
      </c>
      <c r="Y29" s="182" t="s">
        <v>2178</v>
      </c>
      <c r="Z29" s="176">
        <v>25</v>
      </c>
      <c r="AA29" s="180" t="s">
        <v>2179</v>
      </c>
      <c r="AB29" s="181">
        <v>22101131</v>
      </c>
      <c r="AC29" s="182" t="s">
        <v>2180</v>
      </c>
      <c r="AD29" s="176">
        <v>25</v>
      </c>
      <c r="AE29" s="180" t="s">
        <v>2181</v>
      </c>
      <c r="AF29" s="181">
        <v>22102308</v>
      </c>
      <c r="AG29" s="182" t="s">
        <v>2182</v>
      </c>
      <c r="AH29" s="176">
        <v>25</v>
      </c>
      <c r="AI29" s="180" t="s">
        <v>2183</v>
      </c>
      <c r="AJ29" s="181">
        <v>22102314</v>
      </c>
      <c r="AK29" s="182" t="s">
        <v>2184</v>
      </c>
      <c r="AL29" s="176">
        <v>25</v>
      </c>
      <c r="AM29" s="180" t="s">
        <v>2185</v>
      </c>
      <c r="AN29" s="181">
        <v>22102359</v>
      </c>
      <c r="AO29" s="182" t="s">
        <v>2186</v>
      </c>
      <c r="AP29" s="176">
        <v>25</v>
      </c>
      <c r="AQ29" s="180" t="s">
        <v>2187</v>
      </c>
      <c r="AR29" s="181">
        <v>22102352</v>
      </c>
      <c r="AS29" s="182" t="s">
        <v>2188</v>
      </c>
      <c r="AT29" s="176">
        <v>25</v>
      </c>
      <c r="AU29" s="180" t="s">
        <v>2189</v>
      </c>
      <c r="AV29" s="181">
        <v>22102347</v>
      </c>
      <c r="AW29" s="182" t="s">
        <v>2190</v>
      </c>
      <c r="AX29" s="176">
        <v>25</v>
      </c>
      <c r="AY29" s="180" t="s">
        <v>2191</v>
      </c>
      <c r="AZ29" s="181">
        <v>22102362</v>
      </c>
      <c r="BA29" s="182" t="s">
        <v>2192</v>
      </c>
      <c r="BB29" s="176">
        <v>25</v>
      </c>
      <c r="BC29" s="180" t="s">
        <v>2193</v>
      </c>
      <c r="BD29" s="181">
        <v>22102346</v>
      </c>
      <c r="BE29" s="182" t="s">
        <v>2194</v>
      </c>
      <c r="BF29" s="176">
        <v>25</v>
      </c>
      <c r="BG29" s="180"/>
      <c r="BH29" s="181"/>
      <c r="BI29" s="182"/>
      <c r="BJ29" s="176">
        <v>25</v>
      </c>
      <c r="BK29" s="180" t="s">
        <v>1284</v>
      </c>
      <c r="BL29" s="181">
        <v>21091110</v>
      </c>
      <c r="BM29" s="182" t="s">
        <v>1285</v>
      </c>
      <c r="BN29" s="176">
        <v>25</v>
      </c>
      <c r="BO29" s="180" t="s">
        <v>1372</v>
      </c>
      <c r="BP29" s="181">
        <v>21091136</v>
      </c>
      <c r="BQ29" s="182" t="s">
        <v>1373</v>
      </c>
      <c r="BR29" s="176">
        <v>25</v>
      </c>
      <c r="BS29" s="180" t="s">
        <v>1288</v>
      </c>
      <c r="BT29" s="181">
        <v>21091133</v>
      </c>
      <c r="BU29" s="182" t="s">
        <v>1289</v>
      </c>
      <c r="BV29" s="176">
        <v>25</v>
      </c>
      <c r="BW29" s="180" t="s">
        <v>1290</v>
      </c>
      <c r="BX29" s="181">
        <v>21091125</v>
      </c>
      <c r="BY29" s="182" t="s">
        <v>1291</v>
      </c>
      <c r="BZ29" s="176">
        <v>25</v>
      </c>
      <c r="CA29" s="180" t="s">
        <v>1292</v>
      </c>
      <c r="CB29" s="181">
        <v>21091113</v>
      </c>
      <c r="CC29" s="182" t="s">
        <v>1293</v>
      </c>
      <c r="CD29" s="176">
        <v>25</v>
      </c>
      <c r="CE29" s="180" t="s">
        <v>1294</v>
      </c>
      <c r="CF29" s="181">
        <v>21092296</v>
      </c>
      <c r="CG29" s="182" t="s">
        <v>1295</v>
      </c>
      <c r="CH29" s="176">
        <v>25</v>
      </c>
      <c r="CI29" s="180" t="s">
        <v>1468</v>
      </c>
      <c r="CJ29" s="181">
        <v>21092312</v>
      </c>
      <c r="CK29" s="182" t="s">
        <v>1469</v>
      </c>
      <c r="CL29" s="176">
        <v>25</v>
      </c>
      <c r="CM29" s="180" t="s">
        <v>1298</v>
      </c>
      <c r="CN29" s="181">
        <v>21092323</v>
      </c>
      <c r="CO29" s="182" t="s">
        <v>1299</v>
      </c>
      <c r="CP29" s="176">
        <v>25</v>
      </c>
      <c r="CQ29" s="180" t="s">
        <v>1384</v>
      </c>
      <c r="CR29" s="181">
        <v>21092336</v>
      </c>
      <c r="CS29" s="182" t="s">
        <v>735</v>
      </c>
      <c r="CT29" s="176">
        <v>25</v>
      </c>
      <c r="CU29" s="180" t="s">
        <v>1344</v>
      </c>
      <c r="CV29" s="181">
        <v>21092320</v>
      </c>
      <c r="CW29" s="182" t="s">
        <v>1345</v>
      </c>
      <c r="CX29" s="176">
        <v>25</v>
      </c>
      <c r="CY29" s="180" t="s">
        <v>1346</v>
      </c>
      <c r="CZ29" s="181">
        <v>21092337</v>
      </c>
      <c r="DA29" s="182" t="s">
        <v>1347</v>
      </c>
      <c r="DB29" s="176">
        <v>25</v>
      </c>
      <c r="DC29" s="180" t="s">
        <v>1348</v>
      </c>
      <c r="DD29" s="181">
        <v>21092291</v>
      </c>
      <c r="DE29" s="182" t="s">
        <v>1349</v>
      </c>
      <c r="DF29" s="176">
        <v>25</v>
      </c>
      <c r="DG29" s="180"/>
      <c r="DH29" s="181"/>
      <c r="DI29" s="182"/>
      <c r="DJ29" s="176">
        <v>25</v>
      </c>
      <c r="DK29" s="180" t="s">
        <v>1350</v>
      </c>
      <c r="DL29" s="181">
        <v>2008345</v>
      </c>
      <c r="DM29" s="182" t="s">
        <v>1351</v>
      </c>
      <c r="DN29" s="176">
        <v>25</v>
      </c>
      <c r="DO29" s="180" t="s">
        <v>2195</v>
      </c>
      <c r="DP29" s="181">
        <v>2008294</v>
      </c>
      <c r="DQ29" s="182" t="s">
        <v>1352</v>
      </c>
      <c r="DR29" s="176">
        <v>25</v>
      </c>
      <c r="DS29" s="180" t="s">
        <v>1353</v>
      </c>
      <c r="DT29" s="181">
        <v>2008249</v>
      </c>
      <c r="DU29" s="182" t="s">
        <v>1354</v>
      </c>
      <c r="DV29" s="176">
        <v>25</v>
      </c>
      <c r="DW29" s="180" t="s">
        <v>1314</v>
      </c>
      <c r="DX29" s="181">
        <v>2008251</v>
      </c>
      <c r="DY29" s="182" t="s">
        <v>1315</v>
      </c>
      <c r="DZ29" s="176">
        <v>25</v>
      </c>
      <c r="EA29" s="180" t="s">
        <v>1316</v>
      </c>
      <c r="EB29" s="181">
        <v>2008283</v>
      </c>
      <c r="EC29" s="182" t="s">
        <v>1317</v>
      </c>
      <c r="ED29" s="176">
        <v>25</v>
      </c>
      <c r="EE29" s="180" t="s">
        <v>1318</v>
      </c>
      <c r="EF29" s="181">
        <v>2008318</v>
      </c>
      <c r="EG29" s="182" t="s">
        <v>1319</v>
      </c>
      <c r="EH29" s="176">
        <v>25</v>
      </c>
      <c r="EI29" s="180" t="s">
        <v>1320</v>
      </c>
      <c r="EJ29" s="181">
        <v>2008331</v>
      </c>
      <c r="EK29" s="182" t="s">
        <v>1321</v>
      </c>
      <c r="EL29" s="176">
        <v>25</v>
      </c>
      <c r="EM29" s="180" t="s">
        <v>1322</v>
      </c>
      <c r="EN29" s="181">
        <v>2008323</v>
      </c>
      <c r="EO29" s="182" t="s">
        <v>2196</v>
      </c>
      <c r="EP29" s="176">
        <v>25</v>
      </c>
      <c r="EQ29" s="180" t="s">
        <v>2197</v>
      </c>
      <c r="ER29" s="181">
        <v>2008349</v>
      </c>
      <c r="ES29" s="182" t="s">
        <v>1323</v>
      </c>
      <c r="ET29" s="176">
        <v>25</v>
      </c>
      <c r="EU29" s="180" t="s">
        <v>1324</v>
      </c>
      <c r="EV29" s="181">
        <v>2008275</v>
      </c>
      <c r="EW29" s="182" t="s">
        <v>1325</v>
      </c>
      <c r="EX29" s="176">
        <v>25</v>
      </c>
      <c r="EY29" s="180" t="s">
        <v>177</v>
      </c>
      <c r="EZ29" s="181">
        <v>2008351</v>
      </c>
      <c r="FA29" s="182" t="s">
        <v>194</v>
      </c>
      <c r="FB29" s="176">
        <v>25</v>
      </c>
      <c r="FC29" s="180" t="s">
        <v>1326</v>
      </c>
      <c r="FD29" s="181">
        <v>2008263</v>
      </c>
      <c r="FE29" s="182" t="s">
        <v>1327</v>
      </c>
      <c r="FF29" s="176">
        <v>25</v>
      </c>
      <c r="FG29" s="180"/>
      <c r="FH29" s="181"/>
      <c r="FI29" s="182"/>
    </row>
    <row r="30" spans="1:165" ht="15.75" x14ac:dyDescent="0.25">
      <c r="A30" s="9">
        <v>27</v>
      </c>
      <c r="B30" s="173" t="s">
        <v>1553</v>
      </c>
      <c r="C30" s="9">
        <v>106</v>
      </c>
      <c r="D30" s="9">
        <v>107</v>
      </c>
      <c r="E30" s="9">
        <v>108</v>
      </c>
      <c r="F30" s="176">
        <v>26</v>
      </c>
      <c r="G30" s="177" t="str">
        <f t="shared" si="0"/>
        <v>Nauval Nur Mustafa</v>
      </c>
      <c r="H30" s="178">
        <f t="shared" si="1"/>
        <v>2008253</v>
      </c>
      <c r="I30" s="179" t="str">
        <f t="shared" si="2"/>
        <v>0061518278</v>
      </c>
      <c r="J30" s="176">
        <v>26</v>
      </c>
      <c r="K30" s="180" t="s">
        <v>1590</v>
      </c>
      <c r="L30" s="181">
        <v>22101117</v>
      </c>
      <c r="M30" s="182">
        <v>79454576</v>
      </c>
      <c r="N30" s="176">
        <v>26</v>
      </c>
      <c r="O30" s="180" t="s">
        <v>2198</v>
      </c>
      <c r="P30" s="181">
        <v>22101145</v>
      </c>
      <c r="Q30" s="182">
        <v>74633871</v>
      </c>
      <c r="R30" s="176">
        <v>26</v>
      </c>
      <c r="S30" s="180" t="s">
        <v>2199</v>
      </c>
      <c r="T30" s="192">
        <v>22000000</v>
      </c>
      <c r="U30" s="182">
        <v>76663090</v>
      </c>
      <c r="V30" s="176">
        <v>26</v>
      </c>
      <c r="W30" s="180" t="s">
        <v>2200</v>
      </c>
      <c r="X30" s="181">
        <v>22101151</v>
      </c>
      <c r="Y30" s="182" t="s">
        <v>2201</v>
      </c>
      <c r="Z30" s="176">
        <v>26</v>
      </c>
      <c r="AA30" s="180" t="s">
        <v>2202</v>
      </c>
      <c r="AB30" s="181">
        <v>22101132</v>
      </c>
      <c r="AC30" s="182" t="s">
        <v>2203</v>
      </c>
      <c r="AD30" s="176">
        <v>26</v>
      </c>
      <c r="AE30" s="180" t="s">
        <v>2204</v>
      </c>
      <c r="AF30" s="181">
        <v>22102315</v>
      </c>
      <c r="AG30" s="182" t="s">
        <v>2205</v>
      </c>
      <c r="AH30" s="176">
        <v>26</v>
      </c>
      <c r="AI30" s="180" t="s">
        <v>2206</v>
      </c>
      <c r="AJ30" s="181">
        <v>22102317</v>
      </c>
      <c r="AK30" s="182" t="s">
        <v>2207</v>
      </c>
      <c r="AL30" s="176">
        <v>26</v>
      </c>
      <c r="AM30" s="180" t="s">
        <v>2208</v>
      </c>
      <c r="AN30" s="181">
        <v>22102371</v>
      </c>
      <c r="AO30" s="182" t="s">
        <v>2209</v>
      </c>
      <c r="AP30" s="176">
        <v>26</v>
      </c>
      <c r="AQ30" s="180" t="s">
        <v>2210</v>
      </c>
      <c r="AR30" s="181">
        <v>22102356</v>
      </c>
      <c r="AS30" s="182" t="s">
        <v>2211</v>
      </c>
      <c r="AT30" s="176">
        <v>26</v>
      </c>
      <c r="AU30" s="180" t="s">
        <v>2212</v>
      </c>
      <c r="AV30" s="181">
        <v>22102349</v>
      </c>
      <c r="AW30" s="182" t="s">
        <v>2213</v>
      </c>
      <c r="AX30" s="176">
        <v>26</v>
      </c>
      <c r="AY30" s="180" t="s">
        <v>2214</v>
      </c>
      <c r="AZ30" s="181">
        <v>22102364</v>
      </c>
      <c r="BA30" s="182" t="s">
        <v>2215</v>
      </c>
      <c r="BB30" s="176">
        <v>26</v>
      </c>
      <c r="BC30" s="180" t="s">
        <v>2216</v>
      </c>
      <c r="BD30" s="181">
        <v>22102350</v>
      </c>
      <c r="BE30" s="182" t="s">
        <v>2217</v>
      </c>
      <c r="BF30" s="176">
        <v>26</v>
      </c>
      <c r="BG30" s="180"/>
      <c r="BH30" s="181"/>
      <c r="BI30" s="182"/>
      <c r="BJ30" s="176">
        <v>26</v>
      </c>
      <c r="BK30" s="180" t="s">
        <v>1328</v>
      </c>
      <c r="BL30" s="181">
        <v>21091124</v>
      </c>
      <c r="BM30" s="182" t="s">
        <v>1329</v>
      </c>
      <c r="BN30" s="176">
        <v>26</v>
      </c>
      <c r="BO30" s="180" t="s">
        <v>1405</v>
      </c>
      <c r="BP30" s="181">
        <v>21091356</v>
      </c>
      <c r="BQ30" s="182" t="s">
        <v>1406</v>
      </c>
      <c r="BR30" s="176">
        <v>26</v>
      </c>
      <c r="BS30" s="180"/>
      <c r="BT30" s="181"/>
      <c r="BU30" s="182"/>
      <c r="BV30" s="176">
        <v>26</v>
      </c>
      <c r="BW30" s="180" t="s">
        <v>1332</v>
      </c>
      <c r="BX30" s="181">
        <v>21091128</v>
      </c>
      <c r="BY30" s="182" t="s">
        <v>1333</v>
      </c>
      <c r="BZ30" s="176">
        <v>26</v>
      </c>
      <c r="CA30" s="180" t="s">
        <v>1334</v>
      </c>
      <c r="CB30" s="181">
        <v>21091120</v>
      </c>
      <c r="CC30" s="182" t="s">
        <v>1335</v>
      </c>
      <c r="CD30" s="176">
        <v>26</v>
      </c>
      <c r="CE30" s="180" t="s">
        <v>1336</v>
      </c>
      <c r="CF30" s="181">
        <v>21092301</v>
      </c>
      <c r="CG30" s="182" t="s">
        <v>1337</v>
      </c>
      <c r="CH30" s="176">
        <v>26</v>
      </c>
      <c r="CI30" s="180" t="s">
        <v>1490</v>
      </c>
      <c r="CJ30" s="181">
        <v>21092328</v>
      </c>
      <c r="CK30" s="182" t="s">
        <v>1491</v>
      </c>
      <c r="CL30" s="176">
        <v>26</v>
      </c>
      <c r="CM30" s="180" t="s">
        <v>1340</v>
      </c>
      <c r="CN30" s="181">
        <v>21092329</v>
      </c>
      <c r="CO30" s="182" t="s">
        <v>1341</v>
      </c>
      <c r="CP30" s="176">
        <v>26</v>
      </c>
      <c r="CQ30" s="180" t="s">
        <v>1413</v>
      </c>
      <c r="CR30" s="181">
        <v>21092340</v>
      </c>
      <c r="CS30" s="182" t="s">
        <v>1414</v>
      </c>
      <c r="CT30" s="176">
        <v>26</v>
      </c>
      <c r="CU30" s="180" t="s">
        <v>2218</v>
      </c>
      <c r="CV30" s="181">
        <v>21092331</v>
      </c>
      <c r="CW30" s="182" t="s">
        <v>1385</v>
      </c>
      <c r="CX30" s="176">
        <v>26</v>
      </c>
      <c r="CY30" s="180" t="s">
        <v>1386</v>
      </c>
      <c r="CZ30" s="181">
        <v>21092341</v>
      </c>
      <c r="DA30" s="182" t="s">
        <v>1387</v>
      </c>
      <c r="DB30" s="176">
        <v>26</v>
      </c>
      <c r="DC30" s="180" t="s">
        <v>1388</v>
      </c>
      <c r="DD30" s="181">
        <v>21092304</v>
      </c>
      <c r="DE30" s="182" t="s">
        <v>1389</v>
      </c>
      <c r="DF30" s="176">
        <v>26</v>
      </c>
      <c r="DG30" s="180"/>
      <c r="DH30" s="181"/>
      <c r="DI30" s="182"/>
      <c r="DJ30" s="176">
        <v>26</v>
      </c>
      <c r="DK30" s="180" t="s">
        <v>1390</v>
      </c>
      <c r="DL30" s="181">
        <v>2008353</v>
      </c>
      <c r="DM30" s="182" t="s">
        <v>1391</v>
      </c>
      <c r="DN30" s="176">
        <v>26</v>
      </c>
      <c r="DO30" s="180" t="s">
        <v>1392</v>
      </c>
      <c r="DP30" s="181">
        <v>2008297</v>
      </c>
      <c r="DQ30" s="182" t="s">
        <v>1393</v>
      </c>
      <c r="DR30" s="176">
        <v>26</v>
      </c>
      <c r="DS30" s="180" t="s">
        <v>1394</v>
      </c>
      <c r="DT30" s="181">
        <v>2008288</v>
      </c>
      <c r="DU30" s="182" t="s">
        <v>1395</v>
      </c>
      <c r="DV30" s="176">
        <v>26</v>
      </c>
      <c r="DW30" s="180" t="s">
        <v>1355</v>
      </c>
      <c r="DX30" s="181">
        <v>2008253</v>
      </c>
      <c r="DY30" s="182" t="s">
        <v>1356</v>
      </c>
      <c r="DZ30" s="176">
        <v>26</v>
      </c>
      <c r="EA30" s="180" t="s">
        <v>1357</v>
      </c>
      <c r="EB30" s="181">
        <v>2008287</v>
      </c>
      <c r="EC30" s="182" t="s">
        <v>1358</v>
      </c>
      <c r="ED30" s="176">
        <v>26</v>
      </c>
      <c r="EE30" s="180" t="s">
        <v>1359</v>
      </c>
      <c r="EF30" s="181">
        <v>2008333</v>
      </c>
      <c r="EG30" s="182" t="s">
        <v>1360</v>
      </c>
      <c r="EH30" s="176">
        <v>26</v>
      </c>
      <c r="EI30" s="180" t="s">
        <v>1361</v>
      </c>
      <c r="EJ30" s="181">
        <v>2008344</v>
      </c>
      <c r="EK30" s="182" t="s">
        <v>1362</v>
      </c>
      <c r="EL30" s="176">
        <v>26</v>
      </c>
      <c r="EM30" s="180" t="s">
        <v>1363</v>
      </c>
      <c r="EN30" s="181">
        <v>2008337</v>
      </c>
      <c r="EO30" s="182" t="s">
        <v>1364</v>
      </c>
      <c r="EP30" s="176">
        <v>26</v>
      </c>
      <c r="EQ30" s="180" t="s">
        <v>1365</v>
      </c>
      <c r="ER30" s="181">
        <v>2008350</v>
      </c>
      <c r="ES30" s="182" t="s">
        <v>1366</v>
      </c>
      <c r="ET30" s="176">
        <v>26</v>
      </c>
      <c r="EU30" s="180" t="s">
        <v>1367</v>
      </c>
      <c r="EV30" s="181">
        <v>2008338</v>
      </c>
      <c r="EW30" s="182" t="s">
        <v>1368</v>
      </c>
      <c r="EX30" s="176">
        <v>26</v>
      </c>
      <c r="EY30" s="180"/>
      <c r="EZ30" s="181"/>
      <c r="FA30" s="182"/>
      <c r="FB30" s="176">
        <v>26</v>
      </c>
      <c r="FC30" s="180" t="s">
        <v>1369</v>
      </c>
      <c r="FD30" s="181">
        <v>2008274</v>
      </c>
      <c r="FE30" s="182" t="s">
        <v>2219</v>
      </c>
      <c r="FF30" s="176">
        <v>26</v>
      </c>
      <c r="FG30" s="180"/>
      <c r="FH30" s="181"/>
      <c r="FI30" s="182"/>
    </row>
    <row r="31" spans="1:165" ht="15.75" x14ac:dyDescent="0.25">
      <c r="A31" s="9">
        <v>28</v>
      </c>
      <c r="B31" s="173" t="s">
        <v>1554</v>
      </c>
      <c r="C31" s="9">
        <v>110</v>
      </c>
      <c r="D31" s="9">
        <v>111</v>
      </c>
      <c r="E31" s="9">
        <v>112</v>
      </c>
      <c r="F31" s="176">
        <v>27</v>
      </c>
      <c r="G31" s="177" t="str">
        <f t="shared" si="0"/>
        <v>Oriegano Kanahaya Siagian</v>
      </c>
      <c r="H31" s="178">
        <f t="shared" si="1"/>
        <v>2008272</v>
      </c>
      <c r="I31" s="179" t="str">
        <f t="shared" si="2"/>
        <v>0051837216</v>
      </c>
      <c r="J31" s="176">
        <v>27</v>
      </c>
      <c r="K31" s="180" t="s">
        <v>1591</v>
      </c>
      <c r="L31" s="181">
        <v>22101122</v>
      </c>
      <c r="M31" s="182">
        <v>75953815</v>
      </c>
      <c r="N31" s="176">
        <v>27</v>
      </c>
      <c r="O31" s="180" t="s">
        <v>2220</v>
      </c>
      <c r="P31" s="181">
        <v>22101148</v>
      </c>
      <c r="Q31" s="182">
        <v>64856062</v>
      </c>
      <c r="R31" s="176">
        <v>27</v>
      </c>
      <c r="S31" s="180" t="s">
        <v>2221</v>
      </c>
      <c r="T31" s="192">
        <v>22000000</v>
      </c>
      <c r="U31" s="182">
        <v>72701391</v>
      </c>
      <c r="V31" s="176">
        <v>27</v>
      </c>
      <c r="W31" s="180" t="s">
        <v>2222</v>
      </c>
      <c r="X31" s="181">
        <v>22101157</v>
      </c>
      <c r="Y31" s="182" t="s">
        <v>2223</v>
      </c>
      <c r="Z31" s="176">
        <v>27</v>
      </c>
      <c r="AA31" s="180" t="s">
        <v>2224</v>
      </c>
      <c r="AB31" s="181">
        <v>22101139</v>
      </c>
      <c r="AC31" s="182" t="s">
        <v>2225</v>
      </c>
      <c r="AD31" s="176">
        <v>27</v>
      </c>
      <c r="AE31" s="180" t="s">
        <v>2226</v>
      </c>
      <c r="AF31" s="181">
        <v>22102324</v>
      </c>
      <c r="AG31" s="182" t="s">
        <v>2227</v>
      </c>
      <c r="AH31" s="176">
        <v>27</v>
      </c>
      <c r="AI31" s="180" t="s">
        <v>2228</v>
      </c>
      <c r="AJ31" s="181">
        <v>22102318</v>
      </c>
      <c r="AK31" s="182" t="s">
        <v>2229</v>
      </c>
      <c r="AL31" s="176">
        <v>27</v>
      </c>
      <c r="AM31" s="180" t="s">
        <v>2230</v>
      </c>
      <c r="AN31" s="181">
        <v>22102377</v>
      </c>
      <c r="AO31" s="182" t="s">
        <v>2231</v>
      </c>
      <c r="AP31" s="176">
        <v>27</v>
      </c>
      <c r="AQ31" s="180" t="s">
        <v>2232</v>
      </c>
      <c r="AR31" s="181">
        <v>22102376</v>
      </c>
      <c r="AS31" s="182" t="s">
        <v>2233</v>
      </c>
      <c r="AT31" s="176">
        <v>27</v>
      </c>
      <c r="AU31" s="180" t="s">
        <v>2234</v>
      </c>
      <c r="AV31" s="181">
        <v>22102358</v>
      </c>
      <c r="AW31" s="182" t="s">
        <v>2235</v>
      </c>
      <c r="AX31" s="176">
        <v>27</v>
      </c>
      <c r="AY31" s="180" t="s">
        <v>2236</v>
      </c>
      <c r="AZ31" s="181">
        <v>22102366</v>
      </c>
      <c r="BA31" s="182" t="s">
        <v>2237</v>
      </c>
      <c r="BB31" s="176">
        <v>27</v>
      </c>
      <c r="BC31" s="180" t="s">
        <v>2238</v>
      </c>
      <c r="BD31" s="181">
        <v>22102368</v>
      </c>
      <c r="BE31" s="182" t="s">
        <v>2239</v>
      </c>
      <c r="BF31" s="176">
        <v>27</v>
      </c>
      <c r="BG31" s="180"/>
      <c r="BH31" s="181"/>
      <c r="BI31" s="182"/>
      <c r="BJ31" s="176">
        <v>27</v>
      </c>
      <c r="BK31" s="180" t="s">
        <v>1370</v>
      </c>
      <c r="BL31" s="181">
        <v>21091131</v>
      </c>
      <c r="BM31" s="182" t="s">
        <v>1371</v>
      </c>
      <c r="BN31" s="176">
        <v>27</v>
      </c>
      <c r="BO31" s="180"/>
      <c r="BP31" s="181"/>
      <c r="BQ31" s="182"/>
      <c r="BR31" s="176">
        <v>27</v>
      </c>
      <c r="BS31" s="180"/>
      <c r="BT31" s="181"/>
      <c r="BU31" s="182"/>
      <c r="BV31" s="176">
        <v>27</v>
      </c>
      <c r="BW31" s="180" t="s">
        <v>1374</v>
      </c>
      <c r="BX31" s="181">
        <v>21091130</v>
      </c>
      <c r="BY31" s="182" t="s">
        <v>1375</v>
      </c>
      <c r="BZ31" s="176">
        <v>27</v>
      </c>
      <c r="CA31" s="180" t="s">
        <v>1376</v>
      </c>
      <c r="CB31" s="181">
        <v>21091127</v>
      </c>
      <c r="CC31" s="182" t="s">
        <v>1377</v>
      </c>
      <c r="CD31" s="176">
        <v>27</v>
      </c>
      <c r="CE31" s="180" t="s">
        <v>1378</v>
      </c>
      <c r="CF31" s="181">
        <v>21092303</v>
      </c>
      <c r="CG31" s="182" t="s">
        <v>1379</v>
      </c>
      <c r="CH31" s="176">
        <v>27</v>
      </c>
      <c r="CI31" s="180" t="s">
        <v>1504</v>
      </c>
      <c r="CJ31" s="181">
        <v>21092346</v>
      </c>
      <c r="CK31" s="182" t="s">
        <v>1505</v>
      </c>
      <c r="CL31" s="176">
        <v>27</v>
      </c>
      <c r="CM31" s="195" t="s">
        <v>1382</v>
      </c>
      <c r="CN31" s="196">
        <v>21092334</v>
      </c>
      <c r="CO31" s="197" t="s">
        <v>1383</v>
      </c>
      <c r="CP31" s="176">
        <v>27</v>
      </c>
      <c r="CQ31" s="180" t="s">
        <v>1444</v>
      </c>
      <c r="CR31" s="181">
        <v>21092343</v>
      </c>
      <c r="CS31" s="182" t="s">
        <v>1445</v>
      </c>
      <c r="CT31" s="176">
        <v>27</v>
      </c>
      <c r="CU31" s="180" t="s">
        <v>1415</v>
      </c>
      <c r="CV31" s="181">
        <v>21092332</v>
      </c>
      <c r="CW31" s="182" t="s">
        <v>1416</v>
      </c>
      <c r="CX31" s="176">
        <v>27</v>
      </c>
      <c r="CY31" s="180" t="s">
        <v>1417</v>
      </c>
      <c r="CZ31" s="181">
        <v>21092351</v>
      </c>
      <c r="DA31" s="182" t="s">
        <v>1418</v>
      </c>
      <c r="DB31" s="176">
        <v>27</v>
      </c>
      <c r="DC31" s="180" t="s">
        <v>1419</v>
      </c>
      <c r="DD31" s="181">
        <v>21092315</v>
      </c>
      <c r="DE31" s="182" t="s">
        <v>1420</v>
      </c>
      <c r="DF31" s="176">
        <v>27</v>
      </c>
      <c r="DG31" s="180"/>
      <c r="DH31" s="181"/>
      <c r="DI31" s="182"/>
      <c r="DJ31" s="176">
        <v>27</v>
      </c>
      <c r="DK31" s="180" t="s">
        <v>1421</v>
      </c>
      <c r="DL31" s="181">
        <v>2008354</v>
      </c>
      <c r="DM31" s="182" t="s">
        <v>1422</v>
      </c>
      <c r="DN31" s="176">
        <v>27</v>
      </c>
      <c r="DO31" s="180" t="s">
        <v>1423</v>
      </c>
      <c r="DP31" s="181">
        <v>2008300</v>
      </c>
      <c r="DQ31" s="182" t="s">
        <v>1424</v>
      </c>
      <c r="DR31" s="176">
        <v>27</v>
      </c>
      <c r="DS31" s="180" t="s">
        <v>1425</v>
      </c>
      <c r="DT31" s="181">
        <v>2008290</v>
      </c>
      <c r="DU31" s="182" t="s">
        <v>2240</v>
      </c>
      <c r="DV31" s="176">
        <v>27</v>
      </c>
      <c r="DW31" s="180" t="s">
        <v>2241</v>
      </c>
      <c r="DX31" s="181">
        <v>2008272</v>
      </c>
      <c r="DY31" s="182" t="s">
        <v>2242</v>
      </c>
      <c r="DZ31" s="176">
        <v>27</v>
      </c>
      <c r="EA31" s="180" t="s">
        <v>2243</v>
      </c>
      <c r="EB31" s="181">
        <v>2008291</v>
      </c>
      <c r="EC31" s="182" t="s">
        <v>1396</v>
      </c>
      <c r="ED31" s="176">
        <v>27</v>
      </c>
      <c r="EE31" s="180" t="s">
        <v>1397</v>
      </c>
      <c r="EF31" s="181">
        <v>2008343</v>
      </c>
      <c r="EG31" s="182" t="s">
        <v>1398</v>
      </c>
      <c r="EH31" s="176">
        <v>27</v>
      </c>
      <c r="EI31" s="180" t="s">
        <v>1399</v>
      </c>
      <c r="EJ31" s="181">
        <v>2008346</v>
      </c>
      <c r="EK31" s="182" t="s">
        <v>1400</v>
      </c>
      <c r="EL31" s="176">
        <v>27</v>
      </c>
      <c r="EM31" s="180" t="s">
        <v>2244</v>
      </c>
      <c r="EN31" s="181">
        <v>2008366</v>
      </c>
      <c r="EO31" s="182" t="s">
        <v>2245</v>
      </c>
      <c r="EP31" s="176">
        <v>27</v>
      </c>
      <c r="EQ31" s="180"/>
      <c r="ER31" s="181"/>
      <c r="ES31" s="182"/>
      <c r="ET31" s="176">
        <v>27</v>
      </c>
      <c r="EU31" s="180"/>
      <c r="EV31" s="181"/>
      <c r="EW31" s="182"/>
      <c r="EX31" s="176">
        <v>27</v>
      </c>
      <c r="EY31" s="180"/>
      <c r="EZ31" s="181"/>
      <c r="FA31" s="182"/>
      <c r="FB31" s="176">
        <v>27</v>
      </c>
      <c r="FC31" s="180" t="s">
        <v>1401</v>
      </c>
      <c r="FD31" s="181">
        <v>2008276</v>
      </c>
      <c r="FE31" s="182" t="s">
        <v>1402</v>
      </c>
      <c r="FF31" s="176">
        <v>27</v>
      </c>
      <c r="FG31" s="180"/>
      <c r="FH31" s="181"/>
      <c r="FI31" s="182"/>
    </row>
    <row r="32" spans="1:165" ht="15.75" x14ac:dyDescent="0.25">
      <c r="A32" s="9">
        <v>29</v>
      </c>
      <c r="B32" s="173" t="s">
        <v>1555</v>
      </c>
      <c r="C32" s="9">
        <v>114</v>
      </c>
      <c r="D32" s="9">
        <v>115</v>
      </c>
      <c r="E32" s="9">
        <v>116</v>
      </c>
      <c r="F32" s="176">
        <v>28</v>
      </c>
      <c r="G32" s="177" t="str">
        <f t="shared" si="0"/>
        <v>Rafif Mahatma Indrastata</v>
      </c>
      <c r="H32" s="178">
        <f t="shared" si="1"/>
        <v>2008282</v>
      </c>
      <c r="I32" s="179" t="str">
        <f t="shared" si="2"/>
        <v>0045017851</v>
      </c>
      <c r="J32" s="176">
        <v>28</v>
      </c>
      <c r="K32" s="180" t="s">
        <v>1592</v>
      </c>
      <c r="L32" s="181">
        <v>22101124</v>
      </c>
      <c r="M32" s="182">
        <v>68952279</v>
      </c>
      <c r="N32" s="176">
        <v>28</v>
      </c>
      <c r="O32" s="180" t="s">
        <v>2246</v>
      </c>
      <c r="P32" s="181">
        <v>22101150</v>
      </c>
      <c r="Q32" s="182">
        <v>64868066</v>
      </c>
      <c r="R32" s="176">
        <v>28</v>
      </c>
      <c r="S32" s="180" t="s">
        <v>2247</v>
      </c>
      <c r="T32" s="192">
        <v>22000000</v>
      </c>
      <c r="U32" s="182">
        <v>78284378</v>
      </c>
      <c r="V32" s="176">
        <v>28</v>
      </c>
      <c r="W32" s="180" t="s">
        <v>2248</v>
      </c>
      <c r="X32" s="181">
        <v>22101162</v>
      </c>
      <c r="Y32" s="182" t="s">
        <v>2249</v>
      </c>
      <c r="Z32" s="176">
        <v>28</v>
      </c>
      <c r="AA32" s="180" t="s">
        <v>2250</v>
      </c>
      <c r="AB32" s="181">
        <v>22101153</v>
      </c>
      <c r="AC32" s="182" t="s">
        <v>2251</v>
      </c>
      <c r="AD32" s="176">
        <v>28</v>
      </c>
      <c r="AE32" s="180" t="s">
        <v>2252</v>
      </c>
      <c r="AF32" s="181">
        <v>22102327</v>
      </c>
      <c r="AG32" s="182" t="s">
        <v>2253</v>
      </c>
      <c r="AH32" s="176">
        <v>28</v>
      </c>
      <c r="AI32" s="187" t="s">
        <v>2254</v>
      </c>
      <c r="AJ32" s="188">
        <v>22102323</v>
      </c>
      <c r="AK32" s="189" t="s">
        <v>2255</v>
      </c>
      <c r="AL32" s="176">
        <v>28</v>
      </c>
      <c r="AM32" s="180"/>
      <c r="AN32" s="181"/>
      <c r="AO32" s="182"/>
      <c r="AP32" s="176">
        <v>28</v>
      </c>
      <c r="AQ32" s="180"/>
      <c r="AR32" s="181"/>
      <c r="AS32" s="182"/>
      <c r="AT32" s="176">
        <v>28</v>
      </c>
      <c r="AU32" s="180"/>
      <c r="AV32" s="181"/>
      <c r="AW32" s="182"/>
      <c r="AX32" s="176">
        <v>28</v>
      </c>
      <c r="AY32" s="180" t="s">
        <v>2256</v>
      </c>
      <c r="AZ32" s="181">
        <v>22102373</v>
      </c>
      <c r="BA32" s="182" t="s">
        <v>2257</v>
      </c>
      <c r="BB32" s="176">
        <v>28</v>
      </c>
      <c r="BC32" s="180" t="s">
        <v>2258</v>
      </c>
      <c r="BD32" s="181">
        <v>22102374</v>
      </c>
      <c r="BE32" s="182" t="s">
        <v>2259</v>
      </c>
      <c r="BF32" s="176">
        <v>28</v>
      </c>
      <c r="BG32" s="180"/>
      <c r="BH32" s="181"/>
      <c r="BI32" s="182"/>
      <c r="BJ32" s="176">
        <v>28</v>
      </c>
      <c r="BK32" s="180" t="s">
        <v>1403</v>
      </c>
      <c r="BL32" s="181">
        <v>21091132</v>
      </c>
      <c r="BM32" s="182" t="s">
        <v>1404</v>
      </c>
      <c r="BN32" s="176">
        <v>28</v>
      </c>
      <c r="BO32" s="187"/>
      <c r="BP32" s="188"/>
      <c r="BQ32" s="189"/>
      <c r="BR32" s="176">
        <v>28</v>
      </c>
      <c r="BS32" s="180"/>
      <c r="BT32" s="181"/>
      <c r="BU32" s="182"/>
      <c r="BV32" s="176">
        <v>28</v>
      </c>
      <c r="BW32" s="180" t="s">
        <v>2260</v>
      </c>
      <c r="BX32" s="181">
        <v>21093374</v>
      </c>
      <c r="BY32" s="182" t="s">
        <v>2261</v>
      </c>
      <c r="BZ32" s="176">
        <v>28</v>
      </c>
      <c r="CA32" s="180" t="s">
        <v>1407</v>
      </c>
      <c r="CB32" s="181">
        <v>21091129</v>
      </c>
      <c r="CC32" s="182" t="s">
        <v>1408</v>
      </c>
      <c r="CD32" s="176">
        <v>28</v>
      </c>
      <c r="CE32" s="180" t="s">
        <v>1409</v>
      </c>
      <c r="CF32" s="181">
        <v>21092305</v>
      </c>
      <c r="CG32" s="182" t="s">
        <v>1410</v>
      </c>
      <c r="CH32" s="176">
        <v>28</v>
      </c>
      <c r="CI32" s="180"/>
      <c r="CJ32" s="181"/>
      <c r="CK32" s="182"/>
      <c r="CL32" s="176">
        <v>28</v>
      </c>
      <c r="CM32" s="180" t="s">
        <v>1411</v>
      </c>
      <c r="CN32" s="181">
        <v>21092339</v>
      </c>
      <c r="CO32" s="182" t="s">
        <v>1412</v>
      </c>
      <c r="CP32" s="176">
        <v>28</v>
      </c>
      <c r="CQ32" s="180" t="s">
        <v>1472</v>
      </c>
      <c r="CR32" s="181">
        <v>21092349</v>
      </c>
      <c r="CS32" s="182" t="s">
        <v>1473</v>
      </c>
      <c r="CT32" s="176">
        <v>28</v>
      </c>
      <c r="CU32" s="180" t="s">
        <v>1446</v>
      </c>
      <c r="CV32" s="181">
        <v>21092344</v>
      </c>
      <c r="CW32" s="182" t="s">
        <v>1447</v>
      </c>
      <c r="CX32" s="176">
        <v>28</v>
      </c>
      <c r="CY32" s="180" t="s">
        <v>1448</v>
      </c>
      <c r="CZ32" s="181">
        <v>21092352</v>
      </c>
      <c r="DA32" s="182" t="s">
        <v>1449</v>
      </c>
      <c r="DB32" s="176">
        <v>28</v>
      </c>
      <c r="DC32" s="180" t="s">
        <v>1450</v>
      </c>
      <c r="DD32" s="181">
        <v>21092316</v>
      </c>
      <c r="DE32" s="182" t="s">
        <v>1451</v>
      </c>
      <c r="DF32" s="176">
        <v>28</v>
      </c>
      <c r="DG32" s="180"/>
      <c r="DH32" s="181"/>
      <c r="DI32" s="182"/>
      <c r="DJ32" s="176">
        <v>28</v>
      </c>
      <c r="DK32" s="180" t="s">
        <v>2262</v>
      </c>
      <c r="DL32" s="181">
        <v>2008365</v>
      </c>
      <c r="DM32" s="182" t="s">
        <v>2263</v>
      </c>
      <c r="DN32" s="176">
        <v>28</v>
      </c>
      <c r="DO32" s="180" t="s">
        <v>1452</v>
      </c>
      <c r="DP32" s="181">
        <v>2008304</v>
      </c>
      <c r="DQ32" s="182" t="s">
        <v>1453</v>
      </c>
      <c r="DR32" s="176">
        <v>28</v>
      </c>
      <c r="DS32" s="180" t="s">
        <v>1454</v>
      </c>
      <c r="DT32" s="181">
        <v>2008303</v>
      </c>
      <c r="DU32" s="182" t="s">
        <v>1455</v>
      </c>
      <c r="DV32" s="176">
        <v>28</v>
      </c>
      <c r="DW32" s="180" t="s">
        <v>1426</v>
      </c>
      <c r="DX32" s="181">
        <v>2008282</v>
      </c>
      <c r="DY32" s="182" t="s">
        <v>1427</v>
      </c>
      <c r="DZ32" s="176">
        <v>28</v>
      </c>
      <c r="EA32" s="180" t="s">
        <v>1428</v>
      </c>
      <c r="EB32" s="181">
        <v>2008292</v>
      </c>
      <c r="EC32" s="182" t="s">
        <v>1429</v>
      </c>
      <c r="ED32" s="176">
        <v>28</v>
      </c>
      <c r="EE32" s="180"/>
      <c r="EF32" s="181"/>
      <c r="EG32" s="182"/>
      <c r="EH32" s="176">
        <v>28</v>
      </c>
      <c r="EI32" s="180" t="s">
        <v>1430</v>
      </c>
      <c r="EJ32" s="181">
        <v>2008352</v>
      </c>
      <c r="EK32" s="182" t="s">
        <v>1431</v>
      </c>
      <c r="EL32" s="176">
        <v>28</v>
      </c>
      <c r="EM32" s="180"/>
      <c r="EN32" s="181"/>
      <c r="EO32" s="182"/>
      <c r="EP32" s="176">
        <v>28</v>
      </c>
      <c r="EQ32" s="180"/>
      <c r="ER32" s="181"/>
      <c r="ES32" s="182"/>
      <c r="ET32" s="176">
        <v>28</v>
      </c>
      <c r="EU32" s="180"/>
      <c r="EV32" s="181"/>
      <c r="EW32" s="182"/>
      <c r="EX32" s="176">
        <v>28</v>
      </c>
      <c r="EY32" s="180"/>
      <c r="EZ32" s="181"/>
      <c r="FA32" s="182"/>
      <c r="FB32" s="176">
        <v>28</v>
      </c>
      <c r="FC32" s="180" t="s">
        <v>1432</v>
      </c>
      <c r="FD32" s="181">
        <v>2008311</v>
      </c>
      <c r="FE32" s="182" t="s">
        <v>1433</v>
      </c>
      <c r="FF32" s="176">
        <v>28</v>
      </c>
      <c r="FG32" s="180"/>
      <c r="FH32" s="181"/>
      <c r="FI32" s="182"/>
    </row>
    <row r="33" spans="1:165" ht="15.75" x14ac:dyDescent="0.25">
      <c r="A33" s="9">
        <v>30</v>
      </c>
      <c r="B33" s="173" t="s">
        <v>1556</v>
      </c>
      <c r="C33" s="9">
        <v>118</v>
      </c>
      <c r="D33" s="9">
        <v>119</v>
      </c>
      <c r="E33" s="9">
        <v>120</v>
      </c>
      <c r="F33" s="176">
        <v>29</v>
      </c>
      <c r="G33" s="177" t="str">
        <f t="shared" si="0"/>
        <v>Rayhan Yoga Edy Pratama</v>
      </c>
      <c r="H33" s="178">
        <f t="shared" si="1"/>
        <v>2008296</v>
      </c>
      <c r="I33" s="179" t="str">
        <f t="shared" si="2"/>
        <v xml:space="preserve">0041380949 </v>
      </c>
      <c r="J33" s="176">
        <v>29</v>
      </c>
      <c r="K33" s="187" t="s">
        <v>1593</v>
      </c>
      <c r="L33" s="188">
        <v>22101135</v>
      </c>
      <c r="M33" s="189">
        <v>74749592</v>
      </c>
      <c r="N33" s="176">
        <v>29</v>
      </c>
      <c r="O33" s="187" t="s">
        <v>2264</v>
      </c>
      <c r="P33" s="188">
        <v>22101152</v>
      </c>
      <c r="Q33" s="189">
        <v>71164676</v>
      </c>
      <c r="R33" s="176">
        <v>29</v>
      </c>
      <c r="S33" s="187" t="s">
        <v>2265</v>
      </c>
      <c r="T33" s="198">
        <v>22000000</v>
      </c>
      <c r="U33" s="189">
        <v>65596200</v>
      </c>
      <c r="V33" s="176">
        <v>29</v>
      </c>
      <c r="W33" s="187" t="s">
        <v>2266</v>
      </c>
      <c r="X33" s="188">
        <v>22101167</v>
      </c>
      <c r="Y33" s="189" t="s">
        <v>2267</v>
      </c>
      <c r="Z33" s="176">
        <v>29</v>
      </c>
      <c r="AA33" s="187" t="s">
        <v>2268</v>
      </c>
      <c r="AB33" s="188">
        <v>22101158</v>
      </c>
      <c r="AC33" s="189" t="s">
        <v>2269</v>
      </c>
      <c r="AD33" s="176">
        <v>29</v>
      </c>
      <c r="AE33" s="187" t="s">
        <v>2270</v>
      </c>
      <c r="AF33" s="188">
        <v>22102343</v>
      </c>
      <c r="AG33" s="189" t="s">
        <v>2271</v>
      </c>
      <c r="AH33" s="176">
        <v>29</v>
      </c>
      <c r="AI33" s="187" t="s">
        <v>2272</v>
      </c>
      <c r="AJ33" s="188">
        <v>22102325</v>
      </c>
      <c r="AK33" s="189" t="s">
        <v>2273</v>
      </c>
      <c r="AL33" s="176">
        <v>29</v>
      </c>
      <c r="AM33" s="187"/>
      <c r="AN33" s="188"/>
      <c r="AO33" s="189"/>
      <c r="AP33" s="176">
        <v>29</v>
      </c>
      <c r="AQ33" s="187"/>
      <c r="AR33" s="188"/>
      <c r="AS33" s="189"/>
      <c r="AT33" s="176">
        <v>29</v>
      </c>
      <c r="AU33" s="187"/>
      <c r="AV33" s="188"/>
      <c r="AW33" s="189"/>
      <c r="AX33" s="176">
        <v>29</v>
      </c>
      <c r="AY33" s="187"/>
      <c r="AZ33" s="188"/>
      <c r="BA33" s="189"/>
      <c r="BB33" s="176">
        <v>29</v>
      </c>
      <c r="BC33" s="187" t="s">
        <v>2274</v>
      </c>
      <c r="BD33" s="188">
        <v>22102375</v>
      </c>
      <c r="BE33" s="189" t="s">
        <v>2275</v>
      </c>
      <c r="BF33" s="176">
        <v>29</v>
      </c>
      <c r="BG33" s="187"/>
      <c r="BH33" s="188"/>
      <c r="BI33" s="189"/>
      <c r="BJ33" s="176">
        <v>29</v>
      </c>
      <c r="BK33" s="187" t="s">
        <v>1434</v>
      </c>
      <c r="BL33" s="188">
        <v>21091134</v>
      </c>
      <c r="BM33" s="189" t="s">
        <v>1435</v>
      </c>
      <c r="BN33" s="176">
        <v>29</v>
      </c>
      <c r="BO33" s="187"/>
      <c r="BP33" s="188"/>
      <c r="BQ33" s="189"/>
      <c r="BR33" s="176">
        <v>29</v>
      </c>
      <c r="BS33" s="187"/>
      <c r="BT33" s="188"/>
      <c r="BU33" s="189"/>
      <c r="BV33" s="176">
        <v>29</v>
      </c>
      <c r="BW33" s="187"/>
      <c r="BX33" s="188"/>
      <c r="BY33" s="189"/>
      <c r="BZ33" s="176">
        <v>29</v>
      </c>
      <c r="CA33" s="187" t="s">
        <v>1436</v>
      </c>
      <c r="CB33" s="188">
        <v>21091135</v>
      </c>
      <c r="CC33" s="189" t="s">
        <v>1437</v>
      </c>
      <c r="CD33" s="176">
        <v>29</v>
      </c>
      <c r="CE33" s="187" t="s">
        <v>1438</v>
      </c>
      <c r="CF33" s="188">
        <v>21092308</v>
      </c>
      <c r="CG33" s="189" t="s">
        <v>1439</v>
      </c>
      <c r="CH33" s="176">
        <v>29</v>
      </c>
      <c r="CI33" s="187"/>
      <c r="CJ33" s="188"/>
      <c r="CK33" s="189"/>
      <c r="CL33" s="176">
        <v>29</v>
      </c>
      <c r="CM33" s="187" t="s">
        <v>1442</v>
      </c>
      <c r="CN33" s="188">
        <v>21092345</v>
      </c>
      <c r="CO33" s="189" t="s">
        <v>1443</v>
      </c>
      <c r="CP33" s="176">
        <v>29</v>
      </c>
      <c r="CQ33" s="187"/>
      <c r="CR33" s="188"/>
      <c r="CS33" s="189"/>
      <c r="CT33" s="176">
        <v>29</v>
      </c>
      <c r="CU33" s="187" t="s">
        <v>2276</v>
      </c>
      <c r="CV33" s="188">
        <v>21092373</v>
      </c>
      <c r="CW33" s="189" t="s">
        <v>2277</v>
      </c>
      <c r="CX33" s="176">
        <v>29</v>
      </c>
      <c r="CY33" s="187"/>
      <c r="CZ33" s="188"/>
      <c r="DA33" s="189"/>
      <c r="DB33" s="176">
        <v>29</v>
      </c>
      <c r="DC33" s="187" t="s">
        <v>1474</v>
      </c>
      <c r="DD33" s="188">
        <v>21092324</v>
      </c>
      <c r="DE33" s="189" t="s">
        <v>1475</v>
      </c>
      <c r="DF33" s="176">
        <v>29</v>
      </c>
      <c r="DG33" s="187"/>
      <c r="DH33" s="188"/>
      <c r="DI33" s="189"/>
      <c r="DJ33" s="176">
        <v>29</v>
      </c>
      <c r="DK33" s="187"/>
      <c r="DL33" s="188"/>
      <c r="DM33" s="189"/>
      <c r="DN33" s="176">
        <v>29</v>
      </c>
      <c r="DO33" s="187" t="s">
        <v>1476</v>
      </c>
      <c r="DP33" s="188">
        <v>2008326</v>
      </c>
      <c r="DQ33" s="189" t="s">
        <v>1477</v>
      </c>
      <c r="DR33" s="176">
        <v>29</v>
      </c>
      <c r="DS33" s="187" t="s">
        <v>1478</v>
      </c>
      <c r="DT33" s="188">
        <v>2008316</v>
      </c>
      <c r="DU33" s="189" t="s">
        <v>1479</v>
      </c>
      <c r="DV33" s="176">
        <v>29</v>
      </c>
      <c r="DW33" s="187" t="s">
        <v>1456</v>
      </c>
      <c r="DX33" s="188">
        <v>2008296</v>
      </c>
      <c r="DY33" s="189" t="s">
        <v>1457</v>
      </c>
      <c r="DZ33" s="176">
        <v>29</v>
      </c>
      <c r="EA33" s="187" t="s">
        <v>1458</v>
      </c>
      <c r="EB33" s="188">
        <v>2008302</v>
      </c>
      <c r="EC33" s="189" t="s">
        <v>1459</v>
      </c>
      <c r="ED33" s="176">
        <v>29</v>
      </c>
      <c r="EE33" s="187"/>
      <c r="EF33" s="188"/>
      <c r="EG33" s="189"/>
      <c r="EH33" s="176">
        <v>29</v>
      </c>
      <c r="EI33" s="187"/>
      <c r="EJ33" s="188"/>
      <c r="EK33" s="189"/>
      <c r="EL33" s="176">
        <v>29</v>
      </c>
      <c r="EM33" s="187"/>
      <c r="EN33" s="188"/>
      <c r="EO33" s="189"/>
      <c r="EP33" s="176">
        <v>29</v>
      </c>
      <c r="EQ33" s="187"/>
      <c r="ER33" s="188"/>
      <c r="ES33" s="189"/>
      <c r="ET33" s="176">
        <v>29</v>
      </c>
      <c r="EU33" s="187"/>
      <c r="EV33" s="188"/>
      <c r="EW33" s="189"/>
      <c r="EX33" s="176">
        <v>29</v>
      </c>
      <c r="EY33" s="187"/>
      <c r="EZ33" s="188"/>
      <c r="FA33" s="189"/>
      <c r="FB33" s="176">
        <v>29</v>
      </c>
      <c r="FC33" s="187" t="s">
        <v>1460</v>
      </c>
      <c r="FD33" s="188">
        <v>2008315</v>
      </c>
      <c r="FE33" s="189" t="s">
        <v>1461</v>
      </c>
      <c r="FF33" s="176">
        <v>29</v>
      </c>
      <c r="FG33" s="187"/>
      <c r="FH33" s="188"/>
      <c r="FI33" s="189"/>
    </row>
    <row r="34" spans="1:165" ht="15.75" x14ac:dyDescent="0.25">
      <c r="A34" s="9">
        <v>31</v>
      </c>
      <c r="B34" s="173" t="s">
        <v>1557</v>
      </c>
      <c r="C34" s="9">
        <v>122</v>
      </c>
      <c r="D34" s="9">
        <v>123</v>
      </c>
      <c r="E34" s="9">
        <v>124</v>
      </c>
      <c r="F34" s="176">
        <v>30</v>
      </c>
      <c r="G34" s="177" t="str">
        <f t="shared" si="0"/>
        <v>Rusianto Munif</v>
      </c>
      <c r="H34" s="178">
        <f t="shared" si="1"/>
        <v>2008307</v>
      </c>
      <c r="I34" s="179" t="str">
        <f t="shared" si="2"/>
        <v>0060172183</v>
      </c>
      <c r="J34" s="176">
        <v>30</v>
      </c>
      <c r="K34" s="187" t="s">
        <v>1594</v>
      </c>
      <c r="L34" s="188">
        <v>22101141</v>
      </c>
      <c r="M34" s="189">
        <v>53025111</v>
      </c>
      <c r="N34" s="176">
        <v>30</v>
      </c>
      <c r="O34" s="187" t="s">
        <v>2278</v>
      </c>
      <c r="P34" s="188">
        <v>22101154</v>
      </c>
      <c r="Q34" s="189">
        <v>77950475</v>
      </c>
      <c r="R34" s="176">
        <v>30</v>
      </c>
      <c r="S34" s="187" t="s">
        <v>2279</v>
      </c>
      <c r="T34" s="198">
        <v>22000000</v>
      </c>
      <c r="U34" s="189">
        <v>65578615</v>
      </c>
      <c r="V34" s="176">
        <v>30</v>
      </c>
      <c r="W34" s="187" t="s">
        <v>2280</v>
      </c>
      <c r="X34" s="188">
        <v>22101403</v>
      </c>
      <c r="Y34" s="189" t="s">
        <v>2281</v>
      </c>
      <c r="Z34" s="176">
        <v>30</v>
      </c>
      <c r="AA34" s="187" t="s">
        <v>2282</v>
      </c>
      <c r="AB34" s="188">
        <v>22101159</v>
      </c>
      <c r="AC34" s="189" t="s">
        <v>2283</v>
      </c>
      <c r="AD34" s="176">
        <v>30</v>
      </c>
      <c r="AE34" s="187" t="s">
        <v>2284</v>
      </c>
      <c r="AF34" s="188">
        <v>22102360</v>
      </c>
      <c r="AG34" s="189" t="s">
        <v>2285</v>
      </c>
      <c r="AH34" s="176">
        <v>30</v>
      </c>
      <c r="AI34" s="187" t="s">
        <v>2286</v>
      </c>
      <c r="AJ34" s="188">
        <v>22102335</v>
      </c>
      <c r="AK34" s="189" t="s">
        <v>2287</v>
      </c>
      <c r="AL34" s="176">
        <v>30</v>
      </c>
      <c r="AM34" s="187"/>
      <c r="AN34" s="188"/>
      <c r="AO34" s="189"/>
      <c r="AP34" s="176">
        <v>30</v>
      </c>
      <c r="AQ34" s="187"/>
      <c r="AR34" s="188"/>
      <c r="AS34" s="189"/>
      <c r="AT34" s="176">
        <v>30</v>
      </c>
      <c r="AU34" s="187"/>
      <c r="AV34" s="188"/>
      <c r="AW34" s="189"/>
      <c r="AX34" s="176">
        <v>30</v>
      </c>
      <c r="AY34" s="187"/>
      <c r="AZ34" s="188"/>
      <c r="BA34" s="189"/>
      <c r="BB34" s="176">
        <v>30</v>
      </c>
      <c r="BC34" s="187"/>
      <c r="BD34" s="188"/>
      <c r="BE34" s="189"/>
      <c r="BF34" s="176">
        <v>30</v>
      </c>
      <c r="BG34" s="187"/>
      <c r="BH34" s="188"/>
      <c r="BI34" s="189"/>
      <c r="BJ34" s="176">
        <v>30</v>
      </c>
      <c r="BK34" s="187" t="s">
        <v>1462</v>
      </c>
      <c r="BL34" s="188">
        <v>21091139</v>
      </c>
      <c r="BM34" s="189" t="s">
        <v>1463</v>
      </c>
      <c r="BN34" s="176">
        <v>30</v>
      </c>
      <c r="BO34" s="187"/>
      <c r="BP34" s="188"/>
      <c r="BQ34" s="189"/>
      <c r="BR34" s="176">
        <v>30</v>
      </c>
      <c r="BS34" s="187"/>
      <c r="BT34" s="188"/>
      <c r="BU34" s="189"/>
      <c r="BV34" s="176">
        <v>30</v>
      </c>
      <c r="BW34" s="187"/>
      <c r="BX34" s="188"/>
      <c r="BY34" s="189"/>
      <c r="BZ34" s="176">
        <v>30</v>
      </c>
      <c r="CA34" s="187" t="s">
        <v>1464</v>
      </c>
      <c r="CB34" s="188">
        <v>21091137</v>
      </c>
      <c r="CC34" s="189" t="s">
        <v>1465</v>
      </c>
      <c r="CD34" s="176">
        <v>30</v>
      </c>
      <c r="CE34" s="187" t="s">
        <v>1466</v>
      </c>
      <c r="CF34" s="188">
        <v>21092338</v>
      </c>
      <c r="CG34" s="189" t="s">
        <v>1467</v>
      </c>
      <c r="CH34" s="176">
        <v>30</v>
      </c>
      <c r="CI34" s="187"/>
      <c r="CJ34" s="188"/>
      <c r="CK34" s="189"/>
      <c r="CL34" s="176">
        <v>30</v>
      </c>
      <c r="CM34" s="187" t="s">
        <v>1470</v>
      </c>
      <c r="CN34" s="188">
        <v>21092348</v>
      </c>
      <c r="CO34" s="189" t="s">
        <v>1471</v>
      </c>
      <c r="CP34" s="176">
        <v>30</v>
      </c>
      <c r="CQ34" s="187"/>
      <c r="CR34" s="188"/>
      <c r="CS34" s="189"/>
      <c r="CT34" s="176">
        <v>30</v>
      </c>
      <c r="CU34" s="187"/>
      <c r="CV34" s="188"/>
      <c r="CW34" s="189"/>
      <c r="CX34" s="176">
        <v>30</v>
      </c>
      <c r="CY34" s="187"/>
      <c r="CZ34" s="188"/>
      <c r="DA34" s="189"/>
      <c r="DB34" s="176">
        <v>30</v>
      </c>
      <c r="DC34" s="187" t="s">
        <v>1492</v>
      </c>
      <c r="DD34" s="188">
        <v>21092342</v>
      </c>
      <c r="DE34" s="189" t="s">
        <v>1493</v>
      </c>
      <c r="DF34" s="176">
        <v>30</v>
      </c>
      <c r="DG34" s="187"/>
      <c r="DH34" s="188"/>
      <c r="DI34" s="189"/>
      <c r="DJ34" s="176">
        <v>30</v>
      </c>
      <c r="DK34" s="187"/>
      <c r="DL34" s="188"/>
      <c r="DM34" s="189"/>
      <c r="DN34" s="176">
        <v>30</v>
      </c>
      <c r="DO34" s="187" t="s">
        <v>1494</v>
      </c>
      <c r="DP34" s="188">
        <v>2008329</v>
      </c>
      <c r="DQ34" s="189" t="s">
        <v>1495</v>
      </c>
      <c r="DR34" s="176">
        <v>30</v>
      </c>
      <c r="DS34" s="187" t="s">
        <v>1496</v>
      </c>
      <c r="DT34" s="188">
        <v>2008327</v>
      </c>
      <c r="DU34" s="189" t="s">
        <v>1497</v>
      </c>
      <c r="DV34" s="176">
        <v>30</v>
      </c>
      <c r="DW34" s="187" t="s">
        <v>1480</v>
      </c>
      <c r="DX34" s="188">
        <v>2008307</v>
      </c>
      <c r="DY34" s="189" t="s">
        <v>1481</v>
      </c>
      <c r="DZ34" s="176">
        <v>30</v>
      </c>
      <c r="EA34" s="187" t="s">
        <v>1482</v>
      </c>
      <c r="EB34" s="188">
        <v>2008335</v>
      </c>
      <c r="EC34" s="189" t="s">
        <v>1483</v>
      </c>
      <c r="ED34" s="176">
        <v>30</v>
      </c>
      <c r="EE34" s="187"/>
      <c r="EF34" s="188"/>
      <c r="EG34" s="189"/>
      <c r="EH34" s="176">
        <v>30</v>
      </c>
      <c r="EI34" s="187"/>
      <c r="EJ34" s="188"/>
      <c r="EK34" s="189"/>
      <c r="EL34" s="176">
        <v>30</v>
      </c>
      <c r="EM34" s="187"/>
      <c r="EN34" s="188"/>
      <c r="EO34" s="189"/>
      <c r="EP34" s="176">
        <v>30</v>
      </c>
      <c r="EQ34" s="187"/>
      <c r="ER34" s="188"/>
      <c r="ES34" s="189"/>
      <c r="ET34" s="176">
        <v>30</v>
      </c>
      <c r="EU34" s="187"/>
      <c r="EV34" s="188"/>
      <c r="EW34" s="189"/>
      <c r="EX34" s="176">
        <v>30</v>
      </c>
      <c r="EY34" s="187"/>
      <c r="EZ34" s="188"/>
      <c r="FA34" s="189"/>
      <c r="FB34" s="176">
        <v>30</v>
      </c>
      <c r="FC34" s="187" t="s">
        <v>1484</v>
      </c>
      <c r="FD34" s="188">
        <v>2008320</v>
      </c>
      <c r="FE34" s="189" t="s">
        <v>1485</v>
      </c>
      <c r="FF34" s="176">
        <v>30</v>
      </c>
      <c r="FG34" s="187"/>
      <c r="FH34" s="188"/>
      <c r="FI34" s="189"/>
    </row>
    <row r="35" spans="1:165" ht="15.75" x14ac:dyDescent="0.25">
      <c r="A35" s="9">
        <v>32</v>
      </c>
      <c r="B35" s="173" t="s">
        <v>1558</v>
      </c>
      <c r="C35" s="9">
        <v>126</v>
      </c>
      <c r="D35" s="9">
        <v>127</v>
      </c>
      <c r="E35" s="9">
        <v>128</v>
      </c>
      <c r="F35" s="176">
        <v>31</v>
      </c>
      <c r="G35" s="177" t="str">
        <f t="shared" si="0"/>
        <v>Zaidan Mu'afy Althaf</v>
      </c>
      <c r="H35" s="178">
        <f t="shared" si="1"/>
        <v>2008347</v>
      </c>
      <c r="I35" s="179" t="str">
        <f t="shared" si="2"/>
        <v>0056182222</v>
      </c>
      <c r="J35" s="176">
        <v>31</v>
      </c>
      <c r="K35" s="187" t="s">
        <v>1595</v>
      </c>
      <c r="L35" s="188">
        <v>22101142</v>
      </c>
      <c r="M35" s="189">
        <v>67928165</v>
      </c>
      <c r="N35" s="176">
        <v>31</v>
      </c>
      <c r="O35" s="187" t="s">
        <v>2288</v>
      </c>
      <c r="P35" s="188">
        <v>22101155</v>
      </c>
      <c r="Q35" s="189">
        <v>66925739</v>
      </c>
      <c r="R35" s="176">
        <v>31</v>
      </c>
      <c r="S35" s="187" t="s">
        <v>2289</v>
      </c>
      <c r="T35" s="198">
        <v>22000000</v>
      </c>
      <c r="U35" s="189">
        <v>73956620</v>
      </c>
      <c r="V35" s="176">
        <v>31</v>
      </c>
      <c r="W35" s="187"/>
      <c r="X35" s="188"/>
      <c r="Y35" s="189"/>
      <c r="Z35" s="176">
        <v>31</v>
      </c>
      <c r="AA35" s="187" t="s">
        <v>2290</v>
      </c>
      <c r="AB35" s="188">
        <v>22101160</v>
      </c>
      <c r="AC35" s="189" t="s">
        <v>2291</v>
      </c>
      <c r="AD35" s="176">
        <v>31</v>
      </c>
      <c r="AE35" s="187" t="s">
        <v>2292</v>
      </c>
      <c r="AF35" s="188">
        <v>22102363</v>
      </c>
      <c r="AG35" s="189" t="s">
        <v>2293</v>
      </c>
      <c r="AH35" s="176">
        <v>31</v>
      </c>
      <c r="AI35" s="187" t="s">
        <v>2294</v>
      </c>
      <c r="AJ35" s="188">
        <v>22102345</v>
      </c>
      <c r="AK35" s="189" t="s">
        <v>2295</v>
      </c>
      <c r="AL35" s="176">
        <v>31</v>
      </c>
      <c r="AM35" s="187"/>
      <c r="AN35" s="188"/>
      <c r="AO35" s="189"/>
      <c r="AP35" s="176">
        <v>31</v>
      </c>
      <c r="AQ35" s="187"/>
      <c r="AR35" s="188"/>
      <c r="AS35" s="189"/>
      <c r="AT35" s="176">
        <v>31</v>
      </c>
      <c r="AU35" s="187"/>
      <c r="AV35" s="188"/>
      <c r="AW35" s="189"/>
      <c r="AX35" s="176">
        <v>31</v>
      </c>
      <c r="AY35" s="187"/>
      <c r="AZ35" s="188"/>
      <c r="BA35" s="189"/>
      <c r="BB35" s="176">
        <v>31</v>
      </c>
      <c r="BC35" s="187"/>
      <c r="BD35" s="188"/>
      <c r="BE35" s="189"/>
      <c r="BF35" s="176">
        <v>31</v>
      </c>
      <c r="BG35" s="187"/>
      <c r="BH35" s="188"/>
      <c r="BI35" s="189"/>
      <c r="BJ35" s="176">
        <v>31</v>
      </c>
      <c r="BK35" s="187" t="s">
        <v>2296</v>
      </c>
      <c r="BL35" s="188">
        <v>21091375</v>
      </c>
      <c r="BM35" s="189" t="s">
        <v>2297</v>
      </c>
      <c r="BN35" s="176">
        <v>31</v>
      </c>
      <c r="BO35" s="187"/>
      <c r="BP35" s="188"/>
      <c r="BQ35" s="189"/>
      <c r="BR35" s="176">
        <v>31</v>
      </c>
      <c r="BS35" s="187"/>
      <c r="BT35" s="188"/>
      <c r="BU35" s="189"/>
      <c r="BV35" s="176">
        <v>31</v>
      </c>
      <c r="BW35" s="187"/>
      <c r="BX35" s="188"/>
      <c r="BY35" s="189"/>
      <c r="BZ35" s="176">
        <v>31</v>
      </c>
      <c r="CA35" s="187" t="s">
        <v>1486</v>
      </c>
      <c r="CB35" s="188">
        <v>21091138</v>
      </c>
      <c r="CC35" s="189" t="s">
        <v>1487</v>
      </c>
      <c r="CD35" s="176">
        <v>31</v>
      </c>
      <c r="CE35" s="187" t="s">
        <v>1488</v>
      </c>
      <c r="CF35" s="188">
        <v>21092347</v>
      </c>
      <c r="CG35" s="189" t="s">
        <v>1489</v>
      </c>
      <c r="CH35" s="176">
        <v>31</v>
      </c>
      <c r="CI35" s="187"/>
      <c r="CJ35" s="188"/>
      <c r="CK35" s="189"/>
      <c r="CL35" s="176">
        <v>31</v>
      </c>
      <c r="CM35" s="187"/>
      <c r="CN35" s="188"/>
      <c r="CO35" s="189"/>
      <c r="CP35" s="176">
        <v>31</v>
      </c>
      <c r="CQ35" s="187"/>
      <c r="CR35" s="188"/>
      <c r="CS35" s="189"/>
      <c r="CT35" s="176">
        <v>31</v>
      </c>
      <c r="CU35" s="187"/>
      <c r="CV35" s="188"/>
      <c r="CW35" s="189"/>
      <c r="CX35" s="176">
        <v>31</v>
      </c>
      <c r="CY35" s="187"/>
      <c r="CZ35" s="188"/>
      <c r="DA35" s="189"/>
      <c r="DB35" s="176">
        <v>31</v>
      </c>
      <c r="DC35" s="187" t="s">
        <v>1506</v>
      </c>
      <c r="DD35" s="188">
        <v>21092350</v>
      </c>
      <c r="DE35" s="189" t="s">
        <v>1507</v>
      </c>
      <c r="DF35" s="176">
        <v>31</v>
      </c>
      <c r="DG35" s="187"/>
      <c r="DH35" s="188"/>
      <c r="DI35" s="189"/>
      <c r="DJ35" s="176">
        <v>31</v>
      </c>
      <c r="DK35" s="187"/>
      <c r="DL35" s="188"/>
      <c r="DM35" s="189"/>
      <c r="DN35" s="176">
        <v>31</v>
      </c>
      <c r="DO35" s="187" t="s">
        <v>1508</v>
      </c>
      <c r="DP35" s="188">
        <v>2008336</v>
      </c>
      <c r="DQ35" s="189" t="s">
        <v>1509</v>
      </c>
      <c r="DR35" s="176">
        <v>31</v>
      </c>
      <c r="DS35" s="187" t="s">
        <v>1510</v>
      </c>
      <c r="DT35" s="188">
        <v>2008332</v>
      </c>
      <c r="DU35" s="189" t="s">
        <v>1511</v>
      </c>
      <c r="DV35" s="176">
        <v>31</v>
      </c>
      <c r="DW35" s="187" t="s">
        <v>1498</v>
      </c>
      <c r="DX35" s="188">
        <v>2008347</v>
      </c>
      <c r="DY35" s="189" t="s">
        <v>1499</v>
      </c>
      <c r="DZ35" s="176">
        <v>31</v>
      </c>
      <c r="EA35" s="187" t="s">
        <v>1500</v>
      </c>
      <c r="EB35" s="188">
        <v>2008348</v>
      </c>
      <c r="EC35" s="189" t="s">
        <v>1501</v>
      </c>
      <c r="ED35" s="176">
        <v>31</v>
      </c>
      <c r="EE35" s="187"/>
      <c r="EF35" s="188"/>
      <c r="EG35" s="189"/>
      <c r="EH35" s="176">
        <v>31</v>
      </c>
      <c r="EI35" s="187"/>
      <c r="EJ35" s="188"/>
      <c r="EK35" s="189"/>
      <c r="EL35" s="176">
        <v>31</v>
      </c>
      <c r="EM35" s="187"/>
      <c r="EN35" s="188"/>
      <c r="EO35" s="189"/>
      <c r="EP35" s="176">
        <v>31</v>
      </c>
      <c r="EQ35" s="187"/>
      <c r="ER35" s="188"/>
      <c r="ES35" s="189"/>
      <c r="ET35" s="176">
        <v>31</v>
      </c>
      <c r="EU35" s="187"/>
      <c r="EV35" s="188"/>
      <c r="EW35" s="189"/>
      <c r="EX35" s="176">
        <v>31</v>
      </c>
      <c r="EY35" s="187"/>
      <c r="EZ35" s="188"/>
      <c r="FA35" s="189"/>
      <c r="FB35" s="176">
        <v>31</v>
      </c>
      <c r="FC35" s="187" t="s">
        <v>1502</v>
      </c>
      <c r="FD35" s="188">
        <v>2008324</v>
      </c>
      <c r="FE35" s="189" t="s">
        <v>1503</v>
      </c>
      <c r="FF35" s="176">
        <v>31</v>
      </c>
      <c r="FG35" s="187"/>
      <c r="FH35" s="188"/>
      <c r="FI35" s="189"/>
    </row>
    <row r="36" spans="1:165" ht="15.75" x14ac:dyDescent="0.25">
      <c r="A36" s="9">
        <v>33</v>
      </c>
      <c r="B36" s="173" t="s">
        <v>1559</v>
      </c>
      <c r="C36" s="9">
        <v>130</v>
      </c>
      <c r="D36" s="9">
        <v>131</v>
      </c>
      <c r="E36" s="9">
        <v>132</v>
      </c>
      <c r="F36" s="176">
        <v>32</v>
      </c>
      <c r="G36" s="177">
        <f t="shared" si="0"/>
        <v>0</v>
      </c>
      <c r="H36" s="178">
        <f t="shared" si="1"/>
        <v>0</v>
      </c>
      <c r="I36" s="179">
        <f t="shared" si="2"/>
        <v>0</v>
      </c>
      <c r="J36" s="176">
        <v>32</v>
      </c>
      <c r="K36" s="187" t="s">
        <v>1596</v>
      </c>
      <c r="L36" s="188">
        <v>22101143</v>
      </c>
      <c r="M36" s="189">
        <v>75477694</v>
      </c>
      <c r="N36" s="176">
        <v>32</v>
      </c>
      <c r="O36" s="187" t="s">
        <v>2298</v>
      </c>
      <c r="P36" s="188">
        <v>22101161</v>
      </c>
      <c r="Q36" s="189">
        <v>72005043</v>
      </c>
      <c r="R36" s="176">
        <v>32</v>
      </c>
      <c r="S36" s="187" t="s">
        <v>2299</v>
      </c>
      <c r="T36" s="198">
        <v>22000000</v>
      </c>
      <c r="U36" s="189">
        <v>64423392</v>
      </c>
      <c r="V36" s="176">
        <v>32</v>
      </c>
      <c r="W36" s="187"/>
      <c r="X36" s="188"/>
      <c r="Y36" s="189"/>
      <c r="Z36" s="176">
        <v>32</v>
      </c>
      <c r="AA36" s="187" t="s">
        <v>2300</v>
      </c>
      <c r="AB36" s="188">
        <v>22101164</v>
      </c>
      <c r="AC36" s="189" t="s">
        <v>2301</v>
      </c>
      <c r="AD36" s="176">
        <v>32</v>
      </c>
      <c r="AE36" s="187" t="s">
        <v>2302</v>
      </c>
      <c r="AF36" s="188">
        <v>22102369</v>
      </c>
      <c r="AG36" s="189" t="s">
        <v>2303</v>
      </c>
      <c r="AH36" s="176">
        <v>32</v>
      </c>
      <c r="AI36" s="187" t="s">
        <v>2304</v>
      </c>
      <c r="AJ36" s="188">
        <v>22102353</v>
      </c>
      <c r="AK36" s="189" t="s">
        <v>2305</v>
      </c>
      <c r="AL36" s="176">
        <v>32</v>
      </c>
      <c r="AM36" s="187"/>
      <c r="AN36" s="188"/>
      <c r="AO36" s="189"/>
      <c r="AP36" s="176">
        <v>32</v>
      </c>
      <c r="AQ36" s="187"/>
      <c r="AR36" s="188"/>
      <c r="AS36" s="189"/>
      <c r="AT36" s="176">
        <v>32</v>
      </c>
      <c r="AU36" s="187"/>
      <c r="AV36" s="188"/>
      <c r="AW36" s="189"/>
      <c r="AX36" s="176">
        <v>32</v>
      </c>
      <c r="AY36" s="187"/>
      <c r="AZ36" s="188"/>
      <c r="BA36" s="189"/>
      <c r="BB36" s="176">
        <v>32</v>
      </c>
      <c r="BC36" s="187"/>
      <c r="BD36" s="188"/>
      <c r="BE36" s="189"/>
      <c r="BF36" s="176">
        <v>32</v>
      </c>
      <c r="BG36" s="187"/>
      <c r="BH36" s="188"/>
      <c r="BI36" s="189"/>
      <c r="BJ36" s="176">
        <v>32</v>
      </c>
      <c r="BK36" s="187"/>
      <c r="BL36" s="188"/>
      <c r="BM36" s="189"/>
      <c r="BN36" s="176">
        <v>32</v>
      </c>
      <c r="BO36" s="187"/>
      <c r="BP36" s="188"/>
      <c r="BQ36" s="189"/>
      <c r="BR36" s="176">
        <v>32</v>
      </c>
      <c r="BS36" s="187"/>
      <c r="BT36" s="188"/>
      <c r="BU36" s="189"/>
      <c r="BV36" s="176">
        <v>32</v>
      </c>
      <c r="BW36" s="187"/>
      <c r="BX36" s="188"/>
      <c r="BY36" s="189"/>
      <c r="BZ36" s="176">
        <v>32</v>
      </c>
      <c r="CA36" s="187"/>
      <c r="CB36" s="188"/>
      <c r="CC36" s="189"/>
      <c r="CD36" s="176">
        <v>32</v>
      </c>
      <c r="CE36" s="187" t="s">
        <v>2306</v>
      </c>
      <c r="CF36" s="188">
        <v>21092376</v>
      </c>
      <c r="CG36" s="189" t="s">
        <v>2307</v>
      </c>
      <c r="CH36" s="176">
        <v>32</v>
      </c>
      <c r="CI36" s="187"/>
      <c r="CJ36" s="188"/>
      <c r="CK36" s="189"/>
      <c r="CL36" s="176">
        <v>32</v>
      </c>
      <c r="CM36" s="187"/>
      <c r="CN36" s="188"/>
      <c r="CO36" s="189"/>
      <c r="CP36" s="176">
        <v>32</v>
      </c>
      <c r="CQ36" s="187"/>
      <c r="CR36" s="188"/>
      <c r="CS36" s="189"/>
      <c r="CT36" s="176">
        <v>32</v>
      </c>
      <c r="CU36" s="187"/>
      <c r="CV36" s="188"/>
      <c r="CW36" s="189"/>
      <c r="CX36" s="176">
        <v>32</v>
      </c>
      <c r="CY36" s="187"/>
      <c r="CZ36" s="188"/>
      <c r="DA36" s="189"/>
      <c r="DB36" s="176">
        <v>32</v>
      </c>
      <c r="DC36" s="187" t="s">
        <v>1516</v>
      </c>
      <c r="DD36" s="188">
        <v>21092353</v>
      </c>
      <c r="DE36" s="189" t="s">
        <v>1517</v>
      </c>
      <c r="DF36" s="176">
        <v>32</v>
      </c>
      <c r="DG36" s="187"/>
      <c r="DH36" s="188"/>
      <c r="DI36" s="189"/>
      <c r="DJ36" s="176">
        <v>32</v>
      </c>
      <c r="DK36" s="187"/>
      <c r="DL36" s="188"/>
      <c r="DM36" s="189"/>
      <c r="DN36" s="176">
        <v>32</v>
      </c>
      <c r="DO36" s="187"/>
      <c r="DP36" s="188"/>
      <c r="DQ36" s="189"/>
      <c r="DR36" s="176">
        <v>32</v>
      </c>
      <c r="DS36" s="187" t="s">
        <v>1518</v>
      </c>
      <c r="DT36" s="188">
        <v>2008356</v>
      </c>
      <c r="DU36" s="189" t="s">
        <v>1519</v>
      </c>
      <c r="DV36" s="176">
        <v>32</v>
      </c>
      <c r="DW36" s="187"/>
      <c r="DX36" s="188"/>
      <c r="DY36" s="189"/>
      <c r="DZ36" s="176">
        <v>32</v>
      </c>
      <c r="EA36" s="187" t="s">
        <v>1512</v>
      </c>
      <c r="EB36" s="188">
        <v>2008355</v>
      </c>
      <c r="EC36" s="189" t="s">
        <v>1513</v>
      </c>
      <c r="ED36" s="176">
        <v>32</v>
      </c>
      <c r="EE36" s="187"/>
      <c r="EF36" s="188"/>
      <c r="EG36" s="189"/>
      <c r="EH36" s="176">
        <v>32</v>
      </c>
      <c r="EI36" s="187"/>
      <c r="EJ36" s="188"/>
      <c r="EK36" s="189"/>
      <c r="EL36" s="176">
        <v>32</v>
      </c>
      <c r="EM36" s="187"/>
      <c r="EN36" s="188"/>
      <c r="EO36" s="189"/>
      <c r="EP36" s="176">
        <v>32</v>
      </c>
      <c r="EQ36" s="187"/>
      <c r="ER36" s="188"/>
      <c r="ES36" s="189"/>
      <c r="ET36" s="176">
        <v>32</v>
      </c>
      <c r="EU36" s="187"/>
      <c r="EV36" s="188"/>
      <c r="EW36" s="189"/>
      <c r="EX36" s="176">
        <v>32</v>
      </c>
      <c r="EY36" s="187"/>
      <c r="EZ36" s="188"/>
      <c r="FA36" s="189"/>
      <c r="FB36" s="176">
        <v>32</v>
      </c>
      <c r="FC36" s="187" t="s">
        <v>1514</v>
      </c>
      <c r="FD36" s="188">
        <v>2008342</v>
      </c>
      <c r="FE36" s="189" t="s">
        <v>1515</v>
      </c>
      <c r="FF36" s="176">
        <v>32</v>
      </c>
      <c r="FG36" s="187"/>
      <c r="FH36" s="188"/>
      <c r="FI36" s="189"/>
    </row>
    <row r="37" spans="1:165" ht="15.75" x14ac:dyDescent="0.25">
      <c r="A37" s="9">
        <v>34</v>
      </c>
      <c r="B37" s="173" t="s">
        <v>1560</v>
      </c>
      <c r="C37" s="9">
        <v>134</v>
      </c>
      <c r="D37" s="9">
        <v>135</v>
      </c>
      <c r="E37" s="9">
        <v>136</v>
      </c>
      <c r="F37" s="176">
        <v>33</v>
      </c>
      <c r="G37" s="177">
        <f t="shared" si="0"/>
        <v>0</v>
      </c>
      <c r="H37" s="178">
        <f t="shared" si="1"/>
        <v>0</v>
      </c>
      <c r="I37" s="179">
        <f t="shared" si="2"/>
        <v>0</v>
      </c>
      <c r="J37" s="176">
        <v>33</v>
      </c>
      <c r="K37" s="187" t="s">
        <v>1597</v>
      </c>
      <c r="L37" s="188">
        <v>22101156</v>
      </c>
      <c r="M37" s="189">
        <v>63945771</v>
      </c>
      <c r="N37" s="176">
        <v>33</v>
      </c>
      <c r="O37" s="187" t="s">
        <v>2308</v>
      </c>
      <c r="P37" s="188">
        <v>22101163</v>
      </c>
      <c r="Q37" s="189">
        <v>61096716</v>
      </c>
      <c r="R37" s="176">
        <v>33</v>
      </c>
      <c r="S37" s="187" t="s">
        <v>2309</v>
      </c>
      <c r="T37" s="198">
        <v>22000000</v>
      </c>
      <c r="U37" s="189">
        <v>62029078</v>
      </c>
      <c r="V37" s="176">
        <v>33</v>
      </c>
      <c r="W37" s="187"/>
      <c r="X37" s="188"/>
      <c r="Y37" s="189"/>
      <c r="Z37" s="176">
        <v>33</v>
      </c>
      <c r="AA37" s="187" t="s">
        <v>2310</v>
      </c>
      <c r="AB37" s="188">
        <v>22101165</v>
      </c>
      <c r="AC37" s="189" t="s">
        <v>2311</v>
      </c>
      <c r="AD37" s="176">
        <v>33</v>
      </c>
      <c r="AE37" s="187" t="s">
        <v>2312</v>
      </c>
      <c r="AF37" s="188">
        <v>22102370</v>
      </c>
      <c r="AG37" s="189" t="s">
        <v>2313</v>
      </c>
      <c r="AH37" s="176">
        <v>33</v>
      </c>
      <c r="AI37" s="187" t="s">
        <v>2314</v>
      </c>
      <c r="AJ37" s="188">
        <v>22102365</v>
      </c>
      <c r="AK37" s="189" t="s">
        <v>2315</v>
      </c>
      <c r="AL37" s="176">
        <v>33</v>
      </c>
      <c r="AM37" s="187"/>
      <c r="AN37" s="188"/>
      <c r="AO37" s="189"/>
      <c r="AP37" s="176">
        <v>33</v>
      </c>
      <c r="AQ37" s="187"/>
      <c r="AR37" s="188"/>
      <c r="AS37" s="189"/>
      <c r="AT37" s="176">
        <v>33</v>
      </c>
      <c r="AU37" s="187"/>
      <c r="AV37" s="188"/>
      <c r="AW37" s="189"/>
      <c r="AX37" s="176">
        <v>33</v>
      </c>
      <c r="AY37" s="187"/>
      <c r="AZ37" s="188"/>
      <c r="BA37" s="189"/>
      <c r="BB37" s="176">
        <v>33</v>
      </c>
      <c r="BC37" s="187"/>
      <c r="BD37" s="188"/>
      <c r="BE37" s="189"/>
      <c r="BF37" s="176">
        <v>33</v>
      </c>
      <c r="BG37" s="187"/>
      <c r="BH37" s="188"/>
      <c r="BI37" s="189"/>
      <c r="BJ37" s="176">
        <v>33</v>
      </c>
      <c r="BK37" s="187"/>
      <c r="BL37" s="188"/>
      <c r="BM37" s="189"/>
      <c r="BN37" s="176">
        <v>33</v>
      </c>
      <c r="BO37" s="187"/>
      <c r="BP37" s="188"/>
      <c r="BQ37" s="189"/>
      <c r="BR37" s="176">
        <v>33</v>
      </c>
      <c r="BS37" s="187"/>
      <c r="BT37" s="188"/>
      <c r="BU37" s="189"/>
      <c r="BV37" s="176">
        <v>33</v>
      </c>
      <c r="BW37" s="187"/>
      <c r="BX37" s="188"/>
      <c r="BY37" s="189"/>
      <c r="BZ37" s="176">
        <v>33</v>
      </c>
      <c r="CA37" s="187"/>
      <c r="CB37" s="188"/>
      <c r="CC37" s="189"/>
      <c r="CD37" s="176">
        <v>33</v>
      </c>
      <c r="CE37" s="187"/>
      <c r="CF37" s="188"/>
      <c r="CG37" s="189"/>
      <c r="CH37" s="176">
        <v>33</v>
      </c>
      <c r="CI37" s="187"/>
      <c r="CJ37" s="188"/>
      <c r="CK37" s="189"/>
      <c r="CL37" s="176">
        <v>33</v>
      </c>
      <c r="CM37" s="187"/>
      <c r="CN37" s="188"/>
      <c r="CO37" s="189"/>
      <c r="CP37" s="176">
        <v>33</v>
      </c>
      <c r="CQ37" s="187"/>
      <c r="CR37" s="188"/>
      <c r="CS37" s="189"/>
      <c r="CT37" s="176">
        <v>33</v>
      </c>
      <c r="CU37" s="187"/>
      <c r="CV37" s="188"/>
      <c r="CW37" s="189"/>
      <c r="CX37" s="176">
        <v>33</v>
      </c>
      <c r="CY37" s="187"/>
      <c r="CZ37" s="188"/>
      <c r="DA37" s="189"/>
      <c r="DB37" s="176">
        <v>33</v>
      </c>
      <c r="DC37" s="187"/>
      <c r="DD37" s="188"/>
      <c r="DE37" s="189"/>
      <c r="DF37" s="176">
        <v>33</v>
      </c>
      <c r="DG37" s="187"/>
      <c r="DH37" s="188"/>
      <c r="DI37" s="189"/>
      <c r="DJ37" s="176">
        <v>33</v>
      </c>
      <c r="DK37" s="187"/>
      <c r="DL37" s="188"/>
      <c r="DM37" s="189"/>
      <c r="DN37" s="176">
        <v>33</v>
      </c>
      <c r="DO37" s="187"/>
      <c r="DP37" s="188"/>
      <c r="DQ37" s="189"/>
      <c r="DR37" s="176">
        <v>33</v>
      </c>
      <c r="DS37" s="187"/>
      <c r="DT37" s="188"/>
      <c r="DU37" s="189"/>
      <c r="DV37" s="176">
        <v>33</v>
      </c>
      <c r="DW37" s="187"/>
      <c r="DX37" s="188"/>
      <c r="DY37" s="189"/>
      <c r="DZ37" s="176">
        <v>33</v>
      </c>
      <c r="EA37" s="187" t="s">
        <v>1520</v>
      </c>
      <c r="EB37" s="188">
        <v>2008364</v>
      </c>
      <c r="EC37" s="189" t="s">
        <v>1521</v>
      </c>
      <c r="ED37" s="176">
        <v>33</v>
      </c>
      <c r="EE37" s="187"/>
      <c r="EF37" s="188"/>
      <c r="EG37" s="189"/>
      <c r="EH37" s="176">
        <v>33</v>
      </c>
      <c r="EI37" s="187"/>
      <c r="EJ37" s="188"/>
      <c r="EK37" s="189"/>
      <c r="EL37" s="176">
        <v>33</v>
      </c>
      <c r="EM37" s="187"/>
      <c r="EN37" s="188"/>
      <c r="EO37" s="189"/>
      <c r="EP37" s="176">
        <v>33</v>
      </c>
      <c r="EQ37" s="187"/>
      <c r="ER37" s="188"/>
      <c r="ES37" s="189"/>
      <c r="ET37" s="176">
        <v>33</v>
      </c>
      <c r="EU37" s="187"/>
      <c r="EV37" s="188"/>
      <c r="EW37" s="189"/>
      <c r="EX37" s="176">
        <v>33</v>
      </c>
      <c r="EY37" s="187"/>
      <c r="EZ37" s="188"/>
      <c r="FA37" s="189"/>
      <c r="FB37" s="176">
        <v>33</v>
      </c>
      <c r="FC37" s="187"/>
      <c r="FD37" s="188"/>
      <c r="FE37" s="189"/>
      <c r="FF37" s="176">
        <v>33</v>
      </c>
      <c r="FG37" s="187"/>
      <c r="FH37" s="188"/>
      <c r="FI37" s="189"/>
    </row>
    <row r="38" spans="1:165" ht="15.75" x14ac:dyDescent="0.25">
      <c r="A38" s="9">
        <v>35</v>
      </c>
      <c r="B38" s="173" t="s">
        <v>1561</v>
      </c>
      <c r="C38" s="9">
        <v>138</v>
      </c>
      <c r="D38" s="9">
        <v>139</v>
      </c>
      <c r="E38" s="9">
        <v>140</v>
      </c>
      <c r="F38" s="176">
        <v>34</v>
      </c>
      <c r="G38" s="177">
        <f t="shared" si="0"/>
        <v>0</v>
      </c>
      <c r="H38" s="178">
        <f t="shared" si="1"/>
        <v>0</v>
      </c>
      <c r="I38" s="179">
        <f t="shared" si="2"/>
        <v>0</v>
      </c>
      <c r="J38" s="176">
        <v>34</v>
      </c>
      <c r="K38" s="187" t="s">
        <v>1598</v>
      </c>
      <c r="L38" s="188">
        <v>22101166</v>
      </c>
      <c r="M38" s="189">
        <v>61011005</v>
      </c>
      <c r="N38" s="176">
        <v>34</v>
      </c>
      <c r="O38" s="187"/>
      <c r="P38" s="188"/>
      <c r="Q38" s="189"/>
      <c r="R38" s="176">
        <v>34</v>
      </c>
      <c r="S38" s="187"/>
      <c r="T38" s="188"/>
      <c r="U38" s="189"/>
      <c r="V38" s="176">
        <v>34</v>
      </c>
      <c r="W38" s="187"/>
      <c r="X38" s="188"/>
      <c r="Y38" s="189"/>
      <c r="Z38" s="176">
        <v>34</v>
      </c>
      <c r="AA38" s="187"/>
      <c r="AB38" s="188"/>
      <c r="AC38" s="189"/>
      <c r="AD38" s="176">
        <v>34</v>
      </c>
      <c r="AE38" s="187" t="s">
        <v>2316</v>
      </c>
      <c r="AF38" s="188">
        <v>22102372</v>
      </c>
      <c r="AG38" s="189" t="s">
        <v>2317</v>
      </c>
      <c r="AH38" s="176">
        <v>34</v>
      </c>
      <c r="AI38" s="187" t="s">
        <v>2318</v>
      </c>
      <c r="AJ38" s="188">
        <v>22102367</v>
      </c>
      <c r="AK38" s="189" t="s">
        <v>2319</v>
      </c>
      <c r="AL38" s="176">
        <v>34</v>
      </c>
      <c r="AM38" s="187"/>
      <c r="AN38" s="188"/>
      <c r="AO38" s="189"/>
      <c r="AP38" s="176">
        <v>34</v>
      </c>
      <c r="AQ38" s="187"/>
      <c r="AR38" s="188"/>
      <c r="AS38" s="189"/>
      <c r="AT38" s="176">
        <v>34</v>
      </c>
      <c r="AU38" s="187"/>
      <c r="AV38" s="188"/>
      <c r="AW38" s="189"/>
      <c r="AX38" s="176">
        <v>34</v>
      </c>
      <c r="AY38" s="187"/>
      <c r="AZ38" s="188"/>
      <c r="BA38" s="189"/>
      <c r="BB38" s="176">
        <v>34</v>
      </c>
      <c r="BC38" s="187"/>
      <c r="BD38" s="188"/>
      <c r="BE38" s="189"/>
      <c r="BF38" s="176">
        <v>34</v>
      </c>
      <c r="BG38" s="187"/>
      <c r="BH38" s="188"/>
      <c r="BI38" s="189"/>
      <c r="BJ38" s="176">
        <v>34</v>
      </c>
      <c r="BK38" s="187"/>
      <c r="BL38" s="188"/>
      <c r="BM38" s="189"/>
      <c r="BN38" s="176">
        <v>34</v>
      </c>
      <c r="BO38" s="187"/>
      <c r="BP38" s="188"/>
      <c r="BQ38" s="189"/>
      <c r="BR38" s="176">
        <v>34</v>
      </c>
      <c r="BS38" s="187"/>
      <c r="BT38" s="188"/>
      <c r="BU38" s="189"/>
      <c r="BV38" s="176">
        <v>34</v>
      </c>
      <c r="BW38" s="187"/>
      <c r="BX38" s="188"/>
      <c r="BY38" s="189"/>
      <c r="BZ38" s="176">
        <v>34</v>
      </c>
      <c r="CA38" s="187"/>
      <c r="CB38" s="188"/>
      <c r="CC38" s="189"/>
      <c r="CD38" s="176">
        <v>34</v>
      </c>
      <c r="CE38" s="187"/>
      <c r="CF38" s="188"/>
      <c r="CG38" s="189"/>
      <c r="CH38" s="176">
        <v>34</v>
      </c>
      <c r="CI38" s="187"/>
      <c r="CJ38" s="188"/>
      <c r="CK38" s="189"/>
      <c r="CL38" s="176">
        <v>34</v>
      </c>
      <c r="CM38" s="187"/>
      <c r="CN38" s="188"/>
      <c r="CO38" s="189"/>
      <c r="CP38" s="176">
        <v>34</v>
      </c>
      <c r="CQ38" s="187"/>
      <c r="CR38" s="188"/>
      <c r="CS38" s="189"/>
      <c r="CT38" s="176">
        <v>34</v>
      </c>
      <c r="CU38" s="187"/>
      <c r="CV38" s="188"/>
      <c r="CW38" s="189"/>
      <c r="CX38" s="176">
        <v>34</v>
      </c>
      <c r="CY38" s="187"/>
      <c r="CZ38" s="188"/>
      <c r="DA38" s="189"/>
      <c r="DB38" s="176">
        <v>34</v>
      </c>
      <c r="DC38" s="187"/>
      <c r="DD38" s="188"/>
      <c r="DE38" s="189"/>
      <c r="DF38" s="176">
        <v>34</v>
      </c>
      <c r="DG38" s="187"/>
      <c r="DH38" s="188"/>
      <c r="DI38" s="189"/>
      <c r="DJ38" s="176">
        <v>34</v>
      </c>
      <c r="DK38" s="187"/>
      <c r="DL38" s="188"/>
      <c r="DM38" s="189"/>
      <c r="DN38" s="176">
        <v>34</v>
      </c>
      <c r="DO38" s="187"/>
      <c r="DP38" s="188"/>
      <c r="DQ38" s="189"/>
      <c r="DR38" s="176">
        <v>34</v>
      </c>
      <c r="DS38" s="187"/>
      <c r="DT38" s="188"/>
      <c r="DU38" s="189"/>
      <c r="DV38" s="176">
        <v>34</v>
      </c>
      <c r="DW38" s="187"/>
      <c r="DX38" s="188"/>
      <c r="DY38" s="189"/>
      <c r="DZ38" s="176">
        <v>34</v>
      </c>
      <c r="EA38" s="187"/>
      <c r="EB38" s="188"/>
      <c r="EC38" s="189"/>
      <c r="ED38" s="176">
        <v>34</v>
      </c>
      <c r="EE38" s="187"/>
      <c r="EF38" s="188"/>
      <c r="EG38" s="189"/>
      <c r="EH38" s="176">
        <v>34</v>
      </c>
      <c r="EI38" s="187"/>
      <c r="EJ38" s="188"/>
      <c r="EK38" s="189"/>
      <c r="EL38" s="176">
        <v>34</v>
      </c>
      <c r="EM38" s="187"/>
      <c r="EN38" s="188"/>
      <c r="EO38" s="189"/>
      <c r="EP38" s="176">
        <v>34</v>
      </c>
      <c r="EQ38" s="187"/>
      <c r="ER38" s="188"/>
      <c r="ES38" s="189"/>
      <c r="ET38" s="176">
        <v>34</v>
      </c>
      <c r="EU38" s="187"/>
      <c r="EV38" s="188"/>
      <c r="EW38" s="189"/>
      <c r="EX38" s="176">
        <v>34</v>
      </c>
      <c r="EY38" s="187"/>
      <c r="EZ38" s="188"/>
      <c r="FA38" s="189"/>
      <c r="FB38" s="176">
        <v>34</v>
      </c>
      <c r="FC38" s="187"/>
      <c r="FD38" s="188"/>
      <c r="FE38" s="189"/>
      <c r="FF38" s="176">
        <v>34</v>
      </c>
      <c r="FG38" s="187"/>
      <c r="FH38" s="188"/>
      <c r="FI38" s="189"/>
    </row>
    <row r="39" spans="1:165" ht="15.75" x14ac:dyDescent="0.25">
      <c r="A39" s="9">
        <v>36</v>
      </c>
      <c r="B39" s="173" t="s">
        <v>1562</v>
      </c>
      <c r="C39" s="9">
        <v>142</v>
      </c>
      <c r="D39" s="9">
        <v>143</v>
      </c>
      <c r="E39" s="9">
        <v>144</v>
      </c>
      <c r="F39" s="176">
        <v>35</v>
      </c>
      <c r="G39" s="177">
        <f t="shared" si="0"/>
        <v>0</v>
      </c>
      <c r="H39" s="178">
        <f t="shared" si="1"/>
        <v>0</v>
      </c>
      <c r="I39" s="179">
        <f t="shared" si="2"/>
        <v>0</v>
      </c>
      <c r="J39" s="176">
        <v>35</v>
      </c>
      <c r="K39" s="187"/>
      <c r="L39" s="188"/>
      <c r="M39" s="189"/>
      <c r="N39" s="176">
        <v>35</v>
      </c>
      <c r="O39" s="187"/>
      <c r="P39" s="188"/>
      <c r="Q39" s="189"/>
      <c r="R39" s="176">
        <v>35</v>
      </c>
      <c r="S39" s="187"/>
      <c r="T39" s="188"/>
      <c r="U39" s="189"/>
      <c r="V39" s="176">
        <v>35</v>
      </c>
      <c r="W39" s="187"/>
      <c r="X39" s="188"/>
      <c r="Y39" s="189"/>
      <c r="Z39" s="176">
        <v>35</v>
      </c>
      <c r="AA39" s="187"/>
      <c r="AB39" s="188"/>
      <c r="AC39" s="189"/>
      <c r="AD39" s="176">
        <v>35</v>
      </c>
      <c r="AE39" s="187"/>
      <c r="AF39" s="188"/>
      <c r="AG39" s="189"/>
      <c r="AH39" s="176">
        <v>35</v>
      </c>
      <c r="AI39" s="187"/>
      <c r="AJ39" s="188"/>
      <c r="AK39" s="189"/>
      <c r="AL39" s="176">
        <v>35</v>
      </c>
      <c r="AM39" s="187"/>
      <c r="AN39" s="188"/>
      <c r="AO39" s="189"/>
      <c r="AP39" s="176">
        <v>35</v>
      </c>
      <c r="AQ39" s="187"/>
      <c r="AR39" s="188"/>
      <c r="AS39" s="189"/>
      <c r="AT39" s="176">
        <v>35</v>
      </c>
      <c r="AU39" s="187"/>
      <c r="AV39" s="188"/>
      <c r="AW39" s="189"/>
      <c r="AX39" s="176">
        <v>35</v>
      </c>
      <c r="AY39" s="187"/>
      <c r="AZ39" s="188"/>
      <c r="BA39" s="189"/>
      <c r="BB39" s="176">
        <v>35</v>
      </c>
      <c r="BC39" s="187"/>
      <c r="BD39" s="188"/>
      <c r="BE39" s="189"/>
      <c r="BF39" s="176">
        <v>35</v>
      </c>
      <c r="BG39" s="187"/>
      <c r="BH39" s="188"/>
      <c r="BI39" s="189"/>
      <c r="BJ39" s="176">
        <v>35</v>
      </c>
      <c r="BK39" s="187"/>
      <c r="BL39" s="188"/>
      <c r="BM39" s="189"/>
      <c r="BN39" s="176">
        <v>35</v>
      </c>
      <c r="BO39" s="187"/>
      <c r="BP39" s="188"/>
      <c r="BQ39" s="189"/>
      <c r="BR39" s="176">
        <v>35</v>
      </c>
      <c r="BS39" s="187"/>
      <c r="BT39" s="188"/>
      <c r="BU39" s="189"/>
      <c r="BV39" s="176">
        <v>35</v>
      </c>
      <c r="BW39" s="187"/>
      <c r="BX39" s="188"/>
      <c r="BY39" s="189"/>
      <c r="BZ39" s="176">
        <v>35</v>
      </c>
      <c r="CA39" s="187"/>
      <c r="CB39" s="188"/>
      <c r="CC39" s="189"/>
      <c r="CD39" s="176">
        <v>35</v>
      </c>
      <c r="CE39" s="187"/>
      <c r="CF39" s="188"/>
      <c r="CG39" s="189"/>
      <c r="CH39" s="176">
        <v>35</v>
      </c>
      <c r="CI39" s="187"/>
      <c r="CJ39" s="188"/>
      <c r="CK39" s="189"/>
      <c r="CL39" s="176">
        <v>35</v>
      </c>
      <c r="CM39" s="187"/>
      <c r="CN39" s="188"/>
      <c r="CO39" s="189"/>
      <c r="CP39" s="176">
        <v>35</v>
      </c>
      <c r="CQ39" s="187"/>
      <c r="CR39" s="188"/>
      <c r="CS39" s="189"/>
      <c r="CT39" s="176">
        <v>35</v>
      </c>
      <c r="CU39" s="187"/>
      <c r="CV39" s="188"/>
      <c r="CW39" s="189"/>
      <c r="CX39" s="176">
        <v>35</v>
      </c>
      <c r="CY39" s="187"/>
      <c r="CZ39" s="188"/>
      <c r="DA39" s="189"/>
      <c r="DB39" s="176">
        <v>35</v>
      </c>
      <c r="DC39" s="187"/>
      <c r="DD39" s="188"/>
      <c r="DE39" s="189"/>
      <c r="DF39" s="176">
        <v>35</v>
      </c>
      <c r="DG39" s="187"/>
      <c r="DH39" s="188"/>
      <c r="DI39" s="189"/>
      <c r="DJ39" s="176">
        <v>35</v>
      </c>
      <c r="DK39" s="187"/>
      <c r="DL39" s="188"/>
      <c r="DM39" s="189"/>
      <c r="DN39" s="176">
        <v>35</v>
      </c>
      <c r="DO39" s="187"/>
      <c r="DP39" s="188"/>
      <c r="DQ39" s="189"/>
      <c r="DR39" s="176">
        <v>35</v>
      </c>
      <c r="DS39" s="187"/>
      <c r="DT39" s="188"/>
      <c r="DU39" s="189"/>
      <c r="DV39" s="176">
        <v>35</v>
      </c>
      <c r="DW39" s="187"/>
      <c r="DX39" s="188"/>
      <c r="DY39" s="189"/>
      <c r="DZ39" s="176">
        <v>35</v>
      </c>
      <c r="EA39" s="187"/>
      <c r="EB39" s="188"/>
      <c r="EC39" s="189"/>
      <c r="ED39" s="176">
        <v>35</v>
      </c>
      <c r="EE39" s="187"/>
      <c r="EF39" s="188"/>
      <c r="EG39" s="189"/>
      <c r="EH39" s="176">
        <v>35</v>
      </c>
      <c r="EI39" s="187"/>
      <c r="EJ39" s="188"/>
      <c r="EK39" s="189"/>
      <c r="EL39" s="176">
        <v>35</v>
      </c>
      <c r="EM39" s="187"/>
      <c r="EN39" s="188"/>
      <c r="EO39" s="189"/>
      <c r="EP39" s="176">
        <v>35</v>
      </c>
      <c r="EQ39" s="187"/>
      <c r="ER39" s="188"/>
      <c r="ES39" s="189"/>
      <c r="ET39" s="176">
        <v>35</v>
      </c>
      <c r="EU39" s="187"/>
      <c r="EV39" s="188"/>
      <c r="EW39" s="189"/>
      <c r="EX39" s="176">
        <v>35</v>
      </c>
      <c r="EY39" s="187"/>
      <c r="EZ39" s="188"/>
      <c r="FA39" s="189"/>
      <c r="FB39" s="176">
        <v>35</v>
      </c>
      <c r="FC39" s="187"/>
      <c r="FD39" s="188"/>
      <c r="FE39" s="189"/>
      <c r="FF39" s="176">
        <v>35</v>
      </c>
      <c r="FG39" s="187"/>
      <c r="FH39" s="188"/>
      <c r="FI39" s="189"/>
    </row>
    <row r="40" spans="1:165" x14ac:dyDescent="0.25">
      <c r="A40" s="9">
        <v>37</v>
      </c>
      <c r="B40" s="173" t="s">
        <v>1563</v>
      </c>
      <c r="C40" s="9">
        <v>146</v>
      </c>
      <c r="D40" s="9">
        <v>147</v>
      </c>
      <c r="E40" s="9">
        <v>148</v>
      </c>
    </row>
    <row r="41" spans="1:165" x14ac:dyDescent="0.25">
      <c r="A41" s="9">
        <v>38</v>
      </c>
      <c r="B41" s="173" t="s">
        <v>1564</v>
      </c>
      <c r="C41" s="9">
        <v>150</v>
      </c>
      <c r="D41" s="9">
        <v>151</v>
      </c>
      <c r="E41" s="9">
        <v>152</v>
      </c>
    </row>
    <row r="43" spans="1:165" x14ac:dyDescent="0.25">
      <c r="A43" s="8" t="s">
        <v>200</v>
      </c>
      <c r="I43" s="8" t="s">
        <v>199</v>
      </c>
    </row>
    <row r="44" spans="1:165" x14ac:dyDescent="0.25">
      <c r="A44" s="8" t="s">
        <v>1522</v>
      </c>
    </row>
    <row r="45" spans="1:165" x14ac:dyDescent="0.25">
      <c r="A45" s="8" t="s">
        <v>1523</v>
      </c>
    </row>
    <row r="46" spans="1:165" x14ac:dyDescent="0.25">
      <c r="A46" s="8" t="s">
        <v>1524</v>
      </c>
    </row>
    <row r="47" spans="1:165" x14ac:dyDescent="0.25">
      <c r="A47" s="8" t="s">
        <v>1525</v>
      </c>
    </row>
    <row r="48" spans="1:165" x14ac:dyDescent="0.25">
      <c r="A48" s="8" t="s">
        <v>1526</v>
      </c>
    </row>
  </sheetData>
  <sheetProtection password="83A9" sheet="1" objects="1" scenarios="1"/>
  <mergeCells count="41">
    <mergeCell ref="FF2:FI2"/>
    <mergeCell ref="DR2:DU2"/>
    <mergeCell ref="DV2:DY2"/>
    <mergeCell ref="ET2:EW2"/>
    <mergeCell ref="EX2:FA2"/>
    <mergeCell ref="FB2:FE2"/>
    <mergeCell ref="DZ2:EC2"/>
    <mergeCell ref="ED2:EG2"/>
    <mergeCell ref="EH2:EK2"/>
    <mergeCell ref="EL2:EO2"/>
    <mergeCell ref="EP2:ES2"/>
    <mergeCell ref="CX2:DA2"/>
    <mergeCell ref="DB2:DE2"/>
    <mergeCell ref="DF2:DI2"/>
    <mergeCell ref="DJ2:DM2"/>
    <mergeCell ref="DN2:DQ2"/>
    <mergeCell ref="CD2:CG2"/>
    <mergeCell ref="CH2:CK2"/>
    <mergeCell ref="CL2:CO2"/>
    <mergeCell ref="CP2:CS2"/>
    <mergeCell ref="CT2:CW2"/>
    <mergeCell ref="BJ2:BM2"/>
    <mergeCell ref="BN2:BQ2"/>
    <mergeCell ref="BR2:BU2"/>
    <mergeCell ref="BV2:BY2"/>
    <mergeCell ref="BZ2:CC2"/>
    <mergeCell ref="AP2:AS2"/>
    <mergeCell ref="AT2:AW2"/>
    <mergeCell ref="AX2:BA2"/>
    <mergeCell ref="BB2:BE2"/>
    <mergeCell ref="BF2:BI2"/>
    <mergeCell ref="V2:Y2"/>
    <mergeCell ref="Z2:AC2"/>
    <mergeCell ref="AD2:AG2"/>
    <mergeCell ref="AH2:AK2"/>
    <mergeCell ref="AL2:AO2"/>
    <mergeCell ref="A2:A3"/>
    <mergeCell ref="B2:B3"/>
    <mergeCell ref="J2:M2"/>
    <mergeCell ref="N2:Q2"/>
    <mergeCell ref="R2:U2"/>
  </mergeCells>
  <conditionalFormatting sqref="G5:I39">
    <cfRule type="containsBlanks" dxfId="42" priority="6">
      <formula>LEN(TRIM(G5))=0</formula>
    </cfRule>
  </conditionalFormatting>
  <conditionalFormatting sqref="K5:M39">
    <cfRule type="containsBlanks" dxfId="41" priority="4">
      <formula>LEN(TRIM(K5))=0</formula>
    </cfRule>
  </conditionalFormatting>
  <conditionalFormatting sqref="S5:U39 AA5:AC39 AQ5:AS39 AY5:BA39 BG5:BI39 BW5:BY39 CE5:CG39 CM5:CO39 CU5:CW39 DC5:DE39 DK5:DM39 DS5:DU39 EA5:EC39 EI5:EK39 EQ5:ES39 EY5:FA39 AI5:AK39 BO5:BQ39">
    <cfRule type="containsBlanks" dxfId="40" priority="3">
      <formula>LEN(TRIM(S5))=0</formula>
    </cfRule>
  </conditionalFormatting>
  <conditionalFormatting sqref="O5:Q39 W5:Y39 AE5:AG39 AM5:AO39 AU5:AW39 BC5:BE39 BK5:BM39 BS5:BU39 CA5:CC39 CI5:CK39 CQ5:CS39 CY5:DA39 DG5:DI39 DO5:DQ39 DW5:DY39 EE5:EG39 EM5:EO39 EU5:EW39 FC5:FE39">
    <cfRule type="containsBlanks" dxfId="39" priority="2">
      <formula>LEN(TRIM(O5))=0</formula>
    </cfRule>
  </conditionalFormatting>
  <conditionalFormatting sqref="FG5:FI39">
    <cfRule type="containsBlanks" dxfId="38" priority="1">
      <formula>LEN(TRIM(FG5))=0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H153"/>
  <sheetViews>
    <sheetView view="pageBreakPreview" zoomScaleSheetLayoutView="100" workbookViewId="0">
      <pane ySplit="7" topLeftCell="A133" activePane="bottomLeft" state="frozenSplit"/>
      <selection pane="bottomLeft"/>
    </sheetView>
  </sheetViews>
  <sheetFormatPr defaultColWidth="9.140625" defaultRowHeight="15" x14ac:dyDescent="0.2"/>
  <cols>
    <col min="1" max="1" width="1.85546875" style="10" customWidth="1"/>
    <col min="2" max="2" width="4.28515625" style="10" customWidth="1"/>
    <col min="3" max="4" width="9.140625" style="10" customWidth="1"/>
    <col min="5" max="5" width="15" style="10" customWidth="1"/>
    <col min="6" max="6" width="14.28515625" style="10" customWidth="1"/>
    <col min="7" max="7" width="11.7109375" style="10" customWidth="1"/>
    <col min="8" max="8" width="18.42578125" style="10" customWidth="1"/>
    <col min="9" max="9" width="11.7109375" style="10" customWidth="1"/>
    <col min="10" max="10" width="15.85546875" style="10" customWidth="1"/>
    <col min="11" max="12" width="9.140625" style="10"/>
    <col min="13" max="13" width="1.5703125" style="10" bestFit="1" customWidth="1"/>
    <col min="14" max="16384" width="9.140625" style="10"/>
  </cols>
  <sheetData>
    <row r="1" spans="2:15" ht="48" customHeight="1" x14ac:dyDescent="0.2">
      <c r="F1" s="90"/>
      <c r="H1" s="91"/>
      <c r="J1" s="163">
        <v>31</v>
      </c>
    </row>
    <row r="3" spans="2:15" ht="15.75" x14ac:dyDescent="0.25">
      <c r="B3" s="105" t="s">
        <v>2</v>
      </c>
      <c r="C3" s="106"/>
      <c r="D3" s="105"/>
      <c r="E3" s="107" t="str">
        <f>": "&amp;IF(Setting!E5="","",Setting!E5)&amp;""</f>
        <v>: SMA ABBS Surakarta</v>
      </c>
      <c r="F3" s="108"/>
      <c r="G3" s="107"/>
      <c r="H3" s="105" t="s">
        <v>3</v>
      </c>
      <c r="I3" s="109" t="str">
        <f>": "&amp;VLOOKUP($J$1,Legger!$A$9:$DS$48,5)&amp;""</f>
        <v>: XII MIPA 4</v>
      </c>
      <c r="J3" s="109"/>
      <c r="K3" s="92"/>
      <c r="L3" s="93"/>
      <c r="M3" s="92"/>
      <c r="N3" s="93"/>
    </row>
    <row r="4" spans="2:15" ht="15" customHeight="1" x14ac:dyDescent="0.25">
      <c r="B4" s="105" t="s">
        <v>4</v>
      </c>
      <c r="C4" s="106"/>
      <c r="D4" s="105"/>
      <c r="E4" s="235" t="str">
        <f>": "&amp;IF(Setting!E6="","",Setting!E6)&amp;""</f>
        <v>: Jln. Tarumanegara III No 22, Banyuanyar, Banjarsari, Surakarta</v>
      </c>
      <c r="F4" s="235"/>
      <c r="G4" s="235"/>
      <c r="H4" s="110" t="s">
        <v>5</v>
      </c>
      <c r="I4" s="111" t="str">
        <f>": "&amp;Setting!E15&amp;" ("&amp;Setting!F15&amp;")"</f>
        <v>: V (GANJIL)</v>
      </c>
      <c r="J4" s="109"/>
      <c r="K4" s="92"/>
      <c r="M4" s="94"/>
      <c r="N4" s="94"/>
      <c r="O4" s="94"/>
    </row>
    <row r="5" spans="2:15" ht="14.25" customHeight="1" x14ac:dyDescent="0.25">
      <c r="B5" s="105"/>
      <c r="C5" s="106"/>
      <c r="D5" s="105"/>
      <c r="E5" s="235" t="s">
        <v>134</v>
      </c>
      <c r="F5" s="235"/>
      <c r="G5" s="235"/>
      <c r="H5" s="276" t="s">
        <v>77</v>
      </c>
      <c r="I5" s="112" t="str">
        <f>": "&amp;Setting!E14&amp;""</f>
        <v>: 2022/2023</v>
      </c>
      <c r="J5" s="109"/>
      <c r="K5" s="92"/>
      <c r="L5" s="94"/>
      <c r="M5" s="94"/>
      <c r="N5" s="94"/>
      <c r="O5" s="94"/>
    </row>
    <row r="6" spans="2:15" ht="15" customHeight="1" x14ac:dyDescent="0.25">
      <c r="B6" s="113" t="s">
        <v>6</v>
      </c>
      <c r="C6" s="106"/>
      <c r="D6" s="113"/>
      <c r="E6" s="109" t="str">
        <f>": "&amp;VLOOKUP($J$1,Legger!$A$9:$DS$48,2)&amp;""</f>
        <v>: Zaidan Mu'afy Althaf</v>
      </c>
      <c r="F6" s="108"/>
      <c r="G6" s="114"/>
      <c r="H6" s="276"/>
      <c r="I6" s="109"/>
      <c r="J6" s="109"/>
      <c r="K6" s="92"/>
      <c r="L6" s="94"/>
      <c r="M6" s="94"/>
      <c r="N6" s="94"/>
      <c r="O6" s="94"/>
    </row>
    <row r="7" spans="2:15" s="100" customFormat="1" ht="18" customHeight="1" thickBot="1" x14ac:dyDescent="0.3">
      <c r="B7" s="115" t="s">
        <v>7</v>
      </c>
      <c r="C7" s="116"/>
      <c r="D7" s="115"/>
      <c r="E7" s="117" t="str">
        <f>": "&amp;VLOOKUP($J$1,Legger!$A$9:$DS$48,3)&amp;" / "&amp;VLOOKUP($J$1,Legger!$A$9:$DS$48,4)&amp;""</f>
        <v>: 2008347 / 0056182222</v>
      </c>
      <c r="F7" s="118"/>
      <c r="G7" s="119"/>
      <c r="H7" s="117"/>
      <c r="I7" s="120"/>
      <c r="J7" s="120"/>
      <c r="K7" s="98"/>
      <c r="L7" s="99"/>
      <c r="M7" s="99"/>
      <c r="N7" s="99"/>
      <c r="O7" s="99"/>
    </row>
    <row r="8" spans="2:15" ht="16.5" thickTop="1" x14ac:dyDescent="0.2">
      <c r="B8" s="106"/>
      <c r="C8" s="106"/>
      <c r="D8" s="106"/>
      <c r="E8" s="106"/>
      <c r="F8" s="106"/>
      <c r="G8" s="106"/>
      <c r="H8" s="106"/>
      <c r="I8" s="106"/>
      <c r="J8" s="106"/>
      <c r="K8" s="92"/>
      <c r="L8" s="94"/>
      <c r="M8" s="94"/>
      <c r="N8" s="94"/>
      <c r="O8" s="94"/>
    </row>
    <row r="9" spans="2:15" ht="15" customHeight="1" x14ac:dyDescent="0.25">
      <c r="B9" s="121" t="s">
        <v>50</v>
      </c>
      <c r="C9" s="106"/>
      <c r="D9" s="106"/>
      <c r="E9" s="106"/>
      <c r="F9" s="106"/>
      <c r="G9" s="106"/>
      <c r="H9" s="106"/>
      <c r="I9" s="106"/>
      <c r="J9" s="106"/>
      <c r="K9" s="92"/>
      <c r="L9" s="94"/>
      <c r="M9" s="94"/>
      <c r="N9" s="94"/>
      <c r="O9" s="94"/>
    </row>
    <row r="10" spans="2:15" ht="14.25" customHeight="1" x14ac:dyDescent="0.25">
      <c r="B10" s="122" t="s">
        <v>51</v>
      </c>
      <c r="C10" s="122" t="s">
        <v>52</v>
      </c>
      <c r="D10" s="109"/>
      <c r="E10" s="109"/>
      <c r="F10" s="109"/>
      <c r="G10" s="109"/>
      <c r="H10" s="109"/>
      <c r="I10" s="109"/>
      <c r="J10" s="109"/>
      <c r="K10" s="92"/>
      <c r="L10" s="94"/>
      <c r="M10" s="94"/>
      <c r="N10" s="94"/>
      <c r="O10" s="94"/>
    </row>
    <row r="11" spans="2:15" ht="20.25" customHeight="1" x14ac:dyDescent="0.25">
      <c r="B11" s="123" t="s">
        <v>53</v>
      </c>
      <c r="C11" s="124"/>
      <c r="D11" s="124"/>
      <c r="E11" s="124"/>
      <c r="F11" s="124"/>
      <c r="G11" s="124"/>
      <c r="H11" s="124"/>
      <c r="I11" s="124"/>
      <c r="J11" s="125"/>
      <c r="K11" s="92"/>
      <c r="L11" s="94"/>
      <c r="M11" s="94"/>
      <c r="N11" s="94"/>
      <c r="O11" s="94"/>
    </row>
    <row r="12" spans="2:15" ht="6.75" customHeight="1" x14ac:dyDescent="0.2">
      <c r="B12" s="126"/>
      <c r="C12" s="127"/>
      <c r="D12" s="127"/>
      <c r="E12" s="127"/>
      <c r="F12" s="127"/>
      <c r="G12" s="127"/>
      <c r="H12" s="127"/>
      <c r="I12" s="127"/>
      <c r="J12" s="128"/>
      <c r="K12" s="92"/>
      <c r="L12" s="94"/>
      <c r="M12" s="94"/>
      <c r="N12" s="94"/>
      <c r="O12" s="94"/>
    </row>
    <row r="13" spans="2:15" ht="14.25" customHeight="1" x14ac:dyDescent="0.25">
      <c r="B13" s="238" t="s">
        <v>78</v>
      </c>
      <c r="C13" s="238"/>
      <c r="D13" s="238"/>
      <c r="E13" s="238" t="s">
        <v>38</v>
      </c>
      <c r="F13" s="238"/>
      <c r="G13" s="238"/>
      <c r="H13" s="238"/>
      <c r="I13" s="238"/>
      <c r="J13" s="238"/>
      <c r="K13" s="92"/>
      <c r="L13" s="94"/>
      <c r="M13" s="94"/>
      <c r="N13" s="94"/>
      <c r="O13" s="94"/>
    </row>
    <row r="14" spans="2:15" ht="60" customHeight="1" x14ac:dyDescent="0.2">
      <c r="B14" s="255" t="str">
        <f>VLOOKUP($J$1,Legger!$A$9:$DS$48,6)</f>
        <v>A</v>
      </c>
      <c r="C14" s="256"/>
      <c r="D14" s="256"/>
      <c r="E14" s="252" t="str">
        <f>VLOOKUP($J$1,Legger!$A$9:$DS$48,7)</f>
        <v>Mengikuti rutinitas ibadah dengan tertib dan mengamalkan nilai-nilai agama dalam kegiatan pembelajaran.</v>
      </c>
      <c r="F14" s="253"/>
      <c r="G14" s="253"/>
      <c r="H14" s="253"/>
      <c r="I14" s="253"/>
      <c r="J14" s="254"/>
    </row>
    <row r="15" spans="2:15" ht="21" customHeight="1" x14ac:dyDescent="0.25">
      <c r="B15" s="123" t="s">
        <v>54</v>
      </c>
      <c r="C15" s="124"/>
      <c r="D15" s="124"/>
      <c r="E15" s="124"/>
      <c r="F15" s="124"/>
      <c r="G15" s="124"/>
      <c r="H15" s="124"/>
      <c r="I15" s="124"/>
      <c r="J15" s="125"/>
    </row>
    <row r="16" spans="2:15" ht="7.5" customHeight="1" x14ac:dyDescent="0.2">
      <c r="B16" s="126"/>
      <c r="C16" s="127"/>
      <c r="D16" s="127"/>
      <c r="E16" s="127"/>
      <c r="F16" s="127"/>
      <c r="G16" s="127"/>
      <c r="H16" s="127"/>
      <c r="I16" s="127"/>
      <c r="J16" s="128"/>
    </row>
    <row r="17" spans="2:10" ht="14.25" customHeight="1" x14ac:dyDescent="0.25">
      <c r="B17" s="238" t="s">
        <v>78</v>
      </c>
      <c r="C17" s="238"/>
      <c r="D17" s="238"/>
      <c r="E17" s="238" t="s">
        <v>38</v>
      </c>
      <c r="F17" s="238"/>
      <c r="G17" s="238"/>
      <c r="H17" s="238"/>
      <c r="I17" s="238"/>
      <c r="J17" s="238"/>
    </row>
    <row r="18" spans="2:10" ht="60" customHeight="1" x14ac:dyDescent="0.2">
      <c r="B18" s="255" t="str">
        <f>VLOOKUP($J$1,Legger!$A$9:$DS$48,8)</f>
        <v>B</v>
      </c>
      <c r="C18" s="256"/>
      <c r="D18" s="256"/>
      <c r="E18" s="252" t="str">
        <f>VLOOKUP($J$1,Legger!$A$9:$DS$48,9)</f>
        <v>Memiliki sopan santun yang baik dan mampu memposisikan diri dengan baik dalam pertemanan</v>
      </c>
      <c r="F18" s="253"/>
      <c r="G18" s="253"/>
      <c r="H18" s="253"/>
      <c r="I18" s="253"/>
      <c r="J18" s="254"/>
    </row>
    <row r="19" spans="2:10" ht="14.25" customHeight="1" x14ac:dyDescent="0.2">
      <c r="B19" s="109"/>
      <c r="C19" s="129"/>
      <c r="D19" s="129"/>
      <c r="E19" s="129"/>
      <c r="F19" s="129"/>
      <c r="G19" s="129"/>
      <c r="H19" s="129"/>
      <c r="I19" s="129"/>
      <c r="J19" s="129"/>
    </row>
    <row r="20" spans="2:10" ht="14.25" customHeight="1" x14ac:dyDescent="0.25">
      <c r="B20" s="122" t="s">
        <v>55</v>
      </c>
      <c r="C20" s="122" t="s">
        <v>56</v>
      </c>
      <c r="D20" s="129"/>
      <c r="E20" s="129"/>
      <c r="F20" s="129"/>
      <c r="G20" s="129"/>
      <c r="H20" s="129"/>
      <c r="I20" s="129"/>
      <c r="J20" s="129"/>
    </row>
    <row r="21" spans="2:10" ht="14.25" customHeight="1" x14ac:dyDescent="0.2">
      <c r="B21" s="240" t="s">
        <v>30</v>
      </c>
      <c r="C21" s="240" t="s">
        <v>0</v>
      </c>
      <c r="D21" s="240"/>
      <c r="E21" s="240"/>
      <c r="F21" s="251" t="s">
        <v>79</v>
      </c>
      <c r="G21" s="251" t="s">
        <v>31</v>
      </c>
      <c r="H21" s="251"/>
      <c r="I21" s="251" t="s">
        <v>32</v>
      </c>
      <c r="J21" s="251"/>
    </row>
    <row r="22" spans="2:10" ht="14.25" customHeight="1" x14ac:dyDescent="0.25">
      <c r="B22" s="240"/>
      <c r="C22" s="240"/>
      <c r="D22" s="240"/>
      <c r="E22" s="240"/>
      <c r="F22" s="251"/>
      <c r="G22" s="130" t="s">
        <v>57</v>
      </c>
      <c r="H22" s="130" t="s">
        <v>78</v>
      </c>
      <c r="I22" s="131" t="s">
        <v>57</v>
      </c>
      <c r="J22" s="130" t="s">
        <v>78</v>
      </c>
    </row>
    <row r="23" spans="2:10" ht="14.25" customHeight="1" x14ac:dyDescent="0.25">
      <c r="B23" s="264" t="s">
        <v>46</v>
      </c>
      <c r="C23" s="265"/>
      <c r="D23" s="265"/>
      <c r="E23" s="265"/>
      <c r="F23" s="265"/>
      <c r="G23" s="265"/>
      <c r="H23" s="265"/>
      <c r="I23" s="265"/>
      <c r="J23" s="265"/>
    </row>
    <row r="24" spans="2:10" ht="31.5" customHeight="1" x14ac:dyDescent="0.2">
      <c r="B24" s="132">
        <v>1</v>
      </c>
      <c r="C24" s="237" t="s">
        <v>8</v>
      </c>
      <c r="D24" s="237"/>
      <c r="E24" s="237"/>
      <c r="F24" s="132">
        <f>IF(Setting!P7="","",Setting!P7)</f>
        <v>75</v>
      </c>
      <c r="G24" s="133">
        <f>VLOOKUP($J$1,Legger!$A$9:$DS$48,10)</f>
        <v>93</v>
      </c>
      <c r="H24" s="132" t="str">
        <f>VLOOKUP($J$1,Legger!$A$9:$DS$48,11)</f>
        <v>A</v>
      </c>
      <c r="I24" s="134">
        <f>VLOOKUP($J$1,Legger!$A$9:$DS$48,13)</f>
        <v>88</v>
      </c>
      <c r="J24" s="132" t="str">
        <f>VLOOKUP($J$1,Legger!$A$9:$DS$48,14)</f>
        <v>A</v>
      </c>
    </row>
    <row r="25" spans="2:10" ht="31.5" customHeight="1" x14ac:dyDescent="0.2">
      <c r="B25" s="132">
        <v>2</v>
      </c>
      <c r="C25" s="237" t="s">
        <v>9</v>
      </c>
      <c r="D25" s="237"/>
      <c r="E25" s="237"/>
      <c r="F25" s="132">
        <f>IF(Setting!P8="","",Setting!P8)</f>
        <v>75</v>
      </c>
      <c r="G25" s="133">
        <f>VLOOKUP($J$1,Legger!$A$9:$DS$48,16)</f>
        <v>88</v>
      </c>
      <c r="H25" s="132" t="str">
        <f>VLOOKUP($J$1,Legger!$A$9:$DS$48,17)</f>
        <v>A</v>
      </c>
      <c r="I25" s="134">
        <f>VLOOKUP($J$1,Legger!$A$9:$DS$48,19)</f>
        <v>83</v>
      </c>
      <c r="J25" s="132" t="str">
        <f>VLOOKUP($J$1,Legger!$A$9:$DS$48,20)</f>
        <v>B</v>
      </c>
    </row>
    <row r="26" spans="2:10" ht="31.5" customHeight="1" x14ac:dyDescent="0.2">
      <c r="B26" s="132">
        <v>3</v>
      </c>
      <c r="C26" s="237" t="s">
        <v>10</v>
      </c>
      <c r="D26" s="237"/>
      <c r="E26" s="237"/>
      <c r="F26" s="132">
        <f>IF(Setting!P9="","",Setting!P9)</f>
        <v>75</v>
      </c>
      <c r="G26" s="133">
        <f>VLOOKUP($J$1,Legger!$A$9:$DS$48,22)</f>
        <v>88</v>
      </c>
      <c r="H26" s="132" t="str">
        <f>VLOOKUP($J$1,Legger!$A$9:$DS$48,23)</f>
        <v>A</v>
      </c>
      <c r="I26" s="134">
        <f>VLOOKUP($J$1,Legger!$A$9:$DS$48,25)</f>
        <v>88</v>
      </c>
      <c r="J26" s="132" t="str">
        <f>VLOOKUP($J$1,Legger!$A$9:$DS$48,26)</f>
        <v>A</v>
      </c>
    </row>
    <row r="27" spans="2:10" ht="31.5" customHeight="1" x14ac:dyDescent="0.2">
      <c r="B27" s="132">
        <v>4</v>
      </c>
      <c r="C27" s="237" t="s">
        <v>11</v>
      </c>
      <c r="D27" s="237"/>
      <c r="E27" s="237"/>
      <c r="F27" s="132">
        <f>IF(Setting!P10="","",Setting!P10)</f>
        <v>75</v>
      </c>
      <c r="G27" s="133">
        <f>VLOOKUP($J$1,Legger!$A$9:$DS$48,28)</f>
        <v>91</v>
      </c>
      <c r="H27" s="132" t="str">
        <f>VLOOKUP($J$1,Legger!$A$9:$DS$48,29)</f>
        <v>A</v>
      </c>
      <c r="I27" s="134">
        <f>VLOOKUP($J$1,Legger!$A$9:$DS$48,31)</f>
        <v>85</v>
      </c>
      <c r="J27" s="132" t="str">
        <f>VLOOKUP($J$1,Legger!$A$9:$DS$48,32)</f>
        <v>B</v>
      </c>
    </row>
    <row r="28" spans="2:10" ht="31.5" customHeight="1" x14ac:dyDescent="0.2">
      <c r="B28" s="132">
        <v>5</v>
      </c>
      <c r="C28" s="237" t="s">
        <v>12</v>
      </c>
      <c r="D28" s="237"/>
      <c r="E28" s="237"/>
      <c r="F28" s="132">
        <f>IF(Setting!P11="","",Setting!P11)</f>
        <v>75</v>
      </c>
      <c r="G28" s="133">
        <f>VLOOKUP($J$1,Legger!$A$9:$DS$48,34)</f>
        <v>93</v>
      </c>
      <c r="H28" s="132" t="str">
        <f>VLOOKUP($J$1,Legger!$A$9:$DS$48,35)</f>
        <v>A</v>
      </c>
      <c r="I28" s="134">
        <f>VLOOKUP($J$1,Legger!$A$9:$DS$48,37)</f>
        <v>84</v>
      </c>
      <c r="J28" s="132" t="str">
        <f>VLOOKUP($J$1,Legger!$A$9:$DS$48,38)</f>
        <v>B</v>
      </c>
    </row>
    <row r="29" spans="2:10" ht="31.5" customHeight="1" x14ac:dyDescent="0.2">
      <c r="B29" s="132">
        <v>6</v>
      </c>
      <c r="C29" s="237" t="s">
        <v>13</v>
      </c>
      <c r="D29" s="237"/>
      <c r="E29" s="237"/>
      <c r="F29" s="132">
        <f>IF(Setting!P12="","",Setting!P12)</f>
        <v>75</v>
      </c>
      <c r="G29" s="133">
        <f>VLOOKUP($J$1,Legger!$A$9:$DS$48,40)</f>
        <v>87</v>
      </c>
      <c r="H29" s="132" t="str">
        <f>VLOOKUP($J$1,Legger!$A$9:$DS$48,41)</f>
        <v>B</v>
      </c>
      <c r="I29" s="134">
        <f>VLOOKUP($J$1,Legger!$A$9:$DS$48,43)</f>
        <v>84</v>
      </c>
      <c r="J29" s="132" t="str">
        <f>VLOOKUP($J$1,Legger!$A$9:$DS$48,44)</f>
        <v>B</v>
      </c>
    </row>
    <row r="30" spans="2:10" ht="15.75" x14ac:dyDescent="0.25">
      <c r="B30" s="239" t="s">
        <v>47</v>
      </c>
      <c r="C30" s="239"/>
      <c r="D30" s="239"/>
      <c r="E30" s="239"/>
      <c r="F30" s="239"/>
      <c r="G30" s="239"/>
      <c r="H30" s="239"/>
      <c r="I30" s="239"/>
      <c r="J30" s="239"/>
    </row>
    <row r="31" spans="2:10" ht="31.5" customHeight="1" x14ac:dyDescent="0.2">
      <c r="B31" s="132">
        <v>1</v>
      </c>
      <c r="C31" s="237" t="s">
        <v>15</v>
      </c>
      <c r="D31" s="237"/>
      <c r="E31" s="237"/>
      <c r="F31" s="132">
        <f>IF(Setting!P14="","",Setting!P14)</f>
        <v>75</v>
      </c>
      <c r="G31" s="133">
        <f>VLOOKUP($J$1,Legger!$A$9:$DS$48,46)</f>
        <v>90</v>
      </c>
      <c r="H31" s="132" t="str">
        <f>VLOOKUP($J$1,Legger!$A$9:$DS$48,47)</f>
        <v>A</v>
      </c>
      <c r="I31" s="134">
        <f>VLOOKUP($J$1,Legger!$A$9:$DS$48,49)</f>
        <v>90</v>
      </c>
      <c r="J31" s="132" t="str">
        <f>VLOOKUP($J$1,Legger!$A$9:$DS$48,50)</f>
        <v>A</v>
      </c>
    </row>
    <row r="32" spans="2:10" ht="31.5" customHeight="1" x14ac:dyDescent="0.2">
      <c r="B32" s="132">
        <v>2</v>
      </c>
      <c r="C32" s="237" t="s">
        <v>16</v>
      </c>
      <c r="D32" s="237"/>
      <c r="E32" s="237"/>
      <c r="F32" s="132">
        <f>IF(Setting!P15="","",Setting!P15)</f>
        <v>75</v>
      </c>
      <c r="G32" s="133">
        <f>VLOOKUP($J$1,Legger!$A$9:$DS$48,52)</f>
        <v>91</v>
      </c>
      <c r="H32" s="132" t="str">
        <f>VLOOKUP($J$1,Legger!$A$9:$DS$48,53)</f>
        <v>A</v>
      </c>
      <c r="I32" s="134">
        <f>VLOOKUP($J$1,Legger!$A$9:$DS$48,55)</f>
        <v>84</v>
      </c>
      <c r="J32" s="132" t="str">
        <f>VLOOKUP($J$1,Legger!$A$9:$DS$48,56)</f>
        <v>B</v>
      </c>
    </row>
    <row r="33" spans="2:10" ht="31.5" customHeight="1" x14ac:dyDescent="0.2">
      <c r="B33" s="132">
        <v>3</v>
      </c>
      <c r="C33" s="237" t="s">
        <v>17</v>
      </c>
      <c r="D33" s="237"/>
      <c r="E33" s="237"/>
      <c r="F33" s="132">
        <f>IF(Setting!P16="","",Setting!P16)</f>
        <v>75</v>
      </c>
      <c r="G33" s="133">
        <f>VLOOKUP($J$1,Legger!$A$9:$DS$48,58)</f>
        <v>93</v>
      </c>
      <c r="H33" s="132" t="str">
        <f>VLOOKUP($J$1,Legger!$A$9:$DS$48,59)</f>
        <v>A</v>
      </c>
      <c r="I33" s="134">
        <f>VLOOKUP($J$1,Legger!$A$9:$DS$48,61)</f>
        <v>87</v>
      </c>
      <c r="J33" s="132" t="str">
        <f>VLOOKUP($J$1,Legger!$A$9:$DS$48,62)</f>
        <v>B</v>
      </c>
    </row>
    <row r="34" spans="2:10" ht="31.5" customHeight="1" x14ac:dyDescent="0.2">
      <c r="B34" s="132">
        <v>4</v>
      </c>
      <c r="C34" s="237" t="s">
        <v>18</v>
      </c>
      <c r="D34" s="237"/>
      <c r="E34" s="237"/>
      <c r="F34" s="132">
        <f>IF(Setting!P17="","",Setting!P17)</f>
        <v>75</v>
      </c>
      <c r="G34" s="133">
        <f>VLOOKUP($J$1,Legger!$A$9:$DS$48,64)</f>
        <v>81</v>
      </c>
      <c r="H34" s="132" t="str">
        <f>VLOOKUP($J$1,Legger!$A$9:$DS$48,65)</f>
        <v>B</v>
      </c>
      <c r="I34" s="134">
        <f>VLOOKUP($J$1,Legger!$A$9:$DS$48,67)</f>
        <v>81</v>
      </c>
      <c r="J34" s="132" t="str">
        <f>VLOOKUP($J$1,Legger!$A$9:$DS$48,68)</f>
        <v>B</v>
      </c>
    </row>
    <row r="35" spans="2:10" ht="15.75" x14ac:dyDescent="0.25">
      <c r="B35" s="239" t="s">
        <v>19</v>
      </c>
      <c r="C35" s="239"/>
      <c r="D35" s="239"/>
      <c r="E35" s="239"/>
      <c r="F35" s="239"/>
      <c r="G35" s="239"/>
      <c r="H35" s="239"/>
      <c r="I35" s="239"/>
      <c r="J35" s="239"/>
    </row>
    <row r="36" spans="2:10" ht="15.75" x14ac:dyDescent="0.25">
      <c r="B36" s="239" t="s">
        <v>49</v>
      </c>
      <c r="C36" s="239"/>
      <c r="D36" s="239"/>
      <c r="E36" s="239"/>
      <c r="F36" s="239"/>
      <c r="G36" s="239"/>
      <c r="H36" s="239"/>
      <c r="I36" s="239"/>
      <c r="J36" s="239"/>
    </row>
    <row r="37" spans="2:10" ht="31.5" customHeight="1" x14ac:dyDescent="0.2">
      <c r="B37" s="132">
        <v>1</v>
      </c>
      <c r="C37" s="237" t="s">
        <v>11</v>
      </c>
      <c r="D37" s="237"/>
      <c r="E37" s="237"/>
      <c r="F37" s="132">
        <f>IF(Setting!P20="","",Setting!P20)</f>
        <v>75</v>
      </c>
      <c r="G37" s="133">
        <f>VLOOKUP($J$1,Legger!$A$9:$DS$48,70)</f>
        <v>86</v>
      </c>
      <c r="H37" s="132" t="str">
        <f>VLOOKUP($J$1,Legger!$A$9:$DS$48,71)</f>
        <v>B</v>
      </c>
      <c r="I37" s="134">
        <f>VLOOKUP($J$1,Legger!$A$9:$DS$48,73)</f>
        <v>84</v>
      </c>
      <c r="J37" s="132" t="str">
        <f>VLOOKUP($J$1,Legger!$A$9:$DS$48,74)</f>
        <v>B</v>
      </c>
    </row>
    <row r="38" spans="2:10" ht="31.5" customHeight="1" x14ac:dyDescent="0.2">
      <c r="B38" s="132">
        <v>2</v>
      </c>
      <c r="C38" s="237" t="s">
        <v>20</v>
      </c>
      <c r="D38" s="237"/>
      <c r="E38" s="237"/>
      <c r="F38" s="132">
        <f>IF(Setting!P21="","",Setting!P21)</f>
        <v>75</v>
      </c>
      <c r="G38" s="133">
        <f>VLOOKUP($J$1,Legger!$A$9:$DS$48,76)</f>
        <v>86</v>
      </c>
      <c r="H38" s="132" t="str">
        <f>VLOOKUP($J$1,Legger!$A$9:$DS$48,77)</f>
        <v>B</v>
      </c>
      <c r="I38" s="134">
        <f>VLOOKUP($J$1,Legger!$A$9:$DS$48,79)</f>
        <v>83</v>
      </c>
      <c r="J38" s="132" t="str">
        <f>VLOOKUP($J$1,Legger!$A$9:$DS$48,80)</f>
        <v>B</v>
      </c>
    </row>
    <row r="39" spans="2:10" ht="31.5" customHeight="1" x14ac:dyDescent="0.2">
      <c r="B39" s="132">
        <v>3</v>
      </c>
      <c r="C39" s="237" t="s">
        <v>21</v>
      </c>
      <c r="D39" s="237"/>
      <c r="E39" s="237"/>
      <c r="F39" s="132">
        <f>IF(Setting!P22="","",Setting!P22)</f>
        <v>75</v>
      </c>
      <c r="G39" s="133">
        <f>VLOOKUP($J$1,Legger!$A$9:$DS$48,82)</f>
        <v>95</v>
      </c>
      <c r="H39" s="132" t="str">
        <f>VLOOKUP($J$1,Legger!$A$9:$DS$48,83)</f>
        <v>A</v>
      </c>
      <c r="I39" s="134">
        <f>VLOOKUP($J$1,Legger!$A$9:$DS$48,85)</f>
        <v>90</v>
      </c>
      <c r="J39" s="132" t="str">
        <f>VLOOKUP($J$1,Legger!$A$9:$DS$48,86)</f>
        <v>A</v>
      </c>
    </row>
    <row r="40" spans="2:10" ht="31.5" customHeight="1" x14ac:dyDescent="0.2">
      <c r="B40" s="132">
        <v>4</v>
      </c>
      <c r="C40" s="237" t="s">
        <v>22</v>
      </c>
      <c r="D40" s="237"/>
      <c r="E40" s="237"/>
      <c r="F40" s="132">
        <f>IF(Setting!P23="","",Setting!P23)</f>
        <v>75</v>
      </c>
      <c r="G40" s="133">
        <f>VLOOKUP($J$1,Legger!$A$9:$DS$48,88)</f>
        <v>89</v>
      </c>
      <c r="H40" s="132" t="str">
        <f>VLOOKUP($J$1,Legger!$A$9:$DS$48,89)</f>
        <v>A</v>
      </c>
      <c r="I40" s="134">
        <f>VLOOKUP($J$1,Legger!$A$9:$DS$48,91)</f>
        <v>85</v>
      </c>
      <c r="J40" s="132" t="str">
        <f>VLOOKUP($J$1,Legger!$A$9:$DS$48,92)</f>
        <v>B</v>
      </c>
    </row>
    <row r="41" spans="2:10" ht="15.75" x14ac:dyDescent="0.25">
      <c r="B41" s="239" t="s">
        <v>19</v>
      </c>
      <c r="C41" s="239"/>
      <c r="D41" s="239"/>
      <c r="E41" s="239"/>
      <c r="F41" s="239"/>
      <c r="G41" s="239"/>
      <c r="H41" s="239"/>
      <c r="I41" s="239"/>
      <c r="J41" s="239"/>
    </row>
    <row r="42" spans="2:10" ht="15.75" x14ac:dyDescent="0.25">
      <c r="B42" s="264" t="s">
        <v>48</v>
      </c>
      <c r="C42" s="265"/>
      <c r="D42" s="265"/>
      <c r="E42" s="265"/>
      <c r="F42" s="265"/>
      <c r="G42" s="265"/>
      <c r="H42" s="265"/>
      <c r="I42" s="265"/>
      <c r="J42" s="272"/>
    </row>
    <row r="43" spans="2:10" ht="31.5" hidden="1" customHeight="1" x14ac:dyDescent="0.2">
      <c r="B43" s="132">
        <v>1</v>
      </c>
      <c r="C43" s="237" t="s">
        <v>149</v>
      </c>
      <c r="D43" s="237"/>
      <c r="E43" s="237"/>
      <c r="F43" s="132">
        <f>IF(Setting!P26="","",Setting!P26)</f>
        <v>75</v>
      </c>
      <c r="G43" s="133">
        <f>VLOOKUP($J$1,Legger!$A$9:$DS$48,100)</f>
        <v>0</v>
      </c>
      <c r="H43" s="132">
        <f>VLOOKUP($J$1,Legger!$A$9:$DS$48,101)</f>
        <v>0</v>
      </c>
      <c r="I43" s="134">
        <f>VLOOKUP($J$1,Legger!$A$9:$DS$48,103)</f>
        <v>0</v>
      </c>
      <c r="J43" s="132">
        <f>VLOOKUP($J$1,Legger!$A$9:$DS$48,104)</f>
        <v>0</v>
      </c>
    </row>
    <row r="44" spans="2:10" ht="31.5" customHeight="1" x14ac:dyDescent="0.2">
      <c r="B44" s="132">
        <v>1</v>
      </c>
      <c r="C44" s="237" t="s">
        <v>147</v>
      </c>
      <c r="D44" s="237"/>
      <c r="E44" s="237"/>
      <c r="F44" s="132">
        <f>IF(C44="","",Setting!P25)</f>
        <v>75</v>
      </c>
      <c r="G44" s="133">
        <f>IF(C44="","",VLOOKUP($J$1,Legger!$A$9:$DS$48,94))</f>
        <v>93</v>
      </c>
      <c r="H44" s="132" t="str">
        <f>IF(C44="","",VLOOKUP($J$1,Legger!$A$9:$DS$48,95))</f>
        <v>A</v>
      </c>
      <c r="I44" s="134">
        <f>IF(C44="","",VLOOKUP($J$1,Legger!$A$9:$DS$48,97))</f>
        <v>86</v>
      </c>
      <c r="J44" s="132" t="str">
        <f>IF(C44="","",VLOOKUP($J$1,Legger!$A$9:$DS$48,98))</f>
        <v>B</v>
      </c>
    </row>
    <row r="45" spans="2:10" x14ac:dyDescent="0.2">
      <c r="B45" s="145"/>
      <c r="C45" s="160"/>
      <c r="D45" s="160"/>
      <c r="E45" s="160"/>
      <c r="F45" s="145"/>
      <c r="G45" s="159"/>
      <c r="H45" s="145"/>
      <c r="I45" s="159"/>
      <c r="J45" s="145"/>
    </row>
    <row r="46" spans="2:10" x14ac:dyDescent="0.2">
      <c r="B46" s="145"/>
      <c r="C46" s="161" t="s">
        <v>135</v>
      </c>
      <c r="D46" s="160"/>
      <c r="E46" s="160"/>
      <c r="F46" s="145"/>
      <c r="G46" s="159"/>
      <c r="H46" s="145"/>
      <c r="I46" s="159"/>
      <c r="J46" s="145"/>
    </row>
    <row r="47" spans="2:10" ht="15.75" x14ac:dyDescent="0.25">
      <c r="B47" s="145"/>
      <c r="C47" s="290" t="s">
        <v>79</v>
      </c>
      <c r="D47" s="290"/>
      <c r="E47" s="288" t="s">
        <v>78</v>
      </c>
      <c r="F47" s="288"/>
      <c r="G47" s="288"/>
      <c r="H47" s="288"/>
      <c r="I47" s="288"/>
      <c r="J47" s="288"/>
    </row>
    <row r="48" spans="2:10" ht="15.75" x14ac:dyDescent="0.25">
      <c r="B48" s="145"/>
      <c r="C48" s="290"/>
      <c r="D48" s="290"/>
      <c r="E48" s="162" t="s">
        <v>136</v>
      </c>
      <c r="F48" s="288" t="s">
        <v>137</v>
      </c>
      <c r="G48" s="288"/>
      <c r="H48" s="162" t="s">
        <v>138</v>
      </c>
      <c r="I48" s="288" t="s">
        <v>139</v>
      </c>
      <c r="J48" s="288"/>
    </row>
    <row r="49" spans="2:10" ht="15.75" x14ac:dyDescent="0.25">
      <c r="B49" s="145"/>
      <c r="C49" s="291">
        <v>75</v>
      </c>
      <c r="D49" s="291"/>
      <c r="E49" s="76" t="s">
        <v>140</v>
      </c>
      <c r="F49" s="289" t="s">
        <v>141</v>
      </c>
      <c r="G49" s="289"/>
      <c r="H49" s="76" t="s">
        <v>142</v>
      </c>
      <c r="I49" s="289" t="s">
        <v>143</v>
      </c>
      <c r="J49" s="289"/>
    </row>
    <row r="50" spans="2:10" ht="14.25" customHeight="1" x14ac:dyDescent="0.25">
      <c r="B50" s="105" t="s">
        <v>2</v>
      </c>
      <c r="C50" s="106"/>
      <c r="D50" s="105"/>
      <c r="E50" s="107" t="str">
        <f>E3</f>
        <v>: SMA ABBS Surakarta</v>
      </c>
      <c r="F50" s="108"/>
      <c r="G50" s="107"/>
      <c r="H50" s="105" t="s">
        <v>3</v>
      </c>
      <c r="I50" s="107" t="str">
        <f>I3</f>
        <v>: XII MIPA 4</v>
      </c>
      <c r="J50" s="109"/>
    </row>
    <row r="51" spans="2:10" ht="15.75" customHeight="1" x14ac:dyDescent="0.25">
      <c r="B51" s="105" t="s">
        <v>4</v>
      </c>
      <c r="C51" s="106"/>
      <c r="D51" s="105"/>
      <c r="E51" s="235" t="str">
        <f>E4</f>
        <v>: Jln. Tarumanegara III No 22, Banyuanyar, Banjarsari, Surakarta</v>
      </c>
      <c r="F51" s="235"/>
      <c r="G51" s="235"/>
      <c r="H51" s="110" t="s">
        <v>5</v>
      </c>
      <c r="I51" s="111" t="str">
        <f>I4</f>
        <v>: V (GANJIL)</v>
      </c>
      <c r="J51" s="109"/>
    </row>
    <row r="52" spans="2:10" ht="15" customHeight="1" x14ac:dyDescent="0.25">
      <c r="B52" s="105"/>
      <c r="C52" s="106"/>
      <c r="D52" s="105"/>
      <c r="E52" s="235" t="s">
        <v>134</v>
      </c>
      <c r="F52" s="235"/>
      <c r="G52" s="235"/>
      <c r="H52" s="276" t="s">
        <v>77</v>
      </c>
      <c r="I52" s="112" t="str">
        <f>I5</f>
        <v>: 2022/2023</v>
      </c>
      <c r="J52" s="109"/>
    </row>
    <row r="53" spans="2:10" ht="15.75" x14ac:dyDescent="0.25">
      <c r="B53" s="113" t="s">
        <v>6</v>
      </c>
      <c r="C53" s="106"/>
      <c r="D53" s="113"/>
      <c r="E53" s="107" t="str">
        <f>E6</f>
        <v>: Zaidan Mu'afy Althaf</v>
      </c>
      <c r="F53" s="108"/>
      <c r="G53" s="114"/>
      <c r="H53" s="276"/>
      <c r="I53" s="109"/>
      <c r="J53" s="109"/>
    </row>
    <row r="54" spans="2:10" s="100" customFormat="1" ht="18.75" customHeight="1" thickBot="1" x14ac:dyDescent="0.3">
      <c r="B54" s="115" t="s">
        <v>7</v>
      </c>
      <c r="C54" s="116"/>
      <c r="D54" s="115"/>
      <c r="E54" s="120" t="str">
        <f>E7</f>
        <v>: 2008347 / 0056182222</v>
      </c>
      <c r="F54" s="118"/>
      <c r="G54" s="119"/>
      <c r="H54" s="117"/>
      <c r="I54" s="120"/>
      <c r="J54" s="120"/>
    </row>
    <row r="55" spans="2:10" ht="15.75" thickTop="1" x14ac:dyDescent="0.2">
      <c r="B55" s="109"/>
      <c r="C55" s="109"/>
      <c r="D55" s="109"/>
      <c r="E55" s="109"/>
      <c r="F55" s="109"/>
      <c r="G55" s="109"/>
      <c r="H55" s="109"/>
      <c r="I55" s="109"/>
      <c r="J55" s="109"/>
    </row>
    <row r="56" spans="2:10" ht="15.75" x14ac:dyDescent="0.25">
      <c r="B56" s="122" t="s">
        <v>80</v>
      </c>
      <c r="C56" s="109"/>
      <c r="D56" s="109"/>
      <c r="E56" s="109"/>
      <c r="F56" s="109"/>
      <c r="G56" s="109"/>
      <c r="H56" s="109"/>
      <c r="I56" s="109"/>
      <c r="J56" s="109"/>
    </row>
    <row r="57" spans="2:10" x14ac:dyDescent="0.2">
      <c r="B57" s="240" t="s">
        <v>30</v>
      </c>
      <c r="C57" s="240" t="s">
        <v>0</v>
      </c>
      <c r="D57" s="240"/>
      <c r="E57" s="251" t="s">
        <v>81</v>
      </c>
      <c r="F57" s="251" t="s">
        <v>38</v>
      </c>
      <c r="G57" s="251"/>
      <c r="H57" s="251"/>
      <c r="I57" s="251"/>
      <c r="J57" s="251"/>
    </row>
    <row r="58" spans="2:10" x14ac:dyDescent="0.2">
      <c r="B58" s="240"/>
      <c r="C58" s="240"/>
      <c r="D58" s="240"/>
      <c r="E58" s="251"/>
      <c r="F58" s="251"/>
      <c r="G58" s="251"/>
      <c r="H58" s="251"/>
      <c r="I58" s="251"/>
      <c r="J58" s="251"/>
    </row>
    <row r="59" spans="2:10" ht="15.75" x14ac:dyDescent="0.25">
      <c r="B59" s="264" t="s">
        <v>46</v>
      </c>
      <c r="C59" s="265"/>
      <c r="D59" s="265"/>
      <c r="E59" s="265"/>
      <c r="F59" s="265"/>
      <c r="G59" s="265"/>
      <c r="H59" s="265"/>
      <c r="I59" s="265"/>
      <c r="J59" s="265"/>
    </row>
    <row r="60" spans="2:10" ht="87.75" customHeight="1" x14ac:dyDescent="0.2">
      <c r="B60" s="241">
        <v>1</v>
      </c>
      <c r="C60" s="243" t="s">
        <v>8</v>
      </c>
      <c r="D60" s="244"/>
      <c r="E60" s="135" t="s">
        <v>31</v>
      </c>
      <c r="F60" s="278" t="str">
        <f>VLOOKUP($J$1,Legger!$A$9:$DS$48,12)</f>
        <v>Memiliki kemampuan Menganalisis dan mengevaluasi makna Q.S. Ali Imran/3: 190-191, dan Q.S. Ali Imran/3: 159, serta hadis tentang, berpikir kritis dan bersikap demokratis., namun perlu peningkatan Menganalisis dan mengevaluasi makna Q.S. Luqman/31: 13-14 dan Q.S. al-Baqarah/2: 83, serta hadis  tentang kewajiban beribadah dan bersyukur kepada Allah dan berbuat baik kepada sesama manusia.</v>
      </c>
      <c r="G60" s="279"/>
      <c r="H60" s="279"/>
      <c r="I60" s="279"/>
      <c r="J60" s="280"/>
    </row>
    <row r="61" spans="2:10" ht="45" customHeight="1" x14ac:dyDescent="0.2">
      <c r="B61" s="242"/>
      <c r="C61" s="245"/>
      <c r="D61" s="246"/>
      <c r="E61" s="135" t="s">
        <v>32</v>
      </c>
      <c r="F61" s="278" t="str">
        <f>VLOOKUP($J$1,Legger!$A$9:$DS$48,15)</f>
        <v>Memiliki keterampilan Menyajikan keterkaitan antara kewajiban beribadah dan bersyukur kepada Allah dengan berbuat baik terhadap sesama manusia sesuai pesan Q.S. Luqman/31: 13-14 dan Q.S. al-Baqarah/2: 83 .</v>
      </c>
      <c r="G61" s="279"/>
      <c r="H61" s="279"/>
      <c r="I61" s="279"/>
      <c r="J61" s="280"/>
    </row>
    <row r="62" spans="2:10" ht="71.25" customHeight="1" x14ac:dyDescent="0.2">
      <c r="B62" s="241">
        <v>2</v>
      </c>
      <c r="C62" s="243" t="s">
        <v>115</v>
      </c>
      <c r="D62" s="244"/>
      <c r="E62" s="135" t="s">
        <v>31</v>
      </c>
      <c r="F62" s="285" t="str">
        <f>VLOOKUP($J$1,Legger!$A$9:$DS$48,18)</f>
        <v>Memiliki kemampuan mengevaluasi praktik perlindungan dan penegakan hukum untuk menjamin keadilan dan kedamaian, namun perlu peningkatan menganalisis nilai-nilai Pancasila terkait dengan kasus-kasus pelanggaran hak dan pengingkaran kewajiban warga negara dalam kehidupan berbangsa dan bernegara</v>
      </c>
      <c r="G62" s="286"/>
      <c r="H62" s="286"/>
      <c r="I62" s="286"/>
      <c r="J62" s="287"/>
    </row>
    <row r="63" spans="2:10" ht="36" customHeight="1" x14ac:dyDescent="0.2">
      <c r="B63" s="242"/>
      <c r="C63" s="245"/>
      <c r="D63" s="246"/>
      <c r="E63" s="135" t="s">
        <v>32</v>
      </c>
      <c r="F63" s="278" t="str">
        <f>VLOOKUP($J$1,Legger!$A$9:$DS$48,21)</f>
        <v>Memiliki keterampilan mendemonstrasikan hasil evaluasi praktik perlindungan dan penegakan hukum untuk menjamin keadilan dan kedamaian</v>
      </c>
      <c r="G63" s="279"/>
      <c r="H63" s="279"/>
      <c r="I63" s="279"/>
      <c r="J63" s="280"/>
    </row>
    <row r="64" spans="2:10" ht="60.75" customHeight="1" x14ac:dyDescent="0.2">
      <c r="B64" s="241">
        <v>3</v>
      </c>
      <c r="C64" s="243" t="s">
        <v>10</v>
      </c>
      <c r="D64" s="244"/>
      <c r="E64" s="135" t="s">
        <v>31</v>
      </c>
      <c r="F64" s="278" t="str">
        <f>VLOOKUP($J$1,Legger!$A$9:$DS$48,24)</f>
        <v>Memiliki kemampuan mengidentifikasi informasi, yang mencakup orientasi, rangkaian kejadian yang saling berkaitan, komplikasi dan resolusi, dalam cerita sejarah lisan atau tulis, namun perlu peningkatan menyajikan simpulan sistematika dan unsur-unsur isi surat lamaran baik secara lisan maupun tulis</v>
      </c>
      <c r="G64" s="279"/>
      <c r="H64" s="279"/>
      <c r="I64" s="279"/>
      <c r="J64" s="280"/>
    </row>
    <row r="65" spans="2:10" ht="36" customHeight="1" x14ac:dyDescent="0.2">
      <c r="B65" s="242"/>
      <c r="C65" s="245"/>
      <c r="D65" s="246"/>
      <c r="E65" s="135" t="s">
        <v>32</v>
      </c>
      <c r="F65" s="278" t="str">
        <f>VLOOKUP($J$1,Legger!$A$9:$DS$48,27)</f>
        <v xml:space="preserve">Memiliki keterampilan menyusun surat lamaran pekerjaan dengan memerhatikan isi, sistematika dan kebahasaan
</v>
      </c>
      <c r="G65" s="279"/>
      <c r="H65" s="279"/>
      <c r="I65" s="279"/>
      <c r="J65" s="280"/>
    </row>
    <row r="66" spans="2:10" ht="56.25" customHeight="1" x14ac:dyDescent="0.2">
      <c r="B66" s="241">
        <v>4</v>
      </c>
      <c r="C66" s="243" t="s">
        <v>11</v>
      </c>
      <c r="D66" s="244"/>
      <c r="E66" s="135" t="s">
        <v>31</v>
      </c>
      <c r="F66" s="278" t="str">
        <f>VLOOKUP($J$1,Legger!$A$9:$DS$48,30)</f>
        <v>Memiliki kemampuan Menentukan dan menganalisis ukuran pemusatan dan penyebaran data yang disajikan dalam bentuk tabel distribusi frekuensi dan histogram, namun perlu peningkatan Mendeskripsikan jarak dalam ruang (antar titik, titik ke garis, dan titik ke bidang)</v>
      </c>
      <c r="G66" s="279"/>
      <c r="H66" s="279"/>
      <c r="I66" s="279"/>
      <c r="J66" s="280"/>
    </row>
    <row r="67" spans="2:10" ht="39" customHeight="1" x14ac:dyDescent="0.2">
      <c r="B67" s="242"/>
      <c r="C67" s="245"/>
      <c r="D67" s="246"/>
      <c r="E67" s="135" t="s">
        <v>32</v>
      </c>
      <c r="F67" s="278" t="str">
        <f>VLOOKUP($J$1,Legger!$A$9:$DS$48,33)</f>
        <v>Memiliki keterampilan Menentukan dan menganalisis ukuran pemusatan dan penyebaran data yang disajikan dalam bentuk tabel distribusi frekuensi dan histogram</v>
      </c>
      <c r="G67" s="279"/>
      <c r="H67" s="279"/>
      <c r="I67" s="279"/>
      <c r="J67" s="280"/>
    </row>
    <row r="68" spans="2:10" ht="71.25" customHeight="1" x14ac:dyDescent="0.2">
      <c r="B68" s="241">
        <v>5</v>
      </c>
      <c r="C68" s="243" t="s">
        <v>12</v>
      </c>
      <c r="D68" s="244"/>
      <c r="E68" s="135" t="s">
        <v>31</v>
      </c>
      <c r="F68" s="278" t="str">
        <f>VLOOKUP($J$1,Legger!$A$9:$DS$48,36)</f>
        <v>Memiliki kemampuan menganalisis perkembangan kehidupan politik dan ekonomi Bangsa Indonesia pada masa awal kemerdekaan sampai masa Demokrasi Liberal, namun perlu peningkatan menganalisis upaya bangsa Indonesia dalam menghadapi ancaman disintegrasi bangsa antara lain PKI Madiun 1948, DI/TII, APRA, Andi Aziz, RMS, PRRI, Permesta, G-30-S/PKI</v>
      </c>
      <c r="G68" s="279"/>
      <c r="H68" s="279"/>
      <c r="I68" s="279"/>
      <c r="J68" s="280"/>
    </row>
    <row r="69" spans="2:10" ht="41.25" customHeight="1" x14ac:dyDescent="0.2">
      <c r="B69" s="242"/>
      <c r="C69" s="245"/>
      <c r="D69" s="246"/>
      <c r="E69" s="135" t="s">
        <v>32</v>
      </c>
      <c r="F69" s="278" t="str">
        <f>VLOOKUP($J$1,Legger!$A$9:$DS$48,39)</f>
        <v>Memiliki keterampilan merekonstruksi upaya bangsa Indonesia dalam menghadapi ancaman disintegrasi bangsa dan menyajikannya dalam bentuk cerita sejarah</v>
      </c>
      <c r="G69" s="279"/>
      <c r="H69" s="279"/>
      <c r="I69" s="279"/>
      <c r="J69" s="280"/>
    </row>
    <row r="70" spans="2:10" ht="120" customHeight="1" x14ac:dyDescent="0.2">
      <c r="B70" s="241">
        <v>6</v>
      </c>
      <c r="C70" s="243" t="s">
        <v>13</v>
      </c>
      <c r="D70" s="244"/>
      <c r="E70" s="135" t="s">
        <v>31</v>
      </c>
      <c r="F70" s="278" t="str">
        <f>VLOOKUP($J$1,Legger!$A$9:$DS$48,42)</f>
        <v>Memiliki kemampuan membedakan fungsi sosial, struktur teks, dan unsur kebahasaan beberapa teks khusus dalam bentuk teks caption, dengan memberi informasi terkait gambar /foto /tabel/ grafik/ bagan, sesuai dengan konteks penggunaannya, namun perlu peningkatan membedakan fungsi sosial, struktur teks, dan unsur kebahasaan beberapa teks khusus dalam bentuk surat lamaran kerja, dengan memberi dan meminta informasi terkait jati diri, latar belakang pendidikan/pengalaman kerja, sesuai dengan konteks penggunaannya pendidikan/pengalaman kerja, sesuai dengan konteks penggunaannya</v>
      </c>
      <c r="G70" s="279"/>
      <c r="H70" s="279"/>
      <c r="I70" s="279"/>
      <c r="J70" s="280"/>
    </row>
    <row r="71" spans="2:10" ht="85.5" customHeight="1" x14ac:dyDescent="0.2">
      <c r="B71" s="242"/>
      <c r="C71" s="245"/>
      <c r="D71" s="246"/>
      <c r="E71" s="135" t="s">
        <v>32</v>
      </c>
      <c r="F71" s="278" t="str">
        <f>VLOOKUP($J$1,Legger!$A$9:$DS$48,45)</f>
        <v xml:space="preserve">Memiliki keterampilan menangkap makna secara kontekstual terkait fungsi sosial, struktur teks, dan unsur kebahasaan teks khusus dalam bentuk caption terkait gambar/foto/ tabel/grafik/ bagan. menyusun teks khusus dalam bentuk teks caption terkait gambar/foto/ tabel/grafik/bagan, dengan memperhatikan fungsi sosial, struktur teks, dan unsur kebahasaan, secara benar dan sesuai konteks                                                                                  </v>
      </c>
      <c r="G71" s="279"/>
      <c r="H71" s="279"/>
      <c r="I71" s="279"/>
      <c r="J71" s="280"/>
    </row>
    <row r="72" spans="2:10" ht="15.75" x14ac:dyDescent="0.25">
      <c r="B72" s="239" t="s">
        <v>47</v>
      </c>
      <c r="C72" s="239"/>
      <c r="D72" s="239"/>
      <c r="E72" s="239"/>
      <c r="F72" s="239"/>
      <c r="G72" s="239"/>
      <c r="H72" s="239"/>
      <c r="I72" s="239"/>
      <c r="J72" s="239"/>
    </row>
    <row r="73" spans="2:10" ht="34.5" customHeight="1" x14ac:dyDescent="0.2">
      <c r="B73" s="241">
        <v>1</v>
      </c>
      <c r="C73" s="243" t="s">
        <v>15</v>
      </c>
      <c r="D73" s="244"/>
      <c r="E73" s="135" t="s">
        <v>31</v>
      </c>
      <c r="F73" s="278" t="str">
        <f>VLOOKUP($J$1,Legger!$A$9:$DS$48,48)</f>
        <v>memiliki kemampuan menelaah karya seni rupa dua dimensi menggunakan media perangkat lunak maupun menggunakan media kertas</v>
      </c>
      <c r="G73" s="279"/>
      <c r="H73" s="279"/>
      <c r="I73" s="279"/>
      <c r="J73" s="280"/>
    </row>
    <row r="74" spans="2:10" ht="30" customHeight="1" x14ac:dyDescent="0.2">
      <c r="B74" s="242"/>
      <c r="C74" s="245"/>
      <c r="D74" s="246"/>
      <c r="E74" s="135" t="s">
        <v>32</v>
      </c>
      <c r="F74" s="278" t="str">
        <f>VLOOKUP($J$1,Legger!$A$9:$DS$48,51)</f>
        <v>memiliki keterampilan membuat karya seni rupa dua dimensi menggunakan media perangkat lunak maupun menggunakan media kertas</v>
      </c>
      <c r="G74" s="279"/>
      <c r="H74" s="279"/>
      <c r="I74" s="279"/>
      <c r="J74" s="280"/>
    </row>
    <row r="75" spans="2:10" ht="52.5" customHeight="1" x14ac:dyDescent="0.2">
      <c r="B75" s="281">
        <v>2</v>
      </c>
      <c r="C75" s="237" t="s">
        <v>16</v>
      </c>
      <c r="D75" s="237"/>
      <c r="E75" s="135" t="s">
        <v>31</v>
      </c>
      <c r="F75" s="278" t="str">
        <f>VLOOKUP($J$1,Legger!$A$9:$DS$48,54)</f>
        <v>Memiliki kemampuan merancang pola penyerangan dan pertahanan salah satu permainan bola besar, namun perlu peningkatan permainan bola kecil</v>
      </c>
      <c r="G75" s="279"/>
      <c r="H75" s="279"/>
      <c r="I75" s="279"/>
      <c r="J75" s="280"/>
    </row>
    <row r="76" spans="2:10" ht="39.75" customHeight="1" x14ac:dyDescent="0.2">
      <c r="B76" s="281"/>
      <c r="C76" s="237"/>
      <c r="D76" s="237"/>
      <c r="E76" s="135" t="s">
        <v>32</v>
      </c>
      <c r="F76" s="278" t="str">
        <f>VLOOKUP($J$1,Legger!$A$9:$DS$48,57)</f>
        <v>Memiliki keterampilan mempraktikkan hasil rancangan pola penyerangan dan pertahanan salah satu permainan bola besar</v>
      </c>
      <c r="G76" s="279"/>
      <c r="H76" s="279"/>
      <c r="I76" s="279"/>
      <c r="J76" s="280"/>
    </row>
    <row r="77" spans="2:10" ht="15.75" x14ac:dyDescent="0.25">
      <c r="B77" s="105" t="s">
        <v>2</v>
      </c>
      <c r="C77" s="106"/>
      <c r="D77" s="105"/>
      <c r="E77" s="107" t="str">
        <f>E3</f>
        <v>: SMA ABBS Surakarta</v>
      </c>
      <c r="F77" s="108"/>
      <c r="G77" s="107"/>
      <c r="H77" s="105" t="s">
        <v>3</v>
      </c>
      <c r="I77" s="107" t="str">
        <f>I3</f>
        <v>: XII MIPA 4</v>
      </c>
      <c r="J77" s="109"/>
    </row>
    <row r="78" spans="2:10" ht="15" customHeight="1" x14ac:dyDescent="0.25">
      <c r="B78" s="136" t="s">
        <v>4</v>
      </c>
      <c r="C78" s="137"/>
      <c r="D78" s="136"/>
      <c r="E78" s="236" t="str">
        <f>E4</f>
        <v>: Jln. Tarumanegara III No 22, Banyuanyar, Banjarsari, Surakarta</v>
      </c>
      <c r="F78" s="236"/>
      <c r="G78" s="236"/>
      <c r="H78" s="138" t="s">
        <v>5</v>
      </c>
      <c r="I78" s="139" t="str">
        <f>I4</f>
        <v>: V (GANJIL)</v>
      </c>
      <c r="J78" s="140"/>
    </row>
    <row r="79" spans="2:10" ht="15" customHeight="1" x14ac:dyDescent="0.25">
      <c r="B79" s="136"/>
      <c r="C79" s="137"/>
      <c r="D79" s="136"/>
      <c r="E79" s="235" t="s">
        <v>134</v>
      </c>
      <c r="F79" s="235"/>
      <c r="G79" s="235"/>
      <c r="H79" s="277" t="s">
        <v>77</v>
      </c>
      <c r="I79" s="141" t="str">
        <f>I5</f>
        <v>: 2022/2023</v>
      </c>
      <c r="J79" s="140"/>
    </row>
    <row r="80" spans="2:10" ht="15.75" x14ac:dyDescent="0.25">
      <c r="B80" s="142" t="s">
        <v>6</v>
      </c>
      <c r="C80" s="137"/>
      <c r="D80" s="142"/>
      <c r="E80" s="143" t="str">
        <f>E6</f>
        <v>: Zaidan Mu'afy Althaf</v>
      </c>
      <c r="F80" s="144"/>
      <c r="G80" s="114"/>
      <c r="H80" s="277"/>
      <c r="I80" s="140"/>
      <c r="J80" s="140"/>
    </row>
    <row r="81" spans="2:10" s="100" customFormat="1" ht="19.5" customHeight="1" thickBot="1" x14ac:dyDescent="0.3">
      <c r="B81" s="115" t="s">
        <v>7</v>
      </c>
      <c r="C81" s="116"/>
      <c r="D81" s="115"/>
      <c r="E81" s="120" t="str">
        <f>E7</f>
        <v>: 2008347 / 0056182222</v>
      </c>
      <c r="F81" s="118"/>
      <c r="G81" s="119"/>
      <c r="H81" s="117"/>
      <c r="I81" s="120"/>
      <c r="J81" s="120"/>
    </row>
    <row r="82" spans="2:10" ht="15.75" thickTop="1" x14ac:dyDescent="0.2">
      <c r="B82" s="145"/>
      <c r="C82" s="146"/>
      <c r="D82" s="146"/>
      <c r="E82" s="147"/>
      <c r="F82" s="148"/>
      <c r="G82" s="148"/>
      <c r="H82" s="148"/>
      <c r="I82" s="148"/>
      <c r="J82" s="148"/>
    </row>
    <row r="83" spans="2:10" x14ac:dyDescent="0.2">
      <c r="B83" s="240" t="s">
        <v>30</v>
      </c>
      <c r="C83" s="240" t="s">
        <v>0</v>
      </c>
      <c r="D83" s="240"/>
      <c r="E83" s="251" t="s">
        <v>81</v>
      </c>
      <c r="F83" s="251" t="s">
        <v>38</v>
      </c>
      <c r="G83" s="251"/>
      <c r="H83" s="251"/>
      <c r="I83" s="251"/>
      <c r="J83" s="251"/>
    </row>
    <row r="84" spans="2:10" x14ac:dyDescent="0.2">
      <c r="B84" s="240"/>
      <c r="C84" s="240"/>
      <c r="D84" s="240"/>
      <c r="E84" s="251"/>
      <c r="F84" s="251"/>
      <c r="G84" s="251"/>
      <c r="H84" s="251"/>
      <c r="I84" s="251"/>
      <c r="J84" s="251"/>
    </row>
    <row r="85" spans="2:10" ht="15.75" x14ac:dyDescent="0.25">
      <c r="B85" s="239" t="s">
        <v>47</v>
      </c>
      <c r="C85" s="239"/>
      <c r="D85" s="239"/>
      <c r="E85" s="239"/>
      <c r="F85" s="239"/>
      <c r="G85" s="239"/>
      <c r="H85" s="239"/>
      <c r="I85" s="239"/>
      <c r="J85" s="239"/>
    </row>
    <row r="86" spans="2:10" ht="45" customHeight="1" x14ac:dyDescent="0.2">
      <c r="B86" s="241">
        <v>3</v>
      </c>
      <c r="C86" s="243" t="s">
        <v>17</v>
      </c>
      <c r="D86" s="244"/>
      <c r="E86" s="135" t="s">
        <v>31</v>
      </c>
      <c r="F86" s="278" t="str">
        <f>VLOOKUP($J$1,Legger!$A$9:$DS$48,60)</f>
        <v>Memiliki kemampuan memahami proses perencanaan usaha produk teknologi terapan , namun perlu peningkatan menganalisis sistem produksi usaha peralatan teknologi terapan</v>
      </c>
      <c r="G86" s="279"/>
      <c r="H86" s="279"/>
      <c r="I86" s="279"/>
      <c r="J86" s="280"/>
    </row>
    <row r="87" spans="2:10" ht="19.5" customHeight="1" x14ac:dyDescent="0.2">
      <c r="B87" s="242"/>
      <c r="C87" s="245"/>
      <c r="D87" s="246"/>
      <c r="E87" s="135" t="s">
        <v>32</v>
      </c>
      <c r="F87" s="278" t="str">
        <f>VLOOKUP($J$1,Legger!$A$9:$DS$48,63)</f>
        <v>Memiliki keterampilan menyusun perencanaan usaha produk teknologi terapan</v>
      </c>
      <c r="G87" s="279"/>
      <c r="H87" s="279"/>
      <c r="I87" s="279"/>
      <c r="J87" s="280"/>
    </row>
    <row r="88" spans="2:10" ht="33.75" customHeight="1" x14ac:dyDescent="0.2">
      <c r="B88" s="241">
        <v>4</v>
      </c>
      <c r="C88" s="243" t="s">
        <v>18</v>
      </c>
      <c r="D88" s="244"/>
      <c r="E88" s="135" t="s">
        <v>31</v>
      </c>
      <c r="F88" s="278" t="str">
        <f>VLOOKUP($J$1,Legger!$A$9:$DS$48,66)</f>
        <v>Memiliki kemampuan menelaah teks serat Wedhatama pupuh Pangkur, namun perlu meningkatkan kemampuan menelaah teks sesorah</v>
      </c>
      <c r="G88" s="279"/>
      <c r="H88" s="279"/>
      <c r="I88" s="279"/>
      <c r="J88" s="280"/>
    </row>
    <row r="89" spans="2:10" ht="33.75" customHeight="1" x14ac:dyDescent="0.2">
      <c r="B89" s="242"/>
      <c r="C89" s="245"/>
      <c r="D89" s="246"/>
      <c r="E89" s="135" t="s">
        <v>32</v>
      </c>
      <c r="F89" s="278" t="str">
        <f>VLOOKUP($J$1,Legger!$A$9:$DS$48,69)</f>
        <v>Memiliki keterampilan menceritakan kembali teks deskriptif tentang rumah adat Jawa</v>
      </c>
      <c r="G89" s="279"/>
      <c r="H89" s="279"/>
      <c r="I89" s="279"/>
      <c r="J89" s="280"/>
    </row>
    <row r="90" spans="2:10" ht="15.75" x14ac:dyDescent="0.25">
      <c r="B90" s="239" t="s">
        <v>19</v>
      </c>
      <c r="C90" s="239"/>
      <c r="D90" s="239"/>
      <c r="E90" s="239"/>
      <c r="F90" s="239"/>
      <c r="G90" s="239"/>
      <c r="H90" s="239"/>
      <c r="I90" s="239"/>
      <c r="J90" s="239"/>
    </row>
    <row r="91" spans="2:10" ht="15.75" x14ac:dyDescent="0.25">
      <c r="B91" s="239" t="s">
        <v>49</v>
      </c>
      <c r="C91" s="239"/>
      <c r="D91" s="239"/>
      <c r="E91" s="239"/>
      <c r="F91" s="239"/>
      <c r="G91" s="239"/>
      <c r="H91" s="239"/>
      <c r="I91" s="239"/>
      <c r="J91" s="239"/>
    </row>
    <row r="92" spans="2:10" ht="73.5" customHeight="1" x14ac:dyDescent="0.2">
      <c r="B92" s="241">
        <v>1</v>
      </c>
      <c r="C92" s="243" t="s">
        <v>11</v>
      </c>
      <c r="D92" s="244"/>
      <c r="E92" s="135" t="s">
        <v>31</v>
      </c>
      <c r="F92" s="285" t="str">
        <f>VLOOKUP($J$1,Legger!$A$9:$DS$48,72)</f>
        <v>Memiliki kemampuan Menjelaskan dan menentukan limit ketakhinggan pada fungsi aljabar dan fungsi trigonometri, namun perlu peningkatan Menggunakan prinsip turunan    ke fungsi trigonometri sederhana</v>
      </c>
      <c r="G92" s="286"/>
      <c r="H92" s="286"/>
      <c r="I92" s="286"/>
      <c r="J92" s="287"/>
    </row>
    <row r="93" spans="2:10" ht="50.25" customHeight="1" x14ac:dyDescent="0.2">
      <c r="B93" s="242"/>
      <c r="C93" s="245"/>
      <c r="D93" s="246"/>
      <c r="E93" s="135" t="s">
        <v>32</v>
      </c>
      <c r="F93" s="278" t="str">
        <f>VLOOKUP($J$1,Legger!$A$9:$DS$48,75)</f>
        <v>Memiliki keterampilan Menyelesaikan masalah yang berkaitan dengan nilai maksimum, nilai minimum, selang kemonotonan fungsi, dan kemiringan garis singgung serta titik belok dan selang kecekungan kurva fungsi trigonometri</v>
      </c>
      <c r="G93" s="279"/>
      <c r="H93" s="279"/>
      <c r="I93" s="279"/>
      <c r="J93" s="280"/>
    </row>
    <row r="94" spans="2:10" ht="63.75" customHeight="1" x14ac:dyDescent="0.2">
      <c r="B94" s="241">
        <v>2</v>
      </c>
      <c r="C94" s="243" t="s">
        <v>20</v>
      </c>
      <c r="D94" s="244"/>
      <c r="E94" s="135" t="s">
        <v>31</v>
      </c>
      <c r="F94" s="278" t="str">
        <f>VLOOKUP($J$1,Legger!$A$9:$DS$48,78)</f>
        <v>Memiliki kemampuan menganalisis prinsip kerja peralatan listrik searah (DC) berikut keselamatannya dalam kehidupan sehari-hari, namun perlu peningkatan menganalisis fenomena induksi elektromagnetik dalam kehidupan sehari-hari</v>
      </c>
      <c r="G94" s="279"/>
      <c r="H94" s="279"/>
      <c r="I94" s="279"/>
      <c r="J94" s="280"/>
    </row>
    <row r="95" spans="2:10" ht="42" customHeight="1" x14ac:dyDescent="0.2">
      <c r="B95" s="242"/>
      <c r="C95" s="245"/>
      <c r="D95" s="246"/>
      <c r="E95" s="135" t="s">
        <v>32</v>
      </c>
      <c r="F95" s="278" t="str">
        <f>VLOOKUP($J$1,Legger!$A$9:$DS$48,81)</f>
        <v>Memiliki keterampilan melakukan percobaan tentang induksi magnetik dan gaya magnetik disekitar kawat berarus listrik berikut presentasi hasilnya</v>
      </c>
      <c r="G95" s="279"/>
      <c r="H95" s="279"/>
      <c r="I95" s="279"/>
      <c r="J95" s="280"/>
    </row>
    <row r="96" spans="2:10" ht="72.75" customHeight="1" x14ac:dyDescent="0.2">
      <c r="B96" s="241">
        <v>3</v>
      </c>
      <c r="C96" s="243" t="s">
        <v>21</v>
      </c>
      <c r="D96" s="244"/>
      <c r="E96" s="135" t="s">
        <v>31</v>
      </c>
      <c r="F96" s="278" t="str">
        <f>VLOOKUP($J$1,Legger!$A$9:$DS$48,84)</f>
        <v>Memiliki kemampuan membedakan sifat koligatif larutan elektrolit dan larutan nonelektrolit., namun perlu peningkatan menerapkan hukum/aturan dalam perhitungan terkait sel elektrokimia</v>
      </c>
      <c r="G96" s="279"/>
      <c r="H96" s="279"/>
      <c r="I96" s="279"/>
      <c r="J96" s="280"/>
    </row>
    <row r="97" spans="2:10" ht="45" customHeight="1" x14ac:dyDescent="0.2">
      <c r="B97" s="242"/>
      <c r="C97" s="245"/>
      <c r="D97" s="246"/>
      <c r="E97" s="135" t="s">
        <v>32</v>
      </c>
      <c r="F97" s="278" t="str">
        <f>VLOOKUP($J$1,Legger!$A$9:$DS$48,87)</f>
        <v>Memiliki keterampilan menyajikan hasil analisis berdasarkan data percobaan terkait penurunan  tekanan uap, kenaikan titik didih, penurunan titik beku, dan tekanan osmosis larutan.</v>
      </c>
      <c r="G97" s="279"/>
      <c r="H97" s="279"/>
      <c r="I97" s="279"/>
      <c r="J97" s="280"/>
    </row>
    <row r="98" spans="2:10" ht="68.25" customHeight="1" x14ac:dyDescent="0.2">
      <c r="B98" s="241">
        <v>4</v>
      </c>
      <c r="C98" s="243" t="s">
        <v>22</v>
      </c>
      <c r="D98" s="244"/>
      <c r="E98" s="135" t="s">
        <v>31</v>
      </c>
      <c r="F98" s="278" t="str">
        <f>VLOOKUP($J$1,Legger!$A$9:$DS$48,90)</f>
        <v>Memiliki kemampuan Menjelaskan pengaruh faktor internal dan faktor eksternal terhadap pertumbuhan dan perkembangan makhluk hidup, namun perlu peningkatan Menjelaskan pengaruh faktor internal dan faktor eksternal terhadap pertumbuhan dan perkembangan makhluk hidup</v>
      </c>
      <c r="G98" s="279"/>
      <c r="H98" s="279"/>
      <c r="I98" s="279"/>
      <c r="J98" s="280"/>
    </row>
    <row r="99" spans="2:10" ht="39" customHeight="1" x14ac:dyDescent="0.2">
      <c r="B99" s="242"/>
      <c r="C99" s="245"/>
      <c r="D99" s="246"/>
      <c r="E99" s="135" t="s">
        <v>32</v>
      </c>
      <c r="F99" s="278" t="str">
        <f>VLOOKUP($J$1,Legger!$A$9:$DS$48,93)</f>
        <v>Memiliki keterampilan Menyusun laporan hasil percobaan tentang mekanisme kerja enzim, fotosintesis dan respirasi aerob</v>
      </c>
      <c r="G99" s="279"/>
      <c r="H99" s="279"/>
      <c r="I99" s="279"/>
      <c r="J99" s="280"/>
    </row>
    <row r="100" spans="2:10" ht="15.75" x14ac:dyDescent="0.25">
      <c r="B100" s="239" t="s">
        <v>19</v>
      </c>
      <c r="C100" s="239"/>
      <c r="D100" s="239"/>
      <c r="E100" s="239"/>
      <c r="F100" s="239"/>
      <c r="G100" s="239"/>
      <c r="H100" s="239"/>
      <c r="I100" s="239"/>
      <c r="J100" s="239"/>
    </row>
    <row r="101" spans="2:10" ht="15.75" x14ac:dyDescent="0.25">
      <c r="B101" s="239" t="s">
        <v>48</v>
      </c>
      <c r="C101" s="239"/>
      <c r="D101" s="239"/>
      <c r="E101" s="239"/>
      <c r="F101" s="239"/>
      <c r="G101" s="239"/>
      <c r="H101" s="239"/>
      <c r="I101" s="239"/>
      <c r="J101" s="239"/>
    </row>
    <row r="102" spans="2:10" ht="96" customHeight="1" x14ac:dyDescent="0.2">
      <c r="B102" s="241">
        <v>1</v>
      </c>
      <c r="C102" s="243" t="s">
        <v>148</v>
      </c>
      <c r="D102" s="244"/>
      <c r="E102" s="135" t="s">
        <v>31</v>
      </c>
      <c r="F102" s="278" t="str">
        <f>VLOOKUP($J$1,Legger!$A$9:$DS$48,96)</f>
        <v>Memiliki kemampuan membedakan fungsi sosial, struktur teks, dan unsur kebahasaan beberapa teks pembahasan ilmiah lisan dan tulis dengan memberi dan meminta informasi terkait pembahasan isu kontrovesial dan aktual dari beberapa sudut pandang, namun perlu peningkatan menerapkan fungsi sosial, struktur teks, dan unsur kebahasaan teks interaksi transaksional lisan dan tulis yang melibatkan tindakan  memberi dan meminta informasi terkait hubungan sebab akibat</v>
      </c>
      <c r="G102" s="279"/>
      <c r="H102" s="279"/>
      <c r="I102" s="279"/>
      <c r="J102" s="280"/>
    </row>
    <row r="103" spans="2:10" ht="48.75" customHeight="1" x14ac:dyDescent="0.2">
      <c r="B103" s="242"/>
      <c r="C103" s="245"/>
      <c r="D103" s="246"/>
      <c r="E103" s="135" t="s">
        <v>32</v>
      </c>
      <c r="F103" s="278" t="str">
        <f>VLOOKUP($J$1,Legger!$A$9:$DS$48,99)</f>
        <v>Memiliki keterampilan menangkap makna secara kontekstual terkait fungsi sosial, struktur teks, dan unsur kebahasaan teks pembahasan ilmiah lisan dan tulis, dan menyusunnya, terkait isu kontroversial dan aktual</v>
      </c>
      <c r="G103" s="279"/>
      <c r="H103" s="279"/>
      <c r="I103" s="279"/>
      <c r="J103" s="280"/>
    </row>
    <row r="104" spans="2:10" ht="33.75" hidden="1" customHeight="1" x14ac:dyDescent="0.2">
      <c r="B104" s="241">
        <v>2</v>
      </c>
      <c r="C104" s="243" t="s">
        <v>149</v>
      </c>
      <c r="D104" s="244"/>
      <c r="E104" s="135" t="s">
        <v>31</v>
      </c>
      <c r="F104" s="285">
        <f>VLOOKUP($J$1,Legger!$A$9:$DS$48,102)</f>
        <v>0</v>
      </c>
      <c r="G104" s="286"/>
      <c r="H104" s="286"/>
      <c r="I104" s="286"/>
      <c r="J104" s="287"/>
    </row>
    <row r="105" spans="2:10" ht="49.5" hidden="1" customHeight="1" x14ac:dyDescent="0.2">
      <c r="B105" s="242"/>
      <c r="C105" s="245"/>
      <c r="D105" s="246"/>
      <c r="E105" s="135" t="s">
        <v>32</v>
      </c>
      <c r="F105" s="285">
        <f>VLOOKUP($J$1,Legger!$A$9:$DS$48,105)</f>
        <v>0</v>
      </c>
      <c r="G105" s="286"/>
      <c r="H105" s="286"/>
      <c r="I105" s="286"/>
      <c r="J105" s="287"/>
    </row>
    <row r="106" spans="2:10" ht="15.75" x14ac:dyDescent="0.25">
      <c r="B106" s="105" t="s">
        <v>2</v>
      </c>
      <c r="C106" s="106"/>
      <c r="D106" s="105"/>
      <c r="E106" s="107" t="str">
        <f>E3</f>
        <v>: SMA ABBS Surakarta</v>
      </c>
      <c r="F106" s="108"/>
      <c r="G106" s="107"/>
      <c r="H106" s="105" t="s">
        <v>3</v>
      </c>
      <c r="I106" s="107" t="str">
        <f>I3</f>
        <v>: XII MIPA 4</v>
      </c>
      <c r="J106" s="109"/>
    </row>
    <row r="107" spans="2:10" ht="15" customHeight="1" x14ac:dyDescent="0.25">
      <c r="B107" s="105" t="s">
        <v>4</v>
      </c>
      <c r="C107" s="106"/>
      <c r="D107" s="105"/>
      <c r="E107" s="235" t="str">
        <f>E4</f>
        <v>: Jln. Tarumanegara III No 22, Banyuanyar, Banjarsari, Surakarta</v>
      </c>
      <c r="F107" s="235"/>
      <c r="G107" s="235"/>
      <c r="H107" s="110" t="s">
        <v>5</v>
      </c>
      <c r="I107" s="111" t="str">
        <f>I4</f>
        <v>: V (GANJIL)</v>
      </c>
      <c r="J107" s="109"/>
    </row>
    <row r="108" spans="2:10" ht="15" customHeight="1" x14ac:dyDescent="0.25">
      <c r="B108" s="105"/>
      <c r="C108" s="106"/>
      <c r="D108" s="105"/>
      <c r="E108" s="235" t="s">
        <v>134</v>
      </c>
      <c r="F108" s="235"/>
      <c r="G108" s="235"/>
      <c r="H108" s="276" t="s">
        <v>77</v>
      </c>
      <c r="I108" s="112" t="str">
        <f>I5</f>
        <v>: 2022/2023</v>
      </c>
      <c r="J108" s="109"/>
    </row>
    <row r="109" spans="2:10" ht="15.75" x14ac:dyDescent="0.25">
      <c r="B109" s="113" t="s">
        <v>6</v>
      </c>
      <c r="C109" s="106"/>
      <c r="D109" s="113"/>
      <c r="E109" s="107" t="str">
        <f>E6</f>
        <v>: Zaidan Mu'afy Althaf</v>
      </c>
      <c r="F109" s="108"/>
      <c r="G109" s="114"/>
      <c r="H109" s="276"/>
      <c r="I109" s="109"/>
      <c r="J109" s="109"/>
    </row>
    <row r="110" spans="2:10" s="100" customFormat="1" ht="19.5" customHeight="1" thickBot="1" x14ac:dyDescent="0.3">
      <c r="B110" s="115" t="s">
        <v>7</v>
      </c>
      <c r="C110" s="116"/>
      <c r="D110" s="115"/>
      <c r="E110" s="120" t="str">
        <f>E7</f>
        <v>: 2008347 / 0056182222</v>
      </c>
      <c r="F110" s="118"/>
      <c r="G110" s="119"/>
      <c r="H110" s="117"/>
      <c r="I110" s="120"/>
      <c r="J110" s="120"/>
    </row>
    <row r="111" spans="2:10" ht="15.75" thickTop="1" x14ac:dyDescent="0.2">
      <c r="B111" s="145"/>
      <c r="C111" s="146"/>
      <c r="D111" s="146"/>
      <c r="E111" s="146"/>
      <c r="F111" s="140"/>
      <c r="G111" s="149"/>
      <c r="H111" s="145"/>
      <c r="I111" s="145"/>
      <c r="J111" s="147"/>
    </row>
    <row r="112" spans="2:10" ht="15.75" x14ac:dyDescent="0.25">
      <c r="B112" s="122" t="s">
        <v>58</v>
      </c>
      <c r="C112" s="122" t="s">
        <v>59</v>
      </c>
      <c r="D112" s="109"/>
      <c r="E112" s="109"/>
      <c r="F112" s="109"/>
      <c r="G112" s="109"/>
      <c r="H112" s="109"/>
      <c r="I112" s="109"/>
      <c r="J112" s="109"/>
    </row>
    <row r="113" spans="1:15" ht="33" customHeight="1" x14ac:dyDescent="0.2">
      <c r="B113" s="150" t="s">
        <v>30</v>
      </c>
      <c r="C113" s="249" t="s">
        <v>60</v>
      </c>
      <c r="D113" s="250"/>
      <c r="E113" s="150" t="s">
        <v>78</v>
      </c>
      <c r="F113" s="251" t="s">
        <v>38</v>
      </c>
      <c r="G113" s="251"/>
      <c r="H113" s="251"/>
      <c r="I113" s="251"/>
      <c r="J113" s="251"/>
    </row>
    <row r="114" spans="1:15" ht="47.25" customHeight="1" x14ac:dyDescent="0.2">
      <c r="B114" s="132">
        <v>1</v>
      </c>
      <c r="C114" s="247" t="str">
        <f>VLOOKUP($J$1,Legger!$A$9:$DS$48,106)</f>
        <v>Pramuka</v>
      </c>
      <c r="D114" s="248"/>
      <c r="E114" s="132" t="str">
        <f>VLOOKUP($J$1,Legger!$A$9:$DS$48,107)</f>
        <v>Baik</v>
      </c>
      <c r="F114" s="266" t="str">
        <f>VLOOKUP($J$1,Legger!$A$9:$DS$48,108)</f>
        <v>Peserta didik terampil membuat pionering, mampu menguasai gerakan PBB dan mengetahui salah satu kesenian daerah</v>
      </c>
      <c r="G114" s="267"/>
      <c r="H114" s="267"/>
      <c r="I114" s="267"/>
      <c r="J114" s="268"/>
    </row>
    <row r="115" spans="1:15" ht="31.5" customHeight="1" x14ac:dyDescent="0.2">
      <c r="B115" s="132">
        <v>2</v>
      </c>
      <c r="C115" s="247" t="str">
        <f>VLOOKUP($J$1,Legger!$A$9:$DS$48,109)</f>
        <v>Badminton</v>
      </c>
      <c r="D115" s="248"/>
      <c r="E115" s="132" t="str">
        <f>VLOOKUP($J$1,Legger!$A$9:$DS$48,110)</f>
        <v>Baik</v>
      </c>
      <c r="F115" s="266" t="str">
        <f>VLOOKUP($J$1,Legger!$A$9:$DS$48,111)</f>
        <v>Peserta didik mampu mengikuti kegiatan ekstrakurikuler badminton dengan baik</v>
      </c>
      <c r="G115" s="267"/>
      <c r="H115" s="267"/>
      <c r="I115" s="267"/>
      <c r="J115" s="268"/>
    </row>
    <row r="116" spans="1:15" ht="31.5" customHeight="1" x14ac:dyDescent="0.2">
      <c r="B116" s="132">
        <v>3</v>
      </c>
      <c r="C116" s="247"/>
      <c r="D116" s="248"/>
      <c r="E116" s="132"/>
      <c r="F116" s="237"/>
      <c r="G116" s="237"/>
      <c r="H116" s="237"/>
      <c r="I116" s="237"/>
      <c r="J116" s="237"/>
    </row>
    <row r="117" spans="1:15" ht="15.75" x14ac:dyDescent="0.25">
      <c r="B117" s="122"/>
      <c r="C117" s="122"/>
      <c r="D117" s="109"/>
      <c r="E117" s="109"/>
      <c r="F117" s="109"/>
      <c r="G117" s="109"/>
      <c r="H117" s="109"/>
      <c r="I117" s="109"/>
      <c r="J117" s="109"/>
    </row>
    <row r="118" spans="1:15" ht="14.25" customHeight="1" x14ac:dyDescent="0.2">
      <c r="A118" s="95"/>
      <c r="B118" s="109"/>
      <c r="C118" s="151"/>
      <c r="D118" s="151"/>
      <c r="E118" s="109"/>
      <c r="F118" s="109"/>
      <c r="G118" s="109"/>
      <c r="H118" s="109"/>
      <c r="I118" s="109"/>
      <c r="J118" s="152"/>
    </row>
    <row r="119" spans="1:15" ht="15" customHeight="1" x14ac:dyDescent="0.25">
      <c r="B119" s="122" t="s">
        <v>62</v>
      </c>
      <c r="C119" s="122" t="s">
        <v>63</v>
      </c>
      <c r="D119" s="109"/>
      <c r="E119" s="109"/>
      <c r="F119" s="109"/>
      <c r="G119" s="109"/>
      <c r="H119" s="109"/>
      <c r="I119" s="109"/>
      <c r="J119" s="151"/>
    </row>
    <row r="120" spans="1:15" ht="15" customHeight="1" x14ac:dyDescent="0.25">
      <c r="B120" s="153" t="s">
        <v>30</v>
      </c>
      <c r="C120" s="238" t="s">
        <v>86</v>
      </c>
      <c r="D120" s="238"/>
      <c r="E120" s="238"/>
      <c r="F120" s="238" t="s">
        <v>61</v>
      </c>
      <c r="G120" s="238"/>
      <c r="H120" s="238"/>
      <c r="I120" s="238"/>
      <c r="J120" s="238"/>
    </row>
    <row r="121" spans="1:15" ht="30" customHeight="1" x14ac:dyDescent="0.2">
      <c r="B121" s="164">
        <v>1</v>
      </c>
      <c r="C121" s="275">
        <f>VLOOKUP($J$1,Legger!$A$9:$DS$48,115)</f>
        <v>0</v>
      </c>
      <c r="D121" s="275"/>
      <c r="E121" s="275"/>
      <c r="F121" s="274">
        <f>VLOOKUP($J$1,Legger!$A$9:$DS$48,119)</f>
        <v>0</v>
      </c>
      <c r="G121" s="274"/>
      <c r="H121" s="274"/>
      <c r="I121" s="274"/>
      <c r="J121" s="274"/>
    </row>
    <row r="122" spans="1:15" ht="30" customHeight="1" x14ac:dyDescent="0.2">
      <c r="B122" s="164">
        <v>2</v>
      </c>
      <c r="C122" s="237">
        <f>VLOOKUP($J$1,Legger!$A$9:$DS$48,116)</f>
        <v>0</v>
      </c>
      <c r="D122" s="237"/>
      <c r="E122" s="237"/>
      <c r="F122" s="274">
        <f>VLOOKUP($J$1,Legger!$A$9:$DS$48,120)</f>
        <v>0</v>
      </c>
      <c r="G122" s="274"/>
      <c r="H122" s="274"/>
      <c r="I122" s="274"/>
      <c r="J122" s="274"/>
    </row>
    <row r="123" spans="1:15" ht="30" customHeight="1" x14ac:dyDescent="0.2">
      <c r="B123" s="164">
        <v>3</v>
      </c>
      <c r="C123" s="237">
        <f>VLOOKUP($J$1,Legger!$A$9:$DS$48,117)</f>
        <v>0</v>
      </c>
      <c r="D123" s="237"/>
      <c r="E123" s="237"/>
      <c r="F123" s="274">
        <f>VLOOKUP($J$1,Legger!$A$9:$DS$48,121)</f>
        <v>0</v>
      </c>
      <c r="G123" s="274"/>
      <c r="H123" s="274"/>
      <c r="I123" s="274"/>
      <c r="J123" s="274"/>
    </row>
    <row r="124" spans="1:15" ht="30" customHeight="1" x14ac:dyDescent="0.2">
      <c r="B124" s="164">
        <v>4</v>
      </c>
      <c r="C124" s="237">
        <f>VLOOKUP($J$1,Legger!$A$9:$DS$48,118)</f>
        <v>0</v>
      </c>
      <c r="D124" s="237"/>
      <c r="E124" s="237"/>
      <c r="F124" s="274">
        <f>VLOOKUP($J$1,Legger!$A$9:$DS$48,122)</f>
        <v>0</v>
      </c>
      <c r="G124" s="274"/>
      <c r="H124" s="274"/>
      <c r="I124" s="274"/>
      <c r="J124" s="274"/>
    </row>
    <row r="125" spans="1:15" x14ac:dyDescent="0.2">
      <c r="B125" s="109"/>
      <c r="C125" s="109"/>
      <c r="D125" s="109"/>
      <c r="E125" s="109"/>
      <c r="F125" s="109"/>
      <c r="G125" s="109"/>
      <c r="H125" s="109"/>
      <c r="I125" s="109"/>
      <c r="J125" s="109"/>
    </row>
    <row r="126" spans="1:15" ht="14.25" customHeight="1" x14ac:dyDescent="0.25">
      <c r="B126" s="122" t="s">
        <v>64</v>
      </c>
      <c r="C126" s="122" t="s">
        <v>25</v>
      </c>
      <c r="D126" s="109"/>
      <c r="E126" s="140"/>
      <c r="F126" s="140"/>
      <c r="G126" s="140"/>
      <c r="H126" s="109"/>
      <c r="I126" s="109"/>
      <c r="J126" s="109"/>
      <c r="K126" s="92"/>
      <c r="L126" s="257"/>
      <c r="M126" s="257"/>
      <c r="N126" s="257"/>
      <c r="O126" s="257"/>
    </row>
    <row r="127" spans="1:15" ht="30" customHeight="1" x14ac:dyDescent="0.2">
      <c r="B127" s="273" t="s">
        <v>26</v>
      </c>
      <c r="C127" s="273"/>
      <c r="D127" s="273"/>
      <c r="E127" s="154" t="str">
        <f>IF(VLOOKUP($J$1,Legger!$A$9:$DS$48,112)=0,"-",VLOOKUP($J$1,Legger!$A$9:$DS$48,112))</f>
        <v>-</v>
      </c>
      <c r="F127" s="155" t="s">
        <v>27</v>
      </c>
      <c r="G127" s="156"/>
      <c r="H127" s="109"/>
      <c r="I127" s="109"/>
      <c r="J127" s="109"/>
      <c r="K127" s="92"/>
      <c r="L127" s="257"/>
      <c r="M127" s="257"/>
      <c r="N127" s="257"/>
      <c r="O127" s="257"/>
    </row>
    <row r="128" spans="1:15" ht="30" customHeight="1" x14ac:dyDescent="0.25">
      <c r="B128" s="273" t="s">
        <v>28</v>
      </c>
      <c r="C128" s="273"/>
      <c r="D128" s="273"/>
      <c r="E128" s="154">
        <f>IF(VLOOKUP($J$1,Legger!$A$9:$DS$48,113)=0,"-",VLOOKUP($J$1,Legger!$A$9:$DS$48,113))</f>
        <v>1</v>
      </c>
      <c r="F128" s="155" t="s">
        <v>27</v>
      </c>
      <c r="G128" s="156"/>
      <c r="H128" s="109"/>
      <c r="I128" s="109"/>
      <c r="J128" s="109"/>
      <c r="K128" s="96"/>
      <c r="L128" s="94"/>
      <c r="M128" s="94"/>
      <c r="N128" s="97"/>
    </row>
    <row r="129" spans="1:14" ht="30" customHeight="1" x14ac:dyDescent="0.25">
      <c r="B129" s="135" t="s">
        <v>29</v>
      </c>
      <c r="C129" s="135"/>
      <c r="D129" s="135"/>
      <c r="E129" s="154" t="str">
        <f>IF(VLOOKUP($J$1,Legger!$A$9:$DS$48,114)=0,"-",VLOOKUP($J$1,Legger!$A$9:$DS$48,114))</f>
        <v>-</v>
      </c>
      <c r="F129" s="155" t="s">
        <v>27</v>
      </c>
      <c r="G129" s="156"/>
      <c r="H129" s="109"/>
      <c r="I129" s="109"/>
      <c r="J129" s="109"/>
      <c r="K129" s="96"/>
      <c r="L129" s="94"/>
      <c r="M129" s="94"/>
      <c r="N129" s="97"/>
    </row>
    <row r="130" spans="1:14" x14ac:dyDescent="0.2">
      <c r="B130" s="147"/>
      <c r="C130" s="147"/>
      <c r="D130" s="147"/>
      <c r="E130" s="145"/>
      <c r="F130" s="145"/>
      <c r="G130" s="147"/>
      <c r="H130" s="109"/>
      <c r="I130" s="109"/>
      <c r="J130" s="109"/>
    </row>
    <row r="131" spans="1:14" ht="15.75" x14ac:dyDescent="0.25">
      <c r="B131" s="122" t="s">
        <v>65</v>
      </c>
      <c r="C131" s="122" t="s">
        <v>66</v>
      </c>
      <c r="D131" s="113"/>
      <c r="E131" s="107"/>
      <c r="F131" s="108"/>
      <c r="G131" s="114"/>
      <c r="H131" s="107"/>
      <c r="I131" s="107"/>
      <c r="J131" s="107"/>
    </row>
    <row r="132" spans="1:14" ht="61.5" customHeight="1" x14ac:dyDescent="0.2">
      <c r="B132" s="282" t="str">
        <f>VLOOKUP($J$1,Legger!$A$9:$DS$48,123)</f>
        <v>Peserta didik sudah mampu menempatkan diri dengan baik. Pertahankan kepribadian yang mampu menggerakkan teman-teman dalam kebaikan.</v>
      </c>
      <c r="C132" s="283"/>
      <c r="D132" s="283"/>
      <c r="E132" s="283"/>
      <c r="F132" s="283"/>
      <c r="G132" s="283"/>
      <c r="H132" s="283"/>
      <c r="I132" s="283"/>
      <c r="J132" s="284"/>
    </row>
    <row r="133" spans="1:14" ht="15.75" x14ac:dyDescent="0.25">
      <c r="B133" s="113"/>
      <c r="C133" s="106"/>
      <c r="D133" s="113"/>
      <c r="E133" s="107"/>
      <c r="F133" s="108"/>
      <c r="G133" s="114"/>
      <c r="H133" s="107"/>
      <c r="I133" s="107"/>
      <c r="J133" s="107"/>
    </row>
    <row r="134" spans="1:14" ht="15.75" x14ac:dyDescent="0.25">
      <c r="B134" s="122" t="s">
        <v>67</v>
      </c>
      <c r="C134" s="122" t="s">
        <v>68</v>
      </c>
      <c r="D134" s="113"/>
      <c r="E134" s="107"/>
      <c r="F134" s="108"/>
      <c r="G134" s="114"/>
      <c r="H134" s="107"/>
      <c r="I134" s="107"/>
      <c r="J134" s="107"/>
    </row>
    <row r="135" spans="1:14" ht="61.5" customHeight="1" x14ac:dyDescent="0.25">
      <c r="B135" s="269"/>
      <c r="C135" s="270"/>
      <c r="D135" s="270"/>
      <c r="E135" s="270"/>
      <c r="F135" s="270"/>
      <c r="G135" s="270"/>
      <c r="H135" s="270"/>
      <c r="I135" s="270"/>
      <c r="J135" s="271"/>
      <c r="K135" s="96"/>
      <c r="L135" s="94"/>
      <c r="M135" s="94"/>
      <c r="N135" s="97"/>
    </row>
    <row r="136" spans="1:14" ht="15.75" x14ac:dyDescent="0.25">
      <c r="B136" s="113"/>
      <c r="C136" s="106"/>
      <c r="D136" s="113"/>
      <c r="E136" s="107"/>
      <c r="F136" s="108"/>
      <c r="G136" s="114"/>
      <c r="H136" s="107"/>
      <c r="I136" s="107"/>
      <c r="J136" s="107"/>
      <c r="K136" s="96"/>
      <c r="L136" s="94"/>
      <c r="M136" s="94"/>
      <c r="N136" s="97"/>
    </row>
    <row r="137" spans="1:14" ht="37.5" hidden="1" customHeight="1" x14ac:dyDescent="0.25">
      <c r="A137" s="10" t="s">
        <v>199</v>
      </c>
      <c r="B137" s="224" t="s">
        <v>61</v>
      </c>
      <c r="C137" s="225"/>
      <c r="D137" s="225"/>
      <c r="E137" s="225"/>
      <c r="F137" s="226" t="s">
        <v>198</v>
      </c>
      <c r="G137" s="226"/>
      <c r="H137" s="226"/>
      <c r="I137" s="226"/>
      <c r="J137" s="227"/>
      <c r="K137" s="96"/>
      <c r="L137" s="94"/>
      <c r="M137" s="94"/>
      <c r="N137" s="97"/>
    </row>
    <row r="138" spans="1:14" ht="15.75" customHeight="1" x14ac:dyDescent="0.25">
      <c r="B138" s="113"/>
      <c r="C138" s="106"/>
      <c r="D138" s="113"/>
      <c r="E138" s="107"/>
      <c r="F138" s="108"/>
      <c r="G138" s="114"/>
      <c r="H138" s="107"/>
      <c r="I138" s="107"/>
      <c r="J138" s="107"/>
      <c r="K138" s="96"/>
      <c r="L138" s="94"/>
      <c r="M138" s="94"/>
      <c r="N138" s="97"/>
    </row>
    <row r="139" spans="1:14" ht="15.75" customHeight="1" x14ac:dyDescent="0.25">
      <c r="B139" s="113"/>
      <c r="C139" s="228"/>
      <c r="D139" s="228"/>
      <c r="E139" s="228"/>
      <c r="F139" s="228"/>
      <c r="G139" s="109"/>
      <c r="H139" s="228" t="str">
        <f>"Surakarta, "&amp;Setting!E16&amp;""</f>
        <v>Surakarta, 17 Desember 2022</v>
      </c>
      <c r="I139" s="228"/>
      <c r="J139" s="228"/>
      <c r="K139" s="96"/>
      <c r="L139" s="94"/>
      <c r="M139" s="94"/>
      <c r="N139" s="97"/>
    </row>
    <row r="140" spans="1:14" ht="15.75" x14ac:dyDescent="0.25">
      <c r="B140" s="106"/>
      <c r="C140" s="228" t="s">
        <v>83</v>
      </c>
      <c r="D140" s="228"/>
      <c r="E140" s="228"/>
      <c r="F140" s="228"/>
      <c r="G140" s="109"/>
      <c r="H140" s="228" t="s">
        <v>84</v>
      </c>
      <c r="I140" s="228"/>
      <c r="J140" s="228"/>
      <c r="K140" s="96"/>
      <c r="L140" s="94"/>
      <c r="M140" s="94"/>
      <c r="N140" s="97"/>
    </row>
    <row r="141" spans="1:14" ht="39.950000000000003" customHeight="1" x14ac:dyDescent="0.25">
      <c r="B141" s="109"/>
      <c r="C141" s="228"/>
      <c r="D141" s="228"/>
      <c r="E141" s="228"/>
      <c r="F141" s="228"/>
      <c r="G141" s="109"/>
      <c r="H141" s="229"/>
      <c r="I141" s="229"/>
      <c r="J141" s="229"/>
      <c r="K141" s="96"/>
      <c r="L141" s="94"/>
      <c r="M141" s="94"/>
      <c r="N141" s="97"/>
    </row>
    <row r="142" spans="1:14" ht="15.75" customHeight="1" x14ac:dyDescent="0.25">
      <c r="B142" s="109"/>
      <c r="C142" s="228" t="s">
        <v>114</v>
      </c>
      <c r="D142" s="228"/>
      <c r="E142" s="228"/>
      <c r="F142" s="228"/>
      <c r="G142" s="109"/>
      <c r="H142" s="230" t="str">
        <f>Setting!E12</f>
        <v>Alfi Suryani Yusuf, S.Pd.</v>
      </c>
      <c r="I142" s="230"/>
      <c r="J142" s="230"/>
      <c r="K142" s="96"/>
      <c r="L142" s="94"/>
      <c r="M142" s="94"/>
      <c r="N142" s="97"/>
    </row>
    <row r="143" spans="1:14" ht="15.75" customHeight="1" x14ac:dyDescent="0.25">
      <c r="B143" s="140"/>
      <c r="C143" s="140"/>
      <c r="D143" s="140"/>
      <c r="E143" s="140"/>
      <c r="F143" s="140"/>
      <c r="G143" s="140"/>
      <c r="H143" s="231" t="str">
        <f>"NIK. "&amp;Setting!E13&amp;""</f>
        <v>NIK. 2020 04 3 481</v>
      </c>
      <c r="I143" s="231"/>
      <c r="J143" s="231"/>
      <c r="K143" s="96"/>
      <c r="L143" s="94"/>
      <c r="M143" s="94"/>
      <c r="N143" s="97"/>
    </row>
    <row r="144" spans="1:14" ht="16.5" customHeight="1" x14ac:dyDescent="0.2">
      <c r="B144" s="137"/>
      <c r="C144" s="233"/>
      <c r="D144" s="233"/>
      <c r="E144" s="233"/>
      <c r="F144" s="137"/>
      <c r="G144" s="137"/>
      <c r="H144" s="137"/>
      <c r="I144" s="140"/>
      <c r="J144" s="140"/>
    </row>
    <row r="145" spans="2:34" ht="15.75" x14ac:dyDescent="0.25">
      <c r="B145" s="136"/>
      <c r="C145" s="234"/>
      <c r="D145" s="234"/>
      <c r="E145" s="234"/>
      <c r="F145" s="157"/>
      <c r="G145" s="157"/>
      <c r="H145" s="157"/>
      <c r="I145" s="157"/>
      <c r="J145" s="157"/>
    </row>
    <row r="146" spans="2:34" ht="15.75" x14ac:dyDescent="0.25">
      <c r="B146" s="136"/>
      <c r="C146" s="140"/>
      <c r="D146" s="157"/>
      <c r="E146" s="157"/>
      <c r="F146" s="223" t="s">
        <v>85</v>
      </c>
      <c r="G146" s="223"/>
      <c r="H146" s="223"/>
      <c r="I146" s="157"/>
      <c r="J146" s="157"/>
    </row>
    <row r="147" spans="2:34" ht="39.950000000000003" customHeight="1" x14ac:dyDescent="0.2">
      <c r="B147" s="140"/>
      <c r="C147" s="140"/>
      <c r="D147" s="145"/>
      <c r="E147" s="140"/>
      <c r="F147" s="232"/>
      <c r="G147" s="232"/>
      <c r="H147" s="232"/>
      <c r="I147" s="140"/>
      <c r="J147" s="140"/>
    </row>
    <row r="148" spans="2:34" ht="16.5" thickBot="1" x14ac:dyDescent="0.3">
      <c r="B148" s="142"/>
      <c r="C148" s="140"/>
      <c r="D148" s="158"/>
      <c r="E148" s="158"/>
      <c r="F148" s="222" t="str">
        <f>Setting!E9</f>
        <v>Anna Rafaidah, S.Pd., Gr.</v>
      </c>
      <c r="G148" s="222"/>
      <c r="H148" s="222"/>
      <c r="I148" s="158"/>
      <c r="J148" s="158"/>
    </row>
    <row r="149" spans="2:34" x14ac:dyDescent="0.2">
      <c r="B149" s="137"/>
      <c r="C149" s="140"/>
      <c r="D149" s="157"/>
      <c r="E149" s="157"/>
      <c r="F149" s="223" t="str">
        <f>"NIK. "&amp;Setting!E10&amp;""</f>
        <v>NIK. 2014  09 2 095</v>
      </c>
      <c r="G149" s="223"/>
      <c r="H149" s="223"/>
      <c r="I149" s="157"/>
      <c r="J149" s="157"/>
      <c r="AA149" s="258"/>
      <c r="AB149" s="259"/>
      <c r="AC149" s="259"/>
      <c r="AD149" s="259"/>
      <c r="AE149" s="259"/>
      <c r="AF149" s="259"/>
      <c r="AG149" s="259"/>
      <c r="AH149" s="260"/>
    </row>
    <row r="150" spans="2:34" x14ac:dyDescent="0.2">
      <c r="F150" s="11"/>
      <c r="G150" s="11"/>
      <c r="H150" s="11"/>
      <c r="I150" s="11"/>
      <c r="J150" s="11"/>
      <c r="AA150" s="261"/>
      <c r="AB150" s="262"/>
      <c r="AC150" s="262"/>
      <c r="AD150" s="262"/>
      <c r="AE150" s="262"/>
      <c r="AF150" s="262"/>
      <c r="AG150" s="262"/>
      <c r="AH150" s="263"/>
    </row>
    <row r="151" spans="2:34" ht="42.75" customHeight="1" x14ac:dyDescent="0.2"/>
    <row r="153" spans="2:34" ht="15" customHeight="1" x14ac:dyDescent="0.2"/>
  </sheetData>
  <sheetProtection selectLockedCells="1"/>
  <mergeCells count="174">
    <mergeCell ref="E47:J47"/>
    <mergeCell ref="F48:G48"/>
    <mergeCell ref="F49:G49"/>
    <mergeCell ref="I48:J48"/>
    <mergeCell ref="I49:J49"/>
    <mergeCell ref="C47:D48"/>
    <mergeCell ref="C49:D49"/>
    <mergeCell ref="H5:H6"/>
    <mergeCell ref="C139:F139"/>
    <mergeCell ref="B100:J100"/>
    <mergeCell ref="B96:B97"/>
    <mergeCell ref="C96:D97"/>
    <mergeCell ref="F96:J96"/>
    <mergeCell ref="F97:J97"/>
    <mergeCell ref="B98:B99"/>
    <mergeCell ref="C98:D99"/>
    <mergeCell ref="F98:J98"/>
    <mergeCell ref="F99:J99"/>
    <mergeCell ref="B91:J91"/>
    <mergeCell ref="B92:B93"/>
    <mergeCell ref="C92:D93"/>
    <mergeCell ref="F92:J92"/>
    <mergeCell ref="F93:J93"/>
    <mergeCell ref="B94:B95"/>
    <mergeCell ref="B101:J101"/>
    <mergeCell ref="B102:B103"/>
    <mergeCell ref="C102:D103"/>
    <mergeCell ref="F102:J102"/>
    <mergeCell ref="F103:J103"/>
    <mergeCell ref="B104:B105"/>
    <mergeCell ref="C104:D105"/>
    <mergeCell ref="F104:J104"/>
    <mergeCell ref="F105:J105"/>
    <mergeCell ref="F87:J87"/>
    <mergeCell ref="B88:B89"/>
    <mergeCell ref="C88:D89"/>
    <mergeCell ref="F88:J88"/>
    <mergeCell ref="F89:J89"/>
    <mergeCell ref="B70:B71"/>
    <mergeCell ref="C70:D71"/>
    <mergeCell ref="F70:J70"/>
    <mergeCell ref="F71:J71"/>
    <mergeCell ref="B132:J132"/>
    <mergeCell ref="C24:E24"/>
    <mergeCell ref="C25:E25"/>
    <mergeCell ref="C26:E26"/>
    <mergeCell ref="C27:E27"/>
    <mergeCell ref="C28:E28"/>
    <mergeCell ref="C44:E44"/>
    <mergeCell ref="F60:J60"/>
    <mergeCell ref="F61:J61"/>
    <mergeCell ref="F62:J62"/>
    <mergeCell ref="F63:J63"/>
    <mergeCell ref="B72:J72"/>
    <mergeCell ref="C66:D67"/>
    <mergeCell ref="F66:J66"/>
    <mergeCell ref="F67:J67"/>
    <mergeCell ref="B68:B69"/>
    <mergeCell ref="C68:D69"/>
    <mergeCell ref="F68:J68"/>
    <mergeCell ref="F69:J69"/>
    <mergeCell ref="C94:D95"/>
    <mergeCell ref="F94:J94"/>
    <mergeCell ref="F95:J95"/>
    <mergeCell ref="B64:B65"/>
    <mergeCell ref="C64:D65"/>
    <mergeCell ref="B90:J90"/>
    <mergeCell ref="B62:B63"/>
    <mergeCell ref="B59:J59"/>
    <mergeCell ref="E57:E58"/>
    <mergeCell ref="F57:J58"/>
    <mergeCell ref="B83:B84"/>
    <mergeCell ref="C83:D84"/>
    <mergeCell ref="E83:E84"/>
    <mergeCell ref="F83:J84"/>
    <mergeCell ref="B85:J85"/>
    <mergeCell ref="F64:J64"/>
    <mergeCell ref="B66:B67"/>
    <mergeCell ref="B73:B74"/>
    <mergeCell ref="C73:D74"/>
    <mergeCell ref="F73:J73"/>
    <mergeCell ref="F74:J74"/>
    <mergeCell ref="B75:B76"/>
    <mergeCell ref="C75:D76"/>
    <mergeCell ref="F75:J75"/>
    <mergeCell ref="F76:J76"/>
    <mergeCell ref="F65:J65"/>
    <mergeCell ref="B86:B87"/>
    <mergeCell ref="C86:D87"/>
    <mergeCell ref="F86:J86"/>
    <mergeCell ref="L126:O127"/>
    <mergeCell ref="AA149:AH150"/>
    <mergeCell ref="B23:J23"/>
    <mergeCell ref="B30:J30"/>
    <mergeCell ref="B35:J35"/>
    <mergeCell ref="F114:J114"/>
    <mergeCell ref="F115:J115"/>
    <mergeCell ref="F116:J116"/>
    <mergeCell ref="B135:J135"/>
    <mergeCell ref="B42:J42"/>
    <mergeCell ref="B127:D127"/>
    <mergeCell ref="B128:D128"/>
    <mergeCell ref="B57:B58"/>
    <mergeCell ref="C122:E122"/>
    <mergeCell ref="F122:J122"/>
    <mergeCell ref="F121:J121"/>
    <mergeCell ref="F123:J123"/>
    <mergeCell ref="F124:J124"/>
    <mergeCell ref="C124:E124"/>
    <mergeCell ref="C121:E121"/>
    <mergeCell ref="H52:H53"/>
    <mergeCell ref="H79:H80"/>
    <mergeCell ref="H108:H109"/>
    <mergeCell ref="C34:E34"/>
    <mergeCell ref="C38:E38"/>
    <mergeCell ref="C39:E39"/>
    <mergeCell ref="C40:E40"/>
    <mergeCell ref="C43:E43"/>
    <mergeCell ref="E18:J18"/>
    <mergeCell ref="B14:D14"/>
    <mergeCell ref="E14:J14"/>
    <mergeCell ref="B13:D13"/>
    <mergeCell ref="B18:D18"/>
    <mergeCell ref="B21:B22"/>
    <mergeCell ref="B36:J36"/>
    <mergeCell ref="E13:J13"/>
    <mergeCell ref="B17:D17"/>
    <mergeCell ref="E17:J17"/>
    <mergeCell ref="C21:E22"/>
    <mergeCell ref="F21:F22"/>
    <mergeCell ref="G21:H21"/>
    <mergeCell ref="I21:J21"/>
    <mergeCell ref="C29:E29"/>
    <mergeCell ref="C37:E37"/>
    <mergeCell ref="E4:G4"/>
    <mergeCell ref="E5:G5"/>
    <mergeCell ref="E51:G51"/>
    <mergeCell ref="E52:G52"/>
    <mergeCell ref="E78:G78"/>
    <mergeCell ref="E79:G79"/>
    <mergeCell ref="E107:G107"/>
    <mergeCell ref="E108:G108"/>
    <mergeCell ref="C123:E123"/>
    <mergeCell ref="C120:E120"/>
    <mergeCell ref="B41:J41"/>
    <mergeCell ref="C57:D58"/>
    <mergeCell ref="B60:B61"/>
    <mergeCell ref="C60:D61"/>
    <mergeCell ref="C62:D63"/>
    <mergeCell ref="C31:E31"/>
    <mergeCell ref="C32:E32"/>
    <mergeCell ref="C33:E33"/>
    <mergeCell ref="F120:J120"/>
    <mergeCell ref="C114:D114"/>
    <mergeCell ref="C115:D115"/>
    <mergeCell ref="C116:D116"/>
    <mergeCell ref="C113:D113"/>
    <mergeCell ref="F113:J113"/>
    <mergeCell ref="F148:H148"/>
    <mergeCell ref="F149:H149"/>
    <mergeCell ref="B137:E137"/>
    <mergeCell ref="F137:J137"/>
    <mergeCell ref="H140:J140"/>
    <mergeCell ref="H141:J141"/>
    <mergeCell ref="H142:J142"/>
    <mergeCell ref="H143:J143"/>
    <mergeCell ref="F146:H146"/>
    <mergeCell ref="F147:H147"/>
    <mergeCell ref="H139:J139"/>
    <mergeCell ref="C140:F140"/>
    <mergeCell ref="C141:F141"/>
    <mergeCell ref="C142:F142"/>
    <mergeCell ref="C144:E144"/>
    <mergeCell ref="C145:E145"/>
  </mergeCells>
  <conditionalFormatting sqref="C121 F121">
    <cfRule type="cellIs" dxfId="37" priority="22" operator="equal">
      <formula>0</formula>
    </cfRule>
  </conditionalFormatting>
  <conditionalFormatting sqref="C122:C124">
    <cfRule type="cellIs" dxfId="36" priority="21" operator="equal">
      <formula>0</formula>
    </cfRule>
  </conditionalFormatting>
  <conditionalFormatting sqref="F122:F124">
    <cfRule type="cellIs" dxfId="35" priority="20" operator="equal">
      <formula>0</formula>
    </cfRule>
  </conditionalFormatting>
  <conditionalFormatting sqref="C114">
    <cfRule type="cellIs" dxfId="34" priority="19" operator="equal">
      <formula>0</formula>
    </cfRule>
  </conditionalFormatting>
  <conditionalFormatting sqref="C114">
    <cfRule type="cellIs" dxfId="33" priority="18" operator="equal">
      <formula>0</formula>
    </cfRule>
  </conditionalFormatting>
  <conditionalFormatting sqref="C116">
    <cfRule type="cellIs" dxfId="32" priority="17" operator="equal">
      <formula>0</formula>
    </cfRule>
  </conditionalFormatting>
  <conditionalFormatting sqref="C116">
    <cfRule type="cellIs" dxfId="31" priority="16" operator="equal">
      <formula>0</formula>
    </cfRule>
  </conditionalFormatting>
  <conditionalFormatting sqref="E114:J116">
    <cfRule type="cellIs" dxfId="30" priority="15" operator="equal">
      <formula>0</formula>
    </cfRule>
  </conditionalFormatting>
  <conditionalFormatting sqref="F102:J105">
    <cfRule type="cellIs" dxfId="29" priority="14" operator="equal">
      <formula>0</formula>
    </cfRule>
  </conditionalFormatting>
  <conditionalFormatting sqref="F92:J99">
    <cfRule type="cellIs" dxfId="28" priority="13" operator="equal">
      <formula>0</formula>
    </cfRule>
  </conditionalFormatting>
  <conditionalFormatting sqref="F86:J89">
    <cfRule type="cellIs" dxfId="27" priority="12" operator="equal">
      <formula>0</formula>
    </cfRule>
  </conditionalFormatting>
  <conditionalFormatting sqref="F73:J76">
    <cfRule type="cellIs" dxfId="26" priority="11" operator="equal">
      <formula>0</formula>
    </cfRule>
  </conditionalFormatting>
  <conditionalFormatting sqref="F60:J71">
    <cfRule type="cellIs" dxfId="25" priority="10" operator="equal">
      <formula>0</formula>
    </cfRule>
  </conditionalFormatting>
  <conditionalFormatting sqref="G43:J46">
    <cfRule type="cellIs" dxfId="24" priority="9" operator="equal">
      <formula>0</formula>
    </cfRule>
  </conditionalFormatting>
  <conditionalFormatting sqref="G37:J40">
    <cfRule type="cellIs" dxfId="23" priority="8" operator="equal">
      <formula>0</formula>
    </cfRule>
  </conditionalFormatting>
  <conditionalFormatting sqref="G31:J34">
    <cfRule type="cellIs" dxfId="22" priority="7" operator="equal">
      <formula>0</formula>
    </cfRule>
  </conditionalFormatting>
  <conditionalFormatting sqref="G24:J29">
    <cfRule type="cellIs" dxfId="21" priority="6" operator="equal">
      <formula>0</formula>
    </cfRule>
  </conditionalFormatting>
  <conditionalFormatting sqref="B14:J14">
    <cfRule type="cellIs" dxfId="20" priority="5" operator="equal">
      <formula>0</formula>
    </cfRule>
  </conditionalFormatting>
  <conditionalFormatting sqref="B18:D18">
    <cfRule type="cellIs" dxfId="19" priority="4" operator="equal">
      <formula>0</formula>
    </cfRule>
  </conditionalFormatting>
  <conditionalFormatting sqref="E18:J18">
    <cfRule type="cellIs" dxfId="18" priority="3" operator="equal">
      <formula>0</formula>
    </cfRule>
  </conditionalFormatting>
  <conditionalFormatting sqref="C115">
    <cfRule type="cellIs" dxfId="17" priority="2" operator="equal">
      <formula>0</formula>
    </cfRule>
  </conditionalFormatting>
  <conditionalFormatting sqref="C115">
    <cfRule type="cellIs" dxfId="16" priority="1" operator="equal">
      <formula>0</formula>
    </cfRule>
  </conditionalFormatting>
  <printOptions horizontalCentered="1"/>
  <pageMargins left="0.23622047244094491" right="0.23622047244094491" top="0.51181102362204722" bottom="0.23622047244094491" header="0.31496062992125984" footer="0.11811023622047245"/>
  <pageSetup paperSize="9" scale="75" orientation="portrait" r:id="rId1"/>
  <rowBreaks count="3" manualBreakCount="3">
    <brk id="49" min="1" max="9" man="1"/>
    <brk id="76" min="1" max="9" man="1"/>
    <brk id="105" min="1"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print="0" autoLine="0" autoPict="0">
                <anchor moveWithCells="1">
                  <from>
                    <xdr:col>6</xdr:col>
                    <xdr:colOff>485775</xdr:colOff>
                    <xdr:row>0</xdr:row>
                    <xdr:rowOff>266700</xdr:rowOff>
                  </from>
                  <to>
                    <xdr:col>8</xdr:col>
                    <xdr:colOff>733425</xdr:colOff>
                    <xdr:row>0</xdr:row>
                    <xdr:rowOff>590550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49"/>
  <sheetViews>
    <sheetView zoomScale="60" zoomScaleNormal="60" workbookViewId="0">
      <pane xSplit="5" ySplit="8" topLeftCell="V9" activePane="bottomRight" state="frozenSplit"/>
      <selection pane="topRight" activeCell="U1" sqref="U1"/>
      <selection pane="bottomLeft" activeCell="J9" sqref="J9"/>
      <selection pane="bottomRight" activeCell="X39" sqref="X39"/>
    </sheetView>
  </sheetViews>
  <sheetFormatPr defaultColWidth="9.140625" defaultRowHeight="15" x14ac:dyDescent="0.25"/>
  <cols>
    <col min="1" max="1" width="18" style="1" customWidth="1"/>
    <col min="2" max="2" width="34.5703125" style="8" customWidth="1"/>
    <col min="3" max="3" width="9.140625" style="9" customWidth="1"/>
    <col min="4" max="4" width="23.7109375" style="9" customWidth="1"/>
    <col min="5" max="5" width="25.5703125" style="8" customWidth="1"/>
    <col min="6" max="9" width="14.140625" style="8" customWidth="1"/>
    <col min="10" max="99" width="8.5703125" style="8" customWidth="1"/>
    <col min="100" max="105" width="8.5703125" style="8" hidden="1" customWidth="1"/>
    <col min="106" max="107" width="9.7109375" style="8" customWidth="1"/>
    <col min="108" max="108" width="12.28515625" style="8" customWidth="1"/>
    <col min="109" max="110" width="9.7109375" style="8" customWidth="1"/>
    <col min="111" max="111" width="12.28515625" style="8" customWidth="1"/>
    <col min="112" max="122" width="9.7109375" style="8" customWidth="1"/>
    <col min="123" max="123" width="23.85546875" style="8" customWidth="1"/>
    <col min="124" max="16384" width="9.140625" style="8"/>
  </cols>
  <sheetData>
    <row r="1" spans="1:123" ht="99" customHeight="1" x14ac:dyDescent="0.25">
      <c r="A1" s="8"/>
    </row>
    <row r="2" spans="1:123" ht="26.25" x14ac:dyDescent="0.4">
      <c r="A2" s="8"/>
      <c r="B2" s="26" t="str">
        <f>"Legger Rapor "&amp;Setting!E5&amp;" Semester "&amp;Setting!E15&amp;" "&amp;Home!K19&amp;" Kelas "&amp;Setting!E11&amp;""</f>
        <v>Legger Rapor SMA ABBS Surakarta Semester V  Kelas XII MIPA 4</v>
      </c>
    </row>
    <row r="4" spans="1:123" s="3" customFormat="1" ht="15" customHeight="1" x14ac:dyDescent="0.25">
      <c r="A4" s="205" t="s">
        <v>30</v>
      </c>
      <c r="B4" s="207" t="s">
        <v>33</v>
      </c>
      <c r="C4" s="207" t="s">
        <v>34</v>
      </c>
      <c r="D4" s="207" t="s">
        <v>35</v>
      </c>
      <c r="E4" s="207" t="s">
        <v>36</v>
      </c>
      <c r="F4" s="292" t="s">
        <v>94</v>
      </c>
      <c r="G4" s="292"/>
      <c r="H4" s="292"/>
      <c r="I4" s="292"/>
      <c r="J4" s="310" t="s">
        <v>95</v>
      </c>
      <c r="K4" s="310"/>
      <c r="L4" s="310"/>
      <c r="M4" s="310"/>
      <c r="N4" s="310"/>
      <c r="O4" s="310"/>
      <c r="P4" s="310"/>
      <c r="Q4" s="310"/>
      <c r="R4" s="310"/>
      <c r="S4" s="310"/>
      <c r="T4" s="310"/>
      <c r="U4" s="310"/>
      <c r="V4" s="310"/>
      <c r="W4" s="310"/>
      <c r="X4" s="310"/>
      <c r="Y4" s="310"/>
      <c r="Z4" s="310"/>
      <c r="AA4" s="310"/>
      <c r="AB4" s="310"/>
      <c r="AC4" s="310"/>
      <c r="AD4" s="310"/>
      <c r="AE4" s="310"/>
      <c r="AF4" s="310"/>
      <c r="AG4" s="310"/>
      <c r="AH4" s="310"/>
      <c r="AI4" s="310"/>
      <c r="AJ4" s="310"/>
      <c r="AK4" s="310"/>
      <c r="AL4" s="310"/>
      <c r="AM4" s="310"/>
      <c r="AN4" s="310"/>
      <c r="AO4" s="310"/>
      <c r="AP4" s="310"/>
      <c r="AQ4" s="310"/>
      <c r="AR4" s="310"/>
      <c r="AS4" s="310"/>
      <c r="AT4" s="311" t="s">
        <v>14</v>
      </c>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2" t="s">
        <v>96</v>
      </c>
      <c r="BS4" s="310"/>
      <c r="BT4" s="310"/>
      <c r="BU4" s="310"/>
      <c r="BV4" s="310"/>
      <c r="BW4" s="310"/>
      <c r="BX4" s="310"/>
      <c r="BY4" s="310"/>
      <c r="BZ4" s="310"/>
      <c r="CA4" s="310"/>
      <c r="CB4" s="310"/>
      <c r="CC4" s="310"/>
      <c r="CD4" s="310"/>
      <c r="CE4" s="310"/>
      <c r="CF4" s="310"/>
      <c r="CG4" s="310"/>
      <c r="CH4" s="310"/>
      <c r="CI4" s="310"/>
      <c r="CJ4" s="310"/>
      <c r="CK4" s="310"/>
      <c r="CL4" s="310"/>
      <c r="CM4" s="310"/>
      <c r="CN4" s="310"/>
      <c r="CO4" s="310"/>
      <c r="CP4" s="313" t="s">
        <v>97</v>
      </c>
      <c r="CQ4" s="313"/>
      <c r="CR4" s="313"/>
      <c r="CS4" s="313"/>
      <c r="CT4" s="313"/>
      <c r="CU4" s="313"/>
      <c r="CV4" s="313"/>
      <c r="CW4" s="313"/>
      <c r="CX4" s="313"/>
      <c r="CY4" s="313"/>
      <c r="CZ4" s="313"/>
      <c r="DA4" s="313"/>
      <c r="DB4" s="300" t="s">
        <v>59</v>
      </c>
      <c r="DC4" s="301"/>
      <c r="DD4" s="301"/>
      <c r="DE4" s="301"/>
      <c r="DF4" s="301"/>
      <c r="DG4" s="301"/>
      <c r="DH4" s="296" t="s">
        <v>25</v>
      </c>
      <c r="DI4" s="296"/>
      <c r="DJ4" s="296"/>
      <c r="DK4" s="300" t="s">
        <v>98</v>
      </c>
      <c r="DL4" s="301"/>
      <c r="DM4" s="301"/>
      <c r="DN4" s="301"/>
      <c r="DO4" s="301"/>
      <c r="DP4" s="301"/>
      <c r="DQ4" s="301"/>
      <c r="DR4" s="302"/>
      <c r="DS4" s="306" t="s">
        <v>66</v>
      </c>
    </row>
    <row r="5" spans="1:123" s="17" customFormat="1" ht="36.75" customHeight="1" x14ac:dyDescent="0.25">
      <c r="A5" s="206"/>
      <c r="B5" s="207"/>
      <c r="C5" s="207"/>
      <c r="D5" s="207"/>
      <c r="E5" s="207"/>
      <c r="F5" s="292"/>
      <c r="G5" s="292"/>
      <c r="H5" s="292"/>
      <c r="I5" s="292"/>
      <c r="J5" s="307" t="s">
        <v>8</v>
      </c>
      <c r="K5" s="308"/>
      <c r="L5" s="308"/>
      <c r="M5" s="308"/>
      <c r="N5" s="308"/>
      <c r="O5" s="308"/>
      <c r="P5" s="308" t="s">
        <v>9</v>
      </c>
      <c r="Q5" s="308"/>
      <c r="R5" s="308"/>
      <c r="S5" s="308"/>
      <c r="T5" s="308"/>
      <c r="U5" s="308"/>
      <c r="V5" s="309" t="s">
        <v>10</v>
      </c>
      <c r="W5" s="309"/>
      <c r="X5" s="309"/>
      <c r="Y5" s="309"/>
      <c r="Z5" s="309"/>
      <c r="AA5" s="309"/>
      <c r="AB5" s="308" t="s">
        <v>11</v>
      </c>
      <c r="AC5" s="308"/>
      <c r="AD5" s="308"/>
      <c r="AE5" s="308"/>
      <c r="AF5" s="308"/>
      <c r="AG5" s="308"/>
      <c r="AH5" s="308" t="s">
        <v>12</v>
      </c>
      <c r="AI5" s="308"/>
      <c r="AJ5" s="308"/>
      <c r="AK5" s="308"/>
      <c r="AL5" s="308"/>
      <c r="AM5" s="308"/>
      <c r="AN5" s="308" t="s">
        <v>13</v>
      </c>
      <c r="AO5" s="308"/>
      <c r="AP5" s="308"/>
      <c r="AQ5" s="308"/>
      <c r="AR5" s="308"/>
      <c r="AS5" s="308"/>
      <c r="AT5" s="202" t="s">
        <v>15</v>
      </c>
      <c r="AU5" s="202"/>
      <c r="AV5" s="202"/>
      <c r="AW5" s="202"/>
      <c r="AX5" s="202"/>
      <c r="AY5" s="202"/>
      <c r="AZ5" s="202" t="s">
        <v>16</v>
      </c>
      <c r="BA5" s="202"/>
      <c r="BB5" s="202"/>
      <c r="BC5" s="202"/>
      <c r="BD5" s="202"/>
      <c r="BE5" s="202"/>
      <c r="BF5" s="202" t="s">
        <v>39</v>
      </c>
      <c r="BG5" s="202"/>
      <c r="BH5" s="202"/>
      <c r="BI5" s="202"/>
      <c r="BJ5" s="202"/>
      <c r="BK5" s="202"/>
      <c r="BL5" s="202" t="s">
        <v>18</v>
      </c>
      <c r="BM5" s="202"/>
      <c r="BN5" s="202"/>
      <c r="BO5" s="202"/>
      <c r="BP5" s="202"/>
      <c r="BQ5" s="202"/>
      <c r="BR5" s="203" t="s">
        <v>11</v>
      </c>
      <c r="BS5" s="201"/>
      <c r="BT5" s="201"/>
      <c r="BU5" s="201"/>
      <c r="BV5" s="201"/>
      <c r="BW5" s="201"/>
      <c r="BX5" s="203" t="s">
        <v>20</v>
      </c>
      <c r="BY5" s="201"/>
      <c r="BZ5" s="201"/>
      <c r="CA5" s="201"/>
      <c r="CB5" s="201"/>
      <c r="CC5" s="201"/>
      <c r="CD5" s="203" t="s">
        <v>40</v>
      </c>
      <c r="CE5" s="201"/>
      <c r="CF5" s="201"/>
      <c r="CG5" s="201"/>
      <c r="CH5" s="201"/>
      <c r="CI5" s="201"/>
      <c r="CJ5" s="203" t="s">
        <v>22</v>
      </c>
      <c r="CK5" s="201"/>
      <c r="CL5" s="201"/>
      <c r="CM5" s="201"/>
      <c r="CN5" s="201"/>
      <c r="CO5" s="201"/>
      <c r="CP5" s="204" t="s">
        <v>13</v>
      </c>
      <c r="CQ5" s="204"/>
      <c r="CR5" s="204"/>
      <c r="CS5" s="204"/>
      <c r="CT5" s="204"/>
      <c r="CU5" s="204"/>
      <c r="CV5" s="204" t="s">
        <v>23</v>
      </c>
      <c r="CW5" s="204"/>
      <c r="CX5" s="204"/>
      <c r="CY5" s="204"/>
      <c r="CZ5" s="204"/>
      <c r="DA5" s="204"/>
      <c r="DB5" s="303"/>
      <c r="DC5" s="304"/>
      <c r="DD5" s="304"/>
      <c r="DE5" s="304"/>
      <c r="DF5" s="304"/>
      <c r="DG5" s="304"/>
      <c r="DH5" s="296"/>
      <c r="DI5" s="296"/>
      <c r="DJ5" s="296"/>
      <c r="DK5" s="303"/>
      <c r="DL5" s="304"/>
      <c r="DM5" s="304"/>
      <c r="DN5" s="304"/>
      <c r="DO5" s="304"/>
      <c r="DP5" s="304"/>
      <c r="DQ5" s="304"/>
      <c r="DR5" s="305"/>
      <c r="DS5" s="306"/>
    </row>
    <row r="6" spans="1:123" s="13" customFormat="1" ht="24.75" customHeight="1" x14ac:dyDescent="0.25">
      <c r="A6" s="206"/>
      <c r="B6" s="207"/>
      <c r="C6" s="207"/>
      <c r="D6" s="207"/>
      <c r="E6" s="207"/>
      <c r="F6" s="294" t="s">
        <v>70</v>
      </c>
      <c r="G6" s="295"/>
      <c r="H6" s="294" t="s">
        <v>71</v>
      </c>
      <c r="I6" s="295"/>
      <c r="J6" s="297" t="s">
        <v>31</v>
      </c>
      <c r="K6" s="298"/>
      <c r="L6" s="299"/>
      <c r="M6" s="297" t="s">
        <v>32</v>
      </c>
      <c r="N6" s="298"/>
      <c r="O6" s="299"/>
      <c r="P6" s="297" t="s">
        <v>31</v>
      </c>
      <c r="Q6" s="298"/>
      <c r="R6" s="299"/>
      <c r="S6" s="297" t="s">
        <v>32</v>
      </c>
      <c r="T6" s="298"/>
      <c r="U6" s="299"/>
      <c r="V6" s="297" t="s">
        <v>31</v>
      </c>
      <c r="W6" s="298"/>
      <c r="X6" s="299"/>
      <c r="Y6" s="297" t="s">
        <v>32</v>
      </c>
      <c r="Z6" s="298"/>
      <c r="AA6" s="299"/>
      <c r="AB6" s="297" t="s">
        <v>31</v>
      </c>
      <c r="AC6" s="298"/>
      <c r="AD6" s="299"/>
      <c r="AE6" s="297" t="s">
        <v>32</v>
      </c>
      <c r="AF6" s="298"/>
      <c r="AG6" s="299"/>
      <c r="AH6" s="297" t="s">
        <v>31</v>
      </c>
      <c r="AI6" s="298"/>
      <c r="AJ6" s="299"/>
      <c r="AK6" s="297" t="s">
        <v>32</v>
      </c>
      <c r="AL6" s="298"/>
      <c r="AM6" s="299"/>
      <c r="AN6" s="297" t="s">
        <v>31</v>
      </c>
      <c r="AO6" s="298"/>
      <c r="AP6" s="299"/>
      <c r="AQ6" s="297" t="s">
        <v>32</v>
      </c>
      <c r="AR6" s="298"/>
      <c r="AS6" s="299"/>
      <c r="AT6" s="314" t="s">
        <v>31</v>
      </c>
      <c r="AU6" s="315"/>
      <c r="AV6" s="316"/>
      <c r="AW6" s="314" t="s">
        <v>32</v>
      </c>
      <c r="AX6" s="315"/>
      <c r="AY6" s="316"/>
      <c r="AZ6" s="314" t="s">
        <v>31</v>
      </c>
      <c r="BA6" s="315"/>
      <c r="BB6" s="316"/>
      <c r="BC6" s="314" t="s">
        <v>32</v>
      </c>
      <c r="BD6" s="315"/>
      <c r="BE6" s="316"/>
      <c r="BF6" s="314" t="s">
        <v>31</v>
      </c>
      <c r="BG6" s="315"/>
      <c r="BH6" s="316"/>
      <c r="BI6" s="314" t="s">
        <v>32</v>
      </c>
      <c r="BJ6" s="315"/>
      <c r="BK6" s="316"/>
      <c r="BL6" s="314" t="s">
        <v>31</v>
      </c>
      <c r="BM6" s="315"/>
      <c r="BN6" s="316"/>
      <c r="BO6" s="314" t="s">
        <v>32</v>
      </c>
      <c r="BP6" s="315"/>
      <c r="BQ6" s="316"/>
      <c r="BR6" s="297" t="s">
        <v>31</v>
      </c>
      <c r="BS6" s="298"/>
      <c r="BT6" s="299"/>
      <c r="BU6" s="297" t="s">
        <v>32</v>
      </c>
      <c r="BV6" s="298"/>
      <c r="BW6" s="299"/>
      <c r="BX6" s="297" t="s">
        <v>31</v>
      </c>
      <c r="BY6" s="298"/>
      <c r="BZ6" s="299"/>
      <c r="CA6" s="297" t="s">
        <v>32</v>
      </c>
      <c r="CB6" s="298"/>
      <c r="CC6" s="299"/>
      <c r="CD6" s="297" t="s">
        <v>31</v>
      </c>
      <c r="CE6" s="298"/>
      <c r="CF6" s="299"/>
      <c r="CG6" s="297" t="s">
        <v>32</v>
      </c>
      <c r="CH6" s="298"/>
      <c r="CI6" s="299"/>
      <c r="CJ6" s="297" t="s">
        <v>31</v>
      </c>
      <c r="CK6" s="298"/>
      <c r="CL6" s="299"/>
      <c r="CM6" s="297" t="s">
        <v>32</v>
      </c>
      <c r="CN6" s="298"/>
      <c r="CO6" s="299"/>
      <c r="CP6" s="319" t="s">
        <v>31</v>
      </c>
      <c r="CQ6" s="320"/>
      <c r="CR6" s="321"/>
      <c r="CS6" s="319" t="s">
        <v>32</v>
      </c>
      <c r="CT6" s="320"/>
      <c r="CU6" s="321"/>
      <c r="CV6" s="319" t="s">
        <v>31</v>
      </c>
      <c r="CW6" s="320"/>
      <c r="CX6" s="321"/>
      <c r="CY6" s="319" t="s">
        <v>32</v>
      </c>
      <c r="CZ6" s="320"/>
      <c r="DA6" s="321"/>
      <c r="DB6" s="317" t="s">
        <v>90</v>
      </c>
      <c r="DC6" s="317" t="s">
        <v>82</v>
      </c>
      <c r="DD6" s="317" t="s">
        <v>116</v>
      </c>
      <c r="DE6" s="317" t="s">
        <v>91</v>
      </c>
      <c r="DF6" s="317" t="s">
        <v>82</v>
      </c>
      <c r="DG6" s="317" t="s">
        <v>116</v>
      </c>
      <c r="DH6" s="317" t="s">
        <v>26</v>
      </c>
      <c r="DI6" s="317" t="s">
        <v>28</v>
      </c>
      <c r="DJ6" s="317" t="s">
        <v>92</v>
      </c>
      <c r="DK6" s="322" t="s">
        <v>99</v>
      </c>
      <c r="DL6" s="323"/>
      <c r="DM6" s="323"/>
      <c r="DN6" s="324"/>
      <c r="DO6" s="322" t="s">
        <v>100</v>
      </c>
      <c r="DP6" s="323"/>
      <c r="DQ6" s="323"/>
      <c r="DR6" s="324"/>
      <c r="DS6" s="306"/>
    </row>
    <row r="7" spans="1:123" s="13" customFormat="1" ht="30" customHeight="1" x14ac:dyDescent="0.25">
      <c r="A7" s="293"/>
      <c r="B7" s="207"/>
      <c r="C7" s="207"/>
      <c r="D7" s="207"/>
      <c r="E7" s="207"/>
      <c r="F7" s="21" t="s">
        <v>78</v>
      </c>
      <c r="G7" s="21" t="s">
        <v>38</v>
      </c>
      <c r="H7" s="21" t="s">
        <v>78</v>
      </c>
      <c r="I7" s="21" t="s">
        <v>38</v>
      </c>
      <c r="J7" s="5" t="s">
        <v>57</v>
      </c>
      <c r="K7" s="5" t="s">
        <v>89</v>
      </c>
      <c r="L7" s="5" t="s">
        <v>93</v>
      </c>
      <c r="M7" s="5" t="s">
        <v>57</v>
      </c>
      <c r="N7" s="5" t="s">
        <v>89</v>
      </c>
      <c r="O7" s="5" t="s">
        <v>93</v>
      </c>
      <c r="P7" s="5" t="s">
        <v>57</v>
      </c>
      <c r="Q7" s="5" t="s">
        <v>89</v>
      </c>
      <c r="R7" s="5" t="s">
        <v>93</v>
      </c>
      <c r="S7" s="5" t="s">
        <v>57</v>
      </c>
      <c r="T7" s="5" t="s">
        <v>89</v>
      </c>
      <c r="U7" s="5" t="s">
        <v>93</v>
      </c>
      <c r="V7" s="5" t="s">
        <v>57</v>
      </c>
      <c r="W7" s="5" t="s">
        <v>89</v>
      </c>
      <c r="X7" s="5" t="s">
        <v>93</v>
      </c>
      <c r="Y7" s="5" t="s">
        <v>57</v>
      </c>
      <c r="Z7" s="5" t="s">
        <v>89</v>
      </c>
      <c r="AA7" s="5" t="s">
        <v>93</v>
      </c>
      <c r="AB7" s="5" t="s">
        <v>57</v>
      </c>
      <c r="AC7" s="5" t="s">
        <v>89</v>
      </c>
      <c r="AD7" s="5" t="s">
        <v>93</v>
      </c>
      <c r="AE7" s="5" t="s">
        <v>57</v>
      </c>
      <c r="AF7" s="5" t="s">
        <v>89</v>
      </c>
      <c r="AG7" s="5" t="s">
        <v>93</v>
      </c>
      <c r="AH7" s="5" t="s">
        <v>57</v>
      </c>
      <c r="AI7" s="5" t="s">
        <v>89</v>
      </c>
      <c r="AJ7" s="5" t="s">
        <v>93</v>
      </c>
      <c r="AK7" s="5" t="s">
        <v>57</v>
      </c>
      <c r="AL7" s="5" t="s">
        <v>89</v>
      </c>
      <c r="AM7" s="5" t="s">
        <v>93</v>
      </c>
      <c r="AN7" s="5" t="s">
        <v>57</v>
      </c>
      <c r="AO7" s="5" t="s">
        <v>89</v>
      </c>
      <c r="AP7" s="5" t="s">
        <v>93</v>
      </c>
      <c r="AQ7" s="5" t="s">
        <v>57</v>
      </c>
      <c r="AR7" s="5" t="s">
        <v>89</v>
      </c>
      <c r="AS7" s="5" t="s">
        <v>93</v>
      </c>
      <c r="AT7" s="6" t="s">
        <v>57</v>
      </c>
      <c r="AU7" s="6" t="s">
        <v>89</v>
      </c>
      <c r="AV7" s="6" t="s">
        <v>93</v>
      </c>
      <c r="AW7" s="6" t="s">
        <v>57</v>
      </c>
      <c r="AX7" s="6" t="s">
        <v>89</v>
      </c>
      <c r="AY7" s="6" t="s">
        <v>93</v>
      </c>
      <c r="AZ7" s="6" t="s">
        <v>57</v>
      </c>
      <c r="BA7" s="6" t="s">
        <v>89</v>
      </c>
      <c r="BB7" s="6" t="s">
        <v>93</v>
      </c>
      <c r="BC7" s="6" t="s">
        <v>57</v>
      </c>
      <c r="BD7" s="6" t="s">
        <v>89</v>
      </c>
      <c r="BE7" s="6" t="s">
        <v>93</v>
      </c>
      <c r="BF7" s="6" t="s">
        <v>57</v>
      </c>
      <c r="BG7" s="6" t="s">
        <v>89</v>
      </c>
      <c r="BH7" s="6" t="s">
        <v>93</v>
      </c>
      <c r="BI7" s="6" t="s">
        <v>57</v>
      </c>
      <c r="BJ7" s="6" t="s">
        <v>89</v>
      </c>
      <c r="BK7" s="6" t="s">
        <v>93</v>
      </c>
      <c r="BL7" s="6" t="s">
        <v>57</v>
      </c>
      <c r="BM7" s="6" t="s">
        <v>89</v>
      </c>
      <c r="BN7" s="6" t="s">
        <v>93</v>
      </c>
      <c r="BO7" s="6" t="s">
        <v>57</v>
      </c>
      <c r="BP7" s="6" t="s">
        <v>89</v>
      </c>
      <c r="BQ7" s="6" t="s">
        <v>93</v>
      </c>
      <c r="BR7" s="5" t="s">
        <v>57</v>
      </c>
      <c r="BS7" s="5" t="s">
        <v>89</v>
      </c>
      <c r="BT7" s="5" t="s">
        <v>93</v>
      </c>
      <c r="BU7" s="5" t="s">
        <v>57</v>
      </c>
      <c r="BV7" s="5" t="s">
        <v>89</v>
      </c>
      <c r="BW7" s="5" t="s">
        <v>93</v>
      </c>
      <c r="BX7" s="5" t="s">
        <v>57</v>
      </c>
      <c r="BY7" s="5" t="s">
        <v>89</v>
      </c>
      <c r="BZ7" s="5" t="s">
        <v>93</v>
      </c>
      <c r="CA7" s="5" t="s">
        <v>57</v>
      </c>
      <c r="CB7" s="5" t="s">
        <v>89</v>
      </c>
      <c r="CC7" s="5" t="s">
        <v>93</v>
      </c>
      <c r="CD7" s="5" t="s">
        <v>57</v>
      </c>
      <c r="CE7" s="5" t="s">
        <v>89</v>
      </c>
      <c r="CF7" s="5" t="s">
        <v>93</v>
      </c>
      <c r="CG7" s="5" t="s">
        <v>57</v>
      </c>
      <c r="CH7" s="5" t="s">
        <v>89</v>
      </c>
      <c r="CI7" s="5" t="s">
        <v>93</v>
      </c>
      <c r="CJ7" s="5" t="s">
        <v>57</v>
      </c>
      <c r="CK7" s="5" t="s">
        <v>89</v>
      </c>
      <c r="CL7" s="5" t="s">
        <v>93</v>
      </c>
      <c r="CM7" s="5" t="s">
        <v>57</v>
      </c>
      <c r="CN7" s="5" t="s">
        <v>89</v>
      </c>
      <c r="CO7" s="5" t="s">
        <v>93</v>
      </c>
      <c r="CP7" s="22" t="s">
        <v>57</v>
      </c>
      <c r="CQ7" s="22" t="s">
        <v>89</v>
      </c>
      <c r="CR7" s="22" t="s">
        <v>93</v>
      </c>
      <c r="CS7" s="22" t="s">
        <v>57</v>
      </c>
      <c r="CT7" s="22" t="s">
        <v>89</v>
      </c>
      <c r="CU7" s="22" t="s">
        <v>93</v>
      </c>
      <c r="CV7" s="22" t="s">
        <v>57</v>
      </c>
      <c r="CW7" s="22" t="s">
        <v>89</v>
      </c>
      <c r="CX7" s="22" t="s">
        <v>93</v>
      </c>
      <c r="CY7" s="22" t="s">
        <v>57</v>
      </c>
      <c r="CZ7" s="22" t="s">
        <v>89</v>
      </c>
      <c r="DA7" s="22" t="s">
        <v>93</v>
      </c>
      <c r="DB7" s="318"/>
      <c r="DC7" s="318"/>
      <c r="DD7" s="318"/>
      <c r="DE7" s="318"/>
      <c r="DF7" s="318"/>
      <c r="DG7" s="318"/>
      <c r="DH7" s="318"/>
      <c r="DI7" s="318"/>
      <c r="DJ7" s="318"/>
      <c r="DK7" s="14">
        <v>1</v>
      </c>
      <c r="DL7" s="14">
        <v>2</v>
      </c>
      <c r="DM7" s="14">
        <v>3</v>
      </c>
      <c r="DN7" s="14">
        <v>4</v>
      </c>
      <c r="DO7" s="14">
        <v>1</v>
      </c>
      <c r="DP7" s="14">
        <v>2</v>
      </c>
      <c r="DQ7" s="14">
        <v>3</v>
      </c>
      <c r="DR7" s="14">
        <v>4</v>
      </c>
      <c r="DS7" s="306"/>
    </row>
    <row r="8" spans="1:123" s="13" customFormat="1" ht="30" customHeight="1" x14ac:dyDescent="0.25">
      <c r="A8" s="19">
        <v>1</v>
      </c>
      <c r="B8" s="20">
        <v>2</v>
      </c>
      <c r="C8" s="45">
        <v>3</v>
      </c>
      <c r="D8" s="46">
        <v>4</v>
      </c>
      <c r="E8" s="19">
        <v>5</v>
      </c>
      <c r="F8" s="21">
        <v>6</v>
      </c>
      <c r="G8" s="21">
        <v>7</v>
      </c>
      <c r="H8" s="21">
        <v>8</v>
      </c>
      <c r="I8" s="21">
        <v>9</v>
      </c>
      <c r="J8" s="5">
        <v>10</v>
      </c>
      <c r="K8" s="5">
        <v>11</v>
      </c>
      <c r="L8" s="5">
        <v>12</v>
      </c>
      <c r="M8" s="5">
        <v>13</v>
      </c>
      <c r="N8" s="5">
        <v>14</v>
      </c>
      <c r="O8" s="5">
        <v>15</v>
      </c>
      <c r="P8" s="5">
        <v>16</v>
      </c>
      <c r="Q8" s="5">
        <v>17</v>
      </c>
      <c r="R8" s="5">
        <v>18</v>
      </c>
      <c r="S8" s="5">
        <v>19</v>
      </c>
      <c r="T8" s="5">
        <v>20</v>
      </c>
      <c r="U8" s="5">
        <v>21</v>
      </c>
      <c r="V8" s="5">
        <v>22</v>
      </c>
      <c r="W8" s="5">
        <v>23</v>
      </c>
      <c r="X8" s="5">
        <v>24</v>
      </c>
      <c r="Y8" s="5">
        <v>25</v>
      </c>
      <c r="Z8" s="5">
        <v>26</v>
      </c>
      <c r="AA8" s="5">
        <v>27</v>
      </c>
      <c r="AB8" s="5">
        <v>28</v>
      </c>
      <c r="AC8" s="5">
        <v>29</v>
      </c>
      <c r="AD8" s="5">
        <v>30</v>
      </c>
      <c r="AE8" s="5">
        <v>31</v>
      </c>
      <c r="AF8" s="5">
        <v>32</v>
      </c>
      <c r="AG8" s="5">
        <v>33</v>
      </c>
      <c r="AH8" s="5">
        <v>34</v>
      </c>
      <c r="AI8" s="5">
        <v>35</v>
      </c>
      <c r="AJ8" s="5">
        <v>36</v>
      </c>
      <c r="AK8" s="5">
        <v>37</v>
      </c>
      <c r="AL8" s="5">
        <v>38</v>
      </c>
      <c r="AM8" s="5">
        <v>39</v>
      </c>
      <c r="AN8" s="5">
        <v>40</v>
      </c>
      <c r="AO8" s="5">
        <v>41</v>
      </c>
      <c r="AP8" s="5">
        <v>42</v>
      </c>
      <c r="AQ8" s="5">
        <v>43</v>
      </c>
      <c r="AR8" s="5">
        <v>44</v>
      </c>
      <c r="AS8" s="5">
        <v>45</v>
      </c>
      <c r="AT8" s="6">
        <v>46</v>
      </c>
      <c r="AU8" s="6">
        <v>47</v>
      </c>
      <c r="AV8" s="6">
        <v>48</v>
      </c>
      <c r="AW8" s="6">
        <v>49</v>
      </c>
      <c r="AX8" s="6">
        <v>50</v>
      </c>
      <c r="AY8" s="6">
        <v>51</v>
      </c>
      <c r="AZ8" s="6">
        <v>52</v>
      </c>
      <c r="BA8" s="6">
        <v>53</v>
      </c>
      <c r="BB8" s="6">
        <v>54</v>
      </c>
      <c r="BC8" s="6">
        <v>55</v>
      </c>
      <c r="BD8" s="6">
        <v>56</v>
      </c>
      <c r="BE8" s="6">
        <v>57</v>
      </c>
      <c r="BF8" s="6">
        <v>58</v>
      </c>
      <c r="BG8" s="6">
        <v>59</v>
      </c>
      <c r="BH8" s="6">
        <v>60</v>
      </c>
      <c r="BI8" s="6">
        <v>61</v>
      </c>
      <c r="BJ8" s="6">
        <v>62</v>
      </c>
      <c r="BK8" s="6">
        <v>63</v>
      </c>
      <c r="BL8" s="6">
        <v>64</v>
      </c>
      <c r="BM8" s="6">
        <v>65</v>
      </c>
      <c r="BN8" s="6">
        <v>66</v>
      </c>
      <c r="BO8" s="6">
        <v>67</v>
      </c>
      <c r="BP8" s="6">
        <v>68</v>
      </c>
      <c r="BQ8" s="6">
        <v>69</v>
      </c>
      <c r="BR8" s="5">
        <v>70</v>
      </c>
      <c r="BS8" s="5">
        <v>71</v>
      </c>
      <c r="BT8" s="5">
        <v>72</v>
      </c>
      <c r="BU8" s="5">
        <v>73</v>
      </c>
      <c r="BV8" s="5">
        <v>74</v>
      </c>
      <c r="BW8" s="5">
        <v>75</v>
      </c>
      <c r="BX8" s="5">
        <v>76</v>
      </c>
      <c r="BY8" s="5">
        <v>77</v>
      </c>
      <c r="BZ8" s="5">
        <v>78</v>
      </c>
      <c r="CA8" s="5">
        <v>79</v>
      </c>
      <c r="CB8" s="5">
        <v>80</v>
      </c>
      <c r="CC8" s="5">
        <v>81</v>
      </c>
      <c r="CD8" s="5">
        <v>82</v>
      </c>
      <c r="CE8" s="5">
        <v>83</v>
      </c>
      <c r="CF8" s="5">
        <v>84</v>
      </c>
      <c r="CG8" s="5">
        <v>85</v>
      </c>
      <c r="CH8" s="5">
        <v>86</v>
      </c>
      <c r="CI8" s="5">
        <v>87</v>
      </c>
      <c r="CJ8" s="5">
        <v>88</v>
      </c>
      <c r="CK8" s="5">
        <v>89</v>
      </c>
      <c r="CL8" s="5">
        <v>90</v>
      </c>
      <c r="CM8" s="5">
        <v>91</v>
      </c>
      <c r="CN8" s="5">
        <v>92</v>
      </c>
      <c r="CO8" s="5">
        <v>93</v>
      </c>
      <c r="CP8" s="22">
        <v>94</v>
      </c>
      <c r="CQ8" s="22">
        <v>95</v>
      </c>
      <c r="CR8" s="22">
        <v>96</v>
      </c>
      <c r="CS8" s="22">
        <v>97</v>
      </c>
      <c r="CT8" s="22">
        <v>98</v>
      </c>
      <c r="CU8" s="22">
        <v>99</v>
      </c>
      <c r="CV8" s="22">
        <v>100</v>
      </c>
      <c r="CW8" s="22">
        <v>101</v>
      </c>
      <c r="CX8" s="22">
        <v>102</v>
      </c>
      <c r="CY8" s="22">
        <v>103</v>
      </c>
      <c r="CZ8" s="22">
        <v>104</v>
      </c>
      <c r="DA8" s="22">
        <v>105</v>
      </c>
      <c r="DB8" s="32">
        <v>106</v>
      </c>
      <c r="DC8" s="32">
        <v>107</v>
      </c>
      <c r="DD8" s="32">
        <v>108</v>
      </c>
      <c r="DE8" s="32">
        <v>109</v>
      </c>
      <c r="DF8" s="32">
        <v>110</v>
      </c>
      <c r="DG8" s="32">
        <v>111</v>
      </c>
      <c r="DH8" s="32">
        <v>112</v>
      </c>
      <c r="DI8" s="32">
        <v>113</v>
      </c>
      <c r="DJ8" s="32">
        <v>114</v>
      </c>
      <c r="DK8" s="32">
        <v>115</v>
      </c>
      <c r="DL8" s="32">
        <v>116</v>
      </c>
      <c r="DM8" s="32">
        <v>117</v>
      </c>
      <c r="DN8" s="32">
        <v>118</v>
      </c>
      <c r="DO8" s="32">
        <v>119</v>
      </c>
      <c r="DP8" s="32">
        <v>120</v>
      </c>
      <c r="DQ8" s="32">
        <v>121</v>
      </c>
      <c r="DR8" s="32">
        <v>122</v>
      </c>
      <c r="DS8" s="33">
        <v>123</v>
      </c>
    </row>
    <row r="9" spans="1:123" x14ac:dyDescent="0.25">
      <c r="A9" s="12">
        <v>1</v>
      </c>
      <c r="B9" s="23" t="str">
        <f>IF(Setting!J6="","",Setting!J6)</f>
        <v>Abdul Fattah Irfan Al Mubaroq</v>
      </c>
      <c r="C9" s="28">
        <f>IF(Setting!K6="","",Setting!K6)</f>
        <v>2008004</v>
      </c>
      <c r="D9" s="28" t="str">
        <f>IF(Setting!L6="","",Setting!L6)</f>
        <v>0047308275</v>
      </c>
      <c r="E9" s="15" t="str">
        <f>IF(Setting!$E$11="","",Setting!$E$11)</f>
        <v>XII MIPA 4</v>
      </c>
      <c r="F9" s="15" t="str">
        <f>'Input Nilai Sikap dan Catatan'!D4</f>
        <v>A</v>
      </c>
      <c r="G9" s="15" t="str">
        <f>'Input Nilai Sikap dan Catatan'!E4</f>
        <v>Mengikuti rutinitas ibadah dengan tertib dan mengamalkan nilai-nilai agama dalam kegiatan pembelajaran.</v>
      </c>
      <c r="H9" s="15" t="str">
        <f>'Input Nilai Sikap dan Catatan'!F4</f>
        <v>B</v>
      </c>
      <c r="I9" s="15" t="str">
        <f>'Input Nilai Sikap dan Catatan'!G4</f>
        <v>Memiliki sopan santun yang baik dan mampu memposisikan diri dengan baik dalam pertemanan</v>
      </c>
      <c r="J9" s="166">
        <v>94</v>
      </c>
      <c r="K9" s="167" t="s">
        <v>144</v>
      </c>
      <c r="L9" s="168" t="s">
        <v>2379</v>
      </c>
      <c r="M9" s="166">
        <v>88</v>
      </c>
      <c r="N9" s="167" t="s">
        <v>144</v>
      </c>
      <c r="O9" s="169" t="s">
        <v>2380</v>
      </c>
      <c r="P9" s="54">
        <v>90</v>
      </c>
      <c r="Q9" s="54" t="s">
        <v>144</v>
      </c>
      <c r="R9" s="54" t="s">
        <v>2393</v>
      </c>
      <c r="S9" s="54">
        <v>88</v>
      </c>
      <c r="T9" s="54" t="s">
        <v>144</v>
      </c>
      <c r="U9" s="54" t="s">
        <v>2394</v>
      </c>
      <c r="V9" s="166">
        <v>86</v>
      </c>
      <c r="W9" s="167" t="s">
        <v>145</v>
      </c>
      <c r="X9" s="168" t="s">
        <v>2327</v>
      </c>
      <c r="Y9" s="166">
        <v>89</v>
      </c>
      <c r="Z9" s="167" t="s">
        <v>144</v>
      </c>
      <c r="AA9" s="169" t="s">
        <v>2328</v>
      </c>
      <c r="AB9" s="54">
        <v>89</v>
      </c>
      <c r="AC9" s="54" t="s">
        <v>144</v>
      </c>
      <c r="AD9" s="54" t="s">
        <v>2375</v>
      </c>
      <c r="AE9" s="54">
        <v>85</v>
      </c>
      <c r="AF9" s="54" t="s">
        <v>145</v>
      </c>
      <c r="AG9" s="54" t="s">
        <v>2376</v>
      </c>
      <c r="AH9" s="52">
        <v>86</v>
      </c>
      <c r="AI9" s="52" t="s">
        <v>145</v>
      </c>
      <c r="AJ9" s="52" t="s">
        <v>2398</v>
      </c>
      <c r="AK9" s="52">
        <v>82</v>
      </c>
      <c r="AL9" s="52" t="s">
        <v>145</v>
      </c>
      <c r="AM9" s="52" t="s">
        <v>2399</v>
      </c>
      <c r="AN9" s="54">
        <v>89</v>
      </c>
      <c r="AO9" s="54" t="s">
        <v>144</v>
      </c>
      <c r="AP9" s="54" t="s">
        <v>2337</v>
      </c>
      <c r="AQ9" s="54">
        <v>82</v>
      </c>
      <c r="AR9" s="54" t="s">
        <v>145</v>
      </c>
      <c r="AS9" s="54" t="s">
        <v>2338</v>
      </c>
      <c r="AT9" s="166">
        <v>90</v>
      </c>
      <c r="AU9" s="167" t="s">
        <v>144</v>
      </c>
      <c r="AV9" s="168" t="s">
        <v>2396</v>
      </c>
      <c r="AW9" s="166">
        <v>91</v>
      </c>
      <c r="AX9" s="167" t="s">
        <v>144</v>
      </c>
      <c r="AY9" s="169" t="s">
        <v>2397</v>
      </c>
      <c r="AZ9" s="54">
        <v>92</v>
      </c>
      <c r="BA9" s="54" t="s">
        <v>144</v>
      </c>
      <c r="BB9" s="54" t="s">
        <v>2442</v>
      </c>
      <c r="BC9" s="54">
        <v>82</v>
      </c>
      <c r="BD9" s="54" t="s">
        <v>145</v>
      </c>
      <c r="BE9" s="54" t="s">
        <v>2443</v>
      </c>
      <c r="BF9" s="52">
        <v>93</v>
      </c>
      <c r="BG9" s="52" t="s">
        <v>144</v>
      </c>
      <c r="BH9" s="52" t="s">
        <v>2345</v>
      </c>
      <c r="BI9" s="52">
        <v>90</v>
      </c>
      <c r="BJ9" s="52" t="s">
        <v>144</v>
      </c>
      <c r="BK9" s="52" t="s">
        <v>2346</v>
      </c>
      <c r="BL9" s="54">
        <v>81</v>
      </c>
      <c r="BM9" s="54" t="s">
        <v>145</v>
      </c>
      <c r="BN9" s="54" t="s">
        <v>2325</v>
      </c>
      <c r="BO9" s="54">
        <v>81</v>
      </c>
      <c r="BP9" s="54" t="s">
        <v>145</v>
      </c>
      <c r="BQ9" s="54" t="s">
        <v>2326</v>
      </c>
      <c r="BR9" s="52">
        <v>84</v>
      </c>
      <c r="BS9" s="52" t="s">
        <v>145</v>
      </c>
      <c r="BT9" s="52" t="s">
        <v>2366</v>
      </c>
      <c r="BU9" s="52">
        <v>83</v>
      </c>
      <c r="BV9" s="52" t="s">
        <v>145</v>
      </c>
      <c r="BW9" s="52" t="s">
        <v>2367</v>
      </c>
      <c r="BX9" s="54">
        <v>83</v>
      </c>
      <c r="BY9" s="54" t="s">
        <v>145</v>
      </c>
      <c r="BZ9" s="54" t="s">
        <v>2381</v>
      </c>
      <c r="CA9" s="54">
        <v>80</v>
      </c>
      <c r="CB9" s="54" t="s">
        <v>145</v>
      </c>
      <c r="CC9" s="54" t="s">
        <v>2382</v>
      </c>
      <c r="CD9" s="166">
        <v>90</v>
      </c>
      <c r="CE9" s="167" t="s">
        <v>144</v>
      </c>
      <c r="CF9" s="168" t="s">
        <v>2349</v>
      </c>
      <c r="CG9" s="166">
        <v>90</v>
      </c>
      <c r="CH9" s="167" t="s">
        <v>144</v>
      </c>
      <c r="CI9" s="169" t="s">
        <v>2350</v>
      </c>
      <c r="CJ9" s="54">
        <v>92</v>
      </c>
      <c r="CK9" s="54" t="s">
        <v>144</v>
      </c>
      <c r="CL9" s="54" t="s">
        <v>2331</v>
      </c>
      <c r="CM9" s="54">
        <v>90</v>
      </c>
      <c r="CN9" s="54" t="s">
        <v>144</v>
      </c>
      <c r="CO9" s="54" t="s">
        <v>2332</v>
      </c>
      <c r="CP9" s="52">
        <v>92</v>
      </c>
      <c r="CQ9" s="52" t="s">
        <v>144</v>
      </c>
      <c r="CR9" s="52" t="s">
        <v>2435</v>
      </c>
      <c r="CS9" s="52">
        <v>86</v>
      </c>
      <c r="CT9" s="52" t="s">
        <v>145</v>
      </c>
      <c r="CU9" s="52" t="s">
        <v>2436</v>
      </c>
      <c r="CV9" s="52"/>
      <c r="CW9" s="52"/>
      <c r="CX9" s="52"/>
      <c r="CY9" s="52"/>
      <c r="CZ9" s="52"/>
      <c r="DA9" s="52"/>
      <c r="DB9" s="15" t="str">
        <f>'Input Ekstra'!E5</f>
        <v>Pramuka</v>
      </c>
      <c r="DC9" s="15" t="str">
        <f>'Input Ekstra'!F5</f>
        <v>Baik</v>
      </c>
      <c r="DD9" s="15" t="str">
        <f>'Input Ekstra'!G5</f>
        <v>Peserta didik terampil membuat pionering, mampu menguasai gerakan PBB dan mengetahui salah satu kesenian daerah</v>
      </c>
      <c r="DE9" s="15" t="str">
        <f>'Input Ekstra'!H5</f>
        <v>IT Club</v>
      </c>
      <c r="DF9" s="15" t="str">
        <f>'Input Ekstra'!I5</f>
        <v>Baik</v>
      </c>
      <c r="DG9" s="15" t="str">
        <f>'Input Ekstra'!J5</f>
        <v>Peserta didik mampu mengikuti kegiatan ekstrakurikuler IT club dengan baik</v>
      </c>
      <c r="DH9" s="15">
        <f>'Input Kehadiran'!E5</f>
        <v>2</v>
      </c>
      <c r="DI9" s="15">
        <f>'Input Kehadiran'!F5</f>
        <v>5</v>
      </c>
      <c r="DJ9" s="15">
        <f>'Input Kehadiran'!G5</f>
        <v>0</v>
      </c>
      <c r="DK9" s="48">
        <f>'Input Prestasi'!D6</f>
        <v>0</v>
      </c>
      <c r="DL9" s="48">
        <f>'Input Prestasi'!E6</f>
        <v>0</v>
      </c>
      <c r="DM9" s="48">
        <f>'Input Prestasi'!F6</f>
        <v>0</v>
      </c>
      <c r="DN9" s="48">
        <f>'Input Prestasi'!G6</f>
        <v>0</v>
      </c>
      <c r="DO9" s="48">
        <f>'Input Prestasi'!H6</f>
        <v>0</v>
      </c>
      <c r="DP9" s="48">
        <f>'Input Prestasi'!I6</f>
        <v>0</v>
      </c>
      <c r="DQ9" s="48">
        <f>'Input Prestasi'!J6</f>
        <v>0</v>
      </c>
      <c r="DR9" s="48">
        <f>'Input Prestasi'!K6</f>
        <v>0</v>
      </c>
      <c r="DS9" s="15" t="str">
        <f>'Input Nilai Sikap dan Catatan'!H4</f>
        <v>Peserta didik sudah mampu menempatkan diri dengan baik. Pertahankan kepribadian yang mampu menggerakkan teman-teman dalam kebaikan.</v>
      </c>
    </row>
    <row r="10" spans="1:123" x14ac:dyDescent="0.25">
      <c r="A10" s="12">
        <v>2</v>
      </c>
      <c r="B10" s="23" t="str">
        <f>IF(Setting!J7="","",Setting!J7)</f>
        <v>Adam Zidane Danata Pranugroho</v>
      </c>
      <c r="C10" s="28">
        <f>IF(Setting!K7="","",Setting!K7)</f>
        <v>2008009</v>
      </c>
      <c r="D10" s="28" t="str">
        <f>IF(Setting!L7="","",Setting!L7)</f>
        <v>0051700957</v>
      </c>
      <c r="E10" s="15" t="str">
        <f>IF(Setting!$E$11="","",Setting!$E$11)</f>
        <v>XII MIPA 4</v>
      </c>
      <c r="F10" s="15" t="str">
        <f>'Input Nilai Sikap dan Catatan'!D5</f>
        <v>A</v>
      </c>
      <c r="G10" s="15" t="str">
        <f>'Input Nilai Sikap dan Catatan'!E5</f>
        <v>Mengikuti rutinitas ibadah dengan tertib dan mengamalkan nilai-nilai agama dalam kegiatan pembelajaran.</v>
      </c>
      <c r="H10" s="15" t="str">
        <f>'Input Nilai Sikap dan Catatan'!F5</f>
        <v>B</v>
      </c>
      <c r="I10" s="15" t="str">
        <f>'Input Nilai Sikap dan Catatan'!G5</f>
        <v>Memiliki sopan santun yang baik dan mampu memposisikan diri dengan baik dalam pertemanan</v>
      </c>
      <c r="J10" s="166">
        <v>94</v>
      </c>
      <c r="K10" s="167" t="s">
        <v>144</v>
      </c>
      <c r="L10" s="168" t="s">
        <v>2379</v>
      </c>
      <c r="M10" s="166">
        <v>88</v>
      </c>
      <c r="N10" s="167" t="s">
        <v>144</v>
      </c>
      <c r="O10" s="169" t="s">
        <v>2380</v>
      </c>
      <c r="P10" s="54">
        <v>89</v>
      </c>
      <c r="Q10" s="54" t="s">
        <v>144</v>
      </c>
      <c r="R10" s="54" t="s">
        <v>2393</v>
      </c>
      <c r="S10" s="54">
        <v>92</v>
      </c>
      <c r="T10" s="54" t="s">
        <v>144</v>
      </c>
      <c r="U10" s="54" t="s">
        <v>2394</v>
      </c>
      <c r="V10" s="166">
        <v>92</v>
      </c>
      <c r="W10" s="167" t="s">
        <v>144</v>
      </c>
      <c r="X10" s="168" t="s">
        <v>2450</v>
      </c>
      <c r="Y10" s="166">
        <v>91</v>
      </c>
      <c r="Z10" s="167" t="s">
        <v>144</v>
      </c>
      <c r="AA10" s="169" t="s">
        <v>2328</v>
      </c>
      <c r="AB10" s="54">
        <v>93</v>
      </c>
      <c r="AC10" s="54" t="s">
        <v>144</v>
      </c>
      <c r="AD10" s="54" t="s">
        <v>2377</v>
      </c>
      <c r="AE10" s="54">
        <v>88</v>
      </c>
      <c r="AF10" s="54" t="s">
        <v>144</v>
      </c>
      <c r="AG10" s="54" t="s">
        <v>2376</v>
      </c>
      <c r="AH10" s="52">
        <v>94</v>
      </c>
      <c r="AI10" s="52" t="s">
        <v>144</v>
      </c>
      <c r="AJ10" s="52" t="s">
        <v>2398</v>
      </c>
      <c r="AK10" s="52">
        <v>90</v>
      </c>
      <c r="AL10" s="52" t="s">
        <v>144</v>
      </c>
      <c r="AM10" s="52" t="s">
        <v>2399</v>
      </c>
      <c r="AN10" s="54">
        <v>92</v>
      </c>
      <c r="AO10" s="54" t="s">
        <v>144</v>
      </c>
      <c r="AP10" s="54" t="s">
        <v>2339</v>
      </c>
      <c r="AQ10" s="54">
        <v>92</v>
      </c>
      <c r="AR10" s="54" t="s">
        <v>144</v>
      </c>
      <c r="AS10" s="54" t="s">
        <v>2338</v>
      </c>
      <c r="AT10" s="166">
        <v>90</v>
      </c>
      <c r="AU10" s="167" t="s">
        <v>144</v>
      </c>
      <c r="AV10" s="168" t="s">
        <v>2396</v>
      </c>
      <c r="AW10" s="166">
        <v>94</v>
      </c>
      <c r="AX10" s="167" t="s">
        <v>144</v>
      </c>
      <c r="AY10" s="169" t="s">
        <v>2397</v>
      </c>
      <c r="AZ10" s="54">
        <v>92</v>
      </c>
      <c r="BA10" s="54" t="s">
        <v>144</v>
      </c>
      <c r="BB10" s="54" t="s">
        <v>2442</v>
      </c>
      <c r="BC10" s="54">
        <v>84</v>
      </c>
      <c r="BD10" s="54" t="s">
        <v>145</v>
      </c>
      <c r="BE10" s="54" t="s">
        <v>2443</v>
      </c>
      <c r="BF10" s="52">
        <v>95</v>
      </c>
      <c r="BG10" s="52" t="s">
        <v>144</v>
      </c>
      <c r="BH10" s="52" t="s">
        <v>2347</v>
      </c>
      <c r="BI10" s="52">
        <v>87</v>
      </c>
      <c r="BJ10" s="52" t="s">
        <v>145</v>
      </c>
      <c r="BK10" s="52" t="s">
        <v>2346</v>
      </c>
      <c r="BL10" s="54">
        <v>88</v>
      </c>
      <c r="BM10" s="54" t="s">
        <v>144</v>
      </c>
      <c r="BN10" s="54" t="s">
        <v>2325</v>
      </c>
      <c r="BO10" s="54">
        <v>88</v>
      </c>
      <c r="BP10" s="54" t="s">
        <v>144</v>
      </c>
      <c r="BQ10" s="54" t="s">
        <v>2326</v>
      </c>
      <c r="BR10" s="52">
        <v>87</v>
      </c>
      <c r="BS10" s="52" t="s">
        <v>145</v>
      </c>
      <c r="BT10" s="52" t="s">
        <v>2366</v>
      </c>
      <c r="BU10" s="52">
        <v>88</v>
      </c>
      <c r="BV10" s="52" t="s">
        <v>144</v>
      </c>
      <c r="BW10" s="52" t="s">
        <v>2367</v>
      </c>
      <c r="BX10" s="54">
        <v>89</v>
      </c>
      <c r="BY10" s="54" t="s">
        <v>144</v>
      </c>
      <c r="BZ10" s="54" t="s">
        <v>2383</v>
      </c>
      <c r="CA10" s="54">
        <v>87</v>
      </c>
      <c r="CB10" s="54" t="s">
        <v>145</v>
      </c>
      <c r="CC10" s="54" t="s">
        <v>2382</v>
      </c>
      <c r="CD10" s="166">
        <v>96</v>
      </c>
      <c r="CE10" s="167" t="s">
        <v>144</v>
      </c>
      <c r="CF10" s="168" t="s">
        <v>2351</v>
      </c>
      <c r="CG10" s="166">
        <v>90</v>
      </c>
      <c r="CH10" s="167" t="s">
        <v>144</v>
      </c>
      <c r="CI10" s="169" t="s">
        <v>2350</v>
      </c>
      <c r="CJ10" s="54">
        <v>94</v>
      </c>
      <c r="CK10" s="54" t="s">
        <v>144</v>
      </c>
      <c r="CL10" s="54" t="s">
        <v>2331</v>
      </c>
      <c r="CM10" s="54">
        <v>95</v>
      </c>
      <c r="CN10" s="54" t="s">
        <v>144</v>
      </c>
      <c r="CO10" s="54" t="s">
        <v>2332</v>
      </c>
      <c r="CP10" s="52">
        <v>93</v>
      </c>
      <c r="CQ10" s="52" t="s">
        <v>144</v>
      </c>
      <c r="CR10" s="52" t="s">
        <v>2437</v>
      </c>
      <c r="CS10" s="52">
        <v>86</v>
      </c>
      <c r="CT10" s="52" t="s">
        <v>145</v>
      </c>
      <c r="CU10" s="52" t="s">
        <v>2436</v>
      </c>
      <c r="CV10" s="52"/>
      <c r="CW10" s="52"/>
      <c r="CX10" s="52"/>
      <c r="CY10" s="52"/>
      <c r="CZ10" s="52"/>
      <c r="DA10" s="52"/>
      <c r="DB10" s="15" t="str">
        <f>'Input Ekstra'!E6</f>
        <v>Pramuka</v>
      </c>
      <c r="DC10" s="15" t="str">
        <f>'Input Ekstra'!F6</f>
        <v>Baik</v>
      </c>
      <c r="DD10" s="15" t="str">
        <f>'Input Ekstra'!G6</f>
        <v>Peserta didik terampil membuat pionering, mampu menguasai gerakan PBB dan mengetahui salah satu kesenian daerah</v>
      </c>
      <c r="DE10" s="15" t="str">
        <f>'Input Ekstra'!H6</f>
        <v>Basket</v>
      </c>
      <c r="DF10" s="15" t="str">
        <f>'Input Ekstra'!I6</f>
        <v>Amat Baik</v>
      </c>
      <c r="DG10" s="15" t="str">
        <f>'Input Ekstra'!J6</f>
        <v>Peserta didik mampu mengikuti kegiatan ekstrakurikuler basket dengan amat baik</v>
      </c>
      <c r="DH10" s="15">
        <f>'Input Kehadiran'!E6</f>
        <v>1</v>
      </c>
      <c r="DI10" s="15">
        <f>'Input Kehadiran'!F6</f>
        <v>5</v>
      </c>
      <c r="DJ10" s="15">
        <f>'Input Kehadiran'!G6</f>
        <v>0</v>
      </c>
      <c r="DK10" s="48">
        <f>'Input Prestasi'!D7</f>
        <v>0</v>
      </c>
      <c r="DL10" s="48">
        <f>'Input Prestasi'!E7</f>
        <v>0</v>
      </c>
      <c r="DM10" s="48">
        <f>'Input Prestasi'!F7</f>
        <v>0</v>
      </c>
      <c r="DN10" s="48">
        <f>'Input Prestasi'!G7</f>
        <v>0</v>
      </c>
      <c r="DO10" s="48">
        <f>'Input Prestasi'!H7</f>
        <v>0</v>
      </c>
      <c r="DP10" s="48">
        <f>'Input Prestasi'!I7</f>
        <v>0</v>
      </c>
      <c r="DQ10" s="48">
        <f>'Input Prestasi'!J7</f>
        <v>0</v>
      </c>
      <c r="DR10" s="48">
        <f>'Input Prestasi'!K7</f>
        <v>0</v>
      </c>
      <c r="DS10" s="15" t="str">
        <f>'Input Nilai Sikap dan Catatan'!H5</f>
        <v>Peserta didik sudah mampu menempatkan diri dengan baik. Pertahankan kepribadian yang mampu menggerakkan teman-teman dalam kebaikan.</v>
      </c>
    </row>
    <row r="11" spans="1:123" x14ac:dyDescent="0.25">
      <c r="A11" s="12">
        <v>3</v>
      </c>
      <c r="B11" s="23" t="str">
        <f>IF(Setting!J8="","",Setting!J8)</f>
        <v>Ahmad Fikry</v>
      </c>
      <c r="C11" s="28">
        <f>IF(Setting!K8="","",Setting!K8)</f>
        <v>2008021</v>
      </c>
      <c r="D11" s="28" t="str">
        <f>IF(Setting!L8="","",Setting!L8)</f>
        <v xml:space="preserve">0050998196 </v>
      </c>
      <c r="E11" s="15" t="str">
        <f>IF(Setting!$E$11="","",Setting!$E$11)</f>
        <v>XII MIPA 4</v>
      </c>
      <c r="F11" s="15" t="str">
        <f>'Input Nilai Sikap dan Catatan'!D6</f>
        <v>A</v>
      </c>
      <c r="G11" s="15" t="str">
        <f>'Input Nilai Sikap dan Catatan'!E6</f>
        <v>Mengikuti rutinitas ibadah dengan tertib dan mengamalkan nilai-nilai agama dalam kegiatan pembelajaran.</v>
      </c>
      <c r="H11" s="15" t="str">
        <f>'Input Nilai Sikap dan Catatan'!F6</f>
        <v>A</v>
      </c>
      <c r="I11" s="15" t="str">
        <f>'Input Nilai Sikap dan Catatan'!G6</f>
        <v>Memiliki sopan santun yang sangat baik dan mampu memposisikan diri dengan sangat baik dalam pertemanan</v>
      </c>
      <c r="J11" s="166">
        <v>94</v>
      </c>
      <c r="K11" s="167" t="s">
        <v>144</v>
      </c>
      <c r="L11" s="168" t="s">
        <v>2379</v>
      </c>
      <c r="M11" s="166">
        <v>88</v>
      </c>
      <c r="N11" s="167" t="s">
        <v>144</v>
      </c>
      <c r="O11" s="169" t="s">
        <v>2380</v>
      </c>
      <c r="P11" s="54">
        <v>89</v>
      </c>
      <c r="Q11" s="54" t="s">
        <v>144</v>
      </c>
      <c r="R11" s="54" t="s">
        <v>2393</v>
      </c>
      <c r="S11" s="54">
        <v>85</v>
      </c>
      <c r="T11" s="54" t="s">
        <v>145</v>
      </c>
      <c r="U11" s="54" t="s">
        <v>2394</v>
      </c>
      <c r="V11" s="166">
        <v>86</v>
      </c>
      <c r="W11" s="167" t="s">
        <v>145</v>
      </c>
      <c r="X11" s="168" t="s">
        <v>2329</v>
      </c>
      <c r="Y11" s="166">
        <v>87</v>
      </c>
      <c r="Z11" s="167" t="s">
        <v>145</v>
      </c>
      <c r="AA11" s="169" t="s">
        <v>2328</v>
      </c>
      <c r="AB11" s="54">
        <v>94</v>
      </c>
      <c r="AC11" s="54" t="s">
        <v>144</v>
      </c>
      <c r="AD11" s="54" t="s">
        <v>2377</v>
      </c>
      <c r="AE11" s="54">
        <v>93</v>
      </c>
      <c r="AF11" s="54" t="s">
        <v>144</v>
      </c>
      <c r="AG11" s="54" t="s">
        <v>2378</v>
      </c>
      <c r="AH11" s="52">
        <v>91</v>
      </c>
      <c r="AI11" s="52" t="s">
        <v>144</v>
      </c>
      <c r="AJ11" s="52" t="s">
        <v>2400</v>
      </c>
      <c r="AK11" s="52">
        <v>88</v>
      </c>
      <c r="AL11" s="52" t="s">
        <v>144</v>
      </c>
      <c r="AM11" s="52" t="s">
        <v>2399</v>
      </c>
      <c r="AN11" s="54">
        <v>89</v>
      </c>
      <c r="AO11" s="54" t="s">
        <v>144</v>
      </c>
      <c r="AP11" s="54" t="s">
        <v>2340</v>
      </c>
      <c r="AQ11" s="54">
        <v>86</v>
      </c>
      <c r="AR11" s="54" t="s">
        <v>145</v>
      </c>
      <c r="AS11" s="54" t="s">
        <v>2338</v>
      </c>
      <c r="AT11" s="166">
        <v>90</v>
      </c>
      <c r="AU11" s="167" t="s">
        <v>144</v>
      </c>
      <c r="AV11" s="168" t="s">
        <v>2396</v>
      </c>
      <c r="AW11" s="166">
        <v>90</v>
      </c>
      <c r="AX11" s="167" t="s">
        <v>144</v>
      </c>
      <c r="AY11" s="169" t="s">
        <v>2397</v>
      </c>
      <c r="AZ11" s="54">
        <v>92</v>
      </c>
      <c r="BA11" s="54" t="s">
        <v>144</v>
      </c>
      <c r="BB11" s="54" t="s">
        <v>2444</v>
      </c>
      <c r="BC11" s="54">
        <v>83</v>
      </c>
      <c r="BD11" s="54" t="s">
        <v>145</v>
      </c>
      <c r="BE11" s="54" t="s">
        <v>2443</v>
      </c>
      <c r="BF11" s="52">
        <v>92</v>
      </c>
      <c r="BG11" s="52" t="s">
        <v>144</v>
      </c>
      <c r="BH11" s="52" t="s">
        <v>2345</v>
      </c>
      <c r="BI11" s="52">
        <v>81</v>
      </c>
      <c r="BJ11" s="52" t="s">
        <v>145</v>
      </c>
      <c r="BK11" s="52" t="s">
        <v>2348</v>
      </c>
      <c r="BL11" s="54">
        <v>91</v>
      </c>
      <c r="BM11" s="54" t="s">
        <v>144</v>
      </c>
      <c r="BN11" s="54" t="s">
        <v>2325</v>
      </c>
      <c r="BO11" s="54">
        <v>91</v>
      </c>
      <c r="BP11" s="54" t="s">
        <v>144</v>
      </c>
      <c r="BQ11" s="54" t="s">
        <v>2326</v>
      </c>
      <c r="BR11" s="52">
        <v>85</v>
      </c>
      <c r="BS11" s="52" t="s">
        <v>145</v>
      </c>
      <c r="BT11" s="52" t="s">
        <v>2368</v>
      </c>
      <c r="BU11" s="52">
        <v>84</v>
      </c>
      <c r="BV11" s="52" t="s">
        <v>145</v>
      </c>
      <c r="BW11" s="52" t="s">
        <v>2367</v>
      </c>
      <c r="BX11" s="54">
        <v>84</v>
      </c>
      <c r="BY11" s="54" t="s">
        <v>145</v>
      </c>
      <c r="BZ11" s="54" t="s">
        <v>2383</v>
      </c>
      <c r="CA11" s="54">
        <v>82</v>
      </c>
      <c r="CB11" s="54" t="s">
        <v>145</v>
      </c>
      <c r="CC11" s="54" t="s">
        <v>2382</v>
      </c>
      <c r="CD11" s="166">
        <v>95</v>
      </c>
      <c r="CE11" s="167" t="s">
        <v>144</v>
      </c>
      <c r="CF11" s="168" t="s">
        <v>2352</v>
      </c>
      <c r="CG11" s="166">
        <v>88</v>
      </c>
      <c r="CH11" s="167" t="s">
        <v>144</v>
      </c>
      <c r="CI11" s="169" t="s">
        <v>2350</v>
      </c>
      <c r="CJ11" s="54">
        <v>91</v>
      </c>
      <c r="CK11" s="54" t="s">
        <v>144</v>
      </c>
      <c r="CL11" s="54" t="s">
        <v>2333</v>
      </c>
      <c r="CM11" s="54">
        <v>90</v>
      </c>
      <c r="CN11" s="54" t="s">
        <v>144</v>
      </c>
      <c r="CO11" s="54" t="s">
        <v>2332</v>
      </c>
      <c r="CP11" s="52">
        <v>90</v>
      </c>
      <c r="CQ11" s="52" t="s">
        <v>144</v>
      </c>
      <c r="CR11" s="52" t="s">
        <v>2435</v>
      </c>
      <c r="CS11" s="52">
        <v>86</v>
      </c>
      <c r="CT11" s="52" t="s">
        <v>145</v>
      </c>
      <c r="CU11" s="52" t="s">
        <v>2436</v>
      </c>
      <c r="CV11" s="52"/>
      <c r="CW11" s="52"/>
      <c r="CX11" s="52"/>
      <c r="CY11" s="52"/>
      <c r="CZ11" s="52"/>
      <c r="DA11" s="52"/>
      <c r="DB11" s="15" t="str">
        <f>'Input Ekstra'!E7</f>
        <v>Pramuka</v>
      </c>
      <c r="DC11" s="15" t="str">
        <f>'Input Ekstra'!F7</f>
        <v>Baik</v>
      </c>
      <c r="DD11" s="15" t="str">
        <f>'Input Ekstra'!G7</f>
        <v>Peserta didik terampil membuat pionering, mampu menguasai gerakan PBB dan mengetahui salah satu kesenian daerah</v>
      </c>
      <c r="DE11" s="15" t="str">
        <f>'Input Ekstra'!H7</f>
        <v>Basket</v>
      </c>
      <c r="DF11" s="15" t="str">
        <f>'Input Ekstra'!I7</f>
        <v>Baik</v>
      </c>
      <c r="DG11" s="15" t="str">
        <f>'Input Ekstra'!J7</f>
        <v>Peserta didik mampu mengikuti kegiatan ekstrakurikuler basket dengan baik</v>
      </c>
      <c r="DH11" s="15">
        <f>'Input Kehadiran'!E7</f>
        <v>5</v>
      </c>
      <c r="DI11" s="15">
        <f>'Input Kehadiran'!F7</f>
        <v>2</v>
      </c>
      <c r="DJ11" s="15">
        <f>'Input Kehadiran'!G7</f>
        <v>0</v>
      </c>
      <c r="DK11" s="48">
        <f>'Input Prestasi'!D8</f>
        <v>0</v>
      </c>
      <c r="DL11" s="48">
        <f>'Input Prestasi'!E8</f>
        <v>0</v>
      </c>
      <c r="DM11" s="48">
        <f>'Input Prestasi'!F8</f>
        <v>0</v>
      </c>
      <c r="DN11" s="48">
        <f>'Input Prestasi'!G8</f>
        <v>0</v>
      </c>
      <c r="DO11" s="48">
        <f>'Input Prestasi'!H8</f>
        <v>0</v>
      </c>
      <c r="DP11" s="48">
        <f>'Input Prestasi'!I8</f>
        <v>0</v>
      </c>
      <c r="DQ11" s="48">
        <f>'Input Prestasi'!J8</f>
        <v>0</v>
      </c>
      <c r="DR11" s="48">
        <f>'Input Prestasi'!K8</f>
        <v>0</v>
      </c>
      <c r="DS11" s="15" t="str">
        <f>'Input Nilai Sikap dan Catatan'!H6</f>
        <v>Peserta didik sudah mampu menempatkan diri dengan baik. Pertahankan kepribadian yang mampu menggerakkan teman-teman dalam kebaikan.</v>
      </c>
    </row>
    <row r="12" spans="1:123" x14ac:dyDescent="0.25">
      <c r="A12" s="12">
        <v>4</v>
      </c>
      <c r="B12" s="23" t="str">
        <f>IF(Setting!J9="","",Setting!J9)</f>
        <v>Almas Sabih Wahindra</v>
      </c>
      <c r="C12" s="28">
        <f>IF(Setting!K9="","",Setting!K9)</f>
        <v>2008034</v>
      </c>
      <c r="D12" s="28" t="str">
        <f>IF(Setting!L9="","",Setting!L9)</f>
        <v>0059000208</v>
      </c>
      <c r="E12" s="15" t="str">
        <f>IF(Setting!$E$11="","",Setting!$E$11)</f>
        <v>XII MIPA 4</v>
      </c>
      <c r="F12" s="15" t="str">
        <f>'Input Nilai Sikap dan Catatan'!D7</f>
        <v>A</v>
      </c>
      <c r="G12" s="15" t="str">
        <f>'Input Nilai Sikap dan Catatan'!E7</f>
        <v>Mengikuti rutinitas ibadah dengan tertib dan mengamalkan nilai-nilai agama dalam kegiatan pembelajaran.</v>
      </c>
      <c r="H12" s="15" t="str">
        <f>'Input Nilai Sikap dan Catatan'!F7</f>
        <v>A</v>
      </c>
      <c r="I12" s="15" t="str">
        <f>'Input Nilai Sikap dan Catatan'!G7</f>
        <v>Memiliki sopan santun yang sangat baik dan mampu memposisikan diri dengan sangat baik dalam pertemanan</v>
      </c>
      <c r="J12" s="166">
        <v>94</v>
      </c>
      <c r="K12" s="167" t="s">
        <v>144</v>
      </c>
      <c r="L12" s="168" t="s">
        <v>2379</v>
      </c>
      <c r="M12" s="166">
        <v>88</v>
      </c>
      <c r="N12" s="167" t="s">
        <v>144</v>
      </c>
      <c r="O12" s="169" t="s">
        <v>2380</v>
      </c>
      <c r="P12" s="54">
        <v>86</v>
      </c>
      <c r="Q12" s="54" t="s">
        <v>145</v>
      </c>
      <c r="R12" s="54" t="s">
        <v>2393</v>
      </c>
      <c r="S12" s="54">
        <v>83</v>
      </c>
      <c r="T12" s="54" t="s">
        <v>145</v>
      </c>
      <c r="U12" s="54" t="s">
        <v>2394</v>
      </c>
      <c r="V12" s="166">
        <v>85</v>
      </c>
      <c r="W12" s="167" t="s">
        <v>145</v>
      </c>
      <c r="X12" s="168" t="s">
        <v>2330</v>
      </c>
      <c r="Y12" s="166">
        <v>86</v>
      </c>
      <c r="Z12" s="167" t="s">
        <v>145</v>
      </c>
      <c r="AA12" s="169" t="s">
        <v>2328</v>
      </c>
      <c r="AB12" s="54">
        <v>91</v>
      </c>
      <c r="AC12" s="54" t="s">
        <v>144</v>
      </c>
      <c r="AD12" s="54" t="s">
        <v>2375</v>
      </c>
      <c r="AE12" s="54">
        <v>85</v>
      </c>
      <c r="AF12" s="54" t="s">
        <v>145</v>
      </c>
      <c r="AG12" s="54" t="s">
        <v>2376</v>
      </c>
      <c r="AH12" s="52">
        <v>92</v>
      </c>
      <c r="AI12" s="52" t="s">
        <v>144</v>
      </c>
      <c r="AJ12" s="52" t="s">
        <v>2400</v>
      </c>
      <c r="AK12" s="52">
        <v>89</v>
      </c>
      <c r="AL12" s="52" t="s">
        <v>144</v>
      </c>
      <c r="AM12" s="52" t="s">
        <v>2399</v>
      </c>
      <c r="AN12" s="54">
        <v>89</v>
      </c>
      <c r="AO12" s="54" t="s">
        <v>144</v>
      </c>
      <c r="AP12" s="54" t="s">
        <v>2341</v>
      </c>
      <c r="AQ12" s="54">
        <v>80</v>
      </c>
      <c r="AR12" s="54" t="s">
        <v>145</v>
      </c>
      <c r="AS12" s="54" t="s">
        <v>2338</v>
      </c>
      <c r="AT12" s="166">
        <v>89</v>
      </c>
      <c r="AU12" s="167" t="s">
        <v>144</v>
      </c>
      <c r="AV12" s="168" t="s">
        <v>2396</v>
      </c>
      <c r="AW12" s="166">
        <v>91</v>
      </c>
      <c r="AX12" s="167" t="s">
        <v>144</v>
      </c>
      <c r="AY12" s="169" t="s">
        <v>2397</v>
      </c>
      <c r="AZ12" s="54">
        <v>92</v>
      </c>
      <c r="BA12" s="54" t="s">
        <v>144</v>
      </c>
      <c r="BB12" s="54" t="s">
        <v>2445</v>
      </c>
      <c r="BC12" s="54">
        <v>85</v>
      </c>
      <c r="BD12" s="54" t="s">
        <v>145</v>
      </c>
      <c r="BE12" s="54" t="s">
        <v>2443</v>
      </c>
      <c r="BF12" s="52">
        <v>94</v>
      </c>
      <c r="BG12" s="52" t="s">
        <v>144</v>
      </c>
      <c r="BH12" s="52" t="s">
        <v>2345</v>
      </c>
      <c r="BI12" s="52">
        <v>81</v>
      </c>
      <c r="BJ12" s="52" t="s">
        <v>145</v>
      </c>
      <c r="BK12" s="52" t="s">
        <v>2346</v>
      </c>
      <c r="BL12" s="54">
        <v>86</v>
      </c>
      <c r="BM12" s="54" t="s">
        <v>145</v>
      </c>
      <c r="BN12" s="54" t="s">
        <v>2325</v>
      </c>
      <c r="BO12" s="54">
        <v>86</v>
      </c>
      <c r="BP12" s="54" t="s">
        <v>145</v>
      </c>
      <c r="BQ12" s="54" t="s">
        <v>2326</v>
      </c>
      <c r="BR12" s="52">
        <v>83</v>
      </c>
      <c r="BS12" s="52" t="s">
        <v>145</v>
      </c>
      <c r="BT12" s="52" t="s">
        <v>2369</v>
      </c>
      <c r="BU12" s="52">
        <v>81</v>
      </c>
      <c r="BV12" s="52" t="s">
        <v>145</v>
      </c>
      <c r="BW12" s="52" t="s">
        <v>2367</v>
      </c>
      <c r="BX12" s="54">
        <v>85</v>
      </c>
      <c r="BY12" s="54" t="s">
        <v>145</v>
      </c>
      <c r="BZ12" s="54" t="s">
        <v>2384</v>
      </c>
      <c r="CA12" s="54">
        <v>83</v>
      </c>
      <c r="CB12" s="54" t="s">
        <v>145</v>
      </c>
      <c r="CC12" s="54" t="s">
        <v>2382</v>
      </c>
      <c r="CD12" s="166">
        <v>93</v>
      </c>
      <c r="CE12" s="167" t="s">
        <v>144</v>
      </c>
      <c r="CF12" s="168" t="s">
        <v>2353</v>
      </c>
      <c r="CG12" s="166">
        <v>88</v>
      </c>
      <c r="CH12" s="167" t="s">
        <v>144</v>
      </c>
      <c r="CI12" s="169" t="s">
        <v>2350</v>
      </c>
      <c r="CJ12" s="54">
        <v>90</v>
      </c>
      <c r="CK12" s="54" t="s">
        <v>144</v>
      </c>
      <c r="CL12" s="54" t="s">
        <v>2334</v>
      </c>
      <c r="CM12" s="54">
        <v>85</v>
      </c>
      <c r="CN12" s="54" t="s">
        <v>145</v>
      </c>
      <c r="CO12" s="54" t="s">
        <v>2332</v>
      </c>
      <c r="CP12" s="52">
        <v>90</v>
      </c>
      <c r="CQ12" s="52" t="s">
        <v>144</v>
      </c>
      <c r="CR12" s="52" t="s">
        <v>2438</v>
      </c>
      <c r="CS12" s="52">
        <v>86</v>
      </c>
      <c r="CT12" s="52" t="s">
        <v>145</v>
      </c>
      <c r="CU12" s="52" t="s">
        <v>2436</v>
      </c>
      <c r="CV12" s="52"/>
      <c r="CW12" s="52"/>
      <c r="CX12" s="52"/>
      <c r="CY12" s="52"/>
      <c r="CZ12" s="52"/>
      <c r="DA12" s="52"/>
      <c r="DB12" s="15" t="str">
        <f>'Input Ekstra'!E8</f>
        <v>Pramuka</v>
      </c>
      <c r="DC12" s="15" t="str">
        <f>'Input Ekstra'!F8</f>
        <v>Baik</v>
      </c>
      <c r="DD12" s="15" t="str">
        <f>'Input Ekstra'!G8</f>
        <v>Peserta didik terampil membuat pionering, mampu menguasai gerakan PBB dan mengetahui salah satu kesenian daerah</v>
      </c>
      <c r="DE12" s="15" t="str">
        <f>'Input Ekstra'!H8</f>
        <v>Basket</v>
      </c>
      <c r="DF12" s="15" t="str">
        <f>'Input Ekstra'!I8</f>
        <v>Amat Baik</v>
      </c>
      <c r="DG12" s="15" t="str">
        <f>'Input Ekstra'!J8</f>
        <v>Peserta didik mampu mengikuti kegiatan ekstrakurikuler basket dengan amat baik</v>
      </c>
      <c r="DH12" s="15">
        <f>'Input Kehadiran'!E8</f>
        <v>0</v>
      </c>
      <c r="DI12" s="15">
        <f>'Input Kehadiran'!F8</f>
        <v>1</v>
      </c>
      <c r="DJ12" s="15">
        <f>'Input Kehadiran'!G8</f>
        <v>0</v>
      </c>
      <c r="DK12" s="48">
        <f>'Input Prestasi'!D9</f>
        <v>0</v>
      </c>
      <c r="DL12" s="48">
        <f>'Input Prestasi'!E9</f>
        <v>0</v>
      </c>
      <c r="DM12" s="48">
        <f>'Input Prestasi'!F9</f>
        <v>0</v>
      </c>
      <c r="DN12" s="48">
        <f>'Input Prestasi'!G9</f>
        <v>0</v>
      </c>
      <c r="DO12" s="48">
        <f>'Input Prestasi'!H9</f>
        <v>0</v>
      </c>
      <c r="DP12" s="48">
        <f>'Input Prestasi'!I9</f>
        <v>0</v>
      </c>
      <c r="DQ12" s="48">
        <f>'Input Prestasi'!J9</f>
        <v>0</v>
      </c>
      <c r="DR12" s="48">
        <f>'Input Prestasi'!K9</f>
        <v>0</v>
      </c>
      <c r="DS12" s="15" t="str">
        <f>'Input Nilai Sikap dan Catatan'!H7</f>
        <v>Peserta didik sudah mampu menempatkan diri dengan baik. Pertahankan kepribadian yang mampu menggerakkan teman-teman dalam kebaikan.</v>
      </c>
    </row>
    <row r="13" spans="1:123" x14ac:dyDescent="0.25">
      <c r="A13" s="12">
        <v>5</v>
      </c>
      <c r="B13" s="23" t="str">
        <f>IF(Setting!J10="","",Setting!J10)</f>
        <v>Aria Fenha Apri Buma</v>
      </c>
      <c r="C13" s="28">
        <f>IF(Setting!K10="","",Setting!K10)</f>
        <v>2008054</v>
      </c>
      <c r="D13" s="28" t="str">
        <f>IF(Setting!L10="","",Setting!L10)</f>
        <v>0058068365</v>
      </c>
      <c r="E13" s="15" t="str">
        <f>IF(Setting!$E$11="","",Setting!$E$11)</f>
        <v>XII MIPA 4</v>
      </c>
      <c r="F13" s="15" t="str">
        <f>'Input Nilai Sikap dan Catatan'!D8</f>
        <v>A</v>
      </c>
      <c r="G13" s="15" t="str">
        <f>'Input Nilai Sikap dan Catatan'!E8</f>
        <v>Mengikuti rutinitas ibadah dengan tertib dan mengamalkan nilai-nilai agama dalam kegiatan pembelajaran.</v>
      </c>
      <c r="H13" s="15" t="str">
        <f>'Input Nilai Sikap dan Catatan'!F8</f>
        <v>B</v>
      </c>
      <c r="I13" s="15" t="str">
        <f>'Input Nilai Sikap dan Catatan'!G8</f>
        <v>Memiliki sopan santun yang baik dan mampu memposisikan diri dengan baik dalam pertemanan</v>
      </c>
      <c r="J13" s="166">
        <v>94</v>
      </c>
      <c r="K13" s="167" t="s">
        <v>144</v>
      </c>
      <c r="L13" s="168" t="s">
        <v>2379</v>
      </c>
      <c r="M13" s="166">
        <v>88</v>
      </c>
      <c r="N13" s="167" t="s">
        <v>144</v>
      </c>
      <c r="O13" s="169" t="s">
        <v>2380</v>
      </c>
      <c r="P13" s="54">
        <v>89</v>
      </c>
      <c r="Q13" s="54" t="s">
        <v>144</v>
      </c>
      <c r="R13" s="54" t="s">
        <v>2395</v>
      </c>
      <c r="S13" s="54">
        <v>92</v>
      </c>
      <c r="T13" s="54" t="s">
        <v>144</v>
      </c>
      <c r="U13" s="54" t="s">
        <v>2394</v>
      </c>
      <c r="V13" s="166">
        <v>90</v>
      </c>
      <c r="W13" s="167" t="s">
        <v>144</v>
      </c>
      <c r="X13" s="168" t="s">
        <v>2451</v>
      </c>
      <c r="Y13" s="166">
        <v>89</v>
      </c>
      <c r="Z13" s="167" t="s">
        <v>144</v>
      </c>
      <c r="AA13" s="169" t="s">
        <v>2328</v>
      </c>
      <c r="AB13" s="54">
        <v>94</v>
      </c>
      <c r="AC13" s="54" t="s">
        <v>144</v>
      </c>
      <c r="AD13" s="54" t="s">
        <v>2377</v>
      </c>
      <c r="AE13" s="54">
        <v>90</v>
      </c>
      <c r="AF13" s="54" t="s">
        <v>144</v>
      </c>
      <c r="AG13" s="54" t="s">
        <v>2378</v>
      </c>
      <c r="AH13" s="52">
        <v>93</v>
      </c>
      <c r="AI13" s="52" t="s">
        <v>144</v>
      </c>
      <c r="AJ13" s="52" t="s">
        <v>2400</v>
      </c>
      <c r="AK13" s="52">
        <v>89</v>
      </c>
      <c r="AL13" s="52" t="s">
        <v>144</v>
      </c>
      <c r="AM13" s="52" t="s">
        <v>2399</v>
      </c>
      <c r="AN13" s="54">
        <v>89</v>
      </c>
      <c r="AO13" s="54" t="s">
        <v>144</v>
      </c>
      <c r="AP13" s="54" t="s">
        <v>2337</v>
      </c>
      <c r="AQ13" s="54">
        <v>88</v>
      </c>
      <c r="AR13" s="54" t="s">
        <v>144</v>
      </c>
      <c r="AS13" s="54" t="s">
        <v>2338</v>
      </c>
      <c r="AT13" s="166">
        <v>92</v>
      </c>
      <c r="AU13" s="167" t="s">
        <v>144</v>
      </c>
      <c r="AV13" s="168" t="s">
        <v>2396</v>
      </c>
      <c r="AW13" s="166">
        <v>94</v>
      </c>
      <c r="AX13" s="167" t="s">
        <v>144</v>
      </c>
      <c r="AY13" s="169" t="s">
        <v>2397</v>
      </c>
      <c r="AZ13" s="54">
        <v>92</v>
      </c>
      <c r="BA13" s="54" t="s">
        <v>144</v>
      </c>
      <c r="BB13" s="54" t="s">
        <v>2446</v>
      </c>
      <c r="BC13" s="54">
        <v>87</v>
      </c>
      <c r="BD13" s="54" t="s">
        <v>145</v>
      </c>
      <c r="BE13" s="54" t="s">
        <v>2443</v>
      </c>
      <c r="BF13" s="52">
        <v>94</v>
      </c>
      <c r="BG13" s="52" t="s">
        <v>144</v>
      </c>
      <c r="BH13" s="52" t="s">
        <v>2347</v>
      </c>
      <c r="BI13" s="52">
        <v>90</v>
      </c>
      <c r="BJ13" s="52" t="s">
        <v>144</v>
      </c>
      <c r="BK13" s="52" t="s">
        <v>2346</v>
      </c>
      <c r="BL13" s="54">
        <v>91</v>
      </c>
      <c r="BM13" s="54" t="s">
        <v>144</v>
      </c>
      <c r="BN13" s="54" t="s">
        <v>2325</v>
      </c>
      <c r="BO13" s="54">
        <v>91</v>
      </c>
      <c r="BP13" s="54" t="s">
        <v>144</v>
      </c>
      <c r="BQ13" s="54" t="s">
        <v>2326</v>
      </c>
      <c r="BR13" s="52">
        <v>92</v>
      </c>
      <c r="BS13" s="52" t="s">
        <v>144</v>
      </c>
      <c r="BT13" s="52" t="s">
        <v>2366</v>
      </c>
      <c r="BU13" s="52">
        <v>90</v>
      </c>
      <c r="BV13" s="52" t="s">
        <v>144</v>
      </c>
      <c r="BW13" s="52" t="s">
        <v>2367</v>
      </c>
      <c r="BX13" s="54">
        <v>86</v>
      </c>
      <c r="BY13" s="54" t="s">
        <v>145</v>
      </c>
      <c r="BZ13" s="54" t="s">
        <v>2381</v>
      </c>
      <c r="CA13" s="54">
        <v>83</v>
      </c>
      <c r="CB13" s="54" t="s">
        <v>145</v>
      </c>
      <c r="CC13" s="54" t="s">
        <v>2382</v>
      </c>
      <c r="CD13" s="166">
        <v>95</v>
      </c>
      <c r="CE13" s="167" t="s">
        <v>144</v>
      </c>
      <c r="CF13" s="168" t="s">
        <v>2354</v>
      </c>
      <c r="CG13" s="166">
        <v>88</v>
      </c>
      <c r="CH13" s="167" t="s">
        <v>144</v>
      </c>
      <c r="CI13" s="169" t="s">
        <v>2350</v>
      </c>
      <c r="CJ13" s="54">
        <v>92</v>
      </c>
      <c r="CK13" s="54" t="s">
        <v>144</v>
      </c>
      <c r="CL13" s="54" t="s">
        <v>2333</v>
      </c>
      <c r="CM13" s="54">
        <v>90</v>
      </c>
      <c r="CN13" s="54" t="s">
        <v>144</v>
      </c>
      <c r="CO13" s="54" t="s">
        <v>2332</v>
      </c>
      <c r="CP13" s="52">
        <v>94</v>
      </c>
      <c r="CQ13" s="52" t="s">
        <v>144</v>
      </c>
      <c r="CR13" s="52" t="s">
        <v>2438</v>
      </c>
      <c r="CS13" s="52">
        <v>86</v>
      </c>
      <c r="CT13" s="52" t="s">
        <v>145</v>
      </c>
      <c r="CU13" s="52" t="s">
        <v>2436</v>
      </c>
      <c r="CV13" s="52"/>
      <c r="CW13" s="52"/>
      <c r="CX13" s="52"/>
      <c r="CY13" s="52"/>
      <c r="CZ13" s="52"/>
      <c r="DA13" s="52"/>
      <c r="DB13" s="15" t="str">
        <f>'Input Ekstra'!E9</f>
        <v>Pramuka</v>
      </c>
      <c r="DC13" s="15" t="str">
        <f>'Input Ekstra'!F9</f>
        <v>Amat Baik</v>
      </c>
      <c r="DD13" s="15" t="str">
        <f>'Input Ekstra'!G9</f>
        <v>Peserta didik terampil membuat pionering, mampu menguasai gerakan PBB dan mengetahui salah satu kesenian daerah</v>
      </c>
      <c r="DE13" s="15" t="str">
        <f>'Input Ekstra'!H9</f>
        <v>Futsal</v>
      </c>
      <c r="DF13" s="15" t="str">
        <f>'Input Ekstra'!I9</f>
        <v>Amat Baik</v>
      </c>
      <c r="DG13" s="15" t="str">
        <f>'Input Ekstra'!J9</f>
        <v>Peserta didik mampu mengikuti kegiatan ekstrakurikuler futsal dengan amat baik</v>
      </c>
      <c r="DH13" s="15">
        <f>'Input Kehadiran'!E9</f>
        <v>1</v>
      </c>
      <c r="DI13" s="15">
        <f>'Input Kehadiran'!F9</f>
        <v>3</v>
      </c>
      <c r="DJ13" s="15">
        <f>'Input Kehadiran'!G9</f>
        <v>0</v>
      </c>
      <c r="DK13" s="48">
        <f>'Input Prestasi'!D10</f>
        <v>0</v>
      </c>
      <c r="DL13" s="48">
        <f>'Input Prestasi'!E10</f>
        <v>0</v>
      </c>
      <c r="DM13" s="48">
        <f>'Input Prestasi'!F10</f>
        <v>0</v>
      </c>
      <c r="DN13" s="48">
        <f>'Input Prestasi'!G10</f>
        <v>0</v>
      </c>
      <c r="DO13" s="48">
        <f>'Input Prestasi'!H10</f>
        <v>0</v>
      </c>
      <c r="DP13" s="48">
        <f>'Input Prestasi'!I10</f>
        <v>0</v>
      </c>
      <c r="DQ13" s="48">
        <f>'Input Prestasi'!J10</f>
        <v>0</v>
      </c>
      <c r="DR13" s="48">
        <f>'Input Prestasi'!K10</f>
        <v>0</v>
      </c>
      <c r="DS13" s="15" t="str">
        <f>'Input Nilai Sikap dan Catatan'!H8</f>
        <v>Peserta didik sudah mampu menempatkan diri dengan baik. Pertahankan kepribadian yang mampu menggerakkan teman-teman dalam kebaikan.</v>
      </c>
    </row>
    <row r="14" spans="1:123" x14ac:dyDescent="0.25">
      <c r="A14" s="12">
        <v>6</v>
      </c>
      <c r="B14" s="23" t="str">
        <f>IF(Setting!J11="","",Setting!J11)</f>
        <v>Baharuddin Barkah Pratama</v>
      </c>
      <c r="C14" s="28">
        <f>IF(Setting!K11="","",Setting!K11)</f>
        <v>2008075</v>
      </c>
      <c r="D14" s="28" t="str">
        <f>IF(Setting!L11="","",Setting!L11)</f>
        <v>0024374235</v>
      </c>
      <c r="E14" s="15" t="str">
        <f>IF(Setting!$E$11="","",Setting!$E$11)</f>
        <v>XII MIPA 4</v>
      </c>
      <c r="F14" s="15" t="str">
        <f>'Input Nilai Sikap dan Catatan'!D9</f>
        <v>B</v>
      </c>
      <c r="G14" s="15" t="str">
        <f>'Input Nilai Sikap dan Catatan'!E9</f>
        <v>Mengikuti rutinitas ibadah dengan baik dan mengamalkan nilai-nilai agama dalam kegiatan pembelajaran.</v>
      </c>
      <c r="H14" s="15" t="str">
        <f>'Input Nilai Sikap dan Catatan'!F9</f>
        <v>B</v>
      </c>
      <c r="I14" s="15" t="str">
        <f>'Input Nilai Sikap dan Catatan'!G9</f>
        <v>Memiliki sopan santun yang baik dan mampu memposisikan diri dengan baik dalam pertemanan</v>
      </c>
      <c r="J14" s="166">
        <v>93</v>
      </c>
      <c r="K14" s="167" t="s">
        <v>144</v>
      </c>
      <c r="L14" s="168" t="s">
        <v>2379</v>
      </c>
      <c r="M14" s="166">
        <v>88</v>
      </c>
      <c r="N14" s="167" t="s">
        <v>144</v>
      </c>
      <c r="O14" s="169" t="s">
        <v>2380</v>
      </c>
      <c r="P14" s="54">
        <v>86</v>
      </c>
      <c r="Q14" s="54" t="s">
        <v>145</v>
      </c>
      <c r="R14" s="54" t="s">
        <v>2393</v>
      </c>
      <c r="S14" s="54">
        <v>82</v>
      </c>
      <c r="T14" s="54" t="s">
        <v>145</v>
      </c>
      <c r="U14" s="54" t="s">
        <v>2394</v>
      </c>
      <c r="V14" s="166">
        <v>85</v>
      </c>
      <c r="W14" s="167" t="s">
        <v>145</v>
      </c>
      <c r="X14" s="168" t="s">
        <v>2329</v>
      </c>
      <c r="Y14" s="166">
        <v>92</v>
      </c>
      <c r="Z14" s="167" t="s">
        <v>144</v>
      </c>
      <c r="AA14" s="169" t="s">
        <v>2328</v>
      </c>
      <c r="AB14" s="54">
        <v>90</v>
      </c>
      <c r="AC14" s="54" t="s">
        <v>144</v>
      </c>
      <c r="AD14" s="54" t="s">
        <v>2375</v>
      </c>
      <c r="AE14" s="54">
        <v>85</v>
      </c>
      <c r="AF14" s="54" t="s">
        <v>145</v>
      </c>
      <c r="AG14" s="54" t="s">
        <v>2376</v>
      </c>
      <c r="AH14" s="52">
        <v>90</v>
      </c>
      <c r="AI14" s="52" t="s">
        <v>144</v>
      </c>
      <c r="AJ14" s="52" t="s">
        <v>2400</v>
      </c>
      <c r="AK14" s="52">
        <v>83</v>
      </c>
      <c r="AL14" s="52" t="s">
        <v>145</v>
      </c>
      <c r="AM14" s="52" t="s">
        <v>2399</v>
      </c>
      <c r="AN14" s="54">
        <v>90</v>
      </c>
      <c r="AO14" s="54" t="s">
        <v>144</v>
      </c>
      <c r="AP14" s="54" t="s">
        <v>2340</v>
      </c>
      <c r="AQ14" s="54">
        <v>92</v>
      </c>
      <c r="AR14" s="54" t="s">
        <v>144</v>
      </c>
      <c r="AS14" s="54" t="s">
        <v>2338</v>
      </c>
      <c r="AT14" s="166">
        <v>92</v>
      </c>
      <c r="AU14" s="167" t="s">
        <v>144</v>
      </c>
      <c r="AV14" s="168" t="s">
        <v>2396</v>
      </c>
      <c r="AW14" s="166">
        <v>92</v>
      </c>
      <c r="AX14" s="167" t="s">
        <v>144</v>
      </c>
      <c r="AY14" s="169" t="s">
        <v>2397</v>
      </c>
      <c r="AZ14" s="54">
        <v>91</v>
      </c>
      <c r="BA14" s="54" t="s">
        <v>144</v>
      </c>
      <c r="BB14" s="54" t="s">
        <v>2447</v>
      </c>
      <c r="BC14" s="54">
        <v>85</v>
      </c>
      <c r="BD14" s="54" t="s">
        <v>145</v>
      </c>
      <c r="BE14" s="54" t="s">
        <v>2443</v>
      </c>
      <c r="BF14" s="52">
        <v>89</v>
      </c>
      <c r="BG14" s="52" t="s">
        <v>144</v>
      </c>
      <c r="BH14" s="52" t="s">
        <v>2345</v>
      </c>
      <c r="BI14" s="52">
        <v>81</v>
      </c>
      <c r="BJ14" s="52" t="s">
        <v>145</v>
      </c>
      <c r="BK14" s="52" t="s">
        <v>2346</v>
      </c>
      <c r="BL14" s="54">
        <v>81</v>
      </c>
      <c r="BM14" s="54" t="s">
        <v>145</v>
      </c>
      <c r="BN14" s="54" t="s">
        <v>2325</v>
      </c>
      <c r="BO14" s="54">
        <v>81</v>
      </c>
      <c r="BP14" s="54" t="s">
        <v>145</v>
      </c>
      <c r="BQ14" s="54" t="s">
        <v>2326</v>
      </c>
      <c r="BR14" s="52">
        <v>85</v>
      </c>
      <c r="BS14" s="52" t="s">
        <v>145</v>
      </c>
      <c r="BT14" s="52" t="s">
        <v>2369</v>
      </c>
      <c r="BU14" s="52">
        <v>88</v>
      </c>
      <c r="BV14" s="52" t="s">
        <v>144</v>
      </c>
      <c r="BW14" s="52" t="s">
        <v>2367</v>
      </c>
      <c r="BX14" s="54">
        <v>83</v>
      </c>
      <c r="BY14" s="54" t="s">
        <v>145</v>
      </c>
      <c r="BZ14" s="54" t="s">
        <v>2383</v>
      </c>
      <c r="CA14" s="54">
        <v>81</v>
      </c>
      <c r="CB14" s="54" t="s">
        <v>145</v>
      </c>
      <c r="CC14" s="54" t="s">
        <v>2382</v>
      </c>
      <c r="CD14" s="166">
        <v>89</v>
      </c>
      <c r="CE14" s="167" t="s">
        <v>144</v>
      </c>
      <c r="CF14" s="168" t="s">
        <v>2355</v>
      </c>
      <c r="CG14" s="166">
        <v>90</v>
      </c>
      <c r="CH14" s="167" t="s">
        <v>144</v>
      </c>
      <c r="CI14" s="169" t="s">
        <v>2350</v>
      </c>
      <c r="CJ14" s="54">
        <v>88</v>
      </c>
      <c r="CK14" s="54" t="s">
        <v>144</v>
      </c>
      <c r="CL14" s="54" t="s">
        <v>2335</v>
      </c>
      <c r="CM14" s="54">
        <v>85</v>
      </c>
      <c r="CN14" s="54" t="s">
        <v>145</v>
      </c>
      <c r="CO14" s="54" t="s">
        <v>2332</v>
      </c>
      <c r="CP14" s="52">
        <v>92</v>
      </c>
      <c r="CQ14" s="52" t="s">
        <v>144</v>
      </c>
      <c r="CR14" s="52" t="s">
        <v>2437</v>
      </c>
      <c r="CS14" s="52">
        <v>86</v>
      </c>
      <c r="CT14" s="52" t="s">
        <v>145</v>
      </c>
      <c r="CU14" s="52" t="s">
        <v>2436</v>
      </c>
      <c r="CV14" s="52"/>
      <c r="CW14" s="52"/>
      <c r="CX14" s="52"/>
      <c r="CY14" s="52"/>
      <c r="CZ14" s="52"/>
      <c r="DA14" s="52"/>
      <c r="DB14" s="15" t="str">
        <f>'Input Ekstra'!E10</f>
        <v>Pramuka</v>
      </c>
      <c r="DC14" s="15" t="str">
        <f>'Input Ekstra'!F10</f>
        <v>Baik</v>
      </c>
      <c r="DD14" s="15" t="str">
        <f>'Input Ekstra'!G10</f>
        <v>Peserta didik terampil membuat pionering, mampu menguasai gerakan PBB dan mengetahui salah satu kesenian daerah</v>
      </c>
      <c r="DE14" s="15" t="str">
        <f>'Input Ekstra'!H10</f>
        <v>English Club</v>
      </c>
      <c r="DF14" s="15" t="str">
        <f>'Input Ekstra'!I10</f>
        <v>Amat Baik</v>
      </c>
      <c r="DG14" s="15" t="str">
        <f>'Input Ekstra'!J10</f>
        <v>Peserta didik mampu mengikuti kegiatan ekstrakurikuler english club dengan amat baik</v>
      </c>
      <c r="DH14" s="15">
        <f>'Input Kehadiran'!E10</f>
        <v>5</v>
      </c>
      <c r="DI14" s="15">
        <f>'Input Kehadiran'!F10</f>
        <v>5</v>
      </c>
      <c r="DJ14" s="15">
        <f>'Input Kehadiran'!G10</f>
        <v>0</v>
      </c>
      <c r="DK14" s="48">
        <f>'Input Prestasi'!D11</f>
        <v>0</v>
      </c>
      <c r="DL14" s="48">
        <f>'Input Prestasi'!E11</f>
        <v>0</v>
      </c>
      <c r="DM14" s="48">
        <f>'Input Prestasi'!F11</f>
        <v>0</v>
      </c>
      <c r="DN14" s="48">
        <f>'Input Prestasi'!G11</f>
        <v>0</v>
      </c>
      <c r="DO14" s="48">
        <f>'Input Prestasi'!H11</f>
        <v>0</v>
      </c>
      <c r="DP14" s="48">
        <f>'Input Prestasi'!I11</f>
        <v>0</v>
      </c>
      <c r="DQ14" s="48">
        <f>'Input Prestasi'!J11</f>
        <v>0</v>
      </c>
      <c r="DR14" s="48">
        <f>'Input Prestasi'!K11</f>
        <v>0</v>
      </c>
      <c r="DS14" s="15" t="str">
        <f>'Input Nilai Sikap dan Catatan'!H9</f>
        <v>Peserta didik sudah mampu menempatkan diri dengan baik. Pertahankan kepribadian yang mampu menggerakkan teman-teman dalam kebaikan.</v>
      </c>
    </row>
    <row r="15" spans="1:123" x14ac:dyDescent="0.25">
      <c r="A15" s="12">
        <v>7</v>
      </c>
      <c r="B15" s="23" t="str">
        <f>IF(Setting!J12="","",Setting!J12)</f>
        <v>Daffa Arya Pudyastungkara</v>
      </c>
      <c r="C15" s="28">
        <f>IF(Setting!K12="","",Setting!K12)</f>
        <v>2008089</v>
      </c>
      <c r="D15" s="28" t="str">
        <f>IF(Setting!L12="","",Setting!L12)</f>
        <v>0043620048</v>
      </c>
      <c r="E15" s="15" t="str">
        <f>IF(Setting!$E$11="","",Setting!$E$11)</f>
        <v>XII MIPA 4</v>
      </c>
      <c r="F15" s="15" t="str">
        <f>'Input Nilai Sikap dan Catatan'!D10</f>
        <v>A</v>
      </c>
      <c r="G15" s="15" t="str">
        <f>'Input Nilai Sikap dan Catatan'!E10</f>
        <v>Mengikuti rutinitas ibadah dengan tertib dan mengamalkan nilai-nilai agama dalam kegiatan pembelajaran.</v>
      </c>
      <c r="H15" s="15" t="str">
        <f>'Input Nilai Sikap dan Catatan'!F10</f>
        <v>B</v>
      </c>
      <c r="I15" s="15" t="str">
        <f>'Input Nilai Sikap dan Catatan'!G10</f>
        <v>Memiliki sopan santun yang baik dan mampu memposisikan diri dengan baik dalam pertemanan</v>
      </c>
      <c r="J15" s="166">
        <v>93</v>
      </c>
      <c r="K15" s="167" t="s">
        <v>144</v>
      </c>
      <c r="L15" s="168" t="s">
        <v>2379</v>
      </c>
      <c r="M15" s="166">
        <v>88</v>
      </c>
      <c r="N15" s="167" t="s">
        <v>144</v>
      </c>
      <c r="O15" s="169" t="s">
        <v>2380</v>
      </c>
      <c r="P15" s="54">
        <v>89</v>
      </c>
      <c r="Q15" s="54" t="s">
        <v>144</v>
      </c>
      <c r="R15" s="54" t="s">
        <v>2395</v>
      </c>
      <c r="S15" s="54">
        <v>91</v>
      </c>
      <c r="T15" s="54" t="s">
        <v>144</v>
      </c>
      <c r="U15" s="54" t="s">
        <v>2394</v>
      </c>
      <c r="V15" s="166">
        <v>86</v>
      </c>
      <c r="W15" s="167" t="s">
        <v>145</v>
      </c>
      <c r="X15" s="168" t="s">
        <v>2329</v>
      </c>
      <c r="Y15" s="166">
        <v>88</v>
      </c>
      <c r="Z15" s="167" t="s">
        <v>144</v>
      </c>
      <c r="AA15" s="169" t="s">
        <v>2328</v>
      </c>
      <c r="AB15" s="54">
        <v>94</v>
      </c>
      <c r="AC15" s="54" t="s">
        <v>144</v>
      </c>
      <c r="AD15" s="54" t="s">
        <v>2377</v>
      </c>
      <c r="AE15" s="54">
        <v>88</v>
      </c>
      <c r="AF15" s="54" t="s">
        <v>144</v>
      </c>
      <c r="AG15" s="54" t="s">
        <v>2376</v>
      </c>
      <c r="AH15" s="52">
        <v>84</v>
      </c>
      <c r="AI15" s="52" t="s">
        <v>145</v>
      </c>
      <c r="AJ15" s="52" t="s">
        <v>2400</v>
      </c>
      <c r="AK15" s="52">
        <v>80</v>
      </c>
      <c r="AL15" s="52" t="s">
        <v>145</v>
      </c>
      <c r="AM15" s="52" t="s">
        <v>2399</v>
      </c>
      <c r="AN15" s="54">
        <v>88</v>
      </c>
      <c r="AO15" s="54" t="s">
        <v>144</v>
      </c>
      <c r="AP15" s="54" t="s">
        <v>2337</v>
      </c>
      <c r="AQ15" s="54">
        <v>80</v>
      </c>
      <c r="AR15" s="54" t="s">
        <v>145</v>
      </c>
      <c r="AS15" s="54" t="s">
        <v>2338</v>
      </c>
      <c r="AT15" s="166">
        <v>89</v>
      </c>
      <c r="AU15" s="167" t="s">
        <v>144</v>
      </c>
      <c r="AV15" s="168" t="s">
        <v>2396</v>
      </c>
      <c r="AW15" s="166">
        <v>94</v>
      </c>
      <c r="AX15" s="167" t="s">
        <v>144</v>
      </c>
      <c r="AY15" s="169" t="s">
        <v>2397</v>
      </c>
      <c r="AZ15" s="54">
        <v>92</v>
      </c>
      <c r="BA15" s="54" t="s">
        <v>144</v>
      </c>
      <c r="BB15" s="54" t="s">
        <v>2446</v>
      </c>
      <c r="BC15" s="54">
        <v>83</v>
      </c>
      <c r="BD15" s="54" t="s">
        <v>145</v>
      </c>
      <c r="BE15" s="54" t="s">
        <v>2443</v>
      </c>
      <c r="BF15" s="52">
        <v>93</v>
      </c>
      <c r="BG15" s="52" t="s">
        <v>144</v>
      </c>
      <c r="BH15" s="52" t="s">
        <v>2347</v>
      </c>
      <c r="BI15" s="52">
        <v>90</v>
      </c>
      <c r="BJ15" s="52" t="s">
        <v>144</v>
      </c>
      <c r="BK15" s="52" t="s">
        <v>2346</v>
      </c>
      <c r="BL15" s="54">
        <v>81</v>
      </c>
      <c r="BM15" s="54" t="s">
        <v>145</v>
      </c>
      <c r="BN15" s="54" t="s">
        <v>2325</v>
      </c>
      <c r="BO15" s="54">
        <v>81</v>
      </c>
      <c r="BP15" s="54" t="s">
        <v>145</v>
      </c>
      <c r="BQ15" s="54" t="s">
        <v>2326</v>
      </c>
      <c r="BR15" s="52">
        <v>91</v>
      </c>
      <c r="BS15" s="52" t="s">
        <v>144</v>
      </c>
      <c r="BT15" s="52" t="s">
        <v>2366</v>
      </c>
      <c r="BU15" s="52">
        <v>90</v>
      </c>
      <c r="BV15" s="52" t="s">
        <v>144</v>
      </c>
      <c r="BW15" s="52" t="s">
        <v>2367</v>
      </c>
      <c r="BX15" s="54">
        <v>85</v>
      </c>
      <c r="BY15" s="54" t="s">
        <v>145</v>
      </c>
      <c r="BZ15" s="54" t="s">
        <v>2384</v>
      </c>
      <c r="CA15" s="54">
        <v>83</v>
      </c>
      <c r="CB15" s="54" t="s">
        <v>145</v>
      </c>
      <c r="CC15" s="54" t="s">
        <v>2382</v>
      </c>
      <c r="CD15" s="166">
        <v>94</v>
      </c>
      <c r="CE15" s="167" t="s">
        <v>144</v>
      </c>
      <c r="CF15" s="168" t="s">
        <v>2353</v>
      </c>
      <c r="CG15" s="166">
        <v>88</v>
      </c>
      <c r="CH15" s="167" t="s">
        <v>144</v>
      </c>
      <c r="CI15" s="169" t="s">
        <v>2350</v>
      </c>
      <c r="CJ15" s="54">
        <v>90</v>
      </c>
      <c r="CK15" s="54" t="s">
        <v>144</v>
      </c>
      <c r="CL15" s="54" t="s">
        <v>2334</v>
      </c>
      <c r="CM15" s="54">
        <v>85</v>
      </c>
      <c r="CN15" s="54" t="s">
        <v>145</v>
      </c>
      <c r="CO15" s="54" t="s">
        <v>2332</v>
      </c>
      <c r="CP15" s="52">
        <v>89</v>
      </c>
      <c r="CQ15" s="52" t="s">
        <v>144</v>
      </c>
      <c r="CR15" s="52" t="s">
        <v>2439</v>
      </c>
      <c r="CS15" s="52">
        <v>86</v>
      </c>
      <c r="CT15" s="52" t="s">
        <v>145</v>
      </c>
      <c r="CU15" s="52" t="s">
        <v>2436</v>
      </c>
      <c r="CV15" s="52"/>
      <c r="CW15" s="52"/>
      <c r="CX15" s="52"/>
      <c r="CY15" s="52"/>
      <c r="CZ15" s="52"/>
      <c r="DA15" s="52"/>
      <c r="DB15" s="15" t="str">
        <f>'Input Ekstra'!E11</f>
        <v>Pramuka</v>
      </c>
      <c r="DC15" s="15" t="str">
        <f>'Input Ekstra'!F11</f>
        <v>Amat Baik</v>
      </c>
      <c r="DD15" s="15" t="str">
        <f>'Input Ekstra'!G11</f>
        <v>Peserta didik terampil membuat pionering, mampu menguasai gerakan PBB dan mengetahui salah satu kesenian daerah</v>
      </c>
      <c r="DE15" s="15" t="str">
        <f>'Input Ekstra'!H11</f>
        <v>Airsoft Gun</v>
      </c>
      <c r="DF15" s="15" t="str">
        <f>'Input Ekstra'!I11</f>
        <v>Baik</v>
      </c>
      <c r="DG15" s="15" t="str">
        <f>'Input Ekstra'!J11</f>
        <v>Peserta didik mampu mengikuti kegiatan ekstrakurikuler airsoft gun dengan baik</v>
      </c>
      <c r="DH15" s="15">
        <f>'Input Kehadiran'!E11</f>
        <v>0</v>
      </c>
      <c r="DI15" s="15">
        <f>'Input Kehadiran'!F11</f>
        <v>2</v>
      </c>
      <c r="DJ15" s="15">
        <f>'Input Kehadiran'!G11</f>
        <v>0</v>
      </c>
      <c r="DK15" s="48">
        <f>'Input Prestasi'!D12</f>
        <v>0</v>
      </c>
      <c r="DL15" s="48">
        <f>'Input Prestasi'!E12</f>
        <v>0</v>
      </c>
      <c r="DM15" s="48">
        <f>'Input Prestasi'!F12</f>
        <v>0</v>
      </c>
      <c r="DN15" s="48">
        <f>'Input Prestasi'!G12</f>
        <v>0</v>
      </c>
      <c r="DO15" s="48">
        <f>'Input Prestasi'!H12</f>
        <v>0</v>
      </c>
      <c r="DP15" s="48">
        <f>'Input Prestasi'!I12</f>
        <v>0</v>
      </c>
      <c r="DQ15" s="48">
        <f>'Input Prestasi'!J12</f>
        <v>0</v>
      </c>
      <c r="DR15" s="48">
        <f>'Input Prestasi'!K12</f>
        <v>0</v>
      </c>
      <c r="DS15" s="15" t="str">
        <f>'Input Nilai Sikap dan Catatan'!H10</f>
        <v>Peserta didik sudah mampu menempatkan diri dengan baik. Pertahankan kepribadian yang mampu menggerakkan teman-teman dalam kebaikan.</v>
      </c>
    </row>
    <row r="16" spans="1:123" x14ac:dyDescent="0.25">
      <c r="A16" s="12">
        <v>8</v>
      </c>
      <c r="B16" s="23" t="str">
        <f>IF(Setting!J13="","",Setting!J13)</f>
        <v>Dody Muhammad Pasha</v>
      </c>
      <c r="C16" s="28">
        <f>IF(Setting!K13="","",Setting!K13)</f>
        <v>2008095</v>
      </c>
      <c r="D16" s="28" t="str">
        <f>IF(Setting!L13="","",Setting!L13)</f>
        <v>0053814584</v>
      </c>
      <c r="E16" s="15" t="str">
        <f>IF(Setting!$E$11="","",Setting!$E$11)</f>
        <v>XII MIPA 4</v>
      </c>
      <c r="F16" s="15" t="str">
        <f>'Input Nilai Sikap dan Catatan'!D11</f>
        <v>A</v>
      </c>
      <c r="G16" s="15" t="str">
        <f>'Input Nilai Sikap dan Catatan'!E11</f>
        <v>Mengikuti rutinitas ibadah dengan tertib dan mengamalkan nilai-nilai agama dalam kegiatan pembelajaran.</v>
      </c>
      <c r="H16" s="15" t="str">
        <f>'Input Nilai Sikap dan Catatan'!F11</f>
        <v>B</v>
      </c>
      <c r="I16" s="15" t="str">
        <f>'Input Nilai Sikap dan Catatan'!G11</f>
        <v>Memiliki sopan santun yang baik dan mampu memposisikan diri dengan baik dalam pertemanan</v>
      </c>
      <c r="J16" s="166">
        <v>94</v>
      </c>
      <c r="K16" s="167" t="s">
        <v>144</v>
      </c>
      <c r="L16" s="168" t="s">
        <v>2379</v>
      </c>
      <c r="M16" s="166">
        <v>88</v>
      </c>
      <c r="N16" s="167" t="s">
        <v>144</v>
      </c>
      <c r="O16" s="169" t="s">
        <v>2380</v>
      </c>
      <c r="P16" s="54">
        <v>91</v>
      </c>
      <c r="Q16" s="54" t="s">
        <v>144</v>
      </c>
      <c r="R16" s="54" t="s">
        <v>2395</v>
      </c>
      <c r="S16" s="54">
        <v>92</v>
      </c>
      <c r="T16" s="54" t="s">
        <v>144</v>
      </c>
      <c r="U16" s="54" t="s">
        <v>2394</v>
      </c>
      <c r="V16" s="166">
        <v>95</v>
      </c>
      <c r="W16" s="167" t="s">
        <v>144</v>
      </c>
      <c r="X16" s="168" t="s">
        <v>2452</v>
      </c>
      <c r="Y16" s="166">
        <v>92</v>
      </c>
      <c r="Z16" s="167" t="s">
        <v>144</v>
      </c>
      <c r="AA16" s="169" t="s">
        <v>2328</v>
      </c>
      <c r="AB16" s="54">
        <v>94</v>
      </c>
      <c r="AC16" s="54" t="s">
        <v>144</v>
      </c>
      <c r="AD16" s="54" t="s">
        <v>2375</v>
      </c>
      <c r="AE16" s="54">
        <v>95</v>
      </c>
      <c r="AF16" s="54" t="s">
        <v>144</v>
      </c>
      <c r="AG16" s="54" t="s">
        <v>2378</v>
      </c>
      <c r="AH16" s="52">
        <v>94</v>
      </c>
      <c r="AI16" s="52" t="s">
        <v>144</v>
      </c>
      <c r="AJ16" s="52" t="s">
        <v>2400</v>
      </c>
      <c r="AK16" s="52">
        <v>90</v>
      </c>
      <c r="AL16" s="52" t="s">
        <v>144</v>
      </c>
      <c r="AM16" s="52" t="s">
        <v>2399</v>
      </c>
      <c r="AN16" s="54">
        <v>92</v>
      </c>
      <c r="AO16" s="54" t="s">
        <v>144</v>
      </c>
      <c r="AP16" s="54" t="s">
        <v>2337</v>
      </c>
      <c r="AQ16" s="54">
        <v>92</v>
      </c>
      <c r="AR16" s="54" t="s">
        <v>144</v>
      </c>
      <c r="AS16" s="54" t="s">
        <v>2338</v>
      </c>
      <c r="AT16" s="166">
        <v>93</v>
      </c>
      <c r="AU16" s="167" t="s">
        <v>144</v>
      </c>
      <c r="AV16" s="168" t="s">
        <v>2396</v>
      </c>
      <c r="AW16" s="166">
        <v>94</v>
      </c>
      <c r="AX16" s="167" t="s">
        <v>144</v>
      </c>
      <c r="AY16" s="169" t="s">
        <v>2397</v>
      </c>
      <c r="AZ16" s="54">
        <v>92</v>
      </c>
      <c r="BA16" s="54" t="s">
        <v>144</v>
      </c>
      <c r="BB16" s="54" t="s">
        <v>2445</v>
      </c>
      <c r="BC16" s="54">
        <v>84</v>
      </c>
      <c r="BD16" s="54" t="s">
        <v>145</v>
      </c>
      <c r="BE16" s="54" t="s">
        <v>2443</v>
      </c>
      <c r="BF16" s="52">
        <v>95</v>
      </c>
      <c r="BG16" s="52" t="s">
        <v>144</v>
      </c>
      <c r="BH16" s="52" t="s">
        <v>2345</v>
      </c>
      <c r="BI16" s="52">
        <v>90</v>
      </c>
      <c r="BJ16" s="52" t="s">
        <v>144</v>
      </c>
      <c r="BK16" s="52" t="s">
        <v>2346</v>
      </c>
      <c r="BL16" s="54">
        <v>93</v>
      </c>
      <c r="BM16" s="54" t="s">
        <v>144</v>
      </c>
      <c r="BN16" s="54" t="s">
        <v>2325</v>
      </c>
      <c r="BO16" s="54">
        <v>93</v>
      </c>
      <c r="BP16" s="54" t="s">
        <v>144</v>
      </c>
      <c r="BQ16" s="54" t="s">
        <v>2326</v>
      </c>
      <c r="BR16" s="52">
        <v>93</v>
      </c>
      <c r="BS16" s="52" t="s">
        <v>144</v>
      </c>
      <c r="BT16" s="52" t="s">
        <v>2366</v>
      </c>
      <c r="BU16" s="52">
        <v>90</v>
      </c>
      <c r="BV16" s="52" t="s">
        <v>144</v>
      </c>
      <c r="BW16" s="52" t="s">
        <v>2367</v>
      </c>
      <c r="BX16" s="54">
        <v>88</v>
      </c>
      <c r="BY16" s="54" t="s">
        <v>144</v>
      </c>
      <c r="BZ16" s="54" t="s">
        <v>2385</v>
      </c>
      <c r="CA16" s="54">
        <v>85</v>
      </c>
      <c r="CB16" s="54" t="s">
        <v>145</v>
      </c>
      <c r="CC16" s="54" t="s">
        <v>2382</v>
      </c>
      <c r="CD16" s="166">
        <v>96</v>
      </c>
      <c r="CE16" s="167" t="s">
        <v>144</v>
      </c>
      <c r="CF16" s="168" t="s">
        <v>2351</v>
      </c>
      <c r="CG16" s="166">
        <v>90</v>
      </c>
      <c r="CH16" s="167" t="s">
        <v>144</v>
      </c>
      <c r="CI16" s="169" t="s">
        <v>2350</v>
      </c>
      <c r="CJ16" s="54">
        <v>94</v>
      </c>
      <c r="CK16" s="54" t="s">
        <v>144</v>
      </c>
      <c r="CL16" s="54" t="s">
        <v>2331</v>
      </c>
      <c r="CM16" s="54">
        <v>95</v>
      </c>
      <c r="CN16" s="54" t="s">
        <v>144</v>
      </c>
      <c r="CO16" s="54" t="s">
        <v>2332</v>
      </c>
      <c r="CP16" s="52">
        <v>94</v>
      </c>
      <c r="CQ16" s="52" t="s">
        <v>144</v>
      </c>
      <c r="CR16" s="52" t="s">
        <v>2440</v>
      </c>
      <c r="CS16" s="52">
        <v>86</v>
      </c>
      <c r="CT16" s="52" t="s">
        <v>145</v>
      </c>
      <c r="CU16" s="52" t="s">
        <v>2436</v>
      </c>
      <c r="CV16" s="52"/>
      <c r="CW16" s="52"/>
      <c r="CX16" s="52"/>
      <c r="CY16" s="52"/>
      <c r="CZ16" s="52"/>
      <c r="DA16" s="52"/>
      <c r="DB16" s="15" t="str">
        <f>'Input Ekstra'!E12</f>
        <v>Pramuka</v>
      </c>
      <c r="DC16" s="15" t="str">
        <f>'Input Ekstra'!F12</f>
        <v>Baik</v>
      </c>
      <c r="DD16" s="15" t="str">
        <f>'Input Ekstra'!G12</f>
        <v>Peserta didik terampil membuat pionering, mampu menguasai gerakan PBB dan mengetahui salah satu kesenian daerah</v>
      </c>
      <c r="DE16" s="15" t="str">
        <f>'Input Ekstra'!H12</f>
        <v>Fotografi</v>
      </c>
      <c r="DF16" s="15" t="str">
        <f>'Input Ekstra'!I12</f>
        <v>Baik</v>
      </c>
      <c r="DG16" s="15" t="str">
        <f>'Input Ekstra'!J12</f>
        <v>Peserta didik mampu mengikuti kegiatan ekstrakurikuler fotografi dengan baik</v>
      </c>
      <c r="DH16" s="15">
        <f>'Input Kehadiran'!E12</f>
        <v>0</v>
      </c>
      <c r="DI16" s="15">
        <f>'Input Kehadiran'!F12</f>
        <v>0</v>
      </c>
      <c r="DJ16" s="15">
        <f>'Input Kehadiran'!G12</f>
        <v>0</v>
      </c>
      <c r="DK16" s="48">
        <f>'Input Prestasi'!D13</f>
        <v>0</v>
      </c>
      <c r="DL16" s="48">
        <f>'Input Prestasi'!E13</f>
        <v>0</v>
      </c>
      <c r="DM16" s="48">
        <f>'Input Prestasi'!F13</f>
        <v>0</v>
      </c>
      <c r="DN16" s="48">
        <f>'Input Prestasi'!G13</f>
        <v>0</v>
      </c>
      <c r="DO16" s="48">
        <f>'Input Prestasi'!H13</f>
        <v>0</v>
      </c>
      <c r="DP16" s="48">
        <f>'Input Prestasi'!I13</f>
        <v>0</v>
      </c>
      <c r="DQ16" s="48">
        <f>'Input Prestasi'!J13</f>
        <v>0</v>
      </c>
      <c r="DR16" s="48">
        <f>'Input Prestasi'!K13</f>
        <v>0</v>
      </c>
      <c r="DS16" s="15" t="str">
        <f>'Input Nilai Sikap dan Catatan'!H11</f>
        <v>Peserta didik sudah mampu menempatkan diri dengan baik. Pertahankan kepribadian yang mampu menggerakkan teman-teman dalam kebaikan.</v>
      </c>
    </row>
    <row r="17" spans="1:123" x14ac:dyDescent="0.25">
      <c r="A17" s="12">
        <v>9</v>
      </c>
      <c r="B17" s="23" t="str">
        <f>IF(Setting!J14="","",Setting!J14)</f>
        <v>Elga Perdana</v>
      </c>
      <c r="C17" s="28">
        <f>IF(Setting!K14="","",Setting!K14)</f>
        <v>2008099</v>
      </c>
      <c r="D17" s="28" t="str">
        <f>IF(Setting!L14="","",Setting!L14)</f>
        <v>0054718584</v>
      </c>
      <c r="E17" s="15" t="str">
        <f>IF(Setting!$E$11="","",Setting!$E$11)</f>
        <v>XII MIPA 4</v>
      </c>
      <c r="F17" s="15" t="str">
        <f>'Input Nilai Sikap dan Catatan'!D12</f>
        <v>B</v>
      </c>
      <c r="G17" s="15" t="str">
        <f>'Input Nilai Sikap dan Catatan'!E12</f>
        <v>Mengikuti rutinitas ibadah dengan baik dan mengamalkan nilai-nilai agama dalam kegiatan pembelajaran.</v>
      </c>
      <c r="H17" s="15" t="str">
        <f>'Input Nilai Sikap dan Catatan'!F12</f>
        <v>A</v>
      </c>
      <c r="I17" s="15" t="str">
        <f>'Input Nilai Sikap dan Catatan'!G12</f>
        <v>Memiliki sopan santun yang sangat baik dan mampu memposisikan diri dengan sangat baik dalam pertemanan</v>
      </c>
      <c r="J17" s="166">
        <v>93</v>
      </c>
      <c r="K17" s="167" t="s">
        <v>144</v>
      </c>
      <c r="L17" s="168" t="s">
        <v>2379</v>
      </c>
      <c r="M17" s="166">
        <v>88</v>
      </c>
      <c r="N17" s="167" t="s">
        <v>144</v>
      </c>
      <c r="O17" s="169" t="s">
        <v>2380</v>
      </c>
      <c r="P17" s="54">
        <v>90</v>
      </c>
      <c r="Q17" s="54" t="s">
        <v>144</v>
      </c>
      <c r="R17" s="54" t="s">
        <v>2393</v>
      </c>
      <c r="S17" s="54">
        <v>85</v>
      </c>
      <c r="T17" s="54" t="s">
        <v>145</v>
      </c>
      <c r="U17" s="54" t="s">
        <v>2394</v>
      </c>
      <c r="V17" s="166">
        <v>89</v>
      </c>
      <c r="W17" s="167" t="s">
        <v>144</v>
      </c>
      <c r="X17" s="168" t="s">
        <v>2453</v>
      </c>
      <c r="Y17" s="166">
        <v>90</v>
      </c>
      <c r="Z17" s="167" t="s">
        <v>144</v>
      </c>
      <c r="AA17" s="169" t="s">
        <v>2328</v>
      </c>
      <c r="AB17" s="54">
        <v>91</v>
      </c>
      <c r="AC17" s="54" t="s">
        <v>144</v>
      </c>
      <c r="AD17" s="54" t="s">
        <v>2375</v>
      </c>
      <c r="AE17" s="54">
        <v>85</v>
      </c>
      <c r="AF17" s="54" t="s">
        <v>145</v>
      </c>
      <c r="AG17" s="54" t="s">
        <v>2376</v>
      </c>
      <c r="AH17" s="52">
        <v>86</v>
      </c>
      <c r="AI17" s="52" t="s">
        <v>145</v>
      </c>
      <c r="AJ17" s="52" t="s">
        <v>2400</v>
      </c>
      <c r="AK17" s="52">
        <v>81</v>
      </c>
      <c r="AL17" s="52" t="s">
        <v>145</v>
      </c>
      <c r="AM17" s="52" t="s">
        <v>2399</v>
      </c>
      <c r="AN17" s="54">
        <v>88</v>
      </c>
      <c r="AO17" s="54" t="s">
        <v>144</v>
      </c>
      <c r="AP17" s="54" t="s">
        <v>2340</v>
      </c>
      <c r="AQ17" s="54">
        <v>80</v>
      </c>
      <c r="AR17" s="54" t="s">
        <v>145</v>
      </c>
      <c r="AS17" s="54" t="s">
        <v>2338</v>
      </c>
      <c r="AT17" s="166">
        <v>89</v>
      </c>
      <c r="AU17" s="167" t="s">
        <v>144</v>
      </c>
      <c r="AV17" s="168" t="s">
        <v>2396</v>
      </c>
      <c r="AW17" s="166">
        <v>90</v>
      </c>
      <c r="AX17" s="167" t="s">
        <v>144</v>
      </c>
      <c r="AY17" s="169" t="s">
        <v>2397</v>
      </c>
      <c r="AZ17" s="54">
        <v>92</v>
      </c>
      <c r="BA17" s="54" t="s">
        <v>144</v>
      </c>
      <c r="BB17" s="54" t="s">
        <v>2446</v>
      </c>
      <c r="BC17" s="54">
        <v>84</v>
      </c>
      <c r="BD17" s="54" t="s">
        <v>145</v>
      </c>
      <c r="BE17" s="54" t="s">
        <v>2443</v>
      </c>
      <c r="BF17" s="52">
        <v>92</v>
      </c>
      <c r="BG17" s="52" t="s">
        <v>144</v>
      </c>
      <c r="BH17" s="52" t="s">
        <v>2345</v>
      </c>
      <c r="BI17" s="52">
        <v>83</v>
      </c>
      <c r="BJ17" s="52" t="s">
        <v>145</v>
      </c>
      <c r="BK17" s="52" t="s">
        <v>2346</v>
      </c>
      <c r="BL17" s="54">
        <v>81</v>
      </c>
      <c r="BM17" s="54" t="s">
        <v>145</v>
      </c>
      <c r="BN17" s="54" t="s">
        <v>2325</v>
      </c>
      <c r="BO17" s="54">
        <v>81</v>
      </c>
      <c r="BP17" s="54" t="s">
        <v>145</v>
      </c>
      <c r="BQ17" s="54" t="s">
        <v>2326</v>
      </c>
      <c r="BR17" s="52">
        <v>84</v>
      </c>
      <c r="BS17" s="52" t="s">
        <v>145</v>
      </c>
      <c r="BT17" s="52" t="s">
        <v>2366</v>
      </c>
      <c r="BU17" s="52">
        <v>82</v>
      </c>
      <c r="BV17" s="52" t="s">
        <v>145</v>
      </c>
      <c r="BW17" s="52" t="s">
        <v>2367</v>
      </c>
      <c r="BX17" s="54">
        <v>85</v>
      </c>
      <c r="BY17" s="54" t="s">
        <v>145</v>
      </c>
      <c r="BZ17" s="54" t="s">
        <v>2384</v>
      </c>
      <c r="CA17" s="54">
        <v>83</v>
      </c>
      <c r="CB17" s="54" t="s">
        <v>145</v>
      </c>
      <c r="CC17" s="54" t="s">
        <v>2382</v>
      </c>
      <c r="CD17" s="166">
        <v>91</v>
      </c>
      <c r="CE17" s="167" t="s">
        <v>144</v>
      </c>
      <c r="CF17" s="168" t="s">
        <v>2356</v>
      </c>
      <c r="CG17" s="166">
        <v>80</v>
      </c>
      <c r="CH17" s="167" t="s">
        <v>145</v>
      </c>
      <c r="CI17" s="169" t="s">
        <v>2350</v>
      </c>
      <c r="CJ17" s="54">
        <v>89</v>
      </c>
      <c r="CK17" s="54" t="s">
        <v>144</v>
      </c>
      <c r="CL17" s="54" t="s">
        <v>2335</v>
      </c>
      <c r="CM17" s="54">
        <v>85</v>
      </c>
      <c r="CN17" s="54" t="s">
        <v>145</v>
      </c>
      <c r="CO17" s="54" t="s">
        <v>2332</v>
      </c>
      <c r="CP17" s="52">
        <v>90</v>
      </c>
      <c r="CQ17" s="52" t="s">
        <v>144</v>
      </c>
      <c r="CR17" s="52" t="s">
        <v>2438</v>
      </c>
      <c r="CS17" s="52">
        <v>86</v>
      </c>
      <c r="CT17" s="52" t="s">
        <v>145</v>
      </c>
      <c r="CU17" s="52" t="s">
        <v>2436</v>
      </c>
      <c r="CV17" s="52"/>
      <c r="CW17" s="52"/>
      <c r="CX17" s="52"/>
      <c r="CY17" s="52"/>
      <c r="CZ17" s="52"/>
      <c r="DA17" s="52"/>
      <c r="DB17" s="15" t="str">
        <f>'Input Ekstra'!E13</f>
        <v>Pramuka</v>
      </c>
      <c r="DC17" s="15" t="str">
        <f>'Input Ekstra'!F13</f>
        <v>Baik</v>
      </c>
      <c r="DD17" s="15" t="str">
        <f>'Input Ekstra'!G13</f>
        <v>Peserta didik terampil membuat pionering, mampu menguasai gerakan PBB dan mengetahui salah satu kesenian daerah</v>
      </c>
      <c r="DE17" s="15" t="str">
        <f>'Input Ekstra'!H13</f>
        <v>Voli</v>
      </c>
      <c r="DF17" s="15" t="str">
        <f>'Input Ekstra'!I13</f>
        <v>Baik</v>
      </c>
      <c r="DG17" s="15" t="str">
        <f>'Input Ekstra'!J13</f>
        <v>Peserta didik mampu mengikuti kegiatan ekstrakurikuler voli dengan baik</v>
      </c>
      <c r="DH17" s="15">
        <f>'Input Kehadiran'!E13</f>
        <v>5</v>
      </c>
      <c r="DI17" s="15">
        <f>'Input Kehadiran'!F13</f>
        <v>5</v>
      </c>
      <c r="DJ17" s="15">
        <f>'Input Kehadiran'!G13</f>
        <v>0</v>
      </c>
      <c r="DK17" s="48">
        <f>'Input Prestasi'!D14</f>
        <v>0</v>
      </c>
      <c r="DL17" s="48">
        <f>'Input Prestasi'!E14</f>
        <v>0</v>
      </c>
      <c r="DM17" s="48">
        <f>'Input Prestasi'!F14</f>
        <v>0</v>
      </c>
      <c r="DN17" s="48">
        <f>'Input Prestasi'!G14</f>
        <v>0</v>
      </c>
      <c r="DO17" s="48">
        <f>'Input Prestasi'!H14</f>
        <v>0</v>
      </c>
      <c r="DP17" s="48">
        <f>'Input Prestasi'!I14</f>
        <v>0</v>
      </c>
      <c r="DQ17" s="48">
        <f>'Input Prestasi'!J14</f>
        <v>0</v>
      </c>
      <c r="DR17" s="48">
        <f>'Input Prestasi'!K14</f>
        <v>0</v>
      </c>
      <c r="DS17" s="15" t="str">
        <f>'Input Nilai Sikap dan Catatan'!H12</f>
        <v>Peserta didik sudah mampu menempatkan diri dengan baik. Pertahankan kepribadian yang mampu menggerakkan teman-teman dalam kebaikan.</v>
      </c>
    </row>
    <row r="18" spans="1:123" x14ac:dyDescent="0.25">
      <c r="A18" s="12">
        <v>10</v>
      </c>
      <c r="B18" s="23" t="str">
        <f>IF(Setting!J15="","",Setting!J15)</f>
        <v>Fathoni Daniswara</v>
      </c>
      <c r="C18" s="28">
        <f>IF(Setting!K15="","",Setting!K15)</f>
        <v>2008118</v>
      </c>
      <c r="D18" s="28" t="str">
        <f>IF(Setting!L15="","",Setting!L15)</f>
        <v>0057882873</v>
      </c>
      <c r="E18" s="15" t="str">
        <f>IF(Setting!$E$11="","",Setting!$E$11)</f>
        <v>XII MIPA 4</v>
      </c>
      <c r="F18" s="15" t="str">
        <f>'Input Nilai Sikap dan Catatan'!D13</f>
        <v>A</v>
      </c>
      <c r="G18" s="15" t="str">
        <f>'Input Nilai Sikap dan Catatan'!E13</f>
        <v>Mengikuti rutinitas ibadah dengan tertib dan mengamalkan nilai-nilai agama dalam kegiatan pembelajaran.</v>
      </c>
      <c r="H18" s="15" t="str">
        <f>'Input Nilai Sikap dan Catatan'!F13</f>
        <v>B</v>
      </c>
      <c r="I18" s="15" t="str">
        <f>'Input Nilai Sikap dan Catatan'!G13</f>
        <v>Memiliki sopan santun yang baik dan mampu memposisikan diri dengan baik dalam pertemanan</v>
      </c>
      <c r="J18" s="166">
        <v>94</v>
      </c>
      <c r="K18" s="167" t="s">
        <v>144</v>
      </c>
      <c r="L18" s="168" t="s">
        <v>2379</v>
      </c>
      <c r="M18" s="166">
        <v>88</v>
      </c>
      <c r="N18" s="167" t="s">
        <v>144</v>
      </c>
      <c r="O18" s="169" t="s">
        <v>2380</v>
      </c>
      <c r="P18" s="54">
        <v>88</v>
      </c>
      <c r="Q18" s="54" t="s">
        <v>144</v>
      </c>
      <c r="R18" s="54" t="s">
        <v>2395</v>
      </c>
      <c r="S18" s="54">
        <v>89</v>
      </c>
      <c r="T18" s="54" t="s">
        <v>144</v>
      </c>
      <c r="U18" s="54" t="s">
        <v>2394</v>
      </c>
      <c r="V18" s="166">
        <v>89</v>
      </c>
      <c r="W18" s="167" t="s">
        <v>144</v>
      </c>
      <c r="X18" s="168" t="s">
        <v>2330</v>
      </c>
      <c r="Y18" s="166">
        <v>88</v>
      </c>
      <c r="Z18" s="167" t="s">
        <v>144</v>
      </c>
      <c r="AA18" s="169" t="s">
        <v>2328</v>
      </c>
      <c r="AB18" s="54">
        <v>93</v>
      </c>
      <c r="AC18" s="54" t="s">
        <v>144</v>
      </c>
      <c r="AD18" s="54" t="s">
        <v>2375</v>
      </c>
      <c r="AE18" s="54">
        <v>90</v>
      </c>
      <c r="AF18" s="54" t="s">
        <v>144</v>
      </c>
      <c r="AG18" s="54" t="s">
        <v>2378</v>
      </c>
      <c r="AH18" s="52">
        <v>90</v>
      </c>
      <c r="AI18" s="52" t="s">
        <v>144</v>
      </c>
      <c r="AJ18" s="52" t="s">
        <v>2400</v>
      </c>
      <c r="AK18" s="52">
        <v>85</v>
      </c>
      <c r="AL18" s="52" t="s">
        <v>145</v>
      </c>
      <c r="AM18" s="52" t="s">
        <v>2399</v>
      </c>
      <c r="AN18" s="54">
        <v>89</v>
      </c>
      <c r="AO18" s="54" t="s">
        <v>144</v>
      </c>
      <c r="AP18" s="54" t="s">
        <v>2341</v>
      </c>
      <c r="AQ18" s="54">
        <v>80</v>
      </c>
      <c r="AR18" s="54" t="s">
        <v>145</v>
      </c>
      <c r="AS18" s="54" t="s">
        <v>2338</v>
      </c>
      <c r="AT18" s="166">
        <v>88</v>
      </c>
      <c r="AU18" s="167" t="s">
        <v>144</v>
      </c>
      <c r="AV18" s="168" t="s">
        <v>2396</v>
      </c>
      <c r="AW18" s="166">
        <v>93</v>
      </c>
      <c r="AX18" s="167" t="s">
        <v>144</v>
      </c>
      <c r="AY18" s="169" t="s">
        <v>2397</v>
      </c>
      <c r="AZ18" s="54">
        <v>91</v>
      </c>
      <c r="BA18" s="54" t="s">
        <v>144</v>
      </c>
      <c r="BB18" s="54" t="s">
        <v>2445</v>
      </c>
      <c r="BC18" s="54">
        <v>82</v>
      </c>
      <c r="BD18" s="54" t="s">
        <v>145</v>
      </c>
      <c r="BE18" s="54" t="s">
        <v>2443</v>
      </c>
      <c r="BF18" s="52">
        <v>94</v>
      </c>
      <c r="BG18" s="52" t="s">
        <v>144</v>
      </c>
      <c r="BH18" s="52" t="s">
        <v>2345</v>
      </c>
      <c r="BI18" s="52">
        <v>81</v>
      </c>
      <c r="BJ18" s="52" t="s">
        <v>145</v>
      </c>
      <c r="BK18" s="52" t="s">
        <v>2346</v>
      </c>
      <c r="BL18" s="54">
        <v>82</v>
      </c>
      <c r="BM18" s="54" t="s">
        <v>145</v>
      </c>
      <c r="BN18" s="54" t="s">
        <v>2325</v>
      </c>
      <c r="BO18" s="54">
        <v>82</v>
      </c>
      <c r="BP18" s="54" t="s">
        <v>145</v>
      </c>
      <c r="BQ18" s="54" t="s">
        <v>2326</v>
      </c>
      <c r="BR18" s="52">
        <v>87</v>
      </c>
      <c r="BS18" s="52" t="s">
        <v>145</v>
      </c>
      <c r="BT18" s="52" t="s">
        <v>2368</v>
      </c>
      <c r="BU18" s="52">
        <v>88</v>
      </c>
      <c r="BV18" s="52" t="s">
        <v>144</v>
      </c>
      <c r="BW18" s="52" t="s">
        <v>2367</v>
      </c>
      <c r="BX18" s="54">
        <v>86</v>
      </c>
      <c r="BY18" s="54" t="s">
        <v>145</v>
      </c>
      <c r="BZ18" s="54" t="s">
        <v>2386</v>
      </c>
      <c r="CA18" s="54">
        <v>83</v>
      </c>
      <c r="CB18" s="54" t="s">
        <v>145</v>
      </c>
      <c r="CC18" s="54" t="s">
        <v>2382</v>
      </c>
      <c r="CD18" s="166">
        <v>94</v>
      </c>
      <c r="CE18" s="167" t="s">
        <v>144</v>
      </c>
      <c r="CF18" s="168" t="s">
        <v>2349</v>
      </c>
      <c r="CG18" s="166">
        <v>90</v>
      </c>
      <c r="CH18" s="167" t="s">
        <v>144</v>
      </c>
      <c r="CI18" s="169" t="s">
        <v>2350</v>
      </c>
      <c r="CJ18" s="54">
        <v>91</v>
      </c>
      <c r="CK18" s="54" t="s">
        <v>144</v>
      </c>
      <c r="CL18" s="54" t="s">
        <v>2331</v>
      </c>
      <c r="CM18" s="54">
        <v>90</v>
      </c>
      <c r="CN18" s="54" t="s">
        <v>144</v>
      </c>
      <c r="CO18" s="54" t="s">
        <v>2332</v>
      </c>
      <c r="CP18" s="52">
        <v>89</v>
      </c>
      <c r="CQ18" s="52" t="s">
        <v>144</v>
      </c>
      <c r="CR18" s="52" t="s">
        <v>2438</v>
      </c>
      <c r="CS18" s="52">
        <v>86</v>
      </c>
      <c r="CT18" s="52" t="s">
        <v>145</v>
      </c>
      <c r="CU18" s="52" t="s">
        <v>2436</v>
      </c>
      <c r="CV18" s="52"/>
      <c r="CW18" s="52"/>
      <c r="CX18" s="52"/>
      <c r="CY18" s="52"/>
      <c r="CZ18" s="52"/>
      <c r="DA18" s="52"/>
      <c r="DB18" s="15" t="str">
        <f>'Input Ekstra'!E14</f>
        <v>Pramuka</v>
      </c>
      <c r="DC18" s="15" t="str">
        <f>'Input Ekstra'!F14</f>
        <v>Amat Baik</v>
      </c>
      <c r="DD18" s="15" t="str">
        <f>'Input Ekstra'!G14</f>
        <v>Peserta didik terampil membuat pionering, mampu menguasai gerakan PBB dan mengetahui salah satu kesenian daerah</v>
      </c>
      <c r="DE18" s="15" t="str">
        <f>'Input Ekstra'!H14</f>
        <v>Badminton</v>
      </c>
      <c r="DF18" s="15" t="str">
        <f>'Input Ekstra'!I14</f>
        <v>Baik</v>
      </c>
      <c r="DG18" s="15" t="str">
        <f>'Input Ekstra'!J14</f>
        <v>Peserta didik mampu mengikuti kegiatan ekstrakurikuler badminton dengan baik</v>
      </c>
      <c r="DH18" s="15">
        <f>'Input Kehadiran'!E14</f>
        <v>1</v>
      </c>
      <c r="DI18" s="15">
        <f>'Input Kehadiran'!F14</f>
        <v>4</v>
      </c>
      <c r="DJ18" s="15">
        <f>'Input Kehadiran'!G14</f>
        <v>0</v>
      </c>
      <c r="DK18" s="48">
        <f>'Input Prestasi'!D15</f>
        <v>0</v>
      </c>
      <c r="DL18" s="48">
        <f>'Input Prestasi'!E15</f>
        <v>0</v>
      </c>
      <c r="DM18" s="48">
        <f>'Input Prestasi'!F15</f>
        <v>0</v>
      </c>
      <c r="DN18" s="48">
        <f>'Input Prestasi'!G15</f>
        <v>0</v>
      </c>
      <c r="DO18" s="48">
        <f>'Input Prestasi'!H15</f>
        <v>0</v>
      </c>
      <c r="DP18" s="48">
        <f>'Input Prestasi'!I15</f>
        <v>0</v>
      </c>
      <c r="DQ18" s="48">
        <f>'Input Prestasi'!J15</f>
        <v>0</v>
      </c>
      <c r="DR18" s="48">
        <f>'Input Prestasi'!K15</f>
        <v>0</v>
      </c>
      <c r="DS18" s="15" t="str">
        <f>'Input Nilai Sikap dan Catatan'!H13</f>
        <v>Peserta didik sudah mampu menempatkan diri dengan baik. Pertahankan kepribadian yang mampu menggerakkan teman-teman dalam kebaikan.</v>
      </c>
    </row>
    <row r="19" spans="1:123" x14ac:dyDescent="0.25">
      <c r="A19" s="12">
        <v>11</v>
      </c>
      <c r="B19" s="23" t="str">
        <f>IF(Setting!J16="","",Setting!J16)</f>
        <v>Gading Setyo Manunggal</v>
      </c>
      <c r="C19" s="28">
        <f>IF(Setting!K16="","",Setting!K16)</f>
        <v>2008127</v>
      </c>
      <c r="D19" s="28" t="str">
        <f>IF(Setting!L16="","",Setting!L16)</f>
        <v>0052532940</v>
      </c>
      <c r="E19" s="15" t="str">
        <f>IF(Setting!$E$11="","",Setting!$E$11)</f>
        <v>XII MIPA 4</v>
      </c>
      <c r="F19" s="15" t="str">
        <f>'Input Nilai Sikap dan Catatan'!D14</f>
        <v>A</v>
      </c>
      <c r="G19" s="15" t="str">
        <f>'Input Nilai Sikap dan Catatan'!E14</f>
        <v>Mengikuti rutinitas ibadah dengan tertib dan mengamalkan nilai-nilai agama dalam kegiatan pembelajaran.</v>
      </c>
      <c r="H19" s="15" t="str">
        <f>'Input Nilai Sikap dan Catatan'!F14</f>
        <v>B</v>
      </c>
      <c r="I19" s="15" t="str">
        <f>'Input Nilai Sikap dan Catatan'!G14</f>
        <v>Memiliki sopan santun yang baik dan mampu memposisikan diri dengan baik dalam pertemanan</v>
      </c>
      <c r="J19" s="166">
        <v>93</v>
      </c>
      <c r="K19" s="167" t="s">
        <v>144</v>
      </c>
      <c r="L19" s="168" t="s">
        <v>2379</v>
      </c>
      <c r="M19" s="166">
        <v>88</v>
      </c>
      <c r="N19" s="167" t="s">
        <v>144</v>
      </c>
      <c r="O19" s="169" t="s">
        <v>2380</v>
      </c>
      <c r="P19" s="54">
        <v>85</v>
      </c>
      <c r="Q19" s="54" t="s">
        <v>145</v>
      </c>
      <c r="R19" s="54" t="s">
        <v>2393</v>
      </c>
      <c r="S19" s="54">
        <v>80</v>
      </c>
      <c r="T19" s="54" t="s">
        <v>145</v>
      </c>
      <c r="U19" s="54" t="s">
        <v>2394</v>
      </c>
      <c r="V19" s="166">
        <v>85</v>
      </c>
      <c r="W19" s="167" t="s">
        <v>145</v>
      </c>
      <c r="X19" s="168" t="s">
        <v>2454</v>
      </c>
      <c r="Y19" s="166">
        <v>91</v>
      </c>
      <c r="Z19" s="167" t="s">
        <v>144</v>
      </c>
      <c r="AA19" s="169" t="s">
        <v>2328</v>
      </c>
      <c r="AB19" s="54">
        <v>88</v>
      </c>
      <c r="AC19" s="54" t="s">
        <v>144</v>
      </c>
      <c r="AD19" s="54" t="s">
        <v>2375</v>
      </c>
      <c r="AE19" s="54">
        <v>85</v>
      </c>
      <c r="AF19" s="54" t="s">
        <v>145</v>
      </c>
      <c r="AG19" s="54" t="s">
        <v>2376</v>
      </c>
      <c r="AH19" s="52">
        <v>86</v>
      </c>
      <c r="AI19" s="52" t="s">
        <v>145</v>
      </c>
      <c r="AJ19" s="52" t="s">
        <v>2400</v>
      </c>
      <c r="AK19" s="52">
        <v>81</v>
      </c>
      <c r="AL19" s="52" t="s">
        <v>145</v>
      </c>
      <c r="AM19" s="52" t="s">
        <v>2399</v>
      </c>
      <c r="AN19" s="54">
        <v>89</v>
      </c>
      <c r="AO19" s="54" t="s">
        <v>144</v>
      </c>
      <c r="AP19" s="54" t="s">
        <v>2341</v>
      </c>
      <c r="AQ19" s="54">
        <v>86</v>
      </c>
      <c r="AR19" s="54" t="s">
        <v>145</v>
      </c>
      <c r="AS19" s="54" t="s">
        <v>2338</v>
      </c>
      <c r="AT19" s="166">
        <v>90</v>
      </c>
      <c r="AU19" s="167" t="s">
        <v>144</v>
      </c>
      <c r="AV19" s="168" t="s">
        <v>2396</v>
      </c>
      <c r="AW19" s="166">
        <v>92</v>
      </c>
      <c r="AX19" s="167" t="s">
        <v>144</v>
      </c>
      <c r="AY19" s="169" t="s">
        <v>2397</v>
      </c>
      <c r="AZ19" s="54">
        <v>92</v>
      </c>
      <c r="BA19" s="54" t="s">
        <v>144</v>
      </c>
      <c r="BB19" s="54" t="s">
        <v>2447</v>
      </c>
      <c r="BC19" s="54">
        <v>83</v>
      </c>
      <c r="BD19" s="54" t="s">
        <v>145</v>
      </c>
      <c r="BE19" s="54" t="s">
        <v>2443</v>
      </c>
      <c r="BF19" s="52">
        <v>89</v>
      </c>
      <c r="BG19" s="52" t="s">
        <v>144</v>
      </c>
      <c r="BH19" s="52" t="s">
        <v>2345</v>
      </c>
      <c r="BI19" s="52">
        <v>92</v>
      </c>
      <c r="BJ19" s="52" t="s">
        <v>144</v>
      </c>
      <c r="BK19" s="52" t="s">
        <v>2346</v>
      </c>
      <c r="BL19" s="54">
        <v>81</v>
      </c>
      <c r="BM19" s="54" t="s">
        <v>145</v>
      </c>
      <c r="BN19" s="54" t="s">
        <v>2325</v>
      </c>
      <c r="BO19" s="54">
        <v>81</v>
      </c>
      <c r="BP19" s="54" t="s">
        <v>145</v>
      </c>
      <c r="BQ19" s="54" t="s">
        <v>2326</v>
      </c>
      <c r="BR19" s="52">
        <v>87</v>
      </c>
      <c r="BS19" s="52" t="s">
        <v>145</v>
      </c>
      <c r="BT19" s="52" t="s">
        <v>2370</v>
      </c>
      <c r="BU19" s="52">
        <v>89</v>
      </c>
      <c r="BV19" s="52" t="s">
        <v>144</v>
      </c>
      <c r="BW19" s="52" t="s">
        <v>2367</v>
      </c>
      <c r="BX19" s="54">
        <v>81</v>
      </c>
      <c r="BY19" s="54" t="s">
        <v>145</v>
      </c>
      <c r="BZ19" s="54" t="s">
        <v>2387</v>
      </c>
      <c r="CA19" s="54">
        <v>80</v>
      </c>
      <c r="CB19" s="54" t="s">
        <v>145</v>
      </c>
      <c r="CC19" s="54" t="s">
        <v>2382</v>
      </c>
      <c r="CD19" s="166">
        <v>90</v>
      </c>
      <c r="CE19" s="167" t="s">
        <v>144</v>
      </c>
      <c r="CF19" s="168" t="s">
        <v>2357</v>
      </c>
      <c r="CG19" s="166">
        <v>90</v>
      </c>
      <c r="CH19" s="167" t="s">
        <v>144</v>
      </c>
      <c r="CI19" s="169" t="s">
        <v>2350</v>
      </c>
      <c r="CJ19" s="54">
        <v>86</v>
      </c>
      <c r="CK19" s="54" t="s">
        <v>145</v>
      </c>
      <c r="CL19" s="54" t="s">
        <v>2334</v>
      </c>
      <c r="CM19" s="54">
        <v>85</v>
      </c>
      <c r="CN19" s="54" t="s">
        <v>145</v>
      </c>
      <c r="CO19" s="54" t="s">
        <v>2332</v>
      </c>
      <c r="CP19" s="52">
        <v>87</v>
      </c>
      <c r="CQ19" s="52" t="s">
        <v>145</v>
      </c>
      <c r="CR19" s="52" t="s">
        <v>2435</v>
      </c>
      <c r="CS19" s="52">
        <v>86</v>
      </c>
      <c r="CT19" s="52" t="s">
        <v>145</v>
      </c>
      <c r="CU19" s="52" t="s">
        <v>2436</v>
      </c>
      <c r="CV19" s="52"/>
      <c r="CW19" s="52"/>
      <c r="CX19" s="52"/>
      <c r="CY19" s="52"/>
      <c r="CZ19" s="52"/>
      <c r="DA19" s="52"/>
      <c r="DB19" s="15" t="str">
        <f>'Input Ekstra'!E15</f>
        <v>Pramuka</v>
      </c>
      <c r="DC19" s="15" t="str">
        <f>'Input Ekstra'!F15</f>
        <v>Baik</v>
      </c>
      <c r="DD19" s="15" t="str">
        <f>'Input Ekstra'!G15</f>
        <v>Peserta didik terampil membuat pionering, mampu menguasai gerakan PBB dan mengetahui salah satu kesenian daerah</v>
      </c>
      <c r="DE19" s="15" t="str">
        <f>'Input Ekstra'!H15</f>
        <v>Badminton</v>
      </c>
      <c r="DF19" s="15" t="str">
        <f>'Input Ekstra'!I15</f>
        <v>Baik</v>
      </c>
      <c r="DG19" s="15" t="str">
        <f>'Input Ekstra'!J15</f>
        <v>Peserta didik mampu mengikuti kegiatan ekstrakurikuler badminton dengan baik</v>
      </c>
      <c r="DH19" s="15">
        <f>'Input Kehadiran'!E15</f>
        <v>3</v>
      </c>
      <c r="DI19" s="15">
        <f>'Input Kehadiran'!F15</f>
        <v>0</v>
      </c>
      <c r="DJ19" s="15">
        <f>'Input Kehadiran'!G15</f>
        <v>0</v>
      </c>
      <c r="DK19" s="48">
        <f>'Input Prestasi'!D16</f>
        <v>0</v>
      </c>
      <c r="DL19" s="48">
        <f>'Input Prestasi'!E16</f>
        <v>0</v>
      </c>
      <c r="DM19" s="48">
        <f>'Input Prestasi'!F16</f>
        <v>0</v>
      </c>
      <c r="DN19" s="48">
        <f>'Input Prestasi'!G16</f>
        <v>0</v>
      </c>
      <c r="DO19" s="48">
        <f>'Input Prestasi'!H16</f>
        <v>0</v>
      </c>
      <c r="DP19" s="48">
        <f>'Input Prestasi'!I16</f>
        <v>0</v>
      </c>
      <c r="DQ19" s="48">
        <f>'Input Prestasi'!J16</f>
        <v>0</v>
      </c>
      <c r="DR19" s="48">
        <f>'Input Prestasi'!K16</f>
        <v>0</v>
      </c>
      <c r="DS19" s="15" t="str">
        <f>'Input Nilai Sikap dan Catatan'!H14</f>
        <v>Peserta didik sudah mampu menempatkan diri dengan baik. Pertahankan kepribadian yang mampu menggerakkan teman-teman dalam kebaikan.</v>
      </c>
    </row>
    <row r="20" spans="1:123" x14ac:dyDescent="0.25">
      <c r="A20" s="12">
        <v>12</v>
      </c>
      <c r="B20" s="23" t="str">
        <f>IF(Setting!J17="","",Setting!J17)</f>
        <v>Ghifari Mabrur Al Burhani</v>
      </c>
      <c r="C20" s="28">
        <f>IF(Setting!K17="","",Setting!K17)</f>
        <v>2008128</v>
      </c>
      <c r="D20" s="28" t="str">
        <f>IF(Setting!L17="","",Setting!L17)</f>
        <v>0068080234</v>
      </c>
      <c r="E20" s="15" t="str">
        <f>IF(Setting!$E$11="","",Setting!$E$11)</f>
        <v>XII MIPA 4</v>
      </c>
      <c r="F20" s="15" t="str">
        <f>'Input Nilai Sikap dan Catatan'!D15</f>
        <v>A</v>
      </c>
      <c r="G20" s="15" t="str">
        <f>'Input Nilai Sikap dan Catatan'!E15</f>
        <v>Mengikuti rutinitas ibadah dengan tertib dan mengamalkan nilai-nilai agama dalam kegiatan pembelajaran.</v>
      </c>
      <c r="H20" s="15" t="str">
        <f>'Input Nilai Sikap dan Catatan'!F15</f>
        <v>B</v>
      </c>
      <c r="I20" s="15" t="str">
        <f>'Input Nilai Sikap dan Catatan'!G15</f>
        <v>Memiliki sopan santun yang baik dan mampu memposisikan diri dengan baik dalam pertemanan</v>
      </c>
      <c r="J20" s="166">
        <v>94</v>
      </c>
      <c r="K20" s="167" t="s">
        <v>144</v>
      </c>
      <c r="L20" s="168" t="s">
        <v>2379</v>
      </c>
      <c r="M20" s="166">
        <v>88</v>
      </c>
      <c r="N20" s="167" t="s">
        <v>144</v>
      </c>
      <c r="O20" s="169" t="s">
        <v>2380</v>
      </c>
      <c r="P20" s="54">
        <v>91</v>
      </c>
      <c r="Q20" s="54" t="s">
        <v>144</v>
      </c>
      <c r="R20" s="54" t="s">
        <v>2395</v>
      </c>
      <c r="S20" s="54">
        <v>92</v>
      </c>
      <c r="T20" s="54" t="s">
        <v>144</v>
      </c>
      <c r="U20" s="54" t="s">
        <v>2394</v>
      </c>
      <c r="V20" s="166">
        <v>90</v>
      </c>
      <c r="W20" s="167" t="s">
        <v>144</v>
      </c>
      <c r="X20" s="168" t="s">
        <v>2455</v>
      </c>
      <c r="Y20" s="166">
        <v>89</v>
      </c>
      <c r="Z20" s="167" t="s">
        <v>144</v>
      </c>
      <c r="AA20" s="169" t="s">
        <v>2328</v>
      </c>
      <c r="AB20" s="54">
        <v>90</v>
      </c>
      <c r="AC20" s="54" t="s">
        <v>144</v>
      </c>
      <c r="AD20" s="54" t="s">
        <v>2375</v>
      </c>
      <c r="AE20" s="54">
        <v>88</v>
      </c>
      <c r="AF20" s="54" t="s">
        <v>144</v>
      </c>
      <c r="AG20" s="54" t="s">
        <v>2376</v>
      </c>
      <c r="AH20" s="52">
        <v>93</v>
      </c>
      <c r="AI20" s="52" t="s">
        <v>144</v>
      </c>
      <c r="AJ20" s="52" t="s">
        <v>2400</v>
      </c>
      <c r="AK20" s="52">
        <v>84</v>
      </c>
      <c r="AL20" s="52" t="s">
        <v>145</v>
      </c>
      <c r="AM20" s="52" t="s">
        <v>2399</v>
      </c>
      <c r="AN20" s="54">
        <v>92</v>
      </c>
      <c r="AO20" s="54" t="s">
        <v>144</v>
      </c>
      <c r="AP20" s="54" t="s">
        <v>2342</v>
      </c>
      <c r="AQ20" s="54">
        <v>94</v>
      </c>
      <c r="AR20" s="54" t="s">
        <v>144</v>
      </c>
      <c r="AS20" s="54" t="s">
        <v>2338</v>
      </c>
      <c r="AT20" s="166">
        <v>92</v>
      </c>
      <c r="AU20" s="167" t="s">
        <v>144</v>
      </c>
      <c r="AV20" s="168" t="s">
        <v>2396</v>
      </c>
      <c r="AW20" s="166">
        <v>92</v>
      </c>
      <c r="AX20" s="167" t="s">
        <v>144</v>
      </c>
      <c r="AY20" s="169" t="s">
        <v>2397</v>
      </c>
      <c r="AZ20" s="54">
        <v>91</v>
      </c>
      <c r="BA20" s="54" t="s">
        <v>144</v>
      </c>
      <c r="BB20" s="54" t="s">
        <v>2445</v>
      </c>
      <c r="BC20" s="54">
        <v>81</v>
      </c>
      <c r="BD20" s="54" t="s">
        <v>145</v>
      </c>
      <c r="BE20" s="54" t="s">
        <v>2443</v>
      </c>
      <c r="BF20" s="52">
        <v>92</v>
      </c>
      <c r="BG20" s="52" t="s">
        <v>144</v>
      </c>
      <c r="BH20" s="52" t="s">
        <v>2345</v>
      </c>
      <c r="BI20" s="52">
        <v>92</v>
      </c>
      <c r="BJ20" s="52" t="s">
        <v>144</v>
      </c>
      <c r="BK20" s="52" t="s">
        <v>2346</v>
      </c>
      <c r="BL20" s="54">
        <v>81</v>
      </c>
      <c r="BM20" s="54" t="s">
        <v>145</v>
      </c>
      <c r="BN20" s="54" t="s">
        <v>2325</v>
      </c>
      <c r="BO20" s="54">
        <v>81</v>
      </c>
      <c r="BP20" s="54" t="s">
        <v>145</v>
      </c>
      <c r="BQ20" s="54" t="s">
        <v>2326</v>
      </c>
      <c r="BR20" s="52">
        <v>86</v>
      </c>
      <c r="BS20" s="52" t="s">
        <v>145</v>
      </c>
      <c r="BT20" s="52" t="s">
        <v>2371</v>
      </c>
      <c r="BU20" s="52">
        <v>88</v>
      </c>
      <c r="BV20" s="52" t="s">
        <v>144</v>
      </c>
      <c r="BW20" s="52" t="s">
        <v>2367</v>
      </c>
      <c r="BX20" s="54">
        <v>81</v>
      </c>
      <c r="BY20" s="54" t="s">
        <v>145</v>
      </c>
      <c r="BZ20" s="54" t="s">
        <v>2388</v>
      </c>
      <c r="CA20" s="54">
        <v>80</v>
      </c>
      <c r="CB20" s="54" t="s">
        <v>145</v>
      </c>
      <c r="CC20" s="54" t="s">
        <v>2382</v>
      </c>
      <c r="CD20" s="166">
        <v>90</v>
      </c>
      <c r="CE20" s="167" t="s">
        <v>144</v>
      </c>
      <c r="CF20" s="168" t="s">
        <v>2358</v>
      </c>
      <c r="CG20" s="166">
        <v>90</v>
      </c>
      <c r="CH20" s="167" t="s">
        <v>144</v>
      </c>
      <c r="CI20" s="169" t="s">
        <v>2350</v>
      </c>
      <c r="CJ20" s="54">
        <v>88</v>
      </c>
      <c r="CK20" s="54" t="s">
        <v>144</v>
      </c>
      <c r="CL20" s="54" t="s">
        <v>2333</v>
      </c>
      <c r="CM20" s="54">
        <v>90</v>
      </c>
      <c r="CN20" s="54" t="s">
        <v>144</v>
      </c>
      <c r="CO20" s="54" t="s">
        <v>2332</v>
      </c>
      <c r="CP20" s="52">
        <v>95</v>
      </c>
      <c r="CQ20" s="52" t="s">
        <v>144</v>
      </c>
      <c r="CR20" s="52" t="s">
        <v>2435</v>
      </c>
      <c r="CS20" s="52">
        <v>86</v>
      </c>
      <c r="CT20" s="52" t="s">
        <v>145</v>
      </c>
      <c r="CU20" s="52" t="s">
        <v>2436</v>
      </c>
      <c r="CV20" s="52"/>
      <c r="CW20" s="52"/>
      <c r="CX20" s="52"/>
      <c r="CY20" s="52"/>
      <c r="CZ20" s="52"/>
      <c r="DA20" s="52"/>
      <c r="DB20" s="15" t="str">
        <f>'Input Ekstra'!E16</f>
        <v>Pramuka</v>
      </c>
      <c r="DC20" s="15" t="str">
        <f>'Input Ekstra'!F16</f>
        <v>Baik</v>
      </c>
      <c r="DD20" s="15" t="str">
        <f>'Input Ekstra'!G16</f>
        <v>Peserta didik terampil membuat pionering, mampu menguasai gerakan PBB dan mengetahui salah satu kesenian daerah</v>
      </c>
      <c r="DE20" s="15" t="str">
        <f>'Input Ekstra'!H16</f>
        <v>Badminton</v>
      </c>
      <c r="DF20" s="15" t="str">
        <f>'Input Ekstra'!I16</f>
        <v>Baik</v>
      </c>
      <c r="DG20" s="15" t="str">
        <f>'Input Ekstra'!J16</f>
        <v>Peserta didik mampu mengikuti kegiatan ekstrakurikuler badminton dengan baik</v>
      </c>
      <c r="DH20" s="15">
        <f>'Input Kehadiran'!E16</f>
        <v>0</v>
      </c>
      <c r="DI20" s="15">
        <f>'Input Kehadiran'!F16</f>
        <v>3</v>
      </c>
      <c r="DJ20" s="15">
        <f>'Input Kehadiran'!G16</f>
        <v>0</v>
      </c>
      <c r="DK20" s="48">
        <f>'Input Prestasi'!D17</f>
        <v>0</v>
      </c>
      <c r="DL20" s="48">
        <f>'Input Prestasi'!E17</f>
        <v>0</v>
      </c>
      <c r="DM20" s="48">
        <f>'Input Prestasi'!F17</f>
        <v>0</v>
      </c>
      <c r="DN20" s="48">
        <f>'Input Prestasi'!G17</f>
        <v>0</v>
      </c>
      <c r="DO20" s="48">
        <f>'Input Prestasi'!H17</f>
        <v>0</v>
      </c>
      <c r="DP20" s="48">
        <f>'Input Prestasi'!I17</f>
        <v>0</v>
      </c>
      <c r="DQ20" s="48">
        <f>'Input Prestasi'!J17</f>
        <v>0</v>
      </c>
      <c r="DR20" s="48">
        <f>'Input Prestasi'!K17</f>
        <v>0</v>
      </c>
      <c r="DS20" s="15" t="str">
        <f>'Input Nilai Sikap dan Catatan'!H15</f>
        <v>Peserta didik sudah mampu menempatkan diri dengan baik. Pertahankan kepribadian yang mampu menggerakkan teman-teman dalam kebaikan.</v>
      </c>
    </row>
    <row r="21" spans="1:123" x14ac:dyDescent="0.25">
      <c r="A21" s="12">
        <v>13</v>
      </c>
      <c r="B21" s="23" t="str">
        <f>IF(Setting!J18="","",Setting!J18)</f>
        <v>Hafid Mahreza Ilham</v>
      </c>
      <c r="C21" s="28">
        <f>IF(Setting!K18="","",Setting!K18)</f>
        <v>2008131</v>
      </c>
      <c r="D21" s="28" t="str">
        <f>IF(Setting!L18="","",Setting!L18)</f>
        <v>0058288476</v>
      </c>
      <c r="E21" s="15" t="str">
        <f>IF(Setting!$E$11="","",Setting!$E$11)</f>
        <v>XII MIPA 4</v>
      </c>
      <c r="F21" s="15" t="str">
        <f>'Input Nilai Sikap dan Catatan'!D16</f>
        <v>A</v>
      </c>
      <c r="G21" s="15" t="str">
        <f>'Input Nilai Sikap dan Catatan'!E16</f>
        <v>Mengikuti rutinitas ibadah dengan tertib dan mengamalkan nilai-nilai agama dalam kegiatan pembelajaran.</v>
      </c>
      <c r="H21" s="15" t="str">
        <f>'Input Nilai Sikap dan Catatan'!F16</f>
        <v>B</v>
      </c>
      <c r="I21" s="15" t="str">
        <f>'Input Nilai Sikap dan Catatan'!G16</f>
        <v>Memiliki sopan santun yang baik dan mampu memposisikan diri dengan baik dalam pertemanan</v>
      </c>
      <c r="J21" s="166">
        <v>93</v>
      </c>
      <c r="K21" s="167" t="s">
        <v>144</v>
      </c>
      <c r="L21" s="168" t="s">
        <v>2379</v>
      </c>
      <c r="M21" s="166">
        <v>88</v>
      </c>
      <c r="N21" s="167" t="s">
        <v>144</v>
      </c>
      <c r="O21" s="169" t="s">
        <v>2380</v>
      </c>
      <c r="P21" s="54">
        <v>89</v>
      </c>
      <c r="Q21" s="54" t="s">
        <v>144</v>
      </c>
      <c r="R21" s="54" t="s">
        <v>2393</v>
      </c>
      <c r="S21" s="54">
        <v>88</v>
      </c>
      <c r="T21" s="54" t="s">
        <v>144</v>
      </c>
      <c r="U21" s="54" t="s">
        <v>2394</v>
      </c>
      <c r="V21" s="166">
        <v>87</v>
      </c>
      <c r="W21" s="167" t="s">
        <v>145</v>
      </c>
      <c r="X21" s="168" t="s">
        <v>2329</v>
      </c>
      <c r="Y21" s="166">
        <v>90</v>
      </c>
      <c r="Z21" s="167" t="s">
        <v>144</v>
      </c>
      <c r="AA21" s="169" t="s">
        <v>2328</v>
      </c>
      <c r="AB21" s="54">
        <v>89</v>
      </c>
      <c r="AC21" s="54" t="s">
        <v>144</v>
      </c>
      <c r="AD21" s="54" t="s">
        <v>2375</v>
      </c>
      <c r="AE21" s="54">
        <v>93</v>
      </c>
      <c r="AF21" s="54" t="s">
        <v>144</v>
      </c>
      <c r="AG21" s="54" t="s">
        <v>2378</v>
      </c>
      <c r="AH21" s="52">
        <v>93</v>
      </c>
      <c r="AI21" s="52" t="s">
        <v>144</v>
      </c>
      <c r="AJ21" s="52" t="s">
        <v>2398</v>
      </c>
      <c r="AK21" s="52">
        <v>84</v>
      </c>
      <c r="AL21" s="52" t="s">
        <v>145</v>
      </c>
      <c r="AM21" s="52" t="s">
        <v>2399</v>
      </c>
      <c r="AN21" s="54">
        <v>89</v>
      </c>
      <c r="AO21" s="54" t="s">
        <v>144</v>
      </c>
      <c r="AP21" s="54" t="s">
        <v>2341</v>
      </c>
      <c r="AQ21" s="54">
        <v>80</v>
      </c>
      <c r="AR21" s="54" t="s">
        <v>145</v>
      </c>
      <c r="AS21" s="54" t="s">
        <v>2338</v>
      </c>
      <c r="AT21" s="166">
        <v>91</v>
      </c>
      <c r="AU21" s="167" t="s">
        <v>144</v>
      </c>
      <c r="AV21" s="168" t="s">
        <v>2396</v>
      </c>
      <c r="AW21" s="166">
        <v>92</v>
      </c>
      <c r="AX21" s="167" t="s">
        <v>144</v>
      </c>
      <c r="AY21" s="169" t="s">
        <v>2397</v>
      </c>
      <c r="AZ21" s="54">
        <v>91</v>
      </c>
      <c r="BA21" s="54" t="s">
        <v>144</v>
      </c>
      <c r="BB21" s="54" t="s">
        <v>2446</v>
      </c>
      <c r="BC21" s="54">
        <v>84</v>
      </c>
      <c r="BD21" s="54" t="s">
        <v>145</v>
      </c>
      <c r="BE21" s="54" t="s">
        <v>2443</v>
      </c>
      <c r="BF21" s="52">
        <v>93</v>
      </c>
      <c r="BG21" s="52" t="s">
        <v>144</v>
      </c>
      <c r="BH21" s="52" t="s">
        <v>2345</v>
      </c>
      <c r="BI21" s="52">
        <v>81</v>
      </c>
      <c r="BJ21" s="52" t="s">
        <v>145</v>
      </c>
      <c r="BK21" s="52" t="s">
        <v>2346</v>
      </c>
      <c r="BL21" s="54">
        <v>82</v>
      </c>
      <c r="BM21" s="54" t="s">
        <v>145</v>
      </c>
      <c r="BN21" s="54" t="s">
        <v>2325</v>
      </c>
      <c r="BO21" s="54">
        <v>82</v>
      </c>
      <c r="BP21" s="54" t="s">
        <v>145</v>
      </c>
      <c r="BQ21" s="54" t="s">
        <v>2326</v>
      </c>
      <c r="BR21" s="52">
        <v>89</v>
      </c>
      <c r="BS21" s="52" t="s">
        <v>144</v>
      </c>
      <c r="BT21" s="52" t="s">
        <v>2372</v>
      </c>
      <c r="BU21" s="52">
        <v>86</v>
      </c>
      <c r="BV21" s="52" t="s">
        <v>145</v>
      </c>
      <c r="BW21" s="52" t="s">
        <v>2367</v>
      </c>
      <c r="BX21" s="54">
        <v>83</v>
      </c>
      <c r="BY21" s="54" t="s">
        <v>145</v>
      </c>
      <c r="BZ21" s="54" t="s">
        <v>2383</v>
      </c>
      <c r="CA21" s="54">
        <v>80</v>
      </c>
      <c r="CB21" s="54" t="s">
        <v>145</v>
      </c>
      <c r="CC21" s="54" t="s">
        <v>2382</v>
      </c>
      <c r="CD21" s="166">
        <v>93</v>
      </c>
      <c r="CE21" s="167" t="s">
        <v>144</v>
      </c>
      <c r="CF21" s="168" t="s">
        <v>2359</v>
      </c>
      <c r="CG21" s="166">
        <v>85</v>
      </c>
      <c r="CH21" s="167" t="s">
        <v>145</v>
      </c>
      <c r="CI21" s="169" t="s">
        <v>2350</v>
      </c>
      <c r="CJ21" s="54">
        <v>90</v>
      </c>
      <c r="CK21" s="54" t="s">
        <v>144</v>
      </c>
      <c r="CL21" s="54" t="s">
        <v>2335</v>
      </c>
      <c r="CM21" s="54">
        <v>85</v>
      </c>
      <c r="CN21" s="54" t="s">
        <v>145</v>
      </c>
      <c r="CO21" s="54" t="s">
        <v>2332</v>
      </c>
      <c r="CP21" s="52">
        <v>91</v>
      </c>
      <c r="CQ21" s="52" t="s">
        <v>144</v>
      </c>
      <c r="CR21" s="52" t="s">
        <v>2439</v>
      </c>
      <c r="CS21" s="52">
        <v>86</v>
      </c>
      <c r="CT21" s="52" t="s">
        <v>145</v>
      </c>
      <c r="CU21" s="52" t="s">
        <v>2436</v>
      </c>
      <c r="CV21" s="52"/>
      <c r="CW21" s="52"/>
      <c r="CX21" s="52"/>
      <c r="CY21" s="52"/>
      <c r="CZ21" s="52"/>
      <c r="DA21" s="52"/>
      <c r="DB21" s="15" t="str">
        <f>'Input Ekstra'!E17</f>
        <v>Pramuka</v>
      </c>
      <c r="DC21" s="15" t="str">
        <f>'Input Ekstra'!F17</f>
        <v>Baik</v>
      </c>
      <c r="DD21" s="15" t="str">
        <f>'Input Ekstra'!G17</f>
        <v>Peserta didik terampil membuat pionering, mampu menguasai gerakan PBB dan mengetahui salah satu kesenian daerah</v>
      </c>
      <c r="DE21" s="15" t="str">
        <f>'Input Ekstra'!H17</f>
        <v>English Club</v>
      </c>
      <c r="DF21" s="15" t="str">
        <f>'Input Ekstra'!I17</f>
        <v>Amat Baik</v>
      </c>
      <c r="DG21" s="15" t="str">
        <f>'Input Ekstra'!J17</f>
        <v>Peserta didik mampu mengikuti kegiatan ekstrakurikuler english club dengan amat baik</v>
      </c>
      <c r="DH21" s="15">
        <f>'Input Kehadiran'!E17</f>
        <v>1</v>
      </c>
      <c r="DI21" s="15">
        <f>'Input Kehadiran'!F17</f>
        <v>5</v>
      </c>
      <c r="DJ21" s="15">
        <f>'Input Kehadiran'!G17</f>
        <v>0</v>
      </c>
      <c r="DK21" s="48">
        <f>'Input Prestasi'!D18</f>
        <v>0</v>
      </c>
      <c r="DL21" s="48">
        <f>'Input Prestasi'!E18</f>
        <v>0</v>
      </c>
      <c r="DM21" s="48">
        <f>'Input Prestasi'!F18</f>
        <v>0</v>
      </c>
      <c r="DN21" s="48">
        <f>'Input Prestasi'!G18</f>
        <v>0</v>
      </c>
      <c r="DO21" s="48">
        <f>'Input Prestasi'!H18</f>
        <v>0</v>
      </c>
      <c r="DP21" s="48">
        <f>'Input Prestasi'!I18</f>
        <v>0</v>
      </c>
      <c r="DQ21" s="48">
        <f>'Input Prestasi'!J18</f>
        <v>0</v>
      </c>
      <c r="DR21" s="48">
        <f>'Input Prestasi'!K18</f>
        <v>0</v>
      </c>
      <c r="DS21" s="15" t="str">
        <f>'Input Nilai Sikap dan Catatan'!H16</f>
        <v>Peserta didik sudah mampu menempatkan diri dengan baik. Pertahankan kepribadian yang mampu menggerakkan teman-teman dalam kebaikan.</v>
      </c>
    </row>
    <row r="22" spans="1:123" x14ac:dyDescent="0.25">
      <c r="A22" s="12">
        <v>14</v>
      </c>
      <c r="B22" s="23" t="str">
        <f>IF(Setting!J19="","",Setting!J19)</f>
        <v>Haidar Rafif Hibatulloh</v>
      </c>
      <c r="C22" s="28">
        <f>IF(Setting!K19="","",Setting!K19)</f>
        <v>2008132</v>
      </c>
      <c r="D22" s="28" t="str">
        <f>IF(Setting!L19="","",Setting!L19)</f>
        <v>0054005743</v>
      </c>
      <c r="E22" s="15" t="str">
        <f>IF(Setting!$E$11="","",Setting!$E$11)</f>
        <v>XII MIPA 4</v>
      </c>
      <c r="F22" s="15" t="str">
        <f>'Input Nilai Sikap dan Catatan'!D17</f>
        <v>B</v>
      </c>
      <c r="G22" s="15" t="str">
        <f>'Input Nilai Sikap dan Catatan'!E17</f>
        <v>Mengikuti rutinitas ibadah dengan tertib dan mengamalkan nilai-nilai agama dalam kegiatan pembelajaran.</v>
      </c>
      <c r="H22" s="15" t="str">
        <f>'Input Nilai Sikap dan Catatan'!F17</f>
        <v>B</v>
      </c>
      <c r="I22" s="15" t="str">
        <f>'Input Nilai Sikap dan Catatan'!G17</f>
        <v>Memiliki sopan santun yang baik dan mampu memposisikan diri dengan baik dalam pertemanan</v>
      </c>
      <c r="J22" s="166">
        <v>93</v>
      </c>
      <c r="K22" s="167" t="s">
        <v>144</v>
      </c>
      <c r="L22" s="168" t="s">
        <v>2379</v>
      </c>
      <c r="M22" s="166">
        <v>88</v>
      </c>
      <c r="N22" s="167" t="s">
        <v>144</v>
      </c>
      <c r="O22" s="169" t="s">
        <v>2380</v>
      </c>
      <c r="P22" s="54">
        <v>87</v>
      </c>
      <c r="Q22" s="54" t="s">
        <v>145</v>
      </c>
      <c r="R22" s="54" t="s">
        <v>2393</v>
      </c>
      <c r="S22" s="54">
        <v>87</v>
      </c>
      <c r="T22" s="54" t="s">
        <v>145</v>
      </c>
      <c r="U22" s="54" t="s">
        <v>2394</v>
      </c>
      <c r="V22" s="166">
        <v>86</v>
      </c>
      <c r="W22" s="167" t="s">
        <v>145</v>
      </c>
      <c r="X22" s="168" t="s">
        <v>2330</v>
      </c>
      <c r="Y22" s="166">
        <v>89</v>
      </c>
      <c r="Z22" s="167" t="s">
        <v>144</v>
      </c>
      <c r="AA22" s="169" t="s">
        <v>2328</v>
      </c>
      <c r="AB22" s="54">
        <v>92</v>
      </c>
      <c r="AC22" s="54" t="s">
        <v>144</v>
      </c>
      <c r="AD22" s="54" t="s">
        <v>2375</v>
      </c>
      <c r="AE22" s="54">
        <v>85</v>
      </c>
      <c r="AF22" s="54" t="s">
        <v>145</v>
      </c>
      <c r="AG22" s="54" t="s">
        <v>2376</v>
      </c>
      <c r="AH22" s="52">
        <v>90</v>
      </c>
      <c r="AI22" s="52" t="s">
        <v>144</v>
      </c>
      <c r="AJ22" s="52" t="s">
        <v>2400</v>
      </c>
      <c r="AK22" s="52">
        <v>83</v>
      </c>
      <c r="AL22" s="52" t="s">
        <v>145</v>
      </c>
      <c r="AM22" s="52" t="s">
        <v>2399</v>
      </c>
      <c r="AN22" s="54">
        <v>87</v>
      </c>
      <c r="AO22" s="54" t="s">
        <v>145</v>
      </c>
      <c r="AP22" s="54" t="s">
        <v>2341</v>
      </c>
      <c r="AQ22" s="54">
        <v>80</v>
      </c>
      <c r="AR22" s="54" t="s">
        <v>145</v>
      </c>
      <c r="AS22" s="54" t="s">
        <v>2338</v>
      </c>
      <c r="AT22" s="166">
        <v>89</v>
      </c>
      <c r="AU22" s="167" t="s">
        <v>144</v>
      </c>
      <c r="AV22" s="168" t="s">
        <v>2396</v>
      </c>
      <c r="AW22" s="166">
        <v>91</v>
      </c>
      <c r="AX22" s="167" t="s">
        <v>144</v>
      </c>
      <c r="AY22" s="169" t="s">
        <v>2397</v>
      </c>
      <c r="AZ22" s="54">
        <v>92</v>
      </c>
      <c r="BA22" s="54" t="s">
        <v>144</v>
      </c>
      <c r="BB22" s="54" t="s">
        <v>2446</v>
      </c>
      <c r="BC22" s="54">
        <v>85</v>
      </c>
      <c r="BD22" s="54" t="s">
        <v>145</v>
      </c>
      <c r="BE22" s="54" t="s">
        <v>2443</v>
      </c>
      <c r="BF22" s="52">
        <v>94</v>
      </c>
      <c r="BG22" s="52" t="s">
        <v>144</v>
      </c>
      <c r="BH22" s="52" t="s">
        <v>2345</v>
      </c>
      <c r="BI22" s="52">
        <v>83</v>
      </c>
      <c r="BJ22" s="52" t="s">
        <v>145</v>
      </c>
      <c r="BK22" s="52" t="s">
        <v>2346</v>
      </c>
      <c r="BL22" s="54">
        <v>86</v>
      </c>
      <c r="BM22" s="54" t="s">
        <v>145</v>
      </c>
      <c r="BN22" s="54" t="s">
        <v>2325</v>
      </c>
      <c r="BO22" s="54">
        <v>86</v>
      </c>
      <c r="BP22" s="54" t="s">
        <v>145</v>
      </c>
      <c r="BQ22" s="54" t="s">
        <v>2326</v>
      </c>
      <c r="BR22" s="52">
        <v>83</v>
      </c>
      <c r="BS22" s="52" t="s">
        <v>145</v>
      </c>
      <c r="BT22" s="52" t="s">
        <v>2368</v>
      </c>
      <c r="BU22" s="52">
        <v>80</v>
      </c>
      <c r="BV22" s="52" t="s">
        <v>145</v>
      </c>
      <c r="BW22" s="52" t="s">
        <v>2367</v>
      </c>
      <c r="BX22" s="54">
        <v>87</v>
      </c>
      <c r="BY22" s="54" t="s">
        <v>145</v>
      </c>
      <c r="BZ22" s="54" t="s">
        <v>2386</v>
      </c>
      <c r="CA22" s="54">
        <v>85</v>
      </c>
      <c r="CB22" s="54" t="s">
        <v>145</v>
      </c>
      <c r="CC22" s="54" t="s">
        <v>2382</v>
      </c>
      <c r="CD22" s="166">
        <v>93</v>
      </c>
      <c r="CE22" s="167" t="s">
        <v>144</v>
      </c>
      <c r="CF22" s="168" t="s">
        <v>2360</v>
      </c>
      <c r="CG22" s="166">
        <v>80</v>
      </c>
      <c r="CH22" s="167" t="s">
        <v>145</v>
      </c>
      <c r="CI22" s="169" t="s">
        <v>2350</v>
      </c>
      <c r="CJ22" s="54">
        <v>91</v>
      </c>
      <c r="CK22" s="54" t="s">
        <v>144</v>
      </c>
      <c r="CL22" s="54" t="s">
        <v>2335</v>
      </c>
      <c r="CM22" s="54">
        <v>85</v>
      </c>
      <c r="CN22" s="54" t="s">
        <v>145</v>
      </c>
      <c r="CO22" s="54" t="s">
        <v>2332</v>
      </c>
      <c r="CP22" s="52">
        <v>90</v>
      </c>
      <c r="CQ22" s="52" t="s">
        <v>144</v>
      </c>
      <c r="CR22" s="52" t="s">
        <v>2435</v>
      </c>
      <c r="CS22" s="52">
        <v>86</v>
      </c>
      <c r="CT22" s="52" t="s">
        <v>145</v>
      </c>
      <c r="CU22" s="52" t="s">
        <v>2436</v>
      </c>
      <c r="CV22" s="52"/>
      <c r="CW22" s="52"/>
      <c r="CX22" s="52"/>
      <c r="CY22" s="52"/>
      <c r="CZ22" s="52"/>
      <c r="DA22" s="52"/>
      <c r="DB22" s="15" t="str">
        <f>'Input Ekstra'!E18</f>
        <v>Pramuka</v>
      </c>
      <c r="DC22" s="15" t="str">
        <f>'Input Ekstra'!F18</f>
        <v>Baik</v>
      </c>
      <c r="DD22" s="15" t="str">
        <f>'Input Ekstra'!G18</f>
        <v>Peserta didik terampil membuat pionering, mampu menguasai gerakan PBB dan mengetahui salah satu kesenian daerah</v>
      </c>
      <c r="DE22" s="15" t="str">
        <f>'Input Ekstra'!H18</f>
        <v>Airsoft Gun</v>
      </c>
      <c r="DF22" s="15" t="str">
        <f>'Input Ekstra'!I18</f>
        <v>Baik</v>
      </c>
      <c r="DG22" s="15" t="str">
        <f>'Input Ekstra'!J18</f>
        <v>Peserta didik mampu mengikuti kegiatan ekstrakurikuler airsoft gun dengan baik</v>
      </c>
      <c r="DH22" s="15">
        <f>'Input Kehadiran'!E18</f>
        <v>0</v>
      </c>
      <c r="DI22" s="15">
        <f>'Input Kehadiran'!F18</f>
        <v>4</v>
      </c>
      <c r="DJ22" s="15">
        <f>'Input Kehadiran'!G18</f>
        <v>0</v>
      </c>
      <c r="DK22" s="48">
        <f>'Input Prestasi'!D19</f>
        <v>0</v>
      </c>
      <c r="DL22" s="48">
        <f>'Input Prestasi'!E19</f>
        <v>0</v>
      </c>
      <c r="DM22" s="48">
        <f>'Input Prestasi'!F19</f>
        <v>0</v>
      </c>
      <c r="DN22" s="48">
        <f>'Input Prestasi'!G19</f>
        <v>0</v>
      </c>
      <c r="DO22" s="48">
        <f>'Input Prestasi'!H19</f>
        <v>0</v>
      </c>
      <c r="DP22" s="48">
        <f>'Input Prestasi'!I19</f>
        <v>0</v>
      </c>
      <c r="DQ22" s="48">
        <f>'Input Prestasi'!J19</f>
        <v>0</v>
      </c>
      <c r="DR22" s="48">
        <f>'Input Prestasi'!K19</f>
        <v>0</v>
      </c>
      <c r="DS22" s="15" t="str">
        <f>'Input Nilai Sikap dan Catatan'!H17</f>
        <v>Peserta didik sudah mampu menempatkan diri dengan baik. Pertahankan kepribadian yang mampu menggerakkan teman-teman dalam kebaikan.</v>
      </c>
    </row>
    <row r="23" spans="1:123" x14ac:dyDescent="0.25">
      <c r="A23" s="12">
        <v>15</v>
      </c>
      <c r="B23" s="23" t="str">
        <f>IF(Setting!J20="","",Setting!J20)</f>
        <v>Kelvin Oktabrian Ramadhan</v>
      </c>
      <c r="C23" s="28">
        <f>IF(Setting!K20="","",Setting!K20)</f>
        <v>2008169</v>
      </c>
      <c r="D23" s="28" t="str">
        <f>IF(Setting!L20="","",Setting!L20)</f>
        <v>0045893001</v>
      </c>
      <c r="E23" s="15" t="str">
        <f>IF(Setting!$E$11="","",Setting!$E$11)</f>
        <v>XII MIPA 4</v>
      </c>
      <c r="F23" s="15" t="str">
        <f>'Input Nilai Sikap dan Catatan'!D18</f>
        <v>A</v>
      </c>
      <c r="G23" s="15" t="str">
        <f>'Input Nilai Sikap dan Catatan'!E18</f>
        <v>Mengikuti rutinitas ibadah dengan tertib dan mengamalkan nilai-nilai agama dalam kegiatan pembelajaran.</v>
      </c>
      <c r="H23" s="15" t="str">
        <f>'Input Nilai Sikap dan Catatan'!F18</f>
        <v>B</v>
      </c>
      <c r="I23" s="15" t="str">
        <f>'Input Nilai Sikap dan Catatan'!G18</f>
        <v>Memiliki sopan santun yang baik dan mampu memposisikan diri dengan baik dalam pertemanan</v>
      </c>
      <c r="J23" s="166">
        <v>93</v>
      </c>
      <c r="K23" s="167" t="s">
        <v>144</v>
      </c>
      <c r="L23" s="168" t="s">
        <v>2379</v>
      </c>
      <c r="M23" s="166">
        <v>88</v>
      </c>
      <c r="N23" s="167" t="s">
        <v>144</v>
      </c>
      <c r="O23" s="169" t="s">
        <v>2380</v>
      </c>
      <c r="P23" s="54">
        <v>88</v>
      </c>
      <c r="Q23" s="54" t="s">
        <v>144</v>
      </c>
      <c r="R23" s="54" t="s">
        <v>2395</v>
      </c>
      <c r="S23" s="54">
        <v>93</v>
      </c>
      <c r="T23" s="54" t="s">
        <v>144</v>
      </c>
      <c r="U23" s="54" t="s">
        <v>2394</v>
      </c>
      <c r="V23" s="166">
        <v>89</v>
      </c>
      <c r="W23" s="167" t="s">
        <v>144</v>
      </c>
      <c r="X23" s="168" t="s">
        <v>2459</v>
      </c>
      <c r="Y23" s="166">
        <v>90</v>
      </c>
      <c r="Z23" s="167" t="s">
        <v>144</v>
      </c>
      <c r="AA23" s="169" t="s">
        <v>2328</v>
      </c>
      <c r="AB23" s="54">
        <v>92</v>
      </c>
      <c r="AC23" s="54" t="s">
        <v>144</v>
      </c>
      <c r="AD23" s="54" t="s">
        <v>2377</v>
      </c>
      <c r="AE23" s="54">
        <v>90</v>
      </c>
      <c r="AF23" s="54" t="s">
        <v>144</v>
      </c>
      <c r="AG23" s="54" t="s">
        <v>2378</v>
      </c>
      <c r="AH23" s="52">
        <v>94</v>
      </c>
      <c r="AI23" s="52" t="s">
        <v>144</v>
      </c>
      <c r="AJ23" s="52" t="s">
        <v>2398</v>
      </c>
      <c r="AK23" s="52">
        <v>87</v>
      </c>
      <c r="AL23" s="52" t="s">
        <v>145</v>
      </c>
      <c r="AM23" s="52" t="s">
        <v>2399</v>
      </c>
      <c r="AN23" s="54">
        <v>91</v>
      </c>
      <c r="AO23" s="54" t="s">
        <v>144</v>
      </c>
      <c r="AP23" s="54" t="s">
        <v>2343</v>
      </c>
      <c r="AQ23" s="54">
        <v>86</v>
      </c>
      <c r="AR23" s="54" t="s">
        <v>145</v>
      </c>
      <c r="AS23" s="54" t="s">
        <v>2338</v>
      </c>
      <c r="AT23" s="166">
        <v>89</v>
      </c>
      <c r="AU23" s="167" t="s">
        <v>144</v>
      </c>
      <c r="AV23" s="168" t="s">
        <v>2396</v>
      </c>
      <c r="AW23" s="166">
        <v>93</v>
      </c>
      <c r="AX23" s="167" t="s">
        <v>144</v>
      </c>
      <c r="AY23" s="169" t="s">
        <v>2397</v>
      </c>
      <c r="AZ23" s="54">
        <v>92</v>
      </c>
      <c r="BA23" s="54" t="s">
        <v>144</v>
      </c>
      <c r="BB23" s="54" t="s">
        <v>2445</v>
      </c>
      <c r="BC23" s="54">
        <v>82</v>
      </c>
      <c r="BD23" s="54" t="s">
        <v>145</v>
      </c>
      <c r="BE23" s="54" t="s">
        <v>2443</v>
      </c>
      <c r="BF23" s="52">
        <v>94</v>
      </c>
      <c r="BG23" s="52" t="s">
        <v>144</v>
      </c>
      <c r="BH23" s="52" t="s">
        <v>2347</v>
      </c>
      <c r="BI23" s="52">
        <v>81</v>
      </c>
      <c r="BJ23" s="52" t="s">
        <v>145</v>
      </c>
      <c r="BK23" s="52" t="s">
        <v>2346</v>
      </c>
      <c r="BL23" s="54">
        <v>81</v>
      </c>
      <c r="BM23" s="54" t="s">
        <v>145</v>
      </c>
      <c r="BN23" s="54" t="s">
        <v>2325</v>
      </c>
      <c r="BO23" s="54">
        <v>81</v>
      </c>
      <c r="BP23" s="54" t="s">
        <v>145</v>
      </c>
      <c r="BQ23" s="54" t="s">
        <v>2326</v>
      </c>
      <c r="BR23" s="52">
        <v>86</v>
      </c>
      <c r="BS23" s="52" t="s">
        <v>145</v>
      </c>
      <c r="BT23" s="52" t="s">
        <v>2373</v>
      </c>
      <c r="BU23" s="52">
        <v>83</v>
      </c>
      <c r="BV23" s="52" t="s">
        <v>145</v>
      </c>
      <c r="BW23" s="52" t="s">
        <v>2367</v>
      </c>
      <c r="BX23" s="54">
        <v>87</v>
      </c>
      <c r="BY23" s="54" t="s">
        <v>145</v>
      </c>
      <c r="BZ23" s="54" t="s">
        <v>2389</v>
      </c>
      <c r="CA23" s="54">
        <v>83</v>
      </c>
      <c r="CB23" s="54" t="s">
        <v>145</v>
      </c>
      <c r="CC23" s="54" t="s">
        <v>2382</v>
      </c>
      <c r="CD23" s="166">
        <v>93</v>
      </c>
      <c r="CE23" s="167" t="s">
        <v>144</v>
      </c>
      <c r="CF23" s="168" t="s">
        <v>2353</v>
      </c>
      <c r="CG23" s="166">
        <v>90</v>
      </c>
      <c r="CH23" s="167" t="s">
        <v>144</v>
      </c>
      <c r="CI23" s="169" t="s">
        <v>2350</v>
      </c>
      <c r="CJ23" s="54">
        <v>93</v>
      </c>
      <c r="CK23" s="54" t="s">
        <v>144</v>
      </c>
      <c r="CL23" s="54" t="s">
        <v>2333</v>
      </c>
      <c r="CM23" s="54">
        <v>90</v>
      </c>
      <c r="CN23" s="54" t="s">
        <v>144</v>
      </c>
      <c r="CO23" s="54" t="s">
        <v>2332</v>
      </c>
      <c r="CP23" s="52">
        <v>90</v>
      </c>
      <c r="CQ23" s="52" t="s">
        <v>144</v>
      </c>
      <c r="CR23" s="52" t="s">
        <v>2437</v>
      </c>
      <c r="CS23" s="52">
        <v>86</v>
      </c>
      <c r="CT23" s="52" t="s">
        <v>145</v>
      </c>
      <c r="CU23" s="52" t="s">
        <v>2436</v>
      </c>
      <c r="CV23" s="52"/>
      <c r="CW23" s="52"/>
      <c r="CX23" s="52"/>
      <c r="CY23" s="52"/>
      <c r="CZ23" s="52"/>
      <c r="DA23" s="52"/>
      <c r="DB23" s="15" t="str">
        <f>'Input Ekstra'!E19</f>
        <v>Pramuka</v>
      </c>
      <c r="DC23" s="15" t="str">
        <f>'Input Ekstra'!F19</f>
        <v>Baik</v>
      </c>
      <c r="DD23" s="15" t="str">
        <f>'Input Ekstra'!G19</f>
        <v>Peserta didik terampil membuat pionering, mampu menguasai gerakan PBB dan mengetahui salah satu kesenian daerah</v>
      </c>
      <c r="DE23" s="15" t="str">
        <f>'Input Ekstra'!H19</f>
        <v>Voli</v>
      </c>
      <c r="DF23" s="15" t="str">
        <f>'Input Ekstra'!I19</f>
        <v>Baik</v>
      </c>
      <c r="DG23" s="15" t="str">
        <f>'Input Ekstra'!J19</f>
        <v>Peserta didik mampu mengikuti kegiatan ekstrakurikuler voli dengan baik</v>
      </c>
      <c r="DH23" s="15">
        <f>'Input Kehadiran'!E19</f>
        <v>0</v>
      </c>
      <c r="DI23" s="15">
        <f>'Input Kehadiran'!F19</f>
        <v>5</v>
      </c>
      <c r="DJ23" s="15">
        <f>'Input Kehadiran'!G19</f>
        <v>0</v>
      </c>
      <c r="DK23" s="48">
        <f>'Input Prestasi'!D20</f>
        <v>0</v>
      </c>
      <c r="DL23" s="48">
        <f>'Input Prestasi'!E20</f>
        <v>0</v>
      </c>
      <c r="DM23" s="48">
        <f>'Input Prestasi'!F20</f>
        <v>0</v>
      </c>
      <c r="DN23" s="48">
        <f>'Input Prestasi'!G20</f>
        <v>0</v>
      </c>
      <c r="DO23" s="48">
        <f>'Input Prestasi'!H20</f>
        <v>0</v>
      </c>
      <c r="DP23" s="48">
        <f>'Input Prestasi'!I20</f>
        <v>0</v>
      </c>
      <c r="DQ23" s="48">
        <f>'Input Prestasi'!J20</f>
        <v>0</v>
      </c>
      <c r="DR23" s="48">
        <f>'Input Prestasi'!K20</f>
        <v>0</v>
      </c>
      <c r="DS23" s="15" t="str">
        <f>'Input Nilai Sikap dan Catatan'!H18</f>
        <v>Peserta didik sudah mampu menempatkan diri dengan baik. Pertahankan kepribadian yang mampu menggerakkan teman-teman dalam kebaikan.</v>
      </c>
    </row>
    <row r="24" spans="1:123" x14ac:dyDescent="0.25">
      <c r="A24" s="12">
        <v>16</v>
      </c>
      <c r="B24" s="23" t="str">
        <f>IF(Setting!J21="","",Setting!J21)</f>
        <v>Mohamad Khoiril Afwa</v>
      </c>
      <c r="C24" s="28">
        <f>IF(Setting!K21="","",Setting!K21)</f>
        <v>2008197</v>
      </c>
      <c r="D24" s="28" t="str">
        <f>IF(Setting!L21="","",Setting!L21)</f>
        <v>0044910894</v>
      </c>
      <c r="E24" s="15" t="str">
        <f>IF(Setting!$E$11="","",Setting!$E$11)</f>
        <v>XII MIPA 4</v>
      </c>
      <c r="F24" s="15" t="str">
        <f>'Input Nilai Sikap dan Catatan'!D19</f>
        <v>B</v>
      </c>
      <c r="G24" s="15" t="str">
        <f>'Input Nilai Sikap dan Catatan'!E19</f>
        <v>Mengikuti rutinitas ibadah dengan baik dan mengamalkan nilai-nilai agama dalam kegiatan pembelajaran.</v>
      </c>
      <c r="H24" s="15" t="str">
        <f>'Input Nilai Sikap dan Catatan'!F19</f>
        <v>B</v>
      </c>
      <c r="I24" s="15" t="str">
        <f>'Input Nilai Sikap dan Catatan'!G19</f>
        <v>Memiliki sopan santun yang baik dan mampu memposisikan diri dengan baik dalam pertemanan</v>
      </c>
      <c r="J24" s="166">
        <v>93</v>
      </c>
      <c r="K24" s="167" t="s">
        <v>144</v>
      </c>
      <c r="L24" s="168" t="s">
        <v>2379</v>
      </c>
      <c r="M24" s="166">
        <v>88</v>
      </c>
      <c r="N24" s="167" t="s">
        <v>144</v>
      </c>
      <c r="O24" s="169" t="s">
        <v>2380</v>
      </c>
      <c r="P24" s="54">
        <v>86</v>
      </c>
      <c r="Q24" s="54" t="s">
        <v>145</v>
      </c>
      <c r="R24" s="54" t="s">
        <v>2393</v>
      </c>
      <c r="S24" s="54">
        <v>90</v>
      </c>
      <c r="T24" s="54" t="s">
        <v>144</v>
      </c>
      <c r="U24" s="54" t="s">
        <v>2394</v>
      </c>
      <c r="V24" s="166">
        <v>87</v>
      </c>
      <c r="W24" s="167" t="s">
        <v>145</v>
      </c>
      <c r="X24" s="168" t="s">
        <v>2459</v>
      </c>
      <c r="Y24" s="166">
        <v>86</v>
      </c>
      <c r="Z24" s="167" t="s">
        <v>145</v>
      </c>
      <c r="AA24" s="169" t="s">
        <v>2328</v>
      </c>
      <c r="AB24" s="54">
        <v>90</v>
      </c>
      <c r="AC24" s="54" t="s">
        <v>144</v>
      </c>
      <c r="AD24" s="54" t="s">
        <v>2375</v>
      </c>
      <c r="AE24" s="54">
        <v>85</v>
      </c>
      <c r="AF24" s="54" t="s">
        <v>145</v>
      </c>
      <c r="AG24" s="54" t="s">
        <v>2376</v>
      </c>
      <c r="AH24" s="52">
        <v>94</v>
      </c>
      <c r="AI24" s="52" t="s">
        <v>144</v>
      </c>
      <c r="AJ24" s="52" t="s">
        <v>2400</v>
      </c>
      <c r="AK24" s="52">
        <v>87</v>
      </c>
      <c r="AL24" s="52" t="s">
        <v>145</v>
      </c>
      <c r="AM24" s="52" t="s">
        <v>2399</v>
      </c>
      <c r="AN24" s="54">
        <v>87</v>
      </c>
      <c r="AO24" s="54" t="s">
        <v>145</v>
      </c>
      <c r="AP24" s="54" t="s">
        <v>2340</v>
      </c>
      <c r="AQ24" s="54">
        <v>80</v>
      </c>
      <c r="AR24" s="54" t="s">
        <v>145</v>
      </c>
      <c r="AS24" s="54" t="s">
        <v>2338</v>
      </c>
      <c r="AT24" s="166">
        <v>89</v>
      </c>
      <c r="AU24" s="167" t="s">
        <v>144</v>
      </c>
      <c r="AV24" s="168" t="s">
        <v>2396</v>
      </c>
      <c r="AW24" s="166">
        <v>91</v>
      </c>
      <c r="AX24" s="167" t="s">
        <v>144</v>
      </c>
      <c r="AY24" s="169" t="s">
        <v>2397</v>
      </c>
      <c r="AZ24" s="54">
        <v>92</v>
      </c>
      <c r="BA24" s="54" t="s">
        <v>144</v>
      </c>
      <c r="BB24" s="54" t="s">
        <v>2446</v>
      </c>
      <c r="BC24" s="54">
        <v>82</v>
      </c>
      <c r="BD24" s="54" t="s">
        <v>145</v>
      </c>
      <c r="BE24" s="54" t="s">
        <v>2443</v>
      </c>
      <c r="BF24" s="52">
        <v>92</v>
      </c>
      <c r="BG24" s="52" t="s">
        <v>144</v>
      </c>
      <c r="BH24" s="52" t="s">
        <v>2345</v>
      </c>
      <c r="BI24" s="52">
        <v>83</v>
      </c>
      <c r="BJ24" s="52" t="s">
        <v>145</v>
      </c>
      <c r="BK24" s="52" t="s">
        <v>2346</v>
      </c>
      <c r="BL24" s="54">
        <v>86</v>
      </c>
      <c r="BM24" s="54" t="s">
        <v>145</v>
      </c>
      <c r="BN24" s="54" t="s">
        <v>2325</v>
      </c>
      <c r="BO24" s="54">
        <v>86</v>
      </c>
      <c r="BP24" s="54" t="s">
        <v>145</v>
      </c>
      <c r="BQ24" s="54" t="s">
        <v>2326</v>
      </c>
      <c r="BR24" s="52">
        <v>84</v>
      </c>
      <c r="BS24" s="52" t="s">
        <v>145</v>
      </c>
      <c r="BT24" s="52" t="s">
        <v>2368</v>
      </c>
      <c r="BU24" s="52">
        <v>82</v>
      </c>
      <c r="BV24" s="52" t="s">
        <v>145</v>
      </c>
      <c r="BW24" s="52" t="s">
        <v>2367</v>
      </c>
      <c r="BX24" s="54">
        <v>84</v>
      </c>
      <c r="BY24" s="54" t="s">
        <v>145</v>
      </c>
      <c r="BZ24" s="54" t="s">
        <v>2390</v>
      </c>
      <c r="CA24" s="54">
        <v>83</v>
      </c>
      <c r="CB24" s="54" t="s">
        <v>145</v>
      </c>
      <c r="CC24" s="54" t="s">
        <v>2382</v>
      </c>
      <c r="CD24" s="166">
        <v>93</v>
      </c>
      <c r="CE24" s="167" t="s">
        <v>144</v>
      </c>
      <c r="CF24" s="168" t="s">
        <v>2360</v>
      </c>
      <c r="CG24" s="166">
        <v>88</v>
      </c>
      <c r="CH24" s="167" t="s">
        <v>144</v>
      </c>
      <c r="CI24" s="169" t="s">
        <v>2350</v>
      </c>
      <c r="CJ24" s="54">
        <v>91</v>
      </c>
      <c r="CK24" s="54" t="s">
        <v>144</v>
      </c>
      <c r="CL24" s="54" t="s">
        <v>2331</v>
      </c>
      <c r="CM24" s="54">
        <v>85</v>
      </c>
      <c r="CN24" s="54" t="s">
        <v>145</v>
      </c>
      <c r="CO24" s="54" t="s">
        <v>2332</v>
      </c>
      <c r="CP24" s="52">
        <v>92</v>
      </c>
      <c r="CQ24" s="52" t="s">
        <v>144</v>
      </c>
      <c r="CR24" s="52" t="s">
        <v>2438</v>
      </c>
      <c r="CS24" s="52">
        <v>86</v>
      </c>
      <c r="CT24" s="52" t="s">
        <v>145</v>
      </c>
      <c r="CU24" s="52" t="s">
        <v>2436</v>
      </c>
      <c r="CV24" s="52"/>
      <c r="CW24" s="52"/>
      <c r="CX24" s="52"/>
      <c r="CY24" s="52"/>
      <c r="CZ24" s="52"/>
      <c r="DA24" s="52"/>
      <c r="DB24" s="15" t="str">
        <f>'Input Ekstra'!E20</f>
        <v>Pramuka</v>
      </c>
      <c r="DC24" s="15" t="str">
        <f>'Input Ekstra'!F20</f>
        <v>Baik</v>
      </c>
      <c r="DD24" s="15" t="str">
        <f>'Input Ekstra'!G20</f>
        <v>Peserta didik terampil membuat pionering, mampu menguasai gerakan PBB dan mengetahui salah satu kesenian daerah</v>
      </c>
      <c r="DE24" s="15" t="str">
        <f>'Input Ekstra'!H20</f>
        <v>Basket</v>
      </c>
      <c r="DF24" s="15" t="str">
        <f>'Input Ekstra'!I20</f>
        <v>Amat Baik</v>
      </c>
      <c r="DG24" s="15" t="str">
        <f>'Input Ekstra'!J20</f>
        <v>Peserta didik mampu mengikuti kegiatan ekstrakurikuler basket dengan amat baik</v>
      </c>
      <c r="DH24" s="15">
        <f>'Input Kehadiran'!E20</f>
        <v>5</v>
      </c>
      <c r="DI24" s="15">
        <f>'Input Kehadiran'!F20</f>
        <v>5</v>
      </c>
      <c r="DJ24" s="15">
        <f>'Input Kehadiran'!G20</f>
        <v>0</v>
      </c>
      <c r="DK24" s="48">
        <f>'Input Prestasi'!D21</f>
        <v>0</v>
      </c>
      <c r="DL24" s="48">
        <f>'Input Prestasi'!E21</f>
        <v>0</v>
      </c>
      <c r="DM24" s="48">
        <f>'Input Prestasi'!F21</f>
        <v>0</v>
      </c>
      <c r="DN24" s="48">
        <f>'Input Prestasi'!G21</f>
        <v>0</v>
      </c>
      <c r="DO24" s="48">
        <f>'Input Prestasi'!H21</f>
        <v>0</v>
      </c>
      <c r="DP24" s="48">
        <f>'Input Prestasi'!I21</f>
        <v>0</v>
      </c>
      <c r="DQ24" s="48">
        <f>'Input Prestasi'!J21</f>
        <v>0</v>
      </c>
      <c r="DR24" s="48">
        <f>'Input Prestasi'!K21</f>
        <v>0</v>
      </c>
      <c r="DS24" s="15" t="str">
        <f>'Input Nilai Sikap dan Catatan'!H19</f>
        <v>Peserta didik sudah mampu menempatkan diri dengan baik. Pertahankan kepribadian yang mampu menggerakkan teman-teman dalam kebaikan.</v>
      </c>
    </row>
    <row r="25" spans="1:123" x14ac:dyDescent="0.25">
      <c r="A25" s="12">
        <v>17</v>
      </c>
      <c r="B25" s="23" t="str">
        <f>IF(Setting!J22="","",Setting!J22)</f>
        <v>Muhammad Hanif Pearlyaradja</v>
      </c>
      <c r="C25" s="28">
        <f>IF(Setting!K22="","",Setting!K22)</f>
        <v>2008214</v>
      </c>
      <c r="D25" s="28" t="str">
        <f>IF(Setting!L22="","",Setting!L22)</f>
        <v>0052096412</v>
      </c>
      <c r="E25" s="15" t="str">
        <f>IF(Setting!$E$11="","",Setting!$E$11)</f>
        <v>XII MIPA 4</v>
      </c>
      <c r="F25" s="15" t="str">
        <f>'Input Nilai Sikap dan Catatan'!D20</f>
        <v>B</v>
      </c>
      <c r="G25" s="15" t="str">
        <f>'Input Nilai Sikap dan Catatan'!E20</f>
        <v>Mengikuti rutinitas ibadah dengan baik dan mengamalkan nilai-nilai agama dalam kegiatan pembelajaran.</v>
      </c>
      <c r="H25" s="15" t="str">
        <f>'Input Nilai Sikap dan Catatan'!F20</f>
        <v>B</v>
      </c>
      <c r="I25" s="15" t="str">
        <f>'Input Nilai Sikap dan Catatan'!G20</f>
        <v>Memiliki sopan santun yang baik dan mampu memposisikan diri dengan baik dalam pertemanan</v>
      </c>
      <c r="J25" s="166">
        <v>94</v>
      </c>
      <c r="K25" s="167" t="s">
        <v>144</v>
      </c>
      <c r="L25" s="168" t="s">
        <v>2379</v>
      </c>
      <c r="M25" s="166">
        <v>88</v>
      </c>
      <c r="N25" s="167" t="s">
        <v>144</v>
      </c>
      <c r="O25" s="169" t="s">
        <v>2380</v>
      </c>
      <c r="P25" s="54">
        <v>90</v>
      </c>
      <c r="Q25" s="54" t="s">
        <v>144</v>
      </c>
      <c r="R25" s="54" t="s">
        <v>2393</v>
      </c>
      <c r="S25" s="54">
        <v>88</v>
      </c>
      <c r="T25" s="54" t="s">
        <v>144</v>
      </c>
      <c r="U25" s="54" t="s">
        <v>2394</v>
      </c>
      <c r="V25" s="166">
        <v>87</v>
      </c>
      <c r="W25" s="167" t="s">
        <v>145</v>
      </c>
      <c r="X25" s="168" t="s">
        <v>2459</v>
      </c>
      <c r="Y25" s="166">
        <v>87</v>
      </c>
      <c r="Z25" s="167" t="s">
        <v>145</v>
      </c>
      <c r="AA25" s="169" t="s">
        <v>2328</v>
      </c>
      <c r="AB25" s="54">
        <v>93</v>
      </c>
      <c r="AC25" s="54" t="s">
        <v>144</v>
      </c>
      <c r="AD25" s="54" t="s">
        <v>2377</v>
      </c>
      <c r="AE25" s="54">
        <v>88</v>
      </c>
      <c r="AF25" s="54" t="s">
        <v>144</v>
      </c>
      <c r="AG25" s="54" t="s">
        <v>2376</v>
      </c>
      <c r="AH25" s="52">
        <v>91</v>
      </c>
      <c r="AI25" s="52" t="s">
        <v>144</v>
      </c>
      <c r="AJ25" s="52" t="s">
        <v>2400</v>
      </c>
      <c r="AK25" s="52">
        <v>86</v>
      </c>
      <c r="AL25" s="52" t="s">
        <v>145</v>
      </c>
      <c r="AM25" s="52" t="s">
        <v>2399</v>
      </c>
      <c r="AN25" s="54">
        <v>87</v>
      </c>
      <c r="AO25" s="54" t="s">
        <v>145</v>
      </c>
      <c r="AP25" s="54" t="s">
        <v>2337</v>
      </c>
      <c r="AQ25" s="54">
        <v>80</v>
      </c>
      <c r="AR25" s="54" t="s">
        <v>145</v>
      </c>
      <c r="AS25" s="54" t="s">
        <v>2338</v>
      </c>
      <c r="AT25" s="166">
        <v>89</v>
      </c>
      <c r="AU25" s="167" t="s">
        <v>144</v>
      </c>
      <c r="AV25" s="168" t="s">
        <v>2396</v>
      </c>
      <c r="AW25" s="166">
        <v>90</v>
      </c>
      <c r="AX25" s="167" t="s">
        <v>144</v>
      </c>
      <c r="AY25" s="169" t="s">
        <v>2397</v>
      </c>
      <c r="AZ25" s="54">
        <v>92</v>
      </c>
      <c r="BA25" s="54" t="s">
        <v>144</v>
      </c>
      <c r="BB25" s="54" t="s">
        <v>2442</v>
      </c>
      <c r="BC25" s="54">
        <v>84</v>
      </c>
      <c r="BD25" s="54" t="s">
        <v>145</v>
      </c>
      <c r="BE25" s="54" t="s">
        <v>2443</v>
      </c>
      <c r="BF25" s="52">
        <v>92</v>
      </c>
      <c r="BG25" s="52" t="s">
        <v>144</v>
      </c>
      <c r="BH25" s="52" t="s">
        <v>2345</v>
      </c>
      <c r="BI25" s="52">
        <v>83</v>
      </c>
      <c r="BJ25" s="52" t="s">
        <v>145</v>
      </c>
      <c r="BK25" s="52" t="s">
        <v>2346</v>
      </c>
      <c r="BL25" s="54">
        <v>82</v>
      </c>
      <c r="BM25" s="54" t="s">
        <v>145</v>
      </c>
      <c r="BN25" s="54" t="s">
        <v>2325</v>
      </c>
      <c r="BO25" s="54">
        <v>82</v>
      </c>
      <c r="BP25" s="54" t="s">
        <v>145</v>
      </c>
      <c r="BQ25" s="54" t="s">
        <v>2326</v>
      </c>
      <c r="BR25" s="52">
        <v>85</v>
      </c>
      <c r="BS25" s="52" t="s">
        <v>145</v>
      </c>
      <c r="BT25" s="52" t="s">
        <v>2373</v>
      </c>
      <c r="BU25" s="52">
        <v>84</v>
      </c>
      <c r="BV25" s="52" t="s">
        <v>145</v>
      </c>
      <c r="BW25" s="52" t="s">
        <v>2367</v>
      </c>
      <c r="BX25" s="54">
        <v>86</v>
      </c>
      <c r="BY25" s="54" t="s">
        <v>145</v>
      </c>
      <c r="BZ25" s="54" t="s">
        <v>2384</v>
      </c>
      <c r="CA25" s="54">
        <v>83</v>
      </c>
      <c r="CB25" s="54" t="s">
        <v>145</v>
      </c>
      <c r="CC25" s="54" t="s">
        <v>2382</v>
      </c>
      <c r="CD25" s="166">
        <v>94</v>
      </c>
      <c r="CE25" s="167" t="s">
        <v>144</v>
      </c>
      <c r="CF25" s="168" t="s">
        <v>2361</v>
      </c>
      <c r="CG25" s="166">
        <v>88</v>
      </c>
      <c r="CH25" s="167" t="s">
        <v>144</v>
      </c>
      <c r="CI25" s="169" t="s">
        <v>2350</v>
      </c>
      <c r="CJ25" s="54">
        <v>92</v>
      </c>
      <c r="CK25" s="54" t="s">
        <v>144</v>
      </c>
      <c r="CL25" s="54" t="s">
        <v>2331</v>
      </c>
      <c r="CM25" s="54">
        <v>90</v>
      </c>
      <c r="CN25" s="54" t="s">
        <v>144</v>
      </c>
      <c r="CO25" s="54" t="s">
        <v>2332</v>
      </c>
      <c r="CP25" s="52">
        <v>94</v>
      </c>
      <c r="CQ25" s="52" t="s">
        <v>144</v>
      </c>
      <c r="CR25" s="52" t="s">
        <v>2438</v>
      </c>
      <c r="CS25" s="52">
        <v>86</v>
      </c>
      <c r="CT25" s="52" t="s">
        <v>145</v>
      </c>
      <c r="CU25" s="52" t="s">
        <v>2436</v>
      </c>
      <c r="CV25" s="52"/>
      <c r="CW25" s="52"/>
      <c r="CX25" s="52"/>
      <c r="CY25" s="52"/>
      <c r="CZ25" s="52"/>
      <c r="DA25" s="52"/>
      <c r="DB25" s="15" t="str">
        <f>'Input Ekstra'!E21</f>
        <v>Pramuka</v>
      </c>
      <c r="DC25" s="15" t="str">
        <f>'Input Ekstra'!F21</f>
        <v>Baik</v>
      </c>
      <c r="DD25" s="15" t="str">
        <f>'Input Ekstra'!G21</f>
        <v>Peserta didik terampil membuat pionering, mampu menguasai gerakan PBB dan mengetahui salah satu kesenian daerah</v>
      </c>
      <c r="DE25" s="15" t="str">
        <f>'Input Ekstra'!H21</f>
        <v>Akustik</v>
      </c>
      <c r="DF25" s="15" t="str">
        <f>'Input Ekstra'!I21</f>
        <v>Baik</v>
      </c>
      <c r="DG25" s="15" t="str">
        <f>'Input Ekstra'!J21</f>
        <v>Peserta didik mampu mengikuti kegiatan ekstrakurikuler akustik dengan baik</v>
      </c>
      <c r="DH25" s="15">
        <f>'Input Kehadiran'!E21</f>
        <v>2</v>
      </c>
      <c r="DI25" s="15">
        <f>'Input Kehadiran'!F21</f>
        <v>4</v>
      </c>
      <c r="DJ25" s="15">
        <f>'Input Kehadiran'!G21</f>
        <v>0</v>
      </c>
      <c r="DK25" s="48">
        <f>'Input Prestasi'!D22</f>
        <v>0</v>
      </c>
      <c r="DL25" s="48">
        <f>'Input Prestasi'!E22</f>
        <v>0</v>
      </c>
      <c r="DM25" s="48">
        <f>'Input Prestasi'!F22</f>
        <v>0</v>
      </c>
      <c r="DN25" s="48">
        <f>'Input Prestasi'!G22</f>
        <v>0</v>
      </c>
      <c r="DO25" s="48">
        <f>'Input Prestasi'!H22</f>
        <v>0</v>
      </c>
      <c r="DP25" s="48">
        <f>'Input Prestasi'!I22</f>
        <v>0</v>
      </c>
      <c r="DQ25" s="48">
        <f>'Input Prestasi'!J22</f>
        <v>0</v>
      </c>
      <c r="DR25" s="48">
        <f>'Input Prestasi'!K22</f>
        <v>0</v>
      </c>
      <c r="DS25" s="15" t="str">
        <f>'Input Nilai Sikap dan Catatan'!H20</f>
        <v>Peserta didik sudah mampu menempatkan diri dengan baik. Pertahankan kepribadian yang mampu menggerakkan teman-teman dalam kebaikan.</v>
      </c>
    </row>
    <row r="26" spans="1:123" x14ac:dyDescent="0.25">
      <c r="A26" s="12">
        <v>18</v>
      </c>
      <c r="B26" s="23" t="str">
        <f>IF(Setting!J23="","",Setting!J23)</f>
        <v>Muhammad Maurel Han</v>
      </c>
      <c r="C26" s="28">
        <f>IF(Setting!K23="","",Setting!K23)</f>
        <v>2008218</v>
      </c>
      <c r="D26" s="28" t="str">
        <f>IF(Setting!L23="","",Setting!L23)</f>
        <v>9015578324</v>
      </c>
      <c r="E26" s="15" t="str">
        <f>IF(Setting!$E$11="","",Setting!$E$11)</f>
        <v>XII MIPA 4</v>
      </c>
      <c r="F26" s="15" t="str">
        <f>'Input Nilai Sikap dan Catatan'!D21</f>
        <v>B</v>
      </c>
      <c r="G26" s="15" t="str">
        <f>'Input Nilai Sikap dan Catatan'!E21</f>
        <v>Mengikuti rutinitas ibadah dengan baik dan mengamalkan nilai-nilai agama dalam kegiatan pembelajaran.</v>
      </c>
      <c r="H26" s="15" t="str">
        <f>'Input Nilai Sikap dan Catatan'!F21</f>
        <v>B</v>
      </c>
      <c r="I26" s="15" t="str">
        <f>'Input Nilai Sikap dan Catatan'!G21</f>
        <v>Memiliki sopan santun yang baik dan mampu memposisikan diri dengan baik dalam pertemanan</v>
      </c>
      <c r="J26" s="166">
        <v>94</v>
      </c>
      <c r="K26" s="167" t="s">
        <v>144</v>
      </c>
      <c r="L26" s="168" t="s">
        <v>2379</v>
      </c>
      <c r="M26" s="166">
        <v>88</v>
      </c>
      <c r="N26" s="167" t="s">
        <v>144</v>
      </c>
      <c r="O26" s="169" t="s">
        <v>2380</v>
      </c>
      <c r="P26" s="54">
        <v>88</v>
      </c>
      <c r="Q26" s="54" t="s">
        <v>144</v>
      </c>
      <c r="R26" s="54" t="s">
        <v>2395</v>
      </c>
      <c r="S26" s="54">
        <v>91</v>
      </c>
      <c r="T26" s="54" t="s">
        <v>144</v>
      </c>
      <c r="U26" s="54" t="s">
        <v>2394</v>
      </c>
      <c r="V26" s="166">
        <v>86</v>
      </c>
      <c r="W26" s="167" t="s">
        <v>145</v>
      </c>
      <c r="X26" s="168" t="s">
        <v>2456</v>
      </c>
      <c r="Y26" s="166">
        <v>88</v>
      </c>
      <c r="Z26" s="167" t="s">
        <v>144</v>
      </c>
      <c r="AA26" s="169" t="s">
        <v>2328</v>
      </c>
      <c r="AB26" s="54">
        <v>93</v>
      </c>
      <c r="AC26" s="54" t="s">
        <v>144</v>
      </c>
      <c r="AD26" s="54" t="s">
        <v>2377</v>
      </c>
      <c r="AE26" s="54">
        <v>93</v>
      </c>
      <c r="AF26" s="54" t="s">
        <v>144</v>
      </c>
      <c r="AG26" s="54" t="s">
        <v>2378</v>
      </c>
      <c r="AH26" s="52">
        <v>86</v>
      </c>
      <c r="AI26" s="52" t="s">
        <v>145</v>
      </c>
      <c r="AJ26" s="52" t="s">
        <v>2400</v>
      </c>
      <c r="AK26" s="52">
        <v>82</v>
      </c>
      <c r="AL26" s="52" t="s">
        <v>145</v>
      </c>
      <c r="AM26" s="52" t="s">
        <v>2399</v>
      </c>
      <c r="AN26" s="54">
        <v>87</v>
      </c>
      <c r="AO26" s="54" t="s">
        <v>145</v>
      </c>
      <c r="AP26" s="54" t="s">
        <v>2341</v>
      </c>
      <c r="AQ26" s="54">
        <v>80</v>
      </c>
      <c r="AR26" s="54" t="s">
        <v>145</v>
      </c>
      <c r="AS26" s="54" t="s">
        <v>2338</v>
      </c>
      <c r="AT26" s="166">
        <v>88</v>
      </c>
      <c r="AU26" s="167" t="s">
        <v>144</v>
      </c>
      <c r="AV26" s="168" t="s">
        <v>2396</v>
      </c>
      <c r="AW26" s="166">
        <v>91</v>
      </c>
      <c r="AX26" s="167" t="s">
        <v>144</v>
      </c>
      <c r="AY26" s="169" t="s">
        <v>2397</v>
      </c>
      <c r="AZ26" s="54">
        <v>91</v>
      </c>
      <c r="BA26" s="54" t="s">
        <v>144</v>
      </c>
      <c r="BB26" s="54" t="s">
        <v>2442</v>
      </c>
      <c r="BC26" s="54">
        <v>83</v>
      </c>
      <c r="BD26" s="54" t="s">
        <v>145</v>
      </c>
      <c r="BE26" s="54" t="s">
        <v>2443</v>
      </c>
      <c r="BF26" s="52">
        <v>91</v>
      </c>
      <c r="BG26" s="52" t="s">
        <v>144</v>
      </c>
      <c r="BH26" s="52" t="s">
        <v>2347</v>
      </c>
      <c r="BI26" s="52">
        <v>83</v>
      </c>
      <c r="BJ26" s="52" t="s">
        <v>145</v>
      </c>
      <c r="BK26" s="52" t="s">
        <v>2346</v>
      </c>
      <c r="BL26" s="54">
        <v>82</v>
      </c>
      <c r="BM26" s="54" t="s">
        <v>145</v>
      </c>
      <c r="BN26" s="54" t="s">
        <v>2325</v>
      </c>
      <c r="BO26" s="54">
        <v>82</v>
      </c>
      <c r="BP26" s="54" t="s">
        <v>145</v>
      </c>
      <c r="BQ26" s="54" t="s">
        <v>2326</v>
      </c>
      <c r="BR26" s="52">
        <v>84</v>
      </c>
      <c r="BS26" s="52" t="s">
        <v>145</v>
      </c>
      <c r="BT26" s="52" t="s">
        <v>2373</v>
      </c>
      <c r="BU26" s="52">
        <v>82</v>
      </c>
      <c r="BV26" s="52" t="s">
        <v>145</v>
      </c>
      <c r="BW26" s="52" t="s">
        <v>2367</v>
      </c>
      <c r="BX26" s="54">
        <v>82</v>
      </c>
      <c r="BY26" s="54" t="s">
        <v>145</v>
      </c>
      <c r="BZ26" s="54" t="s">
        <v>2384</v>
      </c>
      <c r="CA26" s="54">
        <v>80</v>
      </c>
      <c r="CB26" s="54" t="s">
        <v>145</v>
      </c>
      <c r="CC26" s="54" t="s">
        <v>2382</v>
      </c>
      <c r="CD26" s="166">
        <v>92</v>
      </c>
      <c r="CE26" s="167" t="s">
        <v>144</v>
      </c>
      <c r="CF26" s="168" t="s">
        <v>2360</v>
      </c>
      <c r="CG26" s="166">
        <v>88</v>
      </c>
      <c r="CH26" s="167" t="s">
        <v>144</v>
      </c>
      <c r="CI26" s="169" t="s">
        <v>2350</v>
      </c>
      <c r="CJ26" s="54">
        <v>90</v>
      </c>
      <c r="CK26" s="54" t="s">
        <v>144</v>
      </c>
      <c r="CL26" s="54" t="s">
        <v>2331</v>
      </c>
      <c r="CM26" s="54">
        <v>90</v>
      </c>
      <c r="CN26" s="54" t="s">
        <v>144</v>
      </c>
      <c r="CO26" s="54" t="s">
        <v>2332</v>
      </c>
      <c r="CP26" s="52">
        <v>89</v>
      </c>
      <c r="CQ26" s="52" t="s">
        <v>144</v>
      </c>
      <c r="CR26" s="52" t="s">
        <v>2438</v>
      </c>
      <c r="CS26" s="52">
        <v>86</v>
      </c>
      <c r="CT26" s="52" t="s">
        <v>145</v>
      </c>
      <c r="CU26" s="52" t="s">
        <v>2436</v>
      </c>
      <c r="CV26" s="52"/>
      <c r="CW26" s="52"/>
      <c r="CX26" s="52"/>
      <c r="CY26" s="52"/>
      <c r="CZ26" s="52"/>
      <c r="DA26" s="52"/>
      <c r="DB26" s="15" t="str">
        <f>'Input Ekstra'!E22</f>
        <v>Pramuka</v>
      </c>
      <c r="DC26" s="15" t="str">
        <f>'Input Ekstra'!F22</f>
        <v>Baik</v>
      </c>
      <c r="DD26" s="15" t="str">
        <f>'Input Ekstra'!G22</f>
        <v>Peserta didik terampil membuat pionering, mampu menguasai gerakan PBB dan mengetahui salah satu kesenian daerah</v>
      </c>
      <c r="DE26" s="15" t="str">
        <f>'Input Ekstra'!H22</f>
        <v>Akustik</v>
      </c>
      <c r="DF26" s="15" t="str">
        <f>'Input Ekstra'!I22</f>
        <v>Baik</v>
      </c>
      <c r="DG26" s="15" t="str">
        <f>'Input Ekstra'!J22</f>
        <v>Peserta didik mampu mengikuti kegiatan ekstrakurikuler akustik dengan baik</v>
      </c>
      <c r="DH26" s="15">
        <f>'Input Kehadiran'!E22</f>
        <v>2</v>
      </c>
      <c r="DI26" s="15">
        <f>'Input Kehadiran'!F22</f>
        <v>5</v>
      </c>
      <c r="DJ26" s="15">
        <f>'Input Kehadiran'!G22</f>
        <v>0</v>
      </c>
      <c r="DK26" s="48">
        <f>'Input Prestasi'!D23</f>
        <v>0</v>
      </c>
      <c r="DL26" s="48">
        <f>'Input Prestasi'!E23</f>
        <v>0</v>
      </c>
      <c r="DM26" s="48">
        <f>'Input Prestasi'!F23</f>
        <v>0</v>
      </c>
      <c r="DN26" s="48">
        <f>'Input Prestasi'!G23</f>
        <v>0</v>
      </c>
      <c r="DO26" s="48">
        <f>'Input Prestasi'!H23</f>
        <v>0</v>
      </c>
      <c r="DP26" s="48">
        <f>'Input Prestasi'!I23</f>
        <v>0</v>
      </c>
      <c r="DQ26" s="48">
        <f>'Input Prestasi'!J23</f>
        <v>0</v>
      </c>
      <c r="DR26" s="48">
        <f>'Input Prestasi'!K23</f>
        <v>0</v>
      </c>
      <c r="DS26" s="15" t="str">
        <f>'Input Nilai Sikap dan Catatan'!H21</f>
        <v>Peserta didik sudah mampu menempatkan diri dengan baik. Pertahankan kepribadian yang mampu menggerakkan teman-teman dalam kebaikan.</v>
      </c>
    </row>
    <row r="27" spans="1:123" x14ac:dyDescent="0.25">
      <c r="A27" s="12">
        <v>19</v>
      </c>
      <c r="B27" s="23" t="str">
        <f>IF(Setting!J24="","",Setting!J24)</f>
        <v>Muhammad Niam Masykuri</v>
      </c>
      <c r="C27" s="28">
        <f>IF(Setting!K24="","",Setting!K24)</f>
        <v>2008220</v>
      </c>
      <c r="D27" s="28" t="str">
        <f>IF(Setting!L24="","",Setting!L24)</f>
        <v>0044193368</v>
      </c>
      <c r="E27" s="15" t="str">
        <f>IF(Setting!$E$11="","",Setting!$E$11)</f>
        <v>XII MIPA 4</v>
      </c>
      <c r="F27" s="15" t="str">
        <f>'Input Nilai Sikap dan Catatan'!D22</f>
        <v>A</v>
      </c>
      <c r="G27" s="15" t="str">
        <f>'Input Nilai Sikap dan Catatan'!E22</f>
        <v>Mengikuti rutinitas ibadah dengan tertib dan mengamalkan nilai-nilai agama dalam kegiatan pembelajaran.</v>
      </c>
      <c r="H27" s="15" t="str">
        <f>'Input Nilai Sikap dan Catatan'!F22</f>
        <v>B</v>
      </c>
      <c r="I27" s="15" t="str">
        <f>'Input Nilai Sikap dan Catatan'!G22</f>
        <v>Memiliki sopan santun yang baik dan mampu memposisikan diri dengan baik dalam pertemanan</v>
      </c>
      <c r="J27" s="166">
        <v>94</v>
      </c>
      <c r="K27" s="167" t="s">
        <v>144</v>
      </c>
      <c r="L27" s="168" t="s">
        <v>2379</v>
      </c>
      <c r="M27" s="166">
        <v>88</v>
      </c>
      <c r="N27" s="167" t="s">
        <v>144</v>
      </c>
      <c r="O27" s="169" t="s">
        <v>2380</v>
      </c>
      <c r="P27" s="54">
        <v>86</v>
      </c>
      <c r="Q27" s="54" t="s">
        <v>145</v>
      </c>
      <c r="R27" s="54" t="s">
        <v>2393</v>
      </c>
      <c r="S27" s="54">
        <v>81</v>
      </c>
      <c r="T27" s="54" t="s">
        <v>145</v>
      </c>
      <c r="U27" s="54" t="s">
        <v>2394</v>
      </c>
      <c r="V27" s="166">
        <v>87</v>
      </c>
      <c r="W27" s="167" t="s">
        <v>145</v>
      </c>
      <c r="X27" s="168" t="s">
        <v>2330</v>
      </c>
      <c r="Y27" s="166">
        <v>90</v>
      </c>
      <c r="Z27" s="167" t="s">
        <v>144</v>
      </c>
      <c r="AA27" s="169" t="s">
        <v>2328</v>
      </c>
      <c r="AB27" s="54">
        <v>92</v>
      </c>
      <c r="AC27" s="54" t="s">
        <v>144</v>
      </c>
      <c r="AD27" s="54" t="s">
        <v>2375</v>
      </c>
      <c r="AE27" s="54">
        <v>85</v>
      </c>
      <c r="AF27" s="54" t="s">
        <v>145</v>
      </c>
      <c r="AG27" s="54" t="s">
        <v>2376</v>
      </c>
      <c r="AH27" s="52">
        <v>89</v>
      </c>
      <c r="AI27" s="52" t="s">
        <v>144</v>
      </c>
      <c r="AJ27" s="52" t="s">
        <v>2400</v>
      </c>
      <c r="AK27" s="52">
        <v>82</v>
      </c>
      <c r="AL27" s="52" t="s">
        <v>145</v>
      </c>
      <c r="AM27" s="52" t="s">
        <v>2399</v>
      </c>
      <c r="AN27" s="54">
        <v>89</v>
      </c>
      <c r="AO27" s="54" t="s">
        <v>144</v>
      </c>
      <c r="AP27" s="54" t="s">
        <v>2341</v>
      </c>
      <c r="AQ27" s="54">
        <v>80</v>
      </c>
      <c r="AR27" s="54" t="s">
        <v>145</v>
      </c>
      <c r="AS27" s="54" t="s">
        <v>2338</v>
      </c>
      <c r="AT27" s="166">
        <v>91</v>
      </c>
      <c r="AU27" s="167" t="s">
        <v>144</v>
      </c>
      <c r="AV27" s="168" t="s">
        <v>2396</v>
      </c>
      <c r="AW27" s="166">
        <v>92</v>
      </c>
      <c r="AX27" s="167" t="s">
        <v>144</v>
      </c>
      <c r="AY27" s="169" t="s">
        <v>2397</v>
      </c>
      <c r="AZ27" s="54">
        <v>92</v>
      </c>
      <c r="BA27" s="54" t="s">
        <v>144</v>
      </c>
      <c r="BB27" s="54" t="s">
        <v>2448</v>
      </c>
      <c r="BC27" s="54">
        <v>83</v>
      </c>
      <c r="BD27" s="54" t="s">
        <v>145</v>
      </c>
      <c r="BE27" s="54" t="s">
        <v>2443</v>
      </c>
      <c r="BF27" s="52">
        <v>93</v>
      </c>
      <c r="BG27" s="52" t="s">
        <v>144</v>
      </c>
      <c r="BH27" s="52" t="s">
        <v>2345</v>
      </c>
      <c r="BI27" s="52">
        <v>81</v>
      </c>
      <c r="BJ27" s="52" t="s">
        <v>145</v>
      </c>
      <c r="BK27" s="52" t="s">
        <v>2346</v>
      </c>
      <c r="BL27" s="54">
        <v>88</v>
      </c>
      <c r="BM27" s="54" t="s">
        <v>144</v>
      </c>
      <c r="BN27" s="54" t="s">
        <v>2325</v>
      </c>
      <c r="BO27" s="54">
        <v>88</v>
      </c>
      <c r="BP27" s="54" t="s">
        <v>144</v>
      </c>
      <c r="BQ27" s="54" t="s">
        <v>2326</v>
      </c>
      <c r="BR27" s="52">
        <v>87</v>
      </c>
      <c r="BS27" s="52" t="s">
        <v>145</v>
      </c>
      <c r="BT27" s="52" t="s">
        <v>2366</v>
      </c>
      <c r="BU27" s="52">
        <v>88</v>
      </c>
      <c r="BV27" s="52" t="s">
        <v>144</v>
      </c>
      <c r="BW27" s="52" t="s">
        <v>2367</v>
      </c>
      <c r="BX27" s="54">
        <v>86</v>
      </c>
      <c r="BY27" s="54" t="s">
        <v>145</v>
      </c>
      <c r="BZ27" s="54" t="s">
        <v>2381</v>
      </c>
      <c r="CA27" s="54">
        <v>83</v>
      </c>
      <c r="CB27" s="54" t="s">
        <v>145</v>
      </c>
      <c r="CC27" s="54" t="s">
        <v>2382</v>
      </c>
      <c r="CD27" s="166">
        <v>94</v>
      </c>
      <c r="CE27" s="167" t="s">
        <v>144</v>
      </c>
      <c r="CF27" s="168" t="s">
        <v>2362</v>
      </c>
      <c r="CG27" s="166">
        <v>90</v>
      </c>
      <c r="CH27" s="167" t="s">
        <v>144</v>
      </c>
      <c r="CI27" s="169" t="s">
        <v>2350</v>
      </c>
      <c r="CJ27" s="54">
        <v>90</v>
      </c>
      <c r="CK27" s="54" t="s">
        <v>144</v>
      </c>
      <c r="CL27" s="54" t="s">
        <v>2333</v>
      </c>
      <c r="CM27" s="54">
        <v>85</v>
      </c>
      <c r="CN27" s="54" t="s">
        <v>145</v>
      </c>
      <c r="CO27" s="54" t="s">
        <v>2332</v>
      </c>
      <c r="CP27" s="52">
        <v>89</v>
      </c>
      <c r="CQ27" s="52" t="s">
        <v>144</v>
      </c>
      <c r="CR27" s="52" t="s">
        <v>2438</v>
      </c>
      <c r="CS27" s="52">
        <v>86</v>
      </c>
      <c r="CT27" s="52" t="s">
        <v>145</v>
      </c>
      <c r="CU27" s="52" t="s">
        <v>2436</v>
      </c>
      <c r="CV27" s="52"/>
      <c r="CW27" s="52"/>
      <c r="CX27" s="52"/>
      <c r="CY27" s="52"/>
      <c r="CZ27" s="52"/>
      <c r="DA27" s="52"/>
      <c r="DB27" s="15" t="str">
        <f>'Input Ekstra'!E23</f>
        <v>Pramuka</v>
      </c>
      <c r="DC27" s="15" t="str">
        <f>'Input Ekstra'!F23</f>
        <v>Baik</v>
      </c>
      <c r="DD27" s="15" t="str">
        <f>'Input Ekstra'!G23</f>
        <v>Peserta didik terampil membuat pionering, mampu menguasai gerakan PBB dan mengetahui salah satu kesenian daerah</v>
      </c>
      <c r="DE27" s="15">
        <f>'Input Ekstra'!H23</f>
        <v>0</v>
      </c>
      <c r="DF27" s="15">
        <f>'Input Ekstra'!I23</f>
        <v>0</v>
      </c>
      <c r="DG27" s="15">
        <f>'Input Ekstra'!J23</f>
        <v>0</v>
      </c>
      <c r="DH27" s="15">
        <f>'Input Kehadiran'!E23</f>
        <v>4</v>
      </c>
      <c r="DI27" s="15">
        <f>'Input Kehadiran'!F23</f>
        <v>2</v>
      </c>
      <c r="DJ27" s="15">
        <f>'Input Kehadiran'!G23</f>
        <v>0</v>
      </c>
      <c r="DK27" s="48">
        <f>'Input Prestasi'!D24</f>
        <v>0</v>
      </c>
      <c r="DL27" s="48">
        <f>'Input Prestasi'!E24</f>
        <v>0</v>
      </c>
      <c r="DM27" s="48">
        <f>'Input Prestasi'!F24</f>
        <v>0</v>
      </c>
      <c r="DN27" s="48">
        <f>'Input Prestasi'!G24</f>
        <v>0</v>
      </c>
      <c r="DO27" s="48">
        <f>'Input Prestasi'!H24</f>
        <v>0</v>
      </c>
      <c r="DP27" s="48">
        <f>'Input Prestasi'!I24</f>
        <v>0</v>
      </c>
      <c r="DQ27" s="48">
        <f>'Input Prestasi'!J24</f>
        <v>0</v>
      </c>
      <c r="DR27" s="48">
        <f>'Input Prestasi'!K24</f>
        <v>0</v>
      </c>
      <c r="DS27" s="15" t="str">
        <f>'Input Nilai Sikap dan Catatan'!H22</f>
        <v>Peserta didik sudah mampu menempatkan diri dengan baik. Pertahankan kepribadian yang mampu menggerakkan teman-teman dalam kebaikan.</v>
      </c>
    </row>
    <row r="28" spans="1:123" x14ac:dyDescent="0.25">
      <c r="A28" s="12">
        <v>20</v>
      </c>
      <c r="B28" s="23" t="str">
        <f>IF(Setting!J25="","",Setting!J25)</f>
        <v>Muhammad Nur Arzhian Kusuma</v>
      </c>
      <c r="C28" s="28">
        <f>IF(Setting!K25="","",Setting!K25)</f>
        <v>2008221</v>
      </c>
      <c r="D28" s="28" t="str">
        <f>IF(Setting!L25="","",Setting!L25)</f>
        <v>0053421781</v>
      </c>
      <c r="E28" s="15" t="str">
        <f>IF(Setting!$E$11="","",Setting!$E$11)</f>
        <v>XII MIPA 4</v>
      </c>
      <c r="F28" s="15" t="str">
        <f>'Input Nilai Sikap dan Catatan'!D23</f>
        <v>A</v>
      </c>
      <c r="G28" s="15" t="str">
        <f>'Input Nilai Sikap dan Catatan'!E23</f>
        <v>Mengikuti rutinitas ibadah dengan tertib dan mengamalkan nilai-nilai agama dalam kegiatan pembelajaran.</v>
      </c>
      <c r="H28" s="15" t="str">
        <f>'Input Nilai Sikap dan Catatan'!F23</f>
        <v>A</v>
      </c>
      <c r="I28" s="15" t="str">
        <f>'Input Nilai Sikap dan Catatan'!G23</f>
        <v>Memiliki sopan santun yang sangat baik dan mampu memposisikan diri dengan sangat baik dalam pertemanan</v>
      </c>
      <c r="J28" s="166">
        <v>93</v>
      </c>
      <c r="K28" s="167" t="s">
        <v>144</v>
      </c>
      <c r="L28" s="168" t="s">
        <v>2379</v>
      </c>
      <c r="M28" s="166">
        <v>88</v>
      </c>
      <c r="N28" s="167" t="s">
        <v>144</v>
      </c>
      <c r="O28" s="169" t="s">
        <v>2380</v>
      </c>
      <c r="P28" s="54">
        <v>89</v>
      </c>
      <c r="Q28" s="54" t="s">
        <v>144</v>
      </c>
      <c r="R28" s="54" t="s">
        <v>2395</v>
      </c>
      <c r="S28" s="54">
        <v>86</v>
      </c>
      <c r="T28" s="54" t="s">
        <v>145</v>
      </c>
      <c r="U28" s="54" t="s">
        <v>2394</v>
      </c>
      <c r="V28" s="166">
        <v>89</v>
      </c>
      <c r="W28" s="167" t="s">
        <v>144</v>
      </c>
      <c r="X28" s="168" t="s">
        <v>2456</v>
      </c>
      <c r="Y28" s="166">
        <v>90</v>
      </c>
      <c r="Z28" s="167" t="s">
        <v>144</v>
      </c>
      <c r="AA28" s="169" t="s">
        <v>2328</v>
      </c>
      <c r="AB28" s="54">
        <v>92</v>
      </c>
      <c r="AC28" s="54" t="s">
        <v>144</v>
      </c>
      <c r="AD28" s="54" t="s">
        <v>2375</v>
      </c>
      <c r="AE28" s="54">
        <v>90</v>
      </c>
      <c r="AF28" s="54" t="s">
        <v>144</v>
      </c>
      <c r="AG28" s="54" t="s">
        <v>2378</v>
      </c>
      <c r="AH28" s="52">
        <v>86</v>
      </c>
      <c r="AI28" s="52" t="s">
        <v>145</v>
      </c>
      <c r="AJ28" s="52" t="s">
        <v>2400</v>
      </c>
      <c r="AK28" s="52">
        <v>81</v>
      </c>
      <c r="AL28" s="52" t="s">
        <v>145</v>
      </c>
      <c r="AM28" s="52" t="s">
        <v>2399</v>
      </c>
      <c r="AN28" s="54">
        <v>88</v>
      </c>
      <c r="AO28" s="54" t="s">
        <v>144</v>
      </c>
      <c r="AP28" s="54" t="s">
        <v>2341</v>
      </c>
      <c r="AQ28" s="54">
        <v>86</v>
      </c>
      <c r="AR28" s="54" t="s">
        <v>145</v>
      </c>
      <c r="AS28" s="54" t="s">
        <v>2338</v>
      </c>
      <c r="AT28" s="166">
        <v>89</v>
      </c>
      <c r="AU28" s="167" t="s">
        <v>144</v>
      </c>
      <c r="AV28" s="168" t="s">
        <v>2396</v>
      </c>
      <c r="AW28" s="166">
        <v>94</v>
      </c>
      <c r="AX28" s="167" t="s">
        <v>144</v>
      </c>
      <c r="AY28" s="169" t="s">
        <v>2397</v>
      </c>
      <c r="AZ28" s="54">
        <v>91</v>
      </c>
      <c r="BA28" s="54" t="s">
        <v>144</v>
      </c>
      <c r="BB28" s="54" t="s">
        <v>2447</v>
      </c>
      <c r="BC28" s="54">
        <v>81</v>
      </c>
      <c r="BD28" s="54" t="s">
        <v>145</v>
      </c>
      <c r="BE28" s="54" t="s">
        <v>2443</v>
      </c>
      <c r="BF28" s="52">
        <v>92</v>
      </c>
      <c r="BG28" s="52" t="s">
        <v>144</v>
      </c>
      <c r="BH28" s="52" t="s">
        <v>2345</v>
      </c>
      <c r="BI28" s="52">
        <v>85</v>
      </c>
      <c r="BJ28" s="52" t="s">
        <v>145</v>
      </c>
      <c r="BK28" s="52" t="s">
        <v>2346</v>
      </c>
      <c r="BL28" s="54">
        <v>88</v>
      </c>
      <c r="BM28" s="54" t="s">
        <v>144</v>
      </c>
      <c r="BN28" s="54" t="s">
        <v>2325</v>
      </c>
      <c r="BO28" s="54">
        <v>88</v>
      </c>
      <c r="BP28" s="54" t="s">
        <v>144</v>
      </c>
      <c r="BQ28" s="54" t="s">
        <v>2326</v>
      </c>
      <c r="BR28" s="52">
        <v>88</v>
      </c>
      <c r="BS28" s="52" t="s">
        <v>144</v>
      </c>
      <c r="BT28" s="52" t="s">
        <v>2372</v>
      </c>
      <c r="BU28" s="52">
        <v>90</v>
      </c>
      <c r="BV28" s="52" t="s">
        <v>144</v>
      </c>
      <c r="BW28" s="52" t="s">
        <v>2367</v>
      </c>
      <c r="BX28" s="54">
        <v>83</v>
      </c>
      <c r="BY28" s="54" t="s">
        <v>145</v>
      </c>
      <c r="BZ28" s="54" t="s">
        <v>2391</v>
      </c>
      <c r="CA28" s="54">
        <v>81</v>
      </c>
      <c r="CB28" s="54" t="s">
        <v>145</v>
      </c>
      <c r="CC28" s="54" t="s">
        <v>2382</v>
      </c>
      <c r="CD28" s="166">
        <v>93</v>
      </c>
      <c r="CE28" s="167" t="s">
        <v>144</v>
      </c>
      <c r="CF28" s="168" t="s">
        <v>2363</v>
      </c>
      <c r="CG28" s="166">
        <v>90</v>
      </c>
      <c r="CH28" s="167" t="s">
        <v>144</v>
      </c>
      <c r="CI28" s="169" t="s">
        <v>2350</v>
      </c>
      <c r="CJ28" s="54">
        <v>89</v>
      </c>
      <c r="CK28" s="54" t="s">
        <v>144</v>
      </c>
      <c r="CL28" s="54" t="s">
        <v>2333</v>
      </c>
      <c r="CM28" s="54">
        <v>90</v>
      </c>
      <c r="CN28" s="54" t="s">
        <v>144</v>
      </c>
      <c r="CO28" s="54" t="s">
        <v>2332</v>
      </c>
      <c r="CP28" s="52">
        <v>87</v>
      </c>
      <c r="CQ28" s="52" t="s">
        <v>145</v>
      </c>
      <c r="CR28" s="52" t="s">
        <v>2435</v>
      </c>
      <c r="CS28" s="52">
        <v>86</v>
      </c>
      <c r="CT28" s="52" t="s">
        <v>145</v>
      </c>
      <c r="CU28" s="52" t="s">
        <v>2436</v>
      </c>
      <c r="CV28" s="52"/>
      <c r="CW28" s="52"/>
      <c r="CX28" s="52"/>
      <c r="CY28" s="52"/>
      <c r="CZ28" s="52"/>
      <c r="DA28" s="52"/>
      <c r="DB28" s="15" t="str">
        <f>'Input Ekstra'!E24</f>
        <v>Pramuka</v>
      </c>
      <c r="DC28" s="15" t="str">
        <f>'Input Ekstra'!F24</f>
        <v>Baik</v>
      </c>
      <c r="DD28" s="15" t="str">
        <f>'Input Ekstra'!G24</f>
        <v>Peserta didik terampil membuat pionering, mampu menguasai gerakan PBB dan mengetahui salah satu kesenian daerah</v>
      </c>
      <c r="DE28" s="15" t="str">
        <f>'Input Ekstra'!H24</f>
        <v>Badminton</v>
      </c>
      <c r="DF28" s="15" t="str">
        <f>'Input Ekstra'!I24</f>
        <v>Baik</v>
      </c>
      <c r="DG28" s="15" t="str">
        <f>'Input Ekstra'!J24</f>
        <v>Peserta didik mampu mengikuti kegiatan ekstrakurikuler badminton dengan baik</v>
      </c>
      <c r="DH28" s="15">
        <f>'Input Kehadiran'!E24</f>
        <v>0</v>
      </c>
      <c r="DI28" s="15">
        <f>'Input Kehadiran'!F24</f>
        <v>0</v>
      </c>
      <c r="DJ28" s="15">
        <f>'Input Kehadiran'!G24</f>
        <v>0</v>
      </c>
      <c r="DK28" s="48">
        <f>'Input Prestasi'!D25</f>
        <v>0</v>
      </c>
      <c r="DL28" s="48">
        <f>'Input Prestasi'!E25</f>
        <v>0</v>
      </c>
      <c r="DM28" s="48">
        <f>'Input Prestasi'!F25</f>
        <v>0</v>
      </c>
      <c r="DN28" s="48">
        <f>'Input Prestasi'!G25</f>
        <v>0</v>
      </c>
      <c r="DO28" s="48">
        <f>'Input Prestasi'!H25</f>
        <v>0</v>
      </c>
      <c r="DP28" s="48">
        <f>'Input Prestasi'!I25</f>
        <v>0</v>
      </c>
      <c r="DQ28" s="48">
        <f>'Input Prestasi'!J25</f>
        <v>0</v>
      </c>
      <c r="DR28" s="48">
        <f>'Input Prestasi'!K25</f>
        <v>0</v>
      </c>
      <c r="DS28" s="15" t="str">
        <f>'Input Nilai Sikap dan Catatan'!H23</f>
        <v>Peserta didik sudah mampu menempatkan diri dengan baik. Pertahankan kepribadian yang mampu menggerakkan teman-teman dalam kebaikan.</v>
      </c>
    </row>
    <row r="29" spans="1:123" x14ac:dyDescent="0.25">
      <c r="A29" s="12">
        <v>21</v>
      </c>
      <c r="B29" s="23" t="str">
        <f>IF(Setting!J26="","",Setting!J26)</f>
        <v>Muhammad Rafif Rizqullah</v>
      </c>
      <c r="C29" s="28">
        <f>IF(Setting!K26="","",Setting!K26)</f>
        <v>2008222</v>
      </c>
      <c r="D29" s="28" t="str">
        <f>IF(Setting!L26="","",Setting!L26)</f>
        <v>0044559979</v>
      </c>
      <c r="E29" s="15" t="str">
        <f>IF(Setting!$E$11="","",Setting!$E$11)</f>
        <v>XII MIPA 4</v>
      </c>
      <c r="F29" s="15" t="str">
        <f>'Input Nilai Sikap dan Catatan'!D24</f>
        <v>A</v>
      </c>
      <c r="G29" s="15" t="str">
        <f>'Input Nilai Sikap dan Catatan'!E24</f>
        <v>Mengikuti rutinitas ibadah dengan tertib dan mengamalkan nilai-nilai agama dalam kegiatan pembelajaran.</v>
      </c>
      <c r="H29" s="15" t="str">
        <f>'Input Nilai Sikap dan Catatan'!F24</f>
        <v>B</v>
      </c>
      <c r="I29" s="15" t="str">
        <f>'Input Nilai Sikap dan Catatan'!G24</f>
        <v>Memiliki sopan santun yang baik dan mampu memposisikan diri dengan baik dalam pertemanan</v>
      </c>
      <c r="J29" s="166">
        <v>93</v>
      </c>
      <c r="K29" s="167" t="s">
        <v>144</v>
      </c>
      <c r="L29" s="168" t="s">
        <v>2379</v>
      </c>
      <c r="M29" s="166">
        <v>88</v>
      </c>
      <c r="N29" s="167" t="s">
        <v>144</v>
      </c>
      <c r="O29" s="169" t="s">
        <v>2380</v>
      </c>
      <c r="P29" s="54">
        <v>86</v>
      </c>
      <c r="Q29" s="54" t="s">
        <v>145</v>
      </c>
      <c r="R29" s="54" t="s">
        <v>2393</v>
      </c>
      <c r="S29" s="54">
        <v>83</v>
      </c>
      <c r="T29" s="54" t="s">
        <v>145</v>
      </c>
      <c r="U29" s="54" t="s">
        <v>2394</v>
      </c>
      <c r="V29" s="166">
        <v>88</v>
      </c>
      <c r="W29" s="167" t="s">
        <v>144</v>
      </c>
      <c r="X29" s="168" t="s">
        <v>2457</v>
      </c>
      <c r="Y29" s="166">
        <v>89</v>
      </c>
      <c r="Z29" s="167" t="s">
        <v>144</v>
      </c>
      <c r="AA29" s="169" t="s">
        <v>2328</v>
      </c>
      <c r="AB29" s="54">
        <v>89</v>
      </c>
      <c r="AC29" s="54" t="s">
        <v>144</v>
      </c>
      <c r="AD29" s="54" t="s">
        <v>2375</v>
      </c>
      <c r="AE29" s="54">
        <v>85</v>
      </c>
      <c r="AF29" s="54" t="s">
        <v>145</v>
      </c>
      <c r="AG29" s="54" t="s">
        <v>2376</v>
      </c>
      <c r="AH29" s="52">
        <v>89</v>
      </c>
      <c r="AI29" s="52" t="s">
        <v>144</v>
      </c>
      <c r="AJ29" s="52" t="s">
        <v>2400</v>
      </c>
      <c r="AK29" s="52">
        <v>85</v>
      </c>
      <c r="AL29" s="52" t="s">
        <v>145</v>
      </c>
      <c r="AM29" s="52" t="s">
        <v>2399</v>
      </c>
      <c r="AN29" s="54">
        <v>90</v>
      </c>
      <c r="AO29" s="54" t="s">
        <v>144</v>
      </c>
      <c r="AP29" s="54" t="s">
        <v>2344</v>
      </c>
      <c r="AQ29" s="54">
        <v>80</v>
      </c>
      <c r="AR29" s="54" t="s">
        <v>145</v>
      </c>
      <c r="AS29" s="54" t="s">
        <v>2338</v>
      </c>
      <c r="AT29" s="166">
        <v>90</v>
      </c>
      <c r="AU29" s="167" t="s">
        <v>144</v>
      </c>
      <c r="AV29" s="168" t="s">
        <v>2396</v>
      </c>
      <c r="AW29" s="166">
        <v>93</v>
      </c>
      <c r="AX29" s="167" t="s">
        <v>144</v>
      </c>
      <c r="AY29" s="169" t="s">
        <v>2397</v>
      </c>
      <c r="AZ29" s="54">
        <v>91</v>
      </c>
      <c r="BA29" s="54" t="s">
        <v>144</v>
      </c>
      <c r="BB29" s="54" t="s">
        <v>2449</v>
      </c>
      <c r="BC29" s="54">
        <v>84</v>
      </c>
      <c r="BD29" s="54" t="s">
        <v>145</v>
      </c>
      <c r="BE29" s="54" t="s">
        <v>2443</v>
      </c>
      <c r="BF29" s="52">
        <v>93</v>
      </c>
      <c r="BG29" s="52" t="s">
        <v>144</v>
      </c>
      <c r="BH29" s="52" t="s">
        <v>2345</v>
      </c>
      <c r="BI29" s="52">
        <v>92</v>
      </c>
      <c r="BJ29" s="52" t="s">
        <v>144</v>
      </c>
      <c r="BK29" s="52" t="s">
        <v>2346</v>
      </c>
      <c r="BL29" s="54">
        <v>86</v>
      </c>
      <c r="BM29" s="54" t="s">
        <v>145</v>
      </c>
      <c r="BN29" s="54" t="s">
        <v>2325</v>
      </c>
      <c r="BO29" s="54">
        <v>86</v>
      </c>
      <c r="BP29" s="54" t="s">
        <v>145</v>
      </c>
      <c r="BQ29" s="54" t="s">
        <v>2326</v>
      </c>
      <c r="BR29" s="52">
        <v>90</v>
      </c>
      <c r="BS29" s="52" t="s">
        <v>144</v>
      </c>
      <c r="BT29" s="52" t="s">
        <v>2368</v>
      </c>
      <c r="BU29" s="52">
        <v>91</v>
      </c>
      <c r="BV29" s="52" t="s">
        <v>144</v>
      </c>
      <c r="BW29" s="52" t="s">
        <v>2367</v>
      </c>
      <c r="BX29" s="54">
        <v>84</v>
      </c>
      <c r="BY29" s="54" t="s">
        <v>145</v>
      </c>
      <c r="BZ29" s="54" t="s">
        <v>2390</v>
      </c>
      <c r="CA29" s="54">
        <v>81</v>
      </c>
      <c r="CB29" s="54" t="s">
        <v>145</v>
      </c>
      <c r="CC29" s="54" t="s">
        <v>2382</v>
      </c>
      <c r="CD29" s="166">
        <v>93</v>
      </c>
      <c r="CE29" s="167" t="s">
        <v>144</v>
      </c>
      <c r="CF29" s="168" t="s">
        <v>2360</v>
      </c>
      <c r="CG29" s="166">
        <v>90</v>
      </c>
      <c r="CH29" s="167" t="s">
        <v>144</v>
      </c>
      <c r="CI29" s="169" t="s">
        <v>2350</v>
      </c>
      <c r="CJ29" s="54">
        <v>90</v>
      </c>
      <c r="CK29" s="54" t="s">
        <v>144</v>
      </c>
      <c r="CL29" s="54" t="s">
        <v>2331</v>
      </c>
      <c r="CM29" s="54">
        <v>85</v>
      </c>
      <c r="CN29" s="54" t="s">
        <v>145</v>
      </c>
      <c r="CO29" s="54" t="s">
        <v>2332</v>
      </c>
      <c r="CP29" s="52">
        <v>89</v>
      </c>
      <c r="CQ29" s="52" t="s">
        <v>144</v>
      </c>
      <c r="CR29" s="52" t="s">
        <v>2438</v>
      </c>
      <c r="CS29" s="52">
        <v>86</v>
      </c>
      <c r="CT29" s="52" t="s">
        <v>145</v>
      </c>
      <c r="CU29" s="52" t="s">
        <v>2436</v>
      </c>
      <c r="CV29" s="52"/>
      <c r="CW29" s="52"/>
      <c r="CX29" s="52"/>
      <c r="CY29" s="52"/>
      <c r="CZ29" s="52"/>
      <c r="DA29" s="52"/>
      <c r="DB29" s="15" t="str">
        <f>'Input Ekstra'!E25</f>
        <v>Pramuka</v>
      </c>
      <c r="DC29" s="15" t="str">
        <f>'Input Ekstra'!F25</f>
        <v>Baik</v>
      </c>
      <c r="DD29" s="15" t="str">
        <f>'Input Ekstra'!G25</f>
        <v>Peserta didik terampil membuat pionering, mampu menguasai gerakan PBB dan mengetahui salah satu kesenian daerah</v>
      </c>
      <c r="DE29" s="15" t="str">
        <f>'Input Ekstra'!H25</f>
        <v>Voli</v>
      </c>
      <c r="DF29" s="15" t="str">
        <f>'Input Ekstra'!I25</f>
        <v>Baik</v>
      </c>
      <c r="DG29" s="15" t="str">
        <f>'Input Ekstra'!J25</f>
        <v>Peserta didik mampu mengikuti kegiatan ekstrakurikuler voli dengan baik</v>
      </c>
      <c r="DH29" s="15">
        <f>'Input Kehadiran'!E25</f>
        <v>1</v>
      </c>
      <c r="DI29" s="15">
        <f>'Input Kehadiran'!F25</f>
        <v>3</v>
      </c>
      <c r="DJ29" s="15">
        <f>'Input Kehadiran'!G25</f>
        <v>0</v>
      </c>
      <c r="DK29" s="48">
        <f>'Input Prestasi'!D26</f>
        <v>0</v>
      </c>
      <c r="DL29" s="48">
        <f>'Input Prestasi'!E26</f>
        <v>0</v>
      </c>
      <c r="DM29" s="48">
        <f>'Input Prestasi'!F26</f>
        <v>0</v>
      </c>
      <c r="DN29" s="48">
        <f>'Input Prestasi'!G26</f>
        <v>0</v>
      </c>
      <c r="DO29" s="48">
        <f>'Input Prestasi'!H26</f>
        <v>0</v>
      </c>
      <c r="DP29" s="48">
        <f>'Input Prestasi'!I26</f>
        <v>0</v>
      </c>
      <c r="DQ29" s="48">
        <f>'Input Prestasi'!J26</f>
        <v>0</v>
      </c>
      <c r="DR29" s="48">
        <f>'Input Prestasi'!K26</f>
        <v>0</v>
      </c>
      <c r="DS29" s="15" t="str">
        <f>'Input Nilai Sikap dan Catatan'!H24</f>
        <v>Peserta didik sudah mampu menempatkan diri dengan baik. Pertahankan kepribadian yang mampu menggerakkan teman-teman dalam kebaikan.</v>
      </c>
    </row>
    <row r="30" spans="1:123" x14ac:dyDescent="0.25">
      <c r="A30" s="12">
        <v>22</v>
      </c>
      <c r="B30" s="23" t="str">
        <f>IF(Setting!J27="","",Setting!J27)</f>
        <v>Muhammad Raihan Al Faridzi</v>
      </c>
      <c r="C30" s="28">
        <f>IF(Setting!K27="","",Setting!K27)</f>
        <v>2008223</v>
      </c>
      <c r="D30" s="28" t="str">
        <f>IF(Setting!L27="","",Setting!L27)</f>
        <v>0047550264</v>
      </c>
      <c r="E30" s="15" t="str">
        <f>IF(Setting!$E$11="","",Setting!$E$11)</f>
        <v>XII MIPA 4</v>
      </c>
      <c r="F30" s="15" t="str">
        <f>'Input Nilai Sikap dan Catatan'!D25</f>
        <v>A</v>
      </c>
      <c r="G30" s="15" t="str">
        <f>'Input Nilai Sikap dan Catatan'!E25</f>
        <v>Mengikuti rutinitas ibadah dengan tertib dan mengamalkan nilai-nilai agama dalam kegiatan pembelajaran.</v>
      </c>
      <c r="H30" s="15" t="str">
        <f>'Input Nilai Sikap dan Catatan'!F25</f>
        <v>A</v>
      </c>
      <c r="I30" s="15" t="str">
        <f>'Input Nilai Sikap dan Catatan'!G25</f>
        <v>Memiliki sopan santun yang sangat baik dan mampu memposisikan diri dengan sangat baik dalam pertemanan</v>
      </c>
      <c r="J30" s="166">
        <v>94</v>
      </c>
      <c r="K30" s="167" t="s">
        <v>144</v>
      </c>
      <c r="L30" s="168" t="s">
        <v>2379</v>
      </c>
      <c r="M30" s="166">
        <v>88</v>
      </c>
      <c r="N30" s="167" t="s">
        <v>144</v>
      </c>
      <c r="O30" s="169" t="s">
        <v>2380</v>
      </c>
      <c r="P30" s="54">
        <v>88</v>
      </c>
      <c r="Q30" s="54" t="s">
        <v>144</v>
      </c>
      <c r="R30" s="54" t="s">
        <v>2393</v>
      </c>
      <c r="S30" s="54">
        <v>91</v>
      </c>
      <c r="T30" s="54" t="s">
        <v>144</v>
      </c>
      <c r="U30" s="54" t="s">
        <v>2394</v>
      </c>
      <c r="V30" s="166">
        <v>85</v>
      </c>
      <c r="W30" s="167" t="s">
        <v>145</v>
      </c>
      <c r="X30" s="168" t="s">
        <v>2330</v>
      </c>
      <c r="Y30" s="166">
        <v>89</v>
      </c>
      <c r="Z30" s="167" t="s">
        <v>144</v>
      </c>
      <c r="AA30" s="169" t="s">
        <v>2328</v>
      </c>
      <c r="AB30" s="54">
        <v>94</v>
      </c>
      <c r="AC30" s="54" t="s">
        <v>144</v>
      </c>
      <c r="AD30" s="54" t="s">
        <v>2377</v>
      </c>
      <c r="AE30" s="54">
        <v>88</v>
      </c>
      <c r="AF30" s="54" t="s">
        <v>144</v>
      </c>
      <c r="AG30" s="54" t="s">
        <v>2376</v>
      </c>
      <c r="AH30" s="52">
        <v>87</v>
      </c>
      <c r="AI30" s="52" t="s">
        <v>145</v>
      </c>
      <c r="AJ30" s="52" t="s">
        <v>2400</v>
      </c>
      <c r="AK30" s="52">
        <v>82</v>
      </c>
      <c r="AL30" s="52" t="s">
        <v>145</v>
      </c>
      <c r="AM30" s="52" t="s">
        <v>2399</v>
      </c>
      <c r="AN30" s="54">
        <v>89</v>
      </c>
      <c r="AO30" s="54" t="s">
        <v>144</v>
      </c>
      <c r="AP30" s="54" t="s">
        <v>2340</v>
      </c>
      <c r="AQ30" s="54">
        <v>88</v>
      </c>
      <c r="AR30" s="54" t="s">
        <v>144</v>
      </c>
      <c r="AS30" s="54" t="s">
        <v>2338</v>
      </c>
      <c r="AT30" s="166">
        <v>89</v>
      </c>
      <c r="AU30" s="167" t="s">
        <v>144</v>
      </c>
      <c r="AV30" s="168" t="s">
        <v>2396</v>
      </c>
      <c r="AW30" s="166">
        <v>90</v>
      </c>
      <c r="AX30" s="167" t="s">
        <v>144</v>
      </c>
      <c r="AY30" s="169" t="s">
        <v>2397</v>
      </c>
      <c r="AZ30" s="54">
        <v>92</v>
      </c>
      <c r="BA30" s="54" t="s">
        <v>144</v>
      </c>
      <c r="BB30" s="54" t="s">
        <v>2442</v>
      </c>
      <c r="BC30" s="54">
        <v>83</v>
      </c>
      <c r="BD30" s="54" t="s">
        <v>145</v>
      </c>
      <c r="BE30" s="54" t="s">
        <v>2443</v>
      </c>
      <c r="BF30" s="52">
        <v>96</v>
      </c>
      <c r="BG30" s="52" t="s">
        <v>144</v>
      </c>
      <c r="BH30" s="52" t="s">
        <v>2345</v>
      </c>
      <c r="BI30" s="52">
        <v>90</v>
      </c>
      <c r="BJ30" s="52" t="s">
        <v>144</v>
      </c>
      <c r="BK30" s="52" t="s">
        <v>2346</v>
      </c>
      <c r="BL30" s="54">
        <v>82</v>
      </c>
      <c r="BM30" s="54" t="s">
        <v>145</v>
      </c>
      <c r="BN30" s="54" t="s">
        <v>2325</v>
      </c>
      <c r="BO30" s="54">
        <v>82</v>
      </c>
      <c r="BP30" s="54" t="s">
        <v>145</v>
      </c>
      <c r="BQ30" s="54" t="s">
        <v>2326</v>
      </c>
      <c r="BR30" s="52">
        <v>95</v>
      </c>
      <c r="BS30" s="52" t="s">
        <v>144</v>
      </c>
      <c r="BT30" s="52" t="s">
        <v>2366</v>
      </c>
      <c r="BU30" s="52">
        <v>95</v>
      </c>
      <c r="BV30" s="52" t="s">
        <v>144</v>
      </c>
      <c r="BW30" s="52" t="s">
        <v>2367</v>
      </c>
      <c r="BX30" s="54">
        <v>87</v>
      </c>
      <c r="BY30" s="54" t="s">
        <v>145</v>
      </c>
      <c r="BZ30" s="54" t="s">
        <v>2381</v>
      </c>
      <c r="CA30" s="54">
        <v>85</v>
      </c>
      <c r="CB30" s="54" t="s">
        <v>145</v>
      </c>
      <c r="CC30" s="54" t="s">
        <v>2382</v>
      </c>
      <c r="CD30" s="166">
        <v>96</v>
      </c>
      <c r="CE30" s="167" t="s">
        <v>144</v>
      </c>
      <c r="CF30" s="168" t="s">
        <v>2362</v>
      </c>
      <c r="CG30" s="166">
        <v>90</v>
      </c>
      <c r="CH30" s="167" t="s">
        <v>144</v>
      </c>
      <c r="CI30" s="169" t="s">
        <v>2350</v>
      </c>
      <c r="CJ30" s="54">
        <v>95</v>
      </c>
      <c r="CK30" s="54" t="s">
        <v>144</v>
      </c>
      <c r="CL30" s="54" t="s">
        <v>2331</v>
      </c>
      <c r="CM30" s="54">
        <v>95</v>
      </c>
      <c r="CN30" s="54" t="s">
        <v>144</v>
      </c>
      <c r="CO30" s="54" t="s">
        <v>2332</v>
      </c>
      <c r="CP30" s="52">
        <v>93</v>
      </c>
      <c r="CQ30" s="52" t="s">
        <v>144</v>
      </c>
      <c r="CR30" s="52" t="s">
        <v>2437</v>
      </c>
      <c r="CS30" s="52">
        <v>86</v>
      </c>
      <c r="CT30" s="52" t="s">
        <v>145</v>
      </c>
      <c r="CU30" s="52" t="s">
        <v>2436</v>
      </c>
      <c r="CV30" s="52"/>
      <c r="CW30" s="52"/>
      <c r="CX30" s="52"/>
      <c r="CY30" s="52"/>
      <c r="CZ30" s="52"/>
      <c r="DA30" s="52"/>
      <c r="DB30" s="15" t="str">
        <f>'Input Ekstra'!E26</f>
        <v>Pramuka</v>
      </c>
      <c r="DC30" s="15" t="str">
        <f>'Input Ekstra'!F26</f>
        <v>Baik</v>
      </c>
      <c r="DD30" s="15" t="str">
        <f>'Input Ekstra'!G26</f>
        <v>Peserta didik terampil membuat pionering, mampu menguasai gerakan PBB dan mengetahui salah satu kesenian daerah</v>
      </c>
      <c r="DE30" s="15" t="str">
        <f>'Input Ekstra'!H26</f>
        <v>Taekwondo</v>
      </c>
      <c r="DF30" s="15" t="str">
        <f>'Input Ekstra'!I26</f>
        <v>Baik</v>
      </c>
      <c r="DG30" s="15" t="str">
        <f>'Input Ekstra'!J26</f>
        <v>Peserta didik mampu mengikuti kegiatan ekstrakurikuler taekwondo dengan baik</v>
      </c>
      <c r="DH30" s="15">
        <f>'Input Kehadiran'!E26</f>
        <v>0</v>
      </c>
      <c r="DI30" s="15">
        <f>'Input Kehadiran'!F26</f>
        <v>0</v>
      </c>
      <c r="DJ30" s="15">
        <f>'Input Kehadiran'!G26</f>
        <v>0</v>
      </c>
      <c r="DK30" s="48">
        <f>'Input Prestasi'!D27</f>
        <v>0</v>
      </c>
      <c r="DL30" s="48">
        <f>'Input Prestasi'!E27</f>
        <v>0</v>
      </c>
      <c r="DM30" s="48">
        <f>'Input Prestasi'!F27</f>
        <v>0</v>
      </c>
      <c r="DN30" s="48">
        <f>'Input Prestasi'!G27</f>
        <v>0</v>
      </c>
      <c r="DO30" s="48">
        <f>'Input Prestasi'!H27</f>
        <v>0</v>
      </c>
      <c r="DP30" s="48">
        <f>'Input Prestasi'!I27</f>
        <v>0</v>
      </c>
      <c r="DQ30" s="48">
        <f>'Input Prestasi'!J27</f>
        <v>0</v>
      </c>
      <c r="DR30" s="48">
        <f>'Input Prestasi'!K27</f>
        <v>0</v>
      </c>
      <c r="DS30" s="15" t="str">
        <f>'Input Nilai Sikap dan Catatan'!H25</f>
        <v>Peserta didik sudah mampu menempatkan diri dengan baik. Pertahankan kepribadian yang mampu menggerakkan teman-teman dalam kebaikan.</v>
      </c>
    </row>
    <row r="31" spans="1:123" x14ac:dyDescent="0.25">
      <c r="A31" s="12">
        <v>23</v>
      </c>
      <c r="B31" s="23" t="str">
        <f>IF(Setting!J28="","",Setting!J28)</f>
        <v>Muhammad Rakan Hafidh Al Ghalib</v>
      </c>
      <c r="C31" s="28">
        <f>IF(Setting!K28="","",Setting!K28)</f>
        <v>2008224</v>
      </c>
      <c r="D31" s="28" t="str">
        <f>IF(Setting!L28="","",Setting!L28)</f>
        <v>0053955049</v>
      </c>
      <c r="E31" s="15" t="str">
        <f>IF(Setting!$E$11="","",Setting!$E$11)</f>
        <v>XII MIPA 4</v>
      </c>
      <c r="F31" s="15" t="str">
        <f>'Input Nilai Sikap dan Catatan'!D26</f>
        <v>A</v>
      </c>
      <c r="G31" s="15" t="str">
        <f>'Input Nilai Sikap dan Catatan'!E26</f>
        <v>Mengikuti rutinitas ibadah dengan tertib dan mengamalkan nilai-nilai agama dalam kegiatan pembelajaran.</v>
      </c>
      <c r="H31" s="15" t="str">
        <f>'Input Nilai Sikap dan Catatan'!F26</f>
        <v>B</v>
      </c>
      <c r="I31" s="15" t="str">
        <f>'Input Nilai Sikap dan Catatan'!G26</f>
        <v>Memiliki sopan santun yang baik dan mampu memposisikan diri dengan baik dalam pertemanan</v>
      </c>
      <c r="J31" s="166">
        <v>93</v>
      </c>
      <c r="K31" s="167" t="s">
        <v>144</v>
      </c>
      <c r="L31" s="168" t="s">
        <v>2379</v>
      </c>
      <c r="M31" s="166">
        <v>88</v>
      </c>
      <c r="N31" s="167" t="s">
        <v>144</v>
      </c>
      <c r="O31" s="169" t="s">
        <v>2380</v>
      </c>
      <c r="P31" s="54">
        <v>90</v>
      </c>
      <c r="Q31" s="54" t="s">
        <v>144</v>
      </c>
      <c r="R31" s="54" t="s">
        <v>2393</v>
      </c>
      <c r="S31" s="54">
        <v>94</v>
      </c>
      <c r="T31" s="54" t="s">
        <v>144</v>
      </c>
      <c r="U31" s="54" t="s">
        <v>2394</v>
      </c>
      <c r="V31" s="166">
        <v>91</v>
      </c>
      <c r="W31" s="167" t="s">
        <v>144</v>
      </c>
      <c r="X31" s="168" t="s">
        <v>2456</v>
      </c>
      <c r="Y31" s="166">
        <v>91</v>
      </c>
      <c r="Z31" s="167" t="s">
        <v>144</v>
      </c>
      <c r="AA31" s="169" t="s">
        <v>2328</v>
      </c>
      <c r="AB31" s="54">
        <v>94</v>
      </c>
      <c r="AC31" s="54" t="s">
        <v>144</v>
      </c>
      <c r="AD31" s="54" t="s">
        <v>2375</v>
      </c>
      <c r="AE31" s="54">
        <v>93</v>
      </c>
      <c r="AF31" s="54" t="s">
        <v>144</v>
      </c>
      <c r="AG31" s="54" t="s">
        <v>2378</v>
      </c>
      <c r="AH31" s="52">
        <v>92</v>
      </c>
      <c r="AI31" s="52" t="s">
        <v>144</v>
      </c>
      <c r="AJ31" s="52" t="s">
        <v>2400</v>
      </c>
      <c r="AK31" s="52">
        <v>86</v>
      </c>
      <c r="AL31" s="52" t="s">
        <v>145</v>
      </c>
      <c r="AM31" s="52" t="s">
        <v>2399</v>
      </c>
      <c r="AN31" s="54">
        <v>90</v>
      </c>
      <c r="AO31" s="54" t="s">
        <v>144</v>
      </c>
      <c r="AP31" s="54" t="s">
        <v>2343</v>
      </c>
      <c r="AQ31" s="54">
        <v>80</v>
      </c>
      <c r="AR31" s="54" t="s">
        <v>145</v>
      </c>
      <c r="AS31" s="54" t="s">
        <v>2338</v>
      </c>
      <c r="AT31" s="166">
        <v>93</v>
      </c>
      <c r="AU31" s="167" t="s">
        <v>144</v>
      </c>
      <c r="AV31" s="168" t="s">
        <v>2396</v>
      </c>
      <c r="AW31" s="166">
        <v>90</v>
      </c>
      <c r="AX31" s="167" t="s">
        <v>144</v>
      </c>
      <c r="AY31" s="169" t="s">
        <v>2397</v>
      </c>
      <c r="AZ31" s="54">
        <v>92</v>
      </c>
      <c r="BA31" s="54" t="s">
        <v>144</v>
      </c>
      <c r="BB31" s="54" t="s">
        <v>2447</v>
      </c>
      <c r="BC31" s="54">
        <v>86</v>
      </c>
      <c r="BD31" s="54" t="s">
        <v>145</v>
      </c>
      <c r="BE31" s="54" t="s">
        <v>2443</v>
      </c>
      <c r="BF31" s="52">
        <v>95</v>
      </c>
      <c r="BG31" s="52" t="s">
        <v>144</v>
      </c>
      <c r="BH31" s="52" t="s">
        <v>2345</v>
      </c>
      <c r="BI31" s="52">
        <v>92</v>
      </c>
      <c r="BJ31" s="52" t="s">
        <v>144</v>
      </c>
      <c r="BK31" s="52" t="s">
        <v>2346</v>
      </c>
      <c r="BL31" s="54">
        <v>91</v>
      </c>
      <c r="BM31" s="54" t="s">
        <v>144</v>
      </c>
      <c r="BN31" s="54" t="s">
        <v>2325</v>
      </c>
      <c r="BO31" s="54">
        <v>91</v>
      </c>
      <c r="BP31" s="54" t="s">
        <v>144</v>
      </c>
      <c r="BQ31" s="54" t="s">
        <v>2326</v>
      </c>
      <c r="BR31" s="52">
        <v>85</v>
      </c>
      <c r="BS31" s="52" t="s">
        <v>145</v>
      </c>
      <c r="BT31" s="52" t="s">
        <v>2366</v>
      </c>
      <c r="BU31" s="52">
        <v>82</v>
      </c>
      <c r="BV31" s="52" t="s">
        <v>145</v>
      </c>
      <c r="BW31" s="52" t="s">
        <v>2367</v>
      </c>
      <c r="BX31" s="54">
        <v>89</v>
      </c>
      <c r="BY31" s="54" t="s">
        <v>144</v>
      </c>
      <c r="BZ31" s="54" t="s">
        <v>2383</v>
      </c>
      <c r="CA31" s="54">
        <v>86</v>
      </c>
      <c r="CB31" s="54" t="s">
        <v>145</v>
      </c>
      <c r="CC31" s="54" t="s">
        <v>2382</v>
      </c>
      <c r="CD31" s="166">
        <v>95</v>
      </c>
      <c r="CE31" s="167" t="s">
        <v>144</v>
      </c>
      <c r="CF31" s="168" t="s">
        <v>2362</v>
      </c>
      <c r="CG31" s="166">
        <v>90</v>
      </c>
      <c r="CH31" s="167" t="s">
        <v>144</v>
      </c>
      <c r="CI31" s="169" t="s">
        <v>2350</v>
      </c>
      <c r="CJ31" s="54">
        <v>90</v>
      </c>
      <c r="CK31" s="54" t="s">
        <v>144</v>
      </c>
      <c r="CL31" s="54" t="s">
        <v>2335</v>
      </c>
      <c r="CM31" s="54">
        <v>85</v>
      </c>
      <c r="CN31" s="54" t="s">
        <v>145</v>
      </c>
      <c r="CO31" s="54" t="s">
        <v>2332</v>
      </c>
      <c r="CP31" s="52">
        <v>92</v>
      </c>
      <c r="CQ31" s="52" t="s">
        <v>144</v>
      </c>
      <c r="CR31" s="52" t="s">
        <v>2435</v>
      </c>
      <c r="CS31" s="52">
        <v>86</v>
      </c>
      <c r="CT31" s="52" t="s">
        <v>145</v>
      </c>
      <c r="CU31" s="52" t="s">
        <v>2436</v>
      </c>
      <c r="CV31" s="52"/>
      <c r="CW31" s="52"/>
      <c r="CX31" s="52"/>
      <c r="CY31" s="52"/>
      <c r="CZ31" s="52"/>
      <c r="DA31" s="52"/>
      <c r="DB31" s="15" t="str">
        <f>'Input Ekstra'!E27</f>
        <v>Pramuka</v>
      </c>
      <c r="DC31" s="15" t="str">
        <f>'Input Ekstra'!F27</f>
        <v>Baik</v>
      </c>
      <c r="DD31" s="15" t="str">
        <f>'Input Ekstra'!G27</f>
        <v>Peserta didik terampil membuat pionering, mampu menguasai gerakan PBB dan mengetahui salah satu kesenian daerah</v>
      </c>
      <c r="DE31" s="15" t="str">
        <f>'Input Ekstra'!H27</f>
        <v>Manga</v>
      </c>
      <c r="DF31" s="15" t="str">
        <f>'Input Ekstra'!I27</f>
        <v>Baik</v>
      </c>
      <c r="DG31" s="15" t="str">
        <f>'Input Ekstra'!J27</f>
        <v>Peserta didik mampu mengikuti kegiatan ekstrakurikuler manga dengan baik</v>
      </c>
      <c r="DH31" s="15">
        <f>'Input Kehadiran'!E27</f>
        <v>1</v>
      </c>
      <c r="DI31" s="15">
        <f>'Input Kehadiran'!F27</f>
        <v>1</v>
      </c>
      <c r="DJ31" s="15">
        <f>'Input Kehadiran'!G27</f>
        <v>0</v>
      </c>
      <c r="DK31" s="48">
        <f>'Input Prestasi'!D28</f>
        <v>0</v>
      </c>
      <c r="DL31" s="48">
        <f>'Input Prestasi'!E28</f>
        <v>0</v>
      </c>
      <c r="DM31" s="48">
        <f>'Input Prestasi'!F28</f>
        <v>0</v>
      </c>
      <c r="DN31" s="48">
        <f>'Input Prestasi'!G28</f>
        <v>0</v>
      </c>
      <c r="DO31" s="48">
        <f>'Input Prestasi'!H28</f>
        <v>0</v>
      </c>
      <c r="DP31" s="48">
        <f>'Input Prestasi'!I28</f>
        <v>0</v>
      </c>
      <c r="DQ31" s="48">
        <f>'Input Prestasi'!J28</f>
        <v>0</v>
      </c>
      <c r="DR31" s="48">
        <f>'Input Prestasi'!K28</f>
        <v>0</v>
      </c>
      <c r="DS31" s="15" t="str">
        <f>'Input Nilai Sikap dan Catatan'!H26</f>
        <v>Peserta didik sudah mampu menempatkan diri dengan baik. Pertahankan kepribadian yang mampu menggerakkan teman-teman dalam kebaikan.</v>
      </c>
    </row>
    <row r="32" spans="1:123" x14ac:dyDescent="0.25">
      <c r="A32" s="12">
        <v>24</v>
      </c>
      <c r="B32" s="23" t="str">
        <f>IF(Setting!J29="","",Setting!J29)</f>
        <v>Muhammad Syamu Naufal</v>
      </c>
      <c r="C32" s="28">
        <f>IF(Setting!K29="","",Setting!K29)</f>
        <v>2008230</v>
      </c>
      <c r="D32" s="28" t="str">
        <f>IF(Setting!L29="","",Setting!L29)</f>
        <v>0045892500</v>
      </c>
      <c r="E32" s="15" t="str">
        <f>IF(Setting!$E$11="","",Setting!$E$11)</f>
        <v>XII MIPA 4</v>
      </c>
      <c r="F32" s="15" t="str">
        <f>'Input Nilai Sikap dan Catatan'!D27</f>
        <v>A</v>
      </c>
      <c r="G32" s="15" t="str">
        <f>'Input Nilai Sikap dan Catatan'!E27</f>
        <v>Mengikuti rutinitas ibadah dengan tertib dan mengamalkan nilai-nilai agama dalam kegiatan pembelajaran.</v>
      </c>
      <c r="H32" s="15" t="str">
        <f>'Input Nilai Sikap dan Catatan'!F27</f>
        <v>A</v>
      </c>
      <c r="I32" s="15" t="str">
        <f>'Input Nilai Sikap dan Catatan'!G27</f>
        <v>Memiliki sopan santun yang sangat baik dan mampu memposisikan diri dengan sangat baik dalam pertemanan</v>
      </c>
      <c r="J32" s="166">
        <v>93</v>
      </c>
      <c r="K32" s="167" t="s">
        <v>144</v>
      </c>
      <c r="L32" s="168" t="s">
        <v>2379</v>
      </c>
      <c r="M32" s="166">
        <v>88</v>
      </c>
      <c r="N32" s="167" t="s">
        <v>144</v>
      </c>
      <c r="O32" s="169" t="s">
        <v>2380</v>
      </c>
      <c r="P32" s="54">
        <v>88</v>
      </c>
      <c r="Q32" s="54" t="s">
        <v>144</v>
      </c>
      <c r="R32" s="54" t="s">
        <v>2393</v>
      </c>
      <c r="S32" s="54">
        <v>83</v>
      </c>
      <c r="T32" s="54" t="s">
        <v>145</v>
      </c>
      <c r="U32" s="54" t="s">
        <v>2394</v>
      </c>
      <c r="V32" s="166">
        <v>88</v>
      </c>
      <c r="W32" s="167" t="s">
        <v>144</v>
      </c>
      <c r="X32" s="168" t="s">
        <v>2456</v>
      </c>
      <c r="Y32" s="166">
        <v>85</v>
      </c>
      <c r="Z32" s="167" t="s">
        <v>145</v>
      </c>
      <c r="AA32" s="169" t="s">
        <v>2328</v>
      </c>
      <c r="AB32" s="54">
        <v>87</v>
      </c>
      <c r="AC32" s="54" t="s">
        <v>145</v>
      </c>
      <c r="AD32" s="54" t="s">
        <v>2375</v>
      </c>
      <c r="AE32" s="54">
        <v>85</v>
      </c>
      <c r="AF32" s="54" t="s">
        <v>145</v>
      </c>
      <c r="AG32" s="54" t="s">
        <v>2376</v>
      </c>
      <c r="AH32" s="52">
        <v>86</v>
      </c>
      <c r="AI32" s="52" t="s">
        <v>145</v>
      </c>
      <c r="AJ32" s="52" t="s">
        <v>2400</v>
      </c>
      <c r="AK32" s="52">
        <v>81</v>
      </c>
      <c r="AL32" s="52" t="s">
        <v>145</v>
      </c>
      <c r="AM32" s="52" t="s">
        <v>2399</v>
      </c>
      <c r="AN32" s="54">
        <v>88</v>
      </c>
      <c r="AO32" s="54" t="s">
        <v>144</v>
      </c>
      <c r="AP32" s="54" t="s">
        <v>2340</v>
      </c>
      <c r="AQ32" s="54">
        <v>80</v>
      </c>
      <c r="AR32" s="54" t="s">
        <v>145</v>
      </c>
      <c r="AS32" s="54" t="s">
        <v>2338</v>
      </c>
      <c r="AT32" s="166">
        <v>88</v>
      </c>
      <c r="AU32" s="167" t="s">
        <v>144</v>
      </c>
      <c r="AV32" s="168" t="s">
        <v>2396</v>
      </c>
      <c r="AW32" s="166">
        <v>88</v>
      </c>
      <c r="AX32" s="167" t="s">
        <v>144</v>
      </c>
      <c r="AY32" s="169" t="s">
        <v>2397</v>
      </c>
      <c r="AZ32" s="54">
        <v>92</v>
      </c>
      <c r="BA32" s="54" t="s">
        <v>144</v>
      </c>
      <c r="BB32" s="54" t="s">
        <v>2447</v>
      </c>
      <c r="BC32" s="54">
        <v>85</v>
      </c>
      <c r="BD32" s="54" t="s">
        <v>145</v>
      </c>
      <c r="BE32" s="54" t="s">
        <v>2443</v>
      </c>
      <c r="BF32" s="52">
        <v>90</v>
      </c>
      <c r="BG32" s="52" t="s">
        <v>144</v>
      </c>
      <c r="BH32" s="52" t="s">
        <v>2347</v>
      </c>
      <c r="BI32" s="52">
        <v>88</v>
      </c>
      <c r="BJ32" s="52" t="s">
        <v>144</v>
      </c>
      <c r="BK32" s="52" t="s">
        <v>2346</v>
      </c>
      <c r="BL32" s="54">
        <v>84</v>
      </c>
      <c r="BM32" s="54" t="s">
        <v>145</v>
      </c>
      <c r="BN32" s="54" t="s">
        <v>2325</v>
      </c>
      <c r="BO32" s="54">
        <v>84</v>
      </c>
      <c r="BP32" s="54" t="s">
        <v>145</v>
      </c>
      <c r="BQ32" s="54" t="s">
        <v>2326</v>
      </c>
      <c r="BR32" s="52">
        <v>81</v>
      </c>
      <c r="BS32" s="52" t="s">
        <v>145</v>
      </c>
      <c r="BT32" s="52" t="s">
        <v>2372</v>
      </c>
      <c r="BU32" s="52">
        <v>82</v>
      </c>
      <c r="BV32" s="52" t="s">
        <v>145</v>
      </c>
      <c r="BW32" s="52" t="s">
        <v>2367</v>
      </c>
      <c r="BX32" s="54">
        <v>82</v>
      </c>
      <c r="BY32" s="54" t="s">
        <v>145</v>
      </c>
      <c r="BZ32" s="54" t="s">
        <v>2390</v>
      </c>
      <c r="CA32" s="54">
        <v>80</v>
      </c>
      <c r="CB32" s="54" t="s">
        <v>145</v>
      </c>
      <c r="CC32" s="54" t="s">
        <v>2382</v>
      </c>
      <c r="CD32" s="166">
        <v>89</v>
      </c>
      <c r="CE32" s="167" t="s">
        <v>144</v>
      </c>
      <c r="CF32" s="168" t="s">
        <v>2364</v>
      </c>
      <c r="CG32" s="166">
        <v>90</v>
      </c>
      <c r="CH32" s="167" t="s">
        <v>144</v>
      </c>
      <c r="CI32" s="169" t="s">
        <v>2350</v>
      </c>
      <c r="CJ32" s="54">
        <v>88</v>
      </c>
      <c r="CK32" s="54" t="s">
        <v>144</v>
      </c>
      <c r="CL32" s="54" t="s">
        <v>2334</v>
      </c>
      <c r="CM32" s="54">
        <v>85</v>
      </c>
      <c r="CN32" s="54" t="s">
        <v>145</v>
      </c>
      <c r="CO32" s="54" t="s">
        <v>2332</v>
      </c>
      <c r="CP32" s="52">
        <v>89</v>
      </c>
      <c r="CQ32" s="52" t="s">
        <v>144</v>
      </c>
      <c r="CR32" s="52" t="s">
        <v>2435</v>
      </c>
      <c r="CS32" s="52">
        <v>86</v>
      </c>
      <c r="CT32" s="52" t="s">
        <v>145</v>
      </c>
      <c r="CU32" s="52" t="s">
        <v>2436</v>
      </c>
      <c r="CV32" s="52"/>
      <c r="CW32" s="52"/>
      <c r="CX32" s="52"/>
      <c r="CY32" s="52"/>
      <c r="CZ32" s="52"/>
      <c r="DA32" s="52"/>
      <c r="DB32" s="15" t="str">
        <f>'Input Ekstra'!E28</f>
        <v>Pramuka</v>
      </c>
      <c r="DC32" s="15" t="str">
        <f>'Input Ekstra'!F28</f>
        <v>Baik</v>
      </c>
      <c r="DD32" s="15" t="str">
        <f>'Input Ekstra'!G28</f>
        <v>Peserta didik terampil membuat pionering, mampu menguasai gerakan PBB dan mengetahui salah satu kesenian daerah</v>
      </c>
      <c r="DE32" s="15" t="str">
        <f>'Input Ekstra'!H28</f>
        <v>Voli</v>
      </c>
      <c r="DF32" s="15" t="str">
        <f>'Input Ekstra'!I28</f>
        <v>Amat Baik</v>
      </c>
      <c r="DG32" s="15" t="str">
        <f>'Input Ekstra'!J28</f>
        <v>Peserta didik mampu mengikuti kegiatan ekstrakurikuler voli dengan amat baik</v>
      </c>
      <c r="DH32" s="15">
        <f>'Input Kehadiran'!E28</f>
        <v>2</v>
      </c>
      <c r="DI32" s="15">
        <f>'Input Kehadiran'!F28</f>
        <v>2</v>
      </c>
      <c r="DJ32" s="15">
        <f>'Input Kehadiran'!G28</f>
        <v>0</v>
      </c>
      <c r="DK32" s="48">
        <f>'Input Prestasi'!D29</f>
        <v>0</v>
      </c>
      <c r="DL32" s="48">
        <f>'Input Prestasi'!E29</f>
        <v>0</v>
      </c>
      <c r="DM32" s="48">
        <f>'Input Prestasi'!F29</f>
        <v>0</v>
      </c>
      <c r="DN32" s="48">
        <f>'Input Prestasi'!G29</f>
        <v>0</v>
      </c>
      <c r="DO32" s="48">
        <f>'Input Prestasi'!H29</f>
        <v>0</v>
      </c>
      <c r="DP32" s="48">
        <f>'Input Prestasi'!I29</f>
        <v>0</v>
      </c>
      <c r="DQ32" s="48">
        <f>'Input Prestasi'!J29</f>
        <v>0</v>
      </c>
      <c r="DR32" s="48">
        <f>'Input Prestasi'!K29</f>
        <v>0</v>
      </c>
      <c r="DS32" s="15" t="str">
        <f>'Input Nilai Sikap dan Catatan'!H27</f>
        <v>Peserta didik sudah mampu menempatkan diri dengan baik. Pertahankan kepribadian yang mampu menggerakkan teman-teman dalam kebaikan.</v>
      </c>
    </row>
    <row r="33" spans="1:123" x14ac:dyDescent="0.25">
      <c r="A33" s="12">
        <v>25</v>
      </c>
      <c r="B33" s="23" t="str">
        <f>IF(Setting!J30="","",Setting!J30)</f>
        <v>Naufal Muhammad Iqbal</v>
      </c>
      <c r="C33" s="28">
        <f>IF(Setting!K30="","",Setting!K30)</f>
        <v>2008251</v>
      </c>
      <c r="D33" s="28" t="str">
        <f>IF(Setting!L30="","",Setting!L30)</f>
        <v>0056904636</v>
      </c>
      <c r="E33" s="15" t="str">
        <f>IF(Setting!$E$11="","",Setting!$E$11)</f>
        <v>XII MIPA 4</v>
      </c>
      <c r="F33" s="15" t="str">
        <f>'Input Nilai Sikap dan Catatan'!D28</f>
        <v>A</v>
      </c>
      <c r="G33" s="15" t="str">
        <f>'Input Nilai Sikap dan Catatan'!E28</f>
        <v>Mengikuti rutinitas ibadah dengan tertib dan mengamalkan nilai-nilai agama dalam kegiatan pembelajaran.</v>
      </c>
      <c r="H33" s="15" t="str">
        <f>'Input Nilai Sikap dan Catatan'!F28</f>
        <v>A</v>
      </c>
      <c r="I33" s="15" t="str">
        <f>'Input Nilai Sikap dan Catatan'!G28</f>
        <v>Memiliki sopan santun yang sangat baik dan mampu memposisikan diri dengan sangat baik dalam pertemanan</v>
      </c>
      <c r="J33" s="166">
        <v>93</v>
      </c>
      <c r="K33" s="167" t="s">
        <v>144</v>
      </c>
      <c r="L33" s="168" t="s">
        <v>2379</v>
      </c>
      <c r="M33" s="166">
        <v>88</v>
      </c>
      <c r="N33" s="167" t="s">
        <v>144</v>
      </c>
      <c r="O33" s="169" t="s">
        <v>2380</v>
      </c>
      <c r="P33" s="54">
        <v>86</v>
      </c>
      <c r="Q33" s="54" t="s">
        <v>145</v>
      </c>
      <c r="R33" s="54" t="s">
        <v>2395</v>
      </c>
      <c r="S33" s="54">
        <v>82</v>
      </c>
      <c r="T33" s="54" t="s">
        <v>145</v>
      </c>
      <c r="U33" s="54" t="s">
        <v>2394</v>
      </c>
      <c r="V33" s="166">
        <v>89</v>
      </c>
      <c r="W33" s="167" t="s">
        <v>144</v>
      </c>
      <c r="X33" s="168" t="s">
        <v>2453</v>
      </c>
      <c r="Y33" s="166">
        <v>89</v>
      </c>
      <c r="Z33" s="167" t="s">
        <v>144</v>
      </c>
      <c r="AA33" s="169" t="s">
        <v>2328</v>
      </c>
      <c r="AB33" s="54">
        <v>92</v>
      </c>
      <c r="AC33" s="54" t="s">
        <v>144</v>
      </c>
      <c r="AD33" s="54" t="s">
        <v>2375</v>
      </c>
      <c r="AE33" s="54">
        <v>90</v>
      </c>
      <c r="AF33" s="54" t="s">
        <v>144</v>
      </c>
      <c r="AG33" s="54" t="s">
        <v>2378</v>
      </c>
      <c r="AH33" s="52">
        <v>85</v>
      </c>
      <c r="AI33" s="52" t="s">
        <v>145</v>
      </c>
      <c r="AJ33" s="52" t="s">
        <v>2400</v>
      </c>
      <c r="AK33" s="52">
        <v>80</v>
      </c>
      <c r="AL33" s="52" t="s">
        <v>145</v>
      </c>
      <c r="AM33" s="52" t="s">
        <v>2399</v>
      </c>
      <c r="AN33" s="54">
        <v>88</v>
      </c>
      <c r="AO33" s="54" t="s">
        <v>144</v>
      </c>
      <c r="AP33" s="54" t="s">
        <v>2341</v>
      </c>
      <c r="AQ33" s="54">
        <v>80</v>
      </c>
      <c r="AR33" s="54" t="s">
        <v>145</v>
      </c>
      <c r="AS33" s="54" t="s">
        <v>2338</v>
      </c>
      <c r="AT33" s="166">
        <v>91</v>
      </c>
      <c r="AU33" s="167" t="s">
        <v>144</v>
      </c>
      <c r="AV33" s="168" t="s">
        <v>2396</v>
      </c>
      <c r="AW33" s="166">
        <v>92</v>
      </c>
      <c r="AX33" s="167" t="s">
        <v>144</v>
      </c>
      <c r="AY33" s="169" t="s">
        <v>2397</v>
      </c>
      <c r="AZ33" s="54">
        <v>92</v>
      </c>
      <c r="BA33" s="54" t="s">
        <v>144</v>
      </c>
      <c r="BB33" s="54" t="s">
        <v>2445</v>
      </c>
      <c r="BC33" s="54">
        <v>85</v>
      </c>
      <c r="BD33" s="54" t="s">
        <v>145</v>
      </c>
      <c r="BE33" s="54" t="s">
        <v>2443</v>
      </c>
      <c r="BF33" s="52">
        <v>90</v>
      </c>
      <c r="BG33" s="52" t="s">
        <v>144</v>
      </c>
      <c r="BH33" s="52" t="s">
        <v>2345</v>
      </c>
      <c r="BI33" s="52">
        <v>90</v>
      </c>
      <c r="BJ33" s="52" t="s">
        <v>144</v>
      </c>
      <c r="BK33" s="52" t="s">
        <v>2346</v>
      </c>
      <c r="BL33" s="54">
        <v>82</v>
      </c>
      <c r="BM33" s="54" t="s">
        <v>145</v>
      </c>
      <c r="BN33" s="54" t="s">
        <v>2325</v>
      </c>
      <c r="BO33" s="54">
        <v>82</v>
      </c>
      <c r="BP33" s="54" t="s">
        <v>145</v>
      </c>
      <c r="BQ33" s="54" t="s">
        <v>2326</v>
      </c>
      <c r="BR33" s="52">
        <v>86</v>
      </c>
      <c r="BS33" s="52" t="s">
        <v>145</v>
      </c>
      <c r="BT33" s="52" t="s">
        <v>2372</v>
      </c>
      <c r="BU33" s="52">
        <v>83</v>
      </c>
      <c r="BV33" s="52" t="s">
        <v>145</v>
      </c>
      <c r="BW33" s="52" t="s">
        <v>2367</v>
      </c>
      <c r="BX33" s="54">
        <v>81</v>
      </c>
      <c r="BY33" s="54" t="s">
        <v>145</v>
      </c>
      <c r="BZ33" s="54" t="s">
        <v>2384</v>
      </c>
      <c r="CA33" s="54">
        <v>80</v>
      </c>
      <c r="CB33" s="54" t="s">
        <v>145</v>
      </c>
      <c r="CC33" s="54" t="s">
        <v>2382</v>
      </c>
      <c r="CD33" s="166">
        <v>93</v>
      </c>
      <c r="CE33" s="167" t="s">
        <v>144</v>
      </c>
      <c r="CF33" s="168" t="s">
        <v>2358</v>
      </c>
      <c r="CG33" s="166">
        <v>88</v>
      </c>
      <c r="CH33" s="167" t="s">
        <v>144</v>
      </c>
      <c r="CI33" s="169" t="s">
        <v>2350</v>
      </c>
      <c r="CJ33" s="54">
        <v>91</v>
      </c>
      <c r="CK33" s="54" t="s">
        <v>144</v>
      </c>
      <c r="CL33" s="54" t="s">
        <v>2331</v>
      </c>
      <c r="CM33" s="54">
        <v>90</v>
      </c>
      <c r="CN33" s="54" t="s">
        <v>144</v>
      </c>
      <c r="CO33" s="54" t="s">
        <v>2332</v>
      </c>
      <c r="CP33" s="52">
        <v>87</v>
      </c>
      <c r="CQ33" s="52" t="s">
        <v>145</v>
      </c>
      <c r="CR33" s="52" t="s">
        <v>2440</v>
      </c>
      <c r="CS33" s="52">
        <v>86</v>
      </c>
      <c r="CT33" s="52" t="s">
        <v>145</v>
      </c>
      <c r="CU33" s="52" t="s">
        <v>2436</v>
      </c>
      <c r="CV33" s="52"/>
      <c r="CW33" s="52"/>
      <c r="CX33" s="52"/>
      <c r="CY33" s="52"/>
      <c r="CZ33" s="52"/>
      <c r="DA33" s="52"/>
      <c r="DB33" s="15" t="str">
        <f>'Input Ekstra'!E29</f>
        <v>Pramuka</v>
      </c>
      <c r="DC33" s="15" t="str">
        <f>'Input Ekstra'!F29</f>
        <v>Amat Baik</v>
      </c>
      <c r="DD33" s="15" t="str">
        <f>'Input Ekstra'!G29</f>
        <v>Peserta didik terampil membuat pionering, mampu menguasai gerakan PBB dan mengetahui salah satu kesenian daerah</v>
      </c>
      <c r="DE33" s="15" t="str">
        <f>'Input Ekstra'!H29</f>
        <v>Futsal</v>
      </c>
      <c r="DF33" s="15" t="str">
        <f>'Input Ekstra'!I29</f>
        <v>Amat Baik</v>
      </c>
      <c r="DG33" s="15" t="str">
        <f>'Input Ekstra'!J29</f>
        <v>Peserta didik mampu mengikuti kegiatan ekstrakurikuler futsal dengan amat baik</v>
      </c>
      <c r="DH33" s="15">
        <f>'Input Kehadiran'!E29</f>
        <v>0</v>
      </c>
      <c r="DI33" s="15">
        <f>'Input Kehadiran'!F29</f>
        <v>5</v>
      </c>
      <c r="DJ33" s="15">
        <f>'Input Kehadiran'!G29</f>
        <v>0</v>
      </c>
      <c r="DK33" s="48">
        <f>'Input Prestasi'!D30</f>
        <v>0</v>
      </c>
      <c r="DL33" s="48">
        <f>'Input Prestasi'!E30</f>
        <v>0</v>
      </c>
      <c r="DM33" s="48">
        <f>'Input Prestasi'!F30</f>
        <v>0</v>
      </c>
      <c r="DN33" s="48">
        <f>'Input Prestasi'!G30</f>
        <v>0</v>
      </c>
      <c r="DO33" s="48">
        <f>'Input Prestasi'!H30</f>
        <v>0</v>
      </c>
      <c r="DP33" s="48">
        <f>'Input Prestasi'!I30</f>
        <v>0</v>
      </c>
      <c r="DQ33" s="48">
        <f>'Input Prestasi'!J30</f>
        <v>0</v>
      </c>
      <c r="DR33" s="48">
        <f>'Input Prestasi'!K30</f>
        <v>0</v>
      </c>
      <c r="DS33" s="15" t="str">
        <f>'Input Nilai Sikap dan Catatan'!H28</f>
        <v>Peserta didik sudah mampu menempatkan diri dengan baik. Pertahankan kepribadian yang mampu menggerakkan teman-teman dalam kebaikan.</v>
      </c>
    </row>
    <row r="34" spans="1:123" x14ac:dyDescent="0.25">
      <c r="A34" s="12">
        <v>26</v>
      </c>
      <c r="B34" s="23" t="str">
        <f>IF(Setting!J31="","",Setting!J31)</f>
        <v>Nauval Nur Mustafa</v>
      </c>
      <c r="C34" s="28">
        <f>IF(Setting!K31="","",Setting!K31)</f>
        <v>2008253</v>
      </c>
      <c r="D34" s="28" t="str">
        <f>IF(Setting!L31="","",Setting!L31)</f>
        <v>0061518278</v>
      </c>
      <c r="E34" s="15" t="str">
        <f>IF(Setting!$E$11="","",Setting!$E$11)</f>
        <v>XII MIPA 4</v>
      </c>
      <c r="F34" s="15" t="str">
        <f>'Input Nilai Sikap dan Catatan'!D29</f>
        <v>B</v>
      </c>
      <c r="G34" s="15" t="str">
        <f>'Input Nilai Sikap dan Catatan'!E29</f>
        <v>Mengikuti rutinitas ibadah dengan baik dan mengamalkan nilai-nilai agama dalam kegiatan pembelajaran.</v>
      </c>
      <c r="H34" s="15" t="str">
        <f>'Input Nilai Sikap dan Catatan'!F29</f>
        <v>B</v>
      </c>
      <c r="I34" s="15" t="str">
        <f>'Input Nilai Sikap dan Catatan'!G29</f>
        <v>Memiliki sopan santun yang baik dan mampu memposisikan diri dengan baik dalam pertemanan</v>
      </c>
      <c r="J34" s="166">
        <v>94</v>
      </c>
      <c r="K34" s="167" t="s">
        <v>144</v>
      </c>
      <c r="L34" s="168" t="s">
        <v>2379</v>
      </c>
      <c r="M34" s="166">
        <v>88</v>
      </c>
      <c r="N34" s="167" t="s">
        <v>144</v>
      </c>
      <c r="O34" s="169" t="s">
        <v>2380</v>
      </c>
      <c r="P34" s="54">
        <v>88</v>
      </c>
      <c r="Q34" s="54" t="s">
        <v>144</v>
      </c>
      <c r="R34" s="54" t="s">
        <v>2395</v>
      </c>
      <c r="S34" s="54">
        <v>83</v>
      </c>
      <c r="T34" s="54" t="s">
        <v>145</v>
      </c>
      <c r="U34" s="54" t="s">
        <v>2394</v>
      </c>
      <c r="V34" s="166">
        <v>83</v>
      </c>
      <c r="W34" s="167" t="s">
        <v>145</v>
      </c>
      <c r="X34" s="168" t="s">
        <v>2330</v>
      </c>
      <c r="Y34" s="166">
        <v>86</v>
      </c>
      <c r="Z34" s="167" t="s">
        <v>145</v>
      </c>
      <c r="AA34" s="169" t="s">
        <v>2328</v>
      </c>
      <c r="AB34" s="54">
        <v>91</v>
      </c>
      <c r="AC34" s="54" t="s">
        <v>144</v>
      </c>
      <c r="AD34" s="54" t="s">
        <v>2375</v>
      </c>
      <c r="AE34" s="54">
        <v>85</v>
      </c>
      <c r="AF34" s="54" t="s">
        <v>145</v>
      </c>
      <c r="AG34" s="54" t="s">
        <v>2376</v>
      </c>
      <c r="AH34" s="52">
        <v>91</v>
      </c>
      <c r="AI34" s="52" t="s">
        <v>144</v>
      </c>
      <c r="AJ34" s="52" t="s">
        <v>2400</v>
      </c>
      <c r="AK34" s="52">
        <v>84</v>
      </c>
      <c r="AL34" s="52" t="s">
        <v>145</v>
      </c>
      <c r="AM34" s="52" t="s">
        <v>2399</v>
      </c>
      <c r="AN34" s="54">
        <v>90</v>
      </c>
      <c r="AO34" s="54" t="s">
        <v>144</v>
      </c>
      <c r="AP34" s="54" t="s">
        <v>2341</v>
      </c>
      <c r="AQ34" s="54">
        <v>82</v>
      </c>
      <c r="AR34" s="54" t="s">
        <v>145</v>
      </c>
      <c r="AS34" s="54" t="s">
        <v>2338</v>
      </c>
      <c r="AT34" s="166">
        <v>90</v>
      </c>
      <c r="AU34" s="167" t="s">
        <v>144</v>
      </c>
      <c r="AV34" s="168" t="s">
        <v>2396</v>
      </c>
      <c r="AW34" s="166">
        <v>93</v>
      </c>
      <c r="AX34" s="167" t="s">
        <v>144</v>
      </c>
      <c r="AY34" s="169" t="s">
        <v>2397</v>
      </c>
      <c r="AZ34" s="54">
        <v>91</v>
      </c>
      <c r="BA34" s="54" t="s">
        <v>144</v>
      </c>
      <c r="BB34" s="54" t="s">
        <v>2442</v>
      </c>
      <c r="BC34" s="54">
        <v>82</v>
      </c>
      <c r="BD34" s="54" t="s">
        <v>145</v>
      </c>
      <c r="BE34" s="54" t="s">
        <v>2443</v>
      </c>
      <c r="BF34" s="52">
        <v>91</v>
      </c>
      <c r="BG34" s="52" t="s">
        <v>144</v>
      </c>
      <c r="BH34" s="52" t="s">
        <v>2345</v>
      </c>
      <c r="BI34" s="52">
        <v>83</v>
      </c>
      <c r="BJ34" s="52" t="s">
        <v>145</v>
      </c>
      <c r="BK34" s="52" t="s">
        <v>2346</v>
      </c>
      <c r="BL34" s="54">
        <v>81</v>
      </c>
      <c r="BM34" s="54" t="s">
        <v>145</v>
      </c>
      <c r="BN34" s="54" t="s">
        <v>2325</v>
      </c>
      <c r="BO34" s="54">
        <v>81</v>
      </c>
      <c r="BP34" s="54" t="s">
        <v>145</v>
      </c>
      <c r="BQ34" s="54" t="s">
        <v>2326</v>
      </c>
      <c r="BR34" s="52">
        <v>80</v>
      </c>
      <c r="BS34" s="52" t="s">
        <v>145</v>
      </c>
      <c r="BT34" s="52" t="s">
        <v>2372</v>
      </c>
      <c r="BU34" s="52">
        <v>80</v>
      </c>
      <c r="BV34" s="52" t="s">
        <v>145</v>
      </c>
      <c r="BW34" s="52" t="s">
        <v>2367</v>
      </c>
      <c r="BX34" s="54">
        <v>83</v>
      </c>
      <c r="BY34" s="54" t="s">
        <v>145</v>
      </c>
      <c r="BZ34" s="54" t="s">
        <v>2391</v>
      </c>
      <c r="CA34" s="54">
        <v>81</v>
      </c>
      <c r="CB34" s="54" t="s">
        <v>145</v>
      </c>
      <c r="CC34" s="54" t="s">
        <v>2382</v>
      </c>
      <c r="CD34" s="166">
        <v>91</v>
      </c>
      <c r="CE34" s="167" t="s">
        <v>144</v>
      </c>
      <c r="CF34" s="168" t="s">
        <v>2353</v>
      </c>
      <c r="CG34" s="166">
        <v>80</v>
      </c>
      <c r="CH34" s="167" t="s">
        <v>145</v>
      </c>
      <c r="CI34" s="169" t="s">
        <v>2350</v>
      </c>
      <c r="CJ34" s="54">
        <v>90</v>
      </c>
      <c r="CK34" s="54" t="s">
        <v>144</v>
      </c>
      <c r="CL34" s="54" t="s">
        <v>2334</v>
      </c>
      <c r="CM34" s="54">
        <v>85</v>
      </c>
      <c r="CN34" s="54" t="s">
        <v>145</v>
      </c>
      <c r="CO34" s="54" t="s">
        <v>2332</v>
      </c>
      <c r="CP34" s="52">
        <v>88</v>
      </c>
      <c r="CQ34" s="52" t="s">
        <v>144</v>
      </c>
      <c r="CR34" s="52" t="s">
        <v>2439</v>
      </c>
      <c r="CS34" s="52">
        <v>86</v>
      </c>
      <c r="CT34" s="52" t="s">
        <v>145</v>
      </c>
      <c r="CU34" s="52" t="s">
        <v>2436</v>
      </c>
      <c r="CV34" s="52"/>
      <c r="CW34" s="52"/>
      <c r="CX34" s="52"/>
      <c r="CY34" s="52"/>
      <c r="CZ34" s="52"/>
      <c r="DA34" s="52"/>
      <c r="DB34" s="15" t="str">
        <f>'Input Ekstra'!E30</f>
        <v>Pramuka</v>
      </c>
      <c r="DC34" s="15" t="str">
        <f>'Input Ekstra'!F30</f>
        <v>Baik</v>
      </c>
      <c r="DD34" s="15" t="str">
        <f>'Input Ekstra'!G30</f>
        <v>Peserta didik terampil membuat pionering, mampu menguasai gerakan PBB dan mengetahui salah satu kesenian daerah</v>
      </c>
      <c r="DE34" s="15" t="str">
        <f>'Input Ekstra'!H30</f>
        <v>Basket</v>
      </c>
      <c r="DF34" s="15" t="str">
        <f>'Input Ekstra'!I30</f>
        <v>Amat Baik</v>
      </c>
      <c r="DG34" s="15" t="str">
        <f>'Input Ekstra'!J30</f>
        <v>Peserta didik mampu mengikuti kegiatan ekstrakurikuler basket dengan amat baik</v>
      </c>
      <c r="DH34" s="15">
        <f>'Input Kehadiran'!E30</f>
        <v>5</v>
      </c>
      <c r="DI34" s="15">
        <f>'Input Kehadiran'!F30</f>
        <v>5</v>
      </c>
      <c r="DJ34" s="15">
        <f>'Input Kehadiran'!G30</f>
        <v>0</v>
      </c>
      <c r="DK34" s="48">
        <f>'Input Prestasi'!D31</f>
        <v>0</v>
      </c>
      <c r="DL34" s="48">
        <f>'Input Prestasi'!E31</f>
        <v>0</v>
      </c>
      <c r="DM34" s="48">
        <f>'Input Prestasi'!F31</f>
        <v>0</v>
      </c>
      <c r="DN34" s="48">
        <f>'Input Prestasi'!G31</f>
        <v>0</v>
      </c>
      <c r="DO34" s="48">
        <f>'Input Prestasi'!H31</f>
        <v>0</v>
      </c>
      <c r="DP34" s="48">
        <f>'Input Prestasi'!I31</f>
        <v>0</v>
      </c>
      <c r="DQ34" s="48">
        <f>'Input Prestasi'!J31</f>
        <v>0</v>
      </c>
      <c r="DR34" s="48">
        <f>'Input Prestasi'!K31</f>
        <v>0</v>
      </c>
      <c r="DS34" s="15" t="str">
        <f>'Input Nilai Sikap dan Catatan'!H29</f>
        <v>Peserta didik sudah mampu menempatkan diri dengan baik. Pertahankan kepribadian yang mampu menggerakkan teman-teman dalam kebaikan.</v>
      </c>
    </row>
    <row r="35" spans="1:123" x14ac:dyDescent="0.25">
      <c r="A35" s="12">
        <v>27</v>
      </c>
      <c r="B35" s="23" t="str">
        <f>IF(Setting!J32="","",Setting!J32)</f>
        <v>Oriegano Kanahaya Siagian</v>
      </c>
      <c r="C35" s="28">
        <f>IF(Setting!K32="","",Setting!K32)</f>
        <v>2008272</v>
      </c>
      <c r="D35" s="28" t="str">
        <f>IF(Setting!L32="","",Setting!L32)</f>
        <v>0051837216</v>
      </c>
      <c r="E35" s="15" t="str">
        <f>IF(Setting!$E$11="","",Setting!$E$11)</f>
        <v>XII MIPA 4</v>
      </c>
      <c r="F35" s="15" t="str">
        <f>'Input Nilai Sikap dan Catatan'!D30</f>
        <v>A</v>
      </c>
      <c r="G35" s="15" t="str">
        <f>'Input Nilai Sikap dan Catatan'!E30</f>
        <v>Mengikuti rutinitas ibadah dengan tertib dan mengamalkan nilai-nilai agama dalam kegiatan pembelajaran.</v>
      </c>
      <c r="H35" s="15" t="str">
        <f>'Input Nilai Sikap dan Catatan'!F30</f>
        <v>B</v>
      </c>
      <c r="I35" s="15" t="str">
        <f>'Input Nilai Sikap dan Catatan'!G30</f>
        <v>Memiliki sopan santun yang baik dan mampu memposisikan diri dengan baik dalam pertemanan</v>
      </c>
      <c r="J35" s="166">
        <v>93</v>
      </c>
      <c r="K35" s="167" t="s">
        <v>144</v>
      </c>
      <c r="L35" s="168" t="s">
        <v>2379</v>
      </c>
      <c r="M35" s="166">
        <v>88</v>
      </c>
      <c r="N35" s="167" t="s">
        <v>144</v>
      </c>
      <c r="O35" s="169" t="s">
        <v>2380</v>
      </c>
      <c r="P35" s="54">
        <v>88</v>
      </c>
      <c r="Q35" s="54" t="s">
        <v>144</v>
      </c>
      <c r="R35" s="54" t="s">
        <v>2395</v>
      </c>
      <c r="S35" s="54">
        <v>91</v>
      </c>
      <c r="T35" s="54" t="s">
        <v>144</v>
      </c>
      <c r="U35" s="54" t="s">
        <v>2394</v>
      </c>
      <c r="V35" s="166">
        <v>89</v>
      </c>
      <c r="W35" s="167" t="s">
        <v>144</v>
      </c>
      <c r="X35" s="168" t="s">
        <v>2457</v>
      </c>
      <c r="Y35" s="166">
        <v>87</v>
      </c>
      <c r="Z35" s="167" t="s">
        <v>145</v>
      </c>
      <c r="AA35" s="169" t="s">
        <v>2328</v>
      </c>
      <c r="AB35" s="54">
        <v>91</v>
      </c>
      <c r="AC35" s="54" t="s">
        <v>144</v>
      </c>
      <c r="AD35" s="54" t="s">
        <v>2377</v>
      </c>
      <c r="AE35" s="54">
        <v>88</v>
      </c>
      <c r="AF35" s="54" t="s">
        <v>144</v>
      </c>
      <c r="AG35" s="54" t="s">
        <v>2376</v>
      </c>
      <c r="AH35" s="52">
        <v>92</v>
      </c>
      <c r="AI35" s="52" t="s">
        <v>144</v>
      </c>
      <c r="AJ35" s="52" t="s">
        <v>2400</v>
      </c>
      <c r="AK35" s="52">
        <v>86</v>
      </c>
      <c r="AL35" s="52" t="s">
        <v>145</v>
      </c>
      <c r="AM35" s="52" t="s">
        <v>2399</v>
      </c>
      <c r="AN35" s="54">
        <v>88</v>
      </c>
      <c r="AO35" s="54" t="s">
        <v>144</v>
      </c>
      <c r="AP35" s="54" t="s">
        <v>2341</v>
      </c>
      <c r="AQ35" s="54">
        <v>86</v>
      </c>
      <c r="AR35" s="54" t="s">
        <v>145</v>
      </c>
      <c r="AS35" s="54" t="s">
        <v>2338</v>
      </c>
      <c r="AT35" s="166">
        <v>89</v>
      </c>
      <c r="AU35" s="167" t="s">
        <v>144</v>
      </c>
      <c r="AV35" s="168" t="s">
        <v>2396</v>
      </c>
      <c r="AW35" s="166">
        <v>93</v>
      </c>
      <c r="AX35" s="167" t="s">
        <v>144</v>
      </c>
      <c r="AY35" s="169" t="s">
        <v>2397</v>
      </c>
      <c r="AZ35" s="54">
        <v>92</v>
      </c>
      <c r="BA35" s="54" t="s">
        <v>144</v>
      </c>
      <c r="BB35" s="54" t="s">
        <v>2446</v>
      </c>
      <c r="BC35" s="54">
        <v>82</v>
      </c>
      <c r="BD35" s="54" t="s">
        <v>145</v>
      </c>
      <c r="BE35" s="54" t="s">
        <v>2443</v>
      </c>
      <c r="BF35" s="52">
        <v>92</v>
      </c>
      <c r="BG35" s="52" t="s">
        <v>144</v>
      </c>
      <c r="BH35" s="52" t="s">
        <v>2347</v>
      </c>
      <c r="BI35" s="52">
        <v>90</v>
      </c>
      <c r="BJ35" s="52" t="s">
        <v>144</v>
      </c>
      <c r="BK35" s="52" t="s">
        <v>2346</v>
      </c>
      <c r="BL35" s="54">
        <v>80</v>
      </c>
      <c r="BM35" s="54" t="s">
        <v>145</v>
      </c>
      <c r="BN35" s="54" t="s">
        <v>2325</v>
      </c>
      <c r="BO35" s="54">
        <v>80</v>
      </c>
      <c r="BP35" s="54" t="s">
        <v>145</v>
      </c>
      <c r="BQ35" s="54" t="s">
        <v>2326</v>
      </c>
      <c r="BR35" s="52">
        <v>89</v>
      </c>
      <c r="BS35" s="52" t="s">
        <v>144</v>
      </c>
      <c r="BT35" s="52" t="s">
        <v>2366</v>
      </c>
      <c r="BU35" s="52">
        <v>87</v>
      </c>
      <c r="BV35" s="52" t="s">
        <v>145</v>
      </c>
      <c r="BW35" s="52" t="s">
        <v>2367</v>
      </c>
      <c r="BX35" s="54">
        <v>86</v>
      </c>
      <c r="BY35" s="54" t="s">
        <v>145</v>
      </c>
      <c r="BZ35" s="54" t="s">
        <v>2386</v>
      </c>
      <c r="CA35" s="54">
        <v>83</v>
      </c>
      <c r="CB35" s="54" t="s">
        <v>145</v>
      </c>
      <c r="CC35" s="54" t="s">
        <v>2382</v>
      </c>
      <c r="CD35" s="166">
        <v>93</v>
      </c>
      <c r="CE35" s="167" t="s">
        <v>144</v>
      </c>
      <c r="CF35" s="168" t="s">
        <v>2362</v>
      </c>
      <c r="CG35" s="166">
        <v>88</v>
      </c>
      <c r="CH35" s="167" t="s">
        <v>144</v>
      </c>
      <c r="CI35" s="169" t="s">
        <v>2350</v>
      </c>
      <c r="CJ35" s="54">
        <v>90</v>
      </c>
      <c r="CK35" s="54" t="s">
        <v>144</v>
      </c>
      <c r="CL35" s="54" t="s">
        <v>2334</v>
      </c>
      <c r="CM35" s="54">
        <v>85</v>
      </c>
      <c r="CN35" s="54" t="s">
        <v>145</v>
      </c>
      <c r="CO35" s="54" t="s">
        <v>2332</v>
      </c>
      <c r="CP35" s="52">
        <v>90</v>
      </c>
      <c r="CQ35" s="52" t="s">
        <v>144</v>
      </c>
      <c r="CR35" s="52" t="s">
        <v>2441</v>
      </c>
      <c r="CS35" s="52">
        <v>86</v>
      </c>
      <c r="CT35" s="52" t="s">
        <v>145</v>
      </c>
      <c r="CU35" s="52" t="s">
        <v>2436</v>
      </c>
      <c r="CV35" s="52"/>
      <c r="CW35" s="52"/>
      <c r="CX35" s="52"/>
      <c r="CY35" s="52"/>
      <c r="CZ35" s="52"/>
      <c r="DA35" s="52"/>
      <c r="DB35" s="15" t="str">
        <f>'Input Ekstra'!E31</f>
        <v>Pramuka</v>
      </c>
      <c r="DC35" s="15" t="str">
        <f>'Input Ekstra'!F31</f>
        <v>Baik</v>
      </c>
      <c r="DD35" s="15" t="str">
        <f>'Input Ekstra'!G31</f>
        <v>Peserta didik terampil membuat pionering, mampu menguasai gerakan PBB dan mengetahui salah satu kesenian daerah</v>
      </c>
      <c r="DE35" s="15" t="str">
        <f>'Input Ekstra'!H31</f>
        <v>Badminton</v>
      </c>
      <c r="DF35" s="15" t="str">
        <f>'Input Ekstra'!I31</f>
        <v>Baik</v>
      </c>
      <c r="DG35" s="15" t="str">
        <f>'Input Ekstra'!J31</f>
        <v>Peserta didik mampu mengikuti kegiatan ekstrakurikuler badminton dengan baik</v>
      </c>
      <c r="DH35" s="15">
        <f>'Input Kehadiran'!E31</f>
        <v>5</v>
      </c>
      <c r="DI35" s="15">
        <f>'Input Kehadiran'!F31</f>
        <v>4</v>
      </c>
      <c r="DJ35" s="15">
        <f>'Input Kehadiran'!G31</f>
        <v>0</v>
      </c>
      <c r="DK35" s="48">
        <f>'Input Prestasi'!D32</f>
        <v>0</v>
      </c>
      <c r="DL35" s="48">
        <f>'Input Prestasi'!E32</f>
        <v>0</v>
      </c>
      <c r="DM35" s="48">
        <f>'Input Prestasi'!F32</f>
        <v>0</v>
      </c>
      <c r="DN35" s="48">
        <f>'Input Prestasi'!G32</f>
        <v>0</v>
      </c>
      <c r="DO35" s="48">
        <f>'Input Prestasi'!H32</f>
        <v>0</v>
      </c>
      <c r="DP35" s="48">
        <f>'Input Prestasi'!I32</f>
        <v>0</v>
      </c>
      <c r="DQ35" s="48">
        <f>'Input Prestasi'!J32</f>
        <v>0</v>
      </c>
      <c r="DR35" s="48">
        <f>'Input Prestasi'!K32</f>
        <v>0</v>
      </c>
      <c r="DS35" s="15" t="str">
        <f>'Input Nilai Sikap dan Catatan'!H30</f>
        <v>Peserta didik sudah mampu menempatkan diri dengan baik. Pertahankan kepribadian yang mampu menggerakkan teman-teman dalam kebaikan.</v>
      </c>
    </row>
    <row r="36" spans="1:123" x14ac:dyDescent="0.25">
      <c r="A36" s="12">
        <v>28</v>
      </c>
      <c r="B36" s="23" t="str">
        <f>IF(Setting!J33="","",Setting!J33)</f>
        <v>Rafif Mahatma Indrastata</v>
      </c>
      <c r="C36" s="28">
        <f>IF(Setting!K33="","",Setting!K33)</f>
        <v>2008282</v>
      </c>
      <c r="D36" s="28" t="str">
        <f>IF(Setting!L33="","",Setting!L33)</f>
        <v>0045017851</v>
      </c>
      <c r="E36" s="15" t="str">
        <f>IF(Setting!$E$11="","",Setting!$E$11)</f>
        <v>XII MIPA 4</v>
      </c>
      <c r="F36" s="15" t="str">
        <f>'Input Nilai Sikap dan Catatan'!D31</f>
        <v>B</v>
      </c>
      <c r="G36" s="15" t="str">
        <f>'Input Nilai Sikap dan Catatan'!E31</f>
        <v>Mengikuti rutinitas ibadah dengan baik dan mengamalkan nilai-nilai agama dalam kegiatan pembelajaran.</v>
      </c>
      <c r="H36" s="15" t="str">
        <f>'Input Nilai Sikap dan Catatan'!F31</f>
        <v>B</v>
      </c>
      <c r="I36" s="15" t="str">
        <f>'Input Nilai Sikap dan Catatan'!G31</f>
        <v>Memiliki sopan santun yang baik dan mampu memposisikan diri dengan baik dalam pertemanan</v>
      </c>
      <c r="J36" s="166">
        <v>94</v>
      </c>
      <c r="K36" s="167" t="s">
        <v>144</v>
      </c>
      <c r="L36" s="168" t="s">
        <v>2379</v>
      </c>
      <c r="M36" s="166">
        <v>88</v>
      </c>
      <c r="N36" s="167" t="s">
        <v>144</v>
      </c>
      <c r="O36" s="169" t="s">
        <v>2380</v>
      </c>
      <c r="P36" s="54">
        <v>86</v>
      </c>
      <c r="Q36" s="54" t="s">
        <v>145</v>
      </c>
      <c r="R36" s="54" t="s">
        <v>2393</v>
      </c>
      <c r="S36" s="54">
        <v>89</v>
      </c>
      <c r="T36" s="54" t="s">
        <v>144</v>
      </c>
      <c r="U36" s="54" t="s">
        <v>2394</v>
      </c>
      <c r="V36" s="166">
        <v>84</v>
      </c>
      <c r="W36" s="167" t="s">
        <v>145</v>
      </c>
      <c r="X36" s="168" t="s">
        <v>2330</v>
      </c>
      <c r="Y36" s="166">
        <v>80</v>
      </c>
      <c r="Z36" s="167" t="s">
        <v>145</v>
      </c>
      <c r="AA36" s="169" t="s">
        <v>2328</v>
      </c>
      <c r="AB36" s="54">
        <v>94</v>
      </c>
      <c r="AC36" s="54" t="s">
        <v>144</v>
      </c>
      <c r="AD36" s="54" t="s">
        <v>2377</v>
      </c>
      <c r="AE36" s="54">
        <v>93</v>
      </c>
      <c r="AF36" s="54" t="s">
        <v>144</v>
      </c>
      <c r="AG36" s="54" t="s">
        <v>2378</v>
      </c>
      <c r="AH36" s="52">
        <v>92</v>
      </c>
      <c r="AI36" s="52" t="s">
        <v>144</v>
      </c>
      <c r="AJ36" s="52" t="s">
        <v>2400</v>
      </c>
      <c r="AK36" s="52">
        <v>85</v>
      </c>
      <c r="AL36" s="52" t="s">
        <v>145</v>
      </c>
      <c r="AM36" s="52" t="s">
        <v>2399</v>
      </c>
      <c r="AN36" s="54">
        <v>87</v>
      </c>
      <c r="AO36" s="54" t="s">
        <v>145</v>
      </c>
      <c r="AP36" s="54" t="s">
        <v>2340</v>
      </c>
      <c r="AQ36" s="54">
        <v>80</v>
      </c>
      <c r="AR36" s="54" t="s">
        <v>145</v>
      </c>
      <c r="AS36" s="54" t="s">
        <v>2338</v>
      </c>
      <c r="AT36" s="166">
        <v>89</v>
      </c>
      <c r="AU36" s="167" t="s">
        <v>144</v>
      </c>
      <c r="AV36" s="168" t="s">
        <v>2396</v>
      </c>
      <c r="AW36" s="166">
        <v>91</v>
      </c>
      <c r="AX36" s="167" t="s">
        <v>144</v>
      </c>
      <c r="AY36" s="169" t="s">
        <v>2397</v>
      </c>
      <c r="AZ36" s="54">
        <v>91</v>
      </c>
      <c r="BA36" s="54" t="s">
        <v>144</v>
      </c>
      <c r="BB36" s="54" t="s">
        <v>2442</v>
      </c>
      <c r="BC36" s="54">
        <v>84</v>
      </c>
      <c r="BD36" s="54" t="s">
        <v>145</v>
      </c>
      <c r="BE36" s="54" t="s">
        <v>2443</v>
      </c>
      <c r="BF36" s="52">
        <v>92</v>
      </c>
      <c r="BG36" s="52" t="s">
        <v>144</v>
      </c>
      <c r="BH36" s="52" t="s">
        <v>2345</v>
      </c>
      <c r="BI36" s="52">
        <v>81</v>
      </c>
      <c r="BJ36" s="52" t="s">
        <v>145</v>
      </c>
      <c r="BK36" s="52" t="s">
        <v>2346</v>
      </c>
      <c r="BL36" s="54">
        <v>91</v>
      </c>
      <c r="BM36" s="54" t="s">
        <v>144</v>
      </c>
      <c r="BN36" s="54" t="s">
        <v>2325</v>
      </c>
      <c r="BO36" s="54">
        <v>91</v>
      </c>
      <c r="BP36" s="54" t="s">
        <v>144</v>
      </c>
      <c r="BQ36" s="54" t="s">
        <v>2326</v>
      </c>
      <c r="BR36" s="52">
        <v>83</v>
      </c>
      <c r="BS36" s="52" t="s">
        <v>145</v>
      </c>
      <c r="BT36" s="52" t="s">
        <v>2372</v>
      </c>
      <c r="BU36" s="52">
        <v>81</v>
      </c>
      <c r="BV36" s="52" t="s">
        <v>145</v>
      </c>
      <c r="BW36" s="52" t="s">
        <v>2367</v>
      </c>
      <c r="BX36" s="54">
        <v>86</v>
      </c>
      <c r="BY36" s="54" t="s">
        <v>145</v>
      </c>
      <c r="BZ36" s="54" t="s">
        <v>2386</v>
      </c>
      <c r="CA36" s="54">
        <v>85</v>
      </c>
      <c r="CB36" s="54" t="s">
        <v>145</v>
      </c>
      <c r="CC36" s="54" t="s">
        <v>2382</v>
      </c>
      <c r="CD36" s="166">
        <v>92</v>
      </c>
      <c r="CE36" s="167" t="s">
        <v>144</v>
      </c>
      <c r="CF36" s="168" t="s">
        <v>2353</v>
      </c>
      <c r="CG36" s="166">
        <v>90</v>
      </c>
      <c r="CH36" s="167" t="s">
        <v>144</v>
      </c>
      <c r="CI36" s="169" t="s">
        <v>2350</v>
      </c>
      <c r="CJ36" s="54">
        <v>90</v>
      </c>
      <c r="CK36" s="54" t="s">
        <v>144</v>
      </c>
      <c r="CL36" s="54" t="s">
        <v>2335</v>
      </c>
      <c r="CM36" s="54">
        <v>85</v>
      </c>
      <c r="CN36" s="54" t="s">
        <v>145</v>
      </c>
      <c r="CO36" s="54" t="s">
        <v>2332</v>
      </c>
      <c r="CP36" s="52">
        <v>93</v>
      </c>
      <c r="CQ36" s="52" t="s">
        <v>144</v>
      </c>
      <c r="CR36" s="52" t="s">
        <v>2438</v>
      </c>
      <c r="CS36" s="52">
        <v>86</v>
      </c>
      <c r="CT36" s="52" t="s">
        <v>145</v>
      </c>
      <c r="CU36" s="52" t="s">
        <v>2436</v>
      </c>
      <c r="CV36" s="52"/>
      <c r="CW36" s="52"/>
      <c r="CX36" s="52"/>
      <c r="CY36" s="52"/>
      <c r="CZ36" s="52"/>
      <c r="DA36" s="52"/>
      <c r="DB36" s="15" t="str">
        <f>'Input Ekstra'!E32</f>
        <v>Pramuka</v>
      </c>
      <c r="DC36" s="15" t="str">
        <f>'Input Ekstra'!F32</f>
        <v>Baik</v>
      </c>
      <c r="DD36" s="15" t="str">
        <f>'Input Ekstra'!G32</f>
        <v>Peserta didik terampil membuat pionering, mampu menguasai gerakan PBB dan mengetahui salah satu kesenian daerah</v>
      </c>
      <c r="DE36" s="15" t="str">
        <f>'Input Ekstra'!H32</f>
        <v>Karate</v>
      </c>
      <c r="DF36" s="15" t="str">
        <f>'Input Ekstra'!I32</f>
        <v>Baik</v>
      </c>
      <c r="DG36" s="15" t="str">
        <f>'Input Ekstra'!J32</f>
        <v>Peserta didik mampu mengikuti kegiatan ekstrakurikuler karate dengan baik</v>
      </c>
      <c r="DH36" s="15">
        <f>'Input Kehadiran'!E32</f>
        <v>5</v>
      </c>
      <c r="DI36" s="15">
        <f>'Input Kehadiran'!F32</f>
        <v>5</v>
      </c>
      <c r="DJ36" s="15">
        <f>'Input Kehadiran'!G32</f>
        <v>0</v>
      </c>
      <c r="DK36" s="48">
        <f>'Input Prestasi'!D33</f>
        <v>0</v>
      </c>
      <c r="DL36" s="48">
        <f>'Input Prestasi'!E33</f>
        <v>0</v>
      </c>
      <c r="DM36" s="48">
        <f>'Input Prestasi'!F33</f>
        <v>0</v>
      </c>
      <c r="DN36" s="48">
        <f>'Input Prestasi'!G33</f>
        <v>0</v>
      </c>
      <c r="DO36" s="48">
        <f>'Input Prestasi'!H33</f>
        <v>0</v>
      </c>
      <c r="DP36" s="48">
        <f>'Input Prestasi'!I33</f>
        <v>0</v>
      </c>
      <c r="DQ36" s="48">
        <f>'Input Prestasi'!J33</f>
        <v>0</v>
      </c>
      <c r="DR36" s="48">
        <f>'Input Prestasi'!K33</f>
        <v>0</v>
      </c>
      <c r="DS36" s="15" t="str">
        <f>'Input Nilai Sikap dan Catatan'!H31</f>
        <v>Peserta didik sudah mampu menempatkan diri dengan baik. Pertahankan kepribadian yang mampu menggerakkan teman-teman dalam kebaikan.</v>
      </c>
    </row>
    <row r="37" spans="1:123" x14ac:dyDescent="0.25">
      <c r="A37" s="12">
        <v>29</v>
      </c>
      <c r="B37" s="23" t="str">
        <f>IF(Setting!J34="","",Setting!J34)</f>
        <v>Rayhan Yoga Edy Pratama</v>
      </c>
      <c r="C37" s="28">
        <f>IF(Setting!K34="","",Setting!K34)</f>
        <v>2008296</v>
      </c>
      <c r="D37" s="28" t="str">
        <f>IF(Setting!L34="","",Setting!L34)</f>
        <v xml:space="preserve">0041380949 </v>
      </c>
      <c r="E37" s="15" t="str">
        <f>IF(Setting!$E$11="","",Setting!$E$11)</f>
        <v>XII MIPA 4</v>
      </c>
      <c r="F37" s="15" t="str">
        <f>'Input Nilai Sikap dan Catatan'!D32</f>
        <v>A</v>
      </c>
      <c r="G37" s="15" t="str">
        <f>'Input Nilai Sikap dan Catatan'!E32</f>
        <v>Mengikuti rutinitas ibadah dengan tertib dan mengamalkan nilai-nilai agama dalam kegiatan pembelajaran.</v>
      </c>
      <c r="H37" s="15" t="str">
        <f>'Input Nilai Sikap dan Catatan'!F32</f>
        <v>A</v>
      </c>
      <c r="I37" s="15" t="str">
        <f>'Input Nilai Sikap dan Catatan'!G32</f>
        <v>Memiliki sopan santun yang sangat baik dan mampu memposisikan diri dengan sangat baik dalam pertemanan</v>
      </c>
      <c r="J37" s="166">
        <v>94</v>
      </c>
      <c r="K37" s="167" t="s">
        <v>144</v>
      </c>
      <c r="L37" s="168" t="s">
        <v>2379</v>
      </c>
      <c r="M37" s="166">
        <v>88</v>
      </c>
      <c r="N37" s="167" t="s">
        <v>144</v>
      </c>
      <c r="O37" s="169" t="s">
        <v>2380</v>
      </c>
      <c r="P37" s="54">
        <v>88</v>
      </c>
      <c r="Q37" s="54" t="s">
        <v>144</v>
      </c>
      <c r="R37" s="54" t="s">
        <v>2393</v>
      </c>
      <c r="S37" s="54">
        <v>84</v>
      </c>
      <c r="T37" s="54" t="s">
        <v>145</v>
      </c>
      <c r="U37" s="54" t="s">
        <v>2394</v>
      </c>
      <c r="V37" s="166">
        <v>93</v>
      </c>
      <c r="W37" s="167" t="s">
        <v>144</v>
      </c>
      <c r="X37" s="168" t="s">
        <v>2458</v>
      </c>
      <c r="Y37" s="166">
        <v>86</v>
      </c>
      <c r="Z37" s="167" t="s">
        <v>145</v>
      </c>
      <c r="AA37" s="169" t="s">
        <v>2328</v>
      </c>
      <c r="AB37" s="54">
        <v>92</v>
      </c>
      <c r="AC37" s="54" t="s">
        <v>144</v>
      </c>
      <c r="AD37" s="54" t="s">
        <v>2375</v>
      </c>
      <c r="AE37" s="54">
        <v>85</v>
      </c>
      <c r="AF37" s="54" t="s">
        <v>145</v>
      </c>
      <c r="AG37" s="54" t="s">
        <v>2376</v>
      </c>
      <c r="AH37" s="52">
        <v>92</v>
      </c>
      <c r="AI37" s="52" t="s">
        <v>144</v>
      </c>
      <c r="AJ37" s="52" t="s">
        <v>2400</v>
      </c>
      <c r="AK37" s="52">
        <v>86</v>
      </c>
      <c r="AL37" s="52" t="s">
        <v>145</v>
      </c>
      <c r="AM37" s="52" t="s">
        <v>2399</v>
      </c>
      <c r="AN37" s="54">
        <v>90</v>
      </c>
      <c r="AO37" s="54" t="s">
        <v>144</v>
      </c>
      <c r="AP37" s="54" t="s">
        <v>2344</v>
      </c>
      <c r="AQ37" s="54">
        <v>86</v>
      </c>
      <c r="AR37" s="54" t="s">
        <v>145</v>
      </c>
      <c r="AS37" s="54" t="s">
        <v>2338</v>
      </c>
      <c r="AT37" s="166">
        <v>89</v>
      </c>
      <c r="AU37" s="167" t="s">
        <v>144</v>
      </c>
      <c r="AV37" s="168" t="s">
        <v>2396</v>
      </c>
      <c r="AW37" s="166">
        <v>88</v>
      </c>
      <c r="AX37" s="167" t="s">
        <v>144</v>
      </c>
      <c r="AY37" s="169" t="s">
        <v>2397</v>
      </c>
      <c r="AZ37" s="54">
        <v>92</v>
      </c>
      <c r="BA37" s="54" t="s">
        <v>144</v>
      </c>
      <c r="BB37" s="54" t="s">
        <v>2442</v>
      </c>
      <c r="BC37" s="54">
        <v>83</v>
      </c>
      <c r="BD37" s="54" t="s">
        <v>145</v>
      </c>
      <c r="BE37" s="54" t="s">
        <v>2443</v>
      </c>
      <c r="BF37" s="52">
        <v>93</v>
      </c>
      <c r="BG37" s="52" t="s">
        <v>144</v>
      </c>
      <c r="BH37" s="52" t="s">
        <v>2347</v>
      </c>
      <c r="BI37" s="52">
        <v>92</v>
      </c>
      <c r="BJ37" s="52" t="s">
        <v>144</v>
      </c>
      <c r="BK37" s="52" t="s">
        <v>2346</v>
      </c>
      <c r="BL37" s="54">
        <v>86</v>
      </c>
      <c r="BM37" s="54" t="s">
        <v>145</v>
      </c>
      <c r="BN37" s="54" t="s">
        <v>2325</v>
      </c>
      <c r="BO37" s="54">
        <v>86</v>
      </c>
      <c r="BP37" s="54" t="s">
        <v>145</v>
      </c>
      <c r="BQ37" s="54" t="s">
        <v>2326</v>
      </c>
      <c r="BR37" s="52">
        <v>93</v>
      </c>
      <c r="BS37" s="52" t="s">
        <v>144</v>
      </c>
      <c r="BT37" s="52" t="s">
        <v>2368</v>
      </c>
      <c r="BU37" s="52">
        <v>92</v>
      </c>
      <c r="BV37" s="52" t="s">
        <v>144</v>
      </c>
      <c r="BW37" s="52" t="s">
        <v>2367</v>
      </c>
      <c r="BX37" s="54">
        <v>88</v>
      </c>
      <c r="BY37" s="54" t="s">
        <v>144</v>
      </c>
      <c r="BZ37" s="54" t="s">
        <v>2392</v>
      </c>
      <c r="CA37" s="54">
        <v>85</v>
      </c>
      <c r="CB37" s="54" t="s">
        <v>145</v>
      </c>
      <c r="CC37" s="54" t="s">
        <v>2382</v>
      </c>
      <c r="CD37" s="166">
        <v>95</v>
      </c>
      <c r="CE37" s="167" t="s">
        <v>144</v>
      </c>
      <c r="CF37" s="168" t="s">
        <v>2362</v>
      </c>
      <c r="CG37" s="166">
        <v>90</v>
      </c>
      <c r="CH37" s="167" t="s">
        <v>144</v>
      </c>
      <c r="CI37" s="169" t="s">
        <v>2350</v>
      </c>
      <c r="CJ37" s="54">
        <v>91</v>
      </c>
      <c r="CK37" s="54" t="s">
        <v>144</v>
      </c>
      <c r="CL37" s="54" t="s">
        <v>2335</v>
      </c>
      <c r="CM37" s="54">
        <v>90</v>
      </c>
      <c r="CN37" s="54" t="s">
        <v>144</v>
      </c>
      <c r="CO37" s="54" t="s">
        <v>2332</v>
      </c>
      <c r="CP37" s="52">
        <v>90</v>
      </c>
      <c r="CQ37" s="52" t="s">
        <v>144</v>
      </c>
      <c r="CR37" s="52" t="s">
        <v>2438</v>
      </c>
      <c r="CS37" s="52">
        <v>86</v>
      </c>
      <c r="CT37" s="52" t="s">
        <v>145</v>
      </c>
      <c r="CU37" s="52" t="s">
        <v>2436</v>
      </c>
      <c r="CV37" s="52"/>
      <c r="CW37" s="52"/>
      <c r="CX37" s="52"/>
      <c r="CY37" s="52"/>
      <c r="CZ37" s="52"/>
      <c r="DA37" s="52"/>
      <c r="DB37" s="15" t="str">
        <f>'Input Ekstra'!E33</f>
        <v>Pramuka</v>
      </c>
      <c r="DC37" s="15" t="str">
        <f>'Input Ekstra'!F33</f>
        <v>Amat Baik</v>
      </c>
      <c r="DD37" s="15" t="str">
        <f>'Input Ekstra'!G33</f>
        <v>Peserta didik terampil membuat pionering, mampu menguasai gerakan PBB dan mengetahui salah satu kesenian daerah</v>
      </c>
      <c r="DE37" s="15" t="str">
        <f>'Input Ekstra'!H33</f>
        <v>Futsal</v>
      </c>
      <c r="DF37" s="15" t="str">
        <f>'Input Ekstra'!I33</f>
        <v>Baik</v>
      </c>
      <c r="DG37" s="15" t="str">
        <f>'Input Ekstra'!J33</f>
        <v>Peserta didik mampu mengikuti kegiatan ekstrakurikuler futsal dengan baik</v>
      </c>
      <c r="DH37" s="15">
        <f>'Input Kehadiran'!E33</f>
        <v>0</v>
      </c>
      <c r="DI37" s="15">
        <f>'Input Kehadiran'!F33</f>
        <v>1</v>
      </c>
      <c r="DJ37" s="15">
        <f>'Input Kehadiran'!G33</f>
        <v>0</v>
      </c>
      <c r="DK37" s="48">
        <f>'Input Prestasi'!D34</f>
        <v>0</v>
      </c>
      <c r="DL37" s="48">
        <f>'Input Prestasi'!E34</f>
        <v>0</v>
      </c>
      <c r="DM37" s="48">
        <f>'Input Prestasi'!F34</f>
        <v>0</v>
      </c>
      <c r="DN37" s="48">
        <f>'Input Prestasi'!G34</f>
        <v>0</v>
      </c>
      <c r="DO37" s="48">
        <f>'Input Prestasi'!H34</f>
        <v>0</v>
      </c>
      <c r="DP37" s="48">
        <f>'Input Prestasi'!I34</f>
        <v>0</v>
      </c>
      <c r="DQ37" s="48">
        <f>'Input Prestasi'!J34</f>
        <v>0</v>
      </c>
      <c r="DR37" s="48">
        <f>'Input Prestasi'!K34</f>
        <v>0</v>
      </c>
      <c r="DS37" s="15" t="str">
        <f>'Input Nilai Sikap dan Catatan'!H32</f>
        <v>Peserta didik sudah mampu menempatkan diri dengan baik. Pertahankan kepribadian yang mampu menggerakkan teman-teman dalam kebaikan.</v>
      </c>
    </row>
    <row r="38" spans="1:123" x14ac:dyDescent="0.25">
      <c r="A38" s="12">
        <v>30</v>
      </c>
      <c r="B38" s="23" t="str">
        <f>IF(Setting!J35="","",Setting!J35)</f>
        <v>Rusianto Munif</v>
      </c>
      <c r="C38" s="28">
        <f>IF(Setting!K35="","",Setting!K35)</f>
        <v>2008307</v>
      </c>
      <c r="D38" s="28" t="str">
        <f>IF(Setting!L35="","",Setting!L35)</f>
        <v>0060172183</v>
      </c>
      <c r="E38" s="15" t="str">
        <f>IF(Setting!$E$11="","",Setting!$E$11)</f>
        <v>XII MIPA 4</v>
      </c>
      <c r="F38" s="15" t="str">
        <f>'Input Nilai Sikap dan Catatan'!D33</f>
        <v>A</v>
      </c>
      <c r="G38" s="15" t="str">
        <f>'Input Nilai Sikap dan Catatan'!E33</f>
        <v>Mengikuti rutinitas ibadah dengan tertib dan mengamalkan nilai-nilai agama dalam kegiatan pembelajaran.</v>
      </c>
      <c r="H38" s="15" t="str">
        <f>'Input Nilai Sikap dan Catatan'!F33</f>
        <v>A</v>
      </c>
      <c r="I38" s="15" t="str">
        <f>'Input Nilai Sikap dan Catatan'!G33</f>
        <v>Memiliki sopan santun yang sangat baik dan mampu memposisikan diri dengan sangat baik dalam pertemanan</v>
      </c>
      <c r="J38" s="166">
        <v>94</v>
      </c>
      <c r="K38" s="167" t="s">
        <v>144</v>
      </c>
      <c r="L38" s="168" t="s">
        <v>2379</v>
      </c>
      <c r="M38" s="166">
        <v>88</v>
      </c>
      <c r="N38" s="167" t="s">
        <v>144</v>
      </c>
      <c r="O38" s="169" t="s">
        <v>2380</v>
      </c>
      <c r="P38" s="54">
        <v>87</v>
      </c>
      <c r="Q38" s="54" t="s">
        <v>145</v>
      </c>
      <c r="R38" s="54" t="s">
        <v>2393</v>
      </c>
      <c r="S38" s="54">
        <v>83</v>
      </c>
      <c r="T38" s="54" t="s">
        <v>145</v>
      </c>
      <c r="U38" s="54" t="s">
        <v>2394</v>
      </c>
      <c r="V38" s="166">
        <v>89</v>
      </c>
      <c r="W38" s="167" t="s">
        <v>144</v>
      </c>
      <c r="X38" s="168" t="s">
        <v>2327</v>
      </c>
      <c r="Y38" s="166">
        <v>88</v>
      </c>
      <c r="Z38" s="167" t="s">
        <v>144</v>
      </c>
      <c r="AA38" s="169" t="s">
        <v>2328</v>
      </c>
      <c r="AB38" s="54">
        <v>93</v>
      </c>
      <c r="AC38" s="54" t="s">
        <v>144</v>
      </c>
      <c r="AD38" s="54" t="s">
        <v>2377</v>
      </c>
      <c r="AE38" s="54">
        <v>90</v>
      </c>
      <c r="AF38" s="54" t="s">
        <v>144</v>
      </c>
      <c r="AG38" s="54" t="s">
        <v>2378</v>
      </c>
      <c r="AH38" s="52">
        <v>90</v>
      </c>
      <c r="AI38" s="52" t="s">
        <v>144</v>
      </c>
      <c r="AJ38" s="52" t="s">
        <v>2400</v>
      </c>
      <c r="AK38" s="52">
        <v>87</v>
      </c>
      <c r="AL38" s="52" t="s">
        <v>145</v>
      </c>
      <c r="AM38" s="52" t="s">
        <v>2399</v>
      </c>
      <c r="AN38" s="54">
        <v>88</v>
      </c>
      <c r="AO38" s="54" t="s">
        <v>144</v>
      </c>
      <c r="AP38" s="54" t="s">
        <v>2341</v>
      </c>
      <c r="AQ38" s="54">
        <v>86</v>
      </c>
      <c r="AR38" s="54" t="s">
        <v>145</v>
      </c>
      <c r="AS38" s="54" t="s">
        <v>2338</v>
      </c>
      <c r="AT38" s="166">
        <v>88</v>
      </c>
      <c r="AU38" s="167" t="s">
        <v>144</v>
      </c>
      <c r="AV38" s="168" t="s">
        <v>2396</v>
      </c>
      <c r="AW38" s="166">
        <v>90</v>
      </c>
      <c r="AX38" s="167" t="s">
        <v>144</v>
      </c>
      <c r="AY38" s="169" t="s">
        <v>2397</v>
      </c>
      <c r="AZ38" s="54">
        <v>92</v>
      </c>
      <c r="BA38" s="54" t="s">
        <v>144</v>
      </c>
      <c r="BB38" s="54" t="s">
        <v>2445</v>
      </c>
      <c r="BC38" s="54">
        <v>85</v>
      </c>
      <c r="BD38" s="54" t="s">
        <v>145</v>
      </c>
      <c r="BE38" s="54" t="s">
        <v>2443</v>
      </c>
      <c r="BF38" s="52">
        <v>92</v>
      </c>
      <c r="BG38" s="52" t="s">
        <v>144</v>
      </c>
      <c r="BH38" s="52" t="s">
        <v>2347</v>
      </c>
      <c r="BI38" s="52">
        <v>81</v>
      </c>
      <c r="BJ38" s="52" t="s">
        <v>145</v>
      </c>
      <c r="BK38" s="52" t="s">
        <v>2346</v>
      </c>
      <c r="BL38" s="54">
        <v>91</v>
      </c>
      <c r="BM38" s="54" t="s">
        <v>144</v>
      </c>
      <c r="BN38" s="54" t="s">
        <v>2325</v>
      </c>
      <c r="BO38" s="54">
        <v>91</v>
      </c>
      <c r="BP38" s="54" t="s">
        <v>144</v>
      </c>
      <c r="BQ38" s="54" t="s">
        <v>2326</v>
      </c>
      <c r="BR38" s="52">
        <v>89</v>
      </c>
      <c r="BS38" s="52" t="s">
        <v>144</v>
      </c>
      <c r="BT38" s="52" t="s">
        <v>2374</v>
      </c>
      <c r="BU38" s="52">
        <v>88</v>
      </c>
      <c r="BV38" s="52" t="s">
        <v>144</v>
      </c>
      <c r="BW38" s="52" t="s">
        <v>2367</v>
      </c>
      <c r="BX38" s="54">
        <v>85</v>
      </c>
      <c r="BY38" s="54" t="s">
        <v>145</v>
      </c>
      <c r="BZ38" s="54" t="s">
        <v>2384</v>
      </c>
      <c r="CA38" s="54">
        <v>83</v>
      </c>
      <c r="CB38" s="54" t="s">
        <v>145</v>
      </c>
      <c r="CC38" s="54" t="s">
        <v>2382</v>
      </c>
      <c r="CD38" s="166">
        <v>95</v>
      </c>
      <c r="CE38" s="167" t="s">
        <v>144</v>
      </c>
      <c r="CF38" s="168" t="s">
        <v>2365</v>
      </c>
      <c r="CG38" s="166">
        <v>88</v>
      </c>
      <c r="CH38" s="167" t="s">
        <v>144</v>
      </c>
      <c r="CI38" s="169" t="s">
        <v>2350</v>
      </c>
      <c r="CJ38" s="54">
        <v>89</v>
      </c>
      <c r="CK38" s="54" t="s">
        <v>144</v>
      </c>
      <c r="CL38" s="54" t="s">
        <v>2335</v>
      </c>
      <c r="CM38" s="54">
        <v>85</v>
      </c>
      <c r="CN38" s="54" t="s">
        <v>145</v>
      </c>
      <c r="CO38" s="54" t="s">
        <v>2332</v>
      </c>
      <c r="CP38" s="52">
        <v>89</v>
      </c>
      <c r="CQ38" s="52" t="s">
        <v>144</v>
      </c>
      <c r="CR38" s="52" t="s">
        <v>2438</v>
      </c>
      <c r="CS38" s="52">
        <v>86</v>
      </c>
      <c r="CT38" s="52" t="s">
        <v>145</v>
      </c>
      <c r="CU38" s="52" t="s">
        <v>2436</v>
      </c>
      <c r="CV38" s="52"/>
      <c r="CW38" s="52"/>
      <c r="CX38" s="52"/>
      <c r="CY38" s="52"/>
      <c r="CZ38" s="52"/>
      <c r="DA38" s="52"/>
      <c r="DB38" s="15" t="str">
        <f>'Input Ekstra'!E34</f>
        <v>Pramuka</v>
      </c>
      <c r="DC38" s="15" t="str">
        <f>'Input Ekstra'!F34</f>
        <v>Baik</v>
      </c>
      <c r="DD38" s="15" t="str">
        <f>'Input Ekstra'!G34</f>
        <v>Peserta didik terampil membuat pionering, mampu menguasai gerakan PBB dan mengetahui salah satu kesenian daerah</v>
      </c>
      <c r="DE38" s="15" t="str">
        <f>'Input Ekstra'!H34</f>
        <v>Video Editing</v>
      </c>
      <c r="DF38" s="15" t="str">
        <f>'Input Ekstra'!I34</f>
        <v>Amat Baik</v>
      </c>
      <c r="DG38" s="15" t="str">
        <f>'Input Ekstra'!J34</f>
        <v>Peserta didik mampu mengikuti kegiatan ekstrakurikuler video editing dengan amat baik</v>
      </c>
      <c r="DH38" s="15">
        <f>'Input Kehadiran'!E34</f>
        <v>0</v>
      </c>
      <c r="DI38" s="15">
        <f>'Input Kehadiran'!F34</f>
        <v>0</v>
      </c>
      <c r="DJ38" s="15">
        <f>'Input Kehadiran'!G34</f>
        <v>0</v>
      </c>
      <c r="DK38" s="48">
        <f>'Input Prestasi'!D35</f>
        <v>0</v>
      </c>
      <c r="DL38" s="48">
        <f>'Input Prestasi'!E35</f>
        <v>0</v>
      </c>
      <c r="DM38" s="48">
        <f>'Input Prestasi'!F35</f>
        <v>0</v>
      </c>
      <c r="DN38" s="48">
        <f>'Input Prestasi'!G35</f>
        <v>0</v>
      </c>
      <c r="DO38" s="48">
        <f>'Input Prestasi'!H35</f>
        <v>0</v>
      </c>
      <c r="DP38" s="48">
        <f>'Input Prestasi'!I35</f>
        <v>0</v>
      </c>
      <c r="DQ38" s="48">
        <f>'Input Prestasi'!J35</f>
        <v>0</v>
      </c>
      <c r="DR38" s="48">
        <f>'Input Prestasi'!K35</f>
        <v>0</v>
      </c>
      <c r="DS38" s="15" t="str">
        <f>'Input Nilai Sikap dan Catatan'!H33</f>
        <v>Peserta didik sudah mampu menempatkan diri dengan baik. Pertahankan kepribadian yang mampu menggerakkan teman-teman dalam kebaikan.</v>
      </c>
    </row>
    <row r="39" spans="1:123" x14ac:dyDescent="0.25">
      <c r="A39" s="12">
        <v>31</v>
      </c>
      <c r="B39" s="23" t="str">
        <f>IF(Setting!J36="","",Setting!J36)</f>
        <v>Zaidan Mu'afy Althaf</v>
      </c>
      <c r="C39" s="28">
        <f>IF(Setting!K36="","",Setting!K36)</f>
        <v>2008347</v>
      </c>
      <c r="D39" s="28" t="str">
        <f>IF(Setting!L36="","",Setting!L36)</f>
        <v>0056182222</v>
      </c>
      <c r="E39" s="15" t="str">
        <f>IF(Setting!$E$11="","",Setting!$E$11)</f>
        <v>XII MIPA 4</v>
      </c>
      <c r="F39" s="15" t="str">
        <f>'Input Nilai Sikap dan Catatan'!D34</f>
        <v>A</v>
      </c>
      <c r="G39" s="15" t="str">
        <f>'Input Nilai Sikap dan Catatan'!E34</f>
        <v>Mengikuti rutinitas ibadah dengan tertib dan mengamalkan nilai-nilai agama dalam kegiatan pembelajaran.</v>
      </c>
      <c r="H39" s="15" t="str">
        <f>'Input Nilai Sikap dan Catatan'!F34</f>
        <v>B</v>
      </c>
      <c r="I39" s="15" t="str">
        <f>'Input Nilai Sikap dan Catatan'!G34</f>
        <v>Memiliki sopan santun yang baik dan mampu memposisikan diri dengan baik dalam pertemanan</v>
      </c>
      <c r="J39" s="166">
        <v>93</v>
      </c>
      <c r="K39" s="167" t="s">
        <v>144</v>
      </c>
      <c r="L39" s="168" t="s">
        <v>2379</v>
      </c>
      <c r="M39" s="166">
        <v>88</v>
      </c>
      <c r="N39" s="167" t="s">
        <v>144</v>
      </c>
      <c r="O39" s="169" t="s">
        <v>2380</v>
      </c>
      <c r="P39" s="54">
        <v>88</v>
      </c>
      <c r="Q39" s="54" t="s">
        <v>144</v>
      </c>
      <c r="R39" s="54" t="s">
        <v>2393</v>
      </c>
      <c r="S39" s="54">
        <v>83</v>
      </c>
      <c r="T39" s="54" t="s">
        <v>145</v>
      </c>
      <c r="U39" s="54" t="s">
        <v>2394</v>
      </c>
      <c r="V39" s="166">
        <v>88</v>
      </c>
      <c r="W39" s="167" t="s">
        <v>144</v>
      </c>
      <c r="X39" s="168" t="s">
        <v>2459</v>
      </c>
      <c r="Y39" s="166">
        <v>88</v>
      </c>
      <c r="Z39" s="167" t="s">
        <v>144</v>
      </c>
      <c r="AA39" s="169" t="s">
        <v>2328</v>
      </c>
      <c r="AB39" s="54">
        <v>91</v>
      </c>
      <c r="AC39" s="54" t="s">
        <v>144</v>
      </c>
      <c r="AD39" s="54" t="s">
        <v>2375</v>
      </c>
      <c r="AE39" s="54">
        <v>85</v>
      </c>
      <c r="AF39" s="54" t="s">
        <v>145</v>
      </c>
      <c r="AG39" s="54" t="s">
        <v>2376</v>
      </c>
      <c r="AH39" s="52">
        <v>93</v>
      </c>
      <c r="AI39" s="52" t="s">
        <v>144</v>
      </c>
      <c r="AJ39" s="52" t="s">
        <v>2400</v>
      </c>
      <c r="AK39" s="52">
        <v>84</v>
      </c>
      <c r="AL39" s="52" t="s">
        <v>145</v>
      </c>
      <c r="AM39" s="52" t="s">
        <v>2399</v>
      </c>
      <c r="AN39" s="54">
        <v>87</v>
      </c>
      <c r="AO39" s="54" t="s">
        <v>145</v>
      </c>
      <c r="AP39" s="54" t="s">
        <v>2340</v>
      </c>
      <c r="AQ39" s="54">
        <v>84</v>
      </c>
      <c r="AR39" s="54" t="s">
        <v>145</v>
      </c>
      <c r="AS39" s="54" t="s">
        <v>2338</v>
      </c>
      <c r="AT39" s="166">
        <v>90</v>
      </c>
      <c r="AU39" s="167" t="s">
        <v>144</v>
      </c>
      <c r="AV39" s="168" t="s">
        <v>2396</v>
      </c>
      <c r="AW39" s="166">
        <v>90</v>
      </c>
      <c r="AX39" s="167" t="s">
        <v>144</v>
      </c>
      <c r="AY39" s="169" t="s">
        <v>2397</v>
      </c>
      <c r="AZ39" s="54">
        <v>91</v>
      </c>
      <c r="BA39" s="54" t="s">
        <v>144</v>
      </c>
      <c r="BB39" s="54" t="s">
        <v>2446</v>
      </c>
      <c r="BC39" s="54">
        <v>84</v>
      </c>
      <c r="BD39" s="54" t="s">
        <v>145</v>
      </c>
      <c r="BE39" s="54" t="s">
        <v>2443</v>
      </c>
      <c r="BF39" s="52">
        <v>93</v>
      </c>
      <c r="BG39" s="52" t="s">
        <v>144</v>
      </c>
      <c r="BH39" s="52" t="s">
        <v>2345</v>
      </c>
      <c r="BI39" s="52">
        <v>87</v>
      </c>
      <c r="BJ39" s="52" t="s">
        <v>145</v>
      </c>
      <c r="BK39" s="52" t="s">
        <v>2346</v>
      </c>
      <c r="BL39" s="54">
        <v>81</v>
      </c>
      <c r="BM39" s="54" t="s">
        <v>145</v>
      </c>
      <c r="BN39" s="54" t="s">
        <v>2325</v>
      </c>
      <c r="BO39" s="54">
        <v>81</v>
      </c>
      <c r="BP39" s="54" t="s">
        <v>145</v>
      </c>
      <c r="BQ39" s="54" t="s">
        <v>2326</v>
      </c>
      <c r="BR39" s="52">
        <v>86</v>
      </c>
      <c r="BS39" s="52" t="s">
        <v>145</v>
      </c>
      <c r="BT39" s="52" t="s">
        <v>2373</v>
      </c>
      <c r="BU39" s="52">
        <v>84</v>
      </c>
      <c r="BV39" s="52" t="s">
        <v>145</v>
      </c>
      <c r="BW39" s="52" t="s">
        <v>2367</v>
      </c>
      <c r="BX39" s="54">
        <v>86</v>
      </c>
      <c r="BY39" s="54" t="s">
        <v>145</v>
      </c>
      <c r="BZ39" s="54" t="s">
        <v>2384</v>
      </c>
      <c r="CA39" s="54">
        <v>83</v>
      </c>
      <c r="CB39" s="54" t="s">
        <v>145</v>
      </c>
      <c r="CC39" s="54" t="s">
        <v>2382</v>
      </c>
      <c r="CD39" s="166">
        <v>95</v>
      </c>
      <c r="CE39" s="167" t="s">
        <v>144</v>
      </c>
      <c r="CF39" s="168" t="s">
        <v>2349</v>
      </c>
      <c r="CG39" s="166">
        <v>90</v>
      </c>
      <c r="CH39" s="167" t="s">
        <v>144</v>
      </c>
      <c r="CI39" s="169" t="s">
        <v>2350</v>
      </c>
      <c r="CJ39" s="54">
        <v>89</v>
      </c>
      <c r="CK39" s="54" t="s">
        <v>144</v>
      </c>
      <c r="CL39" s="54" t="s">
        <v>2336</v>
      </c>
      <c r="CM39" s="54">
        <v>85</v>
      </c>
      <c r="CN39" s="54" t="s">
        <v>145</v>
      </c>
      <c r="CO39" s="54" t="s">
        <v>2332</v>
      </c>
      <c r="CP39" s="52">
        <v>93</v>
      </c>
      <c r="CQ39" s="52" t="s">
        <v>144</v>
      </c>
      <c r="CR39" s="52" t="s">
        <v>2439</v>
      </c>
      <c r="CS39" s="52">
        <v>86</v>
      </c>
      <c r="CT39" s="52" t="s">
        <v>145</v>
      </c>
      <c r="CU39" s="52" t="s">
        <v>2436</v>
      </c>
      <c r="CV39" s="52"/>
      <c r="CW39" s="52"/>
      <c r="CX39" s="52"/>
      <c r="CY39" s="52"/>
      <c r="CZ39" s="52"/>
      <c r="DA39" s="52"/>
      <c r="DB39" s="15" t="str">
        <f>'Input Ekstra'!E35</f>
        <v>Pramuka</v>
      </c>
      <c r="DC39" s="15" t="str">
        <f>'Input Ekstra'!F35</f>
        <v>Baik</v>
      </c>
      <c r="DD39" s="15" t="str">
        <f>'Input Ekstra'!G35</f>
        <v>Peserta didik terampil membuat pionering, mampu menguasai gerakan PBB dan mengetahui salah satu kesenian daerah</v>
      </c>
      <c r="DE39" s="15" t="str">
        <f>'Input Ekstra'!H35</f>
        <v>Badminton</v>
      </c>
      <c r="DF39" s="15" t="str">
        <f>'Input Ekstra'!I35</f>
        <v>Baik</v>
      </c>
      <c r="DG39" s="15" t="str">
        <f>'Input Ekstra'!J35</f>
        <v>Peserta didik mampu mengikuti kegiatan ekstrakurikuler badminton dengan baik</v>
      </c>
      <c r="DH39" s="15">
        <f>'Input Kehadiran'!E35</f>
        <v>0</v>
      </c>
      <c r="DI39" s="15">
        <f>'Input Kehadiran'!F35</f>
        <v>1</v>
      </c>
      <c r="DJ39" s="15">
        <f>'Input Kehadiran'!G35</f>
        <v>0</v>
      </c>
      <c r="DK39" s="48">
        <f>'Input Prestasi'!D36</f>
        <v>0</v>
      </c>
      <c r="DL39" s="48">
        <f>'Input Prestasi'!E36</f>
        <v>0</v>
      </c>
      <c r="DM39" s="48">
        <f>'Input Prestasi'!F36</f>
        <v>0</v>
      </c>
      <c r="DN39" s="48">
        <f>'Input Prestasi'!G36</f>
        <v>0</v>
      </c>
      <c r="DO39" s="48">
        <f>'Input Prestasi'!H36</f>
        <v>0</v>
      </c>
      <c r="DP39" s="48">
        <f>'Input Prestasi'!I36</f>
        <v>0</v>
      </c>
      <c r="DQ39" s="48">
        <f>'Input Prestasi'!J36</f>
        <v>0</v>
      </c>
      <c r="DR39" s="48">
        <f>'Input Prestasi'!K36</f>
        <v>0</v>
      </c>
      <c r="DS39" s="15" t="str">
        <f>'Input Nilai Sikap dan Catatan'!H34</f>
        <v>Peserta didik sudah mampu menempatkan diri dengan baik. Pertahankan kepribadian yang mampu menggerakkan teman-teman dalam kebaikan.</v>
      </c>
    </row>
    <row r="40" spans="1:123" x14ac:dyDescent="0.25">
      <c r="A40" s="12">
        <v>32</v>
      </c>
      <c r="B40" s="23">
        <f>IF(Setting!J37="","",Setting!J37)</f>
        <v>0</v>
      </c>
      <c r="C40" s="28">
        <f>IF(Setting!K37="","",Setting!K37)</f>
        <v>0</v>
      </c>
      <c r="D40" s="28">
        <f>IF(Setting!L37="","",Setting!L37)</f>
        <v>0</v>
      </c>
      <c r="E40" s="15" t="str">
        <f>IF(Setting!$E$11="","",Setting!$E$11)</f>
        <v>XII MIPA 4</v>
      </c>
      <c r="F40" s="15">
        <f>'Input Nilai Sikap dan Catatan'!D35</f>
        <v>0</v>
      </c>
      <c r="G40" s="15">
        <f>'Input Nilai Sikap dan Catatan'!E35</f>
        <v>0</v>
      </c>
      <c r="H40" s="15">
        <f>'Input Nilai Sikap dan Catatan'!F35</f>
        <v>0</v>
      </c>
      <c r="I40" s="15">
        <f>'Input Nilai Sikap dan Catatan'!G35</f>
        <v>0</v>
      </c>
      <c r="J40" s="52"/>
      <c r="K40" s="52"/>
      <c r="L40" s="52"/>
      <c r="M40" s="52"/>
      <c r="N40" s="52"/>
      <c r="O40" s="52"/>
      <c r="P40" s="54"/>
      <c r="Q40" s="54"/>
      <c r="R40" s="54"/>
      <c r="S40" s="54"/>
      <c r="T40" s="54"/>
      <c r="U40" s="54"/>
      <c r="V40" s="166"/>
      <c r="W40" s="167"/>
      <c r="X40" s="168"/>
      <c r="Y40" s="166"/>
      <c r="Z40" s="167"/>
      <c r="AA40" s="169"/>
      <c r="AB40" s="54"/>
      <c r="AC40" s="54"/>
      <c r="AD40" s="54"/>
      <c r="AE40" s="54"/>
      <c r="AF40" s="54"/>
      <c r="AG40" s="54"/>
      <c r="AH40" s="52"/>
      <c r="AI40" s="52"/>
      <c r="AJ40" s="52"/>
      <c r="AK40" s="52"/>
      <c r="AL40" s="52"/>
      <c r="AM40" s="52"/>
      <c r="AN40" s="54"/>
      <c r="AO40" s="54"/>
      <c r="AP40" s="54"/>
      <c r="AQ40" s="54"/>
      <c r="AR40" s="54"/>
      <c r="AS40" s="54"/>
      <c r="AT40" s="52"/>
      <c r="AU40" s="52"/>
      <c r="AV40" s="52"/>
      <c r="AW40" s="52"/>
      <c r="AX40" s="52"/>
      <c r="AY40" s="52"/>
      <c r="AZ40" s="54"/>
      <c r="BA40" s="54"/>
      <c r="BB40" s="54"/>
      <c r="BC40" s="54"/>
      <c r="BD40" s="54"/>
      <c r="BE40" s="54"/>
      <c r="BF40" s="52"/>
      <c r="BG40" s="52"/>
      <c r="BH40" s="52"/>
      <c r="BI40" s="52"/>
      <c r="BJ40" s="52"/>
      <c r="BK40" s="52"/>
      <c r="BL40" s="54"/>
      <c r="BM40" s="54"/>
      <c r="BN40" s="54"/>
      <c r="BO40" s="54"/>
      <c r="BP40" s="54"/>
      <c r="BQ40" s="54"/>
      <c r="BR40" s="52"/>
      <c r="BS40" s="52"/>
      <c r="BT40" s="52"/>
      <c r="BU40" s="52"/>
      <c r="BV40" s="52"/>
      <c r="BW40" s="52"/>
      <c r="BX40" s="54"/>
      <c r="BY40" s="54"/>
      <c r="BZ40" s="54"/>
      <c r="CA40" s="54"/>
      <c r="CB40" s="54"/>
      <c r="CC40" s="54"/>
      <c r="CD40" s="52"/>
      <c r="CE40" s="52"/>
      <c r="CF40" s="52"/>
      <c r="CG40" s="52"/>
      <c r="CH40" s="52"/>
      <c r="CI40" s="52"/>
      <c r="CJ40" s="54"/>
      <c r="CK40" s="54"/>
      <c r="CL40" s="54"/>
      <c r="CM40" s="54"/>
      <c r="CN40" s="54"/>
      <c r="CO40" s="54"/>
      <c r="CP40" s="52"/>
      <c r="CQ40" s="52"/>
      <c r="CR40" s="52"/>
      <c r="CS40" s="52"/>
      <c r="CT40" s="52"/>
      <c r="CU40" s="52"/>
      <c r="CV40" s="54"/>
      <c r="CW40" s="54"/>
      <c r="CX40" s="54"/>
      <c r="CY40" s="54"/>
      <c r="CZ40" s="54"/>
      <c r="DA40" s="54"/>
      <c r="DB40" s="15"/>
      <c r="DC40" s="15"/>
      <c r="DD40" s="15"/>
      <c r="DE40" s="15"/>
      <c r="DF40" s="15"/>
      <c r="DG40" s="15"/>
      <c r="DH40" s="15"/>
      <c r="DI40" s="15"/>
      <c r="DJ40" s="15"/>
      <c r="DK40" s="48"/>
      <c r="DL40" s="48"/>
      <c r="DM40" s="48"/>
      <c r="DN40" s="48"/>
      <c r="DO40" s="48"/>
      <c r="DP40" s="48"/>
      <c r="DQ40" s="48"/>
      <c r="DR40" s="48"/>
      <c r="DS40" s="15"/>
    </row>
    <row r="41" spans="1:123" x14ac:dyDescent="0.25">
      <c r="A41" s="12">
        <v>33</v>
      </c>
      <c r="B41" s="23">
        <f>IF(Setting!J38="","",Setting!J38)</f>
        <v>0</v>
      </c>
      <c r="C41" s="28">
        <f>IF(Setting!K38="","",Setting!K38)</f>
        <v>0</v>
      </c>
      <c r="D41" s="28">
        <f>IF(Setting!L38="","",Setting!L38)</f>
        <v>0</v>
      </c>
      <c r="E41" s="15" t="str">
        <f>IF(Setting!$E$11="","",Setting!$E$11)</f>
        <v>XII MIPA 4</v>
      </c>
      <c r="F41" s="15">
        <f>'Input Nilai Sikap dan Catatan'!D36</f>
        <v>0</v>
      </c>
      <c r="G41" s="15">
        <f>'Input Nilai Sikap dan Catatan'!E36</f>
        <v>0</v>
      </c>
      <c r="H41" s="15">
        <f>'Input Nilai Sikap dan Catatan'!F36</f>
        <v>0</v>
      </c>
      <c r="I41" s="15">
        <f>'Input Nilai Sikap dan Catatan'!G36</f>
        <v>0</v>
      </c>
      <c r="J41" s="52"/>
      <c r="K41" s="52"/>
      <c r="L41" s="52"/>
      <c r="M41" s="52"/>
      <c r="N41" s="52"/>
      <c r="O41" s="52"/>
      <c r="P41" s="54"/>
      <c r="Q41" s="54"/>
      <c r="R41" s="54"/>
      <c r="S41" s="54"/>
      <c r="T41" s="54"/>
      <c r="U41" s="54"/>
      <c r="V41" s="166"/>
      <c r="W41" s="167"/>
      <c r="X41" s="168"/>
      <c r="Y41" s="166"/>
      <c r="Z41" s="167"/>
      <c r="AA41" s="169"/>
      <c r="AB41" s="54"/>
      <c r="AC41" s="54"/>
      <c r="AD41" s="54"/>
      <c r="AE41" s="54"/>
      <c r="AF41" s="54"/>
      <c r="AG41" s="54"/>
      <c r="AH41" s="52"/>
      <c r="AI41" s="52"/>
      <c r="AJ41" s="52"/>
      <c r="AK41" s="52"/>
      <c r="AL41" s="52"/>
      <c r="AM41" s="52"/>
      <c r="AN41" s="54"/>
      <c r="AO41" s="54"/>
      <c r="AP41" s="54"/>
      <c r="AQ41" s="54"/>
      <c r="AR41" s="54"/>
      <c r="AS41" s="54"/>
      <c r="AT41" s="52"/>
      <c r="AU41" s="52"/>
      <c r="AV41" s="52"/>
      <c r="AW41" s="52"/>
      <c r="AX41" s="52"/>
      <c r="AY41" s="52"/>
      <c r="AZ41" s="54"/>
      <c r="BA41" s="54"/>
      <c r="BB41" s="54"/>
      <c r="BC41" s="54"/>
      <c r="BD41" s="54"/>
      <c r="BE41" s="54"/>
      <c r="BF41" s="52"/>
      <c r="BG41" s="52"/>
      <c r="BH41" s="52"/>
      <c r="BI41" s="52"/>
      <c r="BJ41" s="52"/>
      <c r="BK41" s="52"/>
      <c r="BL41" s="54"/>
      <c r="BM41" s="54"/>
      <c r="BN41" s="54"/>
      <c r="BO41" s="54"/>
      <c r="BP41" s="54"/>
      <c r="BQ41" s="54"/>
      <c r="BR41" s="52"/>
      <c r="BS41" s="52"/>
      <c r="BT41" s="52"/>
      <c r="BU41" s="52"/>
      <c r="BV41" s="52"/>
      <c r="BW41" s="52"/>
      <c r="BX41" s="54"/>
      <c r="BY41" s="54"/>
      <c r="BZ41" s="54"/>
      <c r="CA41" s="54"/>
      <c r="CB41" s="54"/>
      <c r="CC41" s="54"/>
      <c r="CD41" s="52"/>
      <c r="CE41" s="52"/>
      <c r="CF41" s="52"/>
      <c r="CG41" s="52"/>
      <c r="CH41" s="52"/>
      <c r="CI41" s="52"/>
      <c r="CJ41" s="54"/>
      <c r="CK41" s="54"/>
      <c r="CL41" s="54"/>
      <c r="CM41" s="54"/>
      <c r="CN41" s="54"/>
      <c r="CO41" s="54"/>
      <c r="CP41" s="52"/>
      <c r="CQ41" s="52"/>
      <c r="CR41" s="52"/>
      <c r="CS41" s="52"/>
      <c r="CT41" s="52"/>
      <c r="CU41" s="52"/>
      <c r="CV41" s="54"/>
      <c r="CW41" s="54"/>
      <c r="CX41" s="54"/>
      <c r="CY41" s="54"/>
      <c r="CZ41" s="54"/>
      <c r="DA41" s="54"/>
      <c r="DB41" s="15"/>
      <c r="DC41" s="15"/>
      <c r="DD41" s="15"/>
      <c r="DE41" s="15"/>
      <c r="DF41" s="15"/>
      <c r="DG41" s="15"/>
      <c r="DH41" s="15"/>
      <c r="DI41" s="15"/>
      <c r="DJ41" s="15"/>
      <c r="DK41" s="48"/>
      <c r="DL41" s="48"/>
      <c r="DM41" s="48"/>
      <c r="DN41" s="48"/>
      <c r="DO41" s="48"/>
      <c r="DP41" s="48"/>
      <c r="DQ41" s="48"/>
      <c r="DR41" s="48"/>
      <c r="DS41" s="15"/>
    </row>
    <row r="42" spans="1:123" x14ac:dyDescent="0.25">
      <c r="A42" s="12">
        <v>34</v>
      </c>
      <c r="B42" s="23">
        <f>IF(Setting!J39="","",Setting!J39)</f>
        <v>0</v>
      </c>
      <c r="C42" s="28">
        <f>IF(Setting!K39="","",Setting!K39)</f>
        <v>0</v>
      </c>
      <c r="D42" s="28">
        <f>IF(Setting!L39="","",Setting!L39)</f>
        <v>0</v>
      </c>
      <c r="E42" s="15" t="str">
        <f>IF(Setting!$E$11="","",Setting!$E$11)</f>
        <v>XII MIPA 4</v>
      </c>
      <c r="F42" s="15">
        <f>'Input Nilai Sikap dan Catatan'!D37</f>
        <v>0</v>
      </c>
      <c r="G42" s="15">
        <f>'Input Nilai Sikap dan Catatan'!E37</f>
        <v>0</v>
      </c>
      <c r="H42" s="15">
        <f>'Input Nilai Sikap dan Catatan'!F37</f>
        <v>0</v>
      </c>
      <c r="I42" s="15">
        <f>'Input Nilai Sikap dan Catatan'!G37</f>
        <v>0</v>
      </c>
      <c r="J42" s="52"/>
      <c r="K42" s="52"/>
      <c r="L42" s="52"/>
      <c r="M42" s="52"/>
      <c r="N42" s="52"/>
      <c r="O42" s="52"/>
      <c r="P42" s="54"/>
      <c r="Q42" s="54"/>
      <c r="R42" s="54"/>
      <c r="S42" s="54"/>
      <c r="T42" s="54"/>
      <c r="U42" s="54"/>
      <c r="V42" s="166"/>
      <c r="W42" s="167"/>
      <c r="X42" s="168"/>
      <c r="Y42" s="166"/>
      <c r="Z42" s="167"/>
      <c r="AA42" s="169"/>
      <c r="AB42" s="54"/>
      <c r="AC42" s="54"/>
      <c r="AD42" s="54"/>
      <c r="AE42" s="54"/>
      <c r="AF42" s="54"/>
      <c r="AG42" s="54"/>
      <c r="AH42" s="52"/>
      <c r="AI42" s="52"/>
      <c r="AJ42" s="52"/>
      <c r="AK42" s="52"/>
      <c r="AL42" s="52"/>
      <c r="AM42" s="52"/>
      <c r="AN42" s="54"/>
      <c r="AO42" s="54"/>
      <c r="AP42" s="54"/>
      <c r="AQ42" s="54"/>
      <c r="AR42" s="54"/>
      <c r="AS42" s="54"/>
      <c r="AT42" s="52"/>
      <c r="AU42" s="52"/>
      <c r="AV42" s="52"/>
      <c r="AW42" s="52"/>
      <c r="AX42" s="52"/>
      <c r="AY42" s="52"/>
      <c r="AZ42" s="54"/>
      <c r="BA42" s="54"/>
      <c r="BB42" s="54"/>
      <c r="BC42" s="54"/>
      <c r="BD42" s="54"/>
      <c r="BE42" s="54"/>
      <c r="BF42" s="52"/>
      <c r="BG42" s="52"/>
      <c r="BH42" s="52"/>
      <c r="BI42" s="52"/>
      <c r="BJ42" s="52"/>
      <c r="BK42" s="52"/>
      <c r="BL42" s="54"/>
      <c r="BM42" s="54"/>
      <c r="BN42" s="54"/>
      <c r="BO42" s="54"/>
      <c r="BP42" s="54"/>
      <c r="BQ42" s="54"/>
      <c r="BR42" s="52"/>
      <c r="BS42" s="52"/>
      <c r="BT42" s="52"/>
      <c r="BU42" s="52"/>
      <c r="BV42" s="52"/>
      <c r="BW42" s="52"/>
      <c r="BX42" s="54"/>
      <c r="BY42" s="54"/>
      <c r="BZ42" s="54"/>
      <c r="CA42" s="54"/>
      <c r="CB42" s="54"/>
      <c r="CC42" s="54"/>
      <c r="CD42" s="52"/>
      <c r="CE42" s="52"/>
      <c r="CF42" s="52"/>
      <c r="CG42" s="52"/>
      <c r="CH42" s="52"/>
      <c r="CI42" s="52"/>
      <c r="CJ42" s="54"/>
      <c r="CK42" s="54"/>
      <c r="CL42" s="54"/>
      <c r="CM42" s="54"/>
      <c r="CN42" s="54"/>
      <c r="CO42" s="54"/>
      <c r="CP42" s="52"/>
      <c r="CQ42" s="52"/>
      <c r="CR42" s="52"/>
      <c r="CS42" s="52"/>
      <c r="CT42" s="52"/>
      <c r="CU42" s="52"/>
      <c r="CV42" s="54"/>
      <c r="CW42" s="54"/>
      <c r="CX42" s="54"/>
      <c r="CY42" s="54"/>
      <c r="CZ42" s="54"/>
      <c r="DA42" s="54"/>
      <c r="DB42" s="15"/>
      <c r="DC42" s="15"/>
      <c r="DD42" s="15"/>
      <c r="DE42" s="15"/>
      <c r="DF42" s="15"/>
      <c r="DG42" s="15"/>
      <c r="DH42" s="15"/>
      <c r="DI42" s="15"/>
      <c r="DJ42" s="15"/>
      <c r="DK42" s="48"/>
      <c r="DL42" s="48"/>
      <c r="DM42" s="48"/>
      <c r="DN42" s="48"/>
      <c r="DO42" s="48"/>
      <c r="DP42" s="48"/>
      <c r="DQ42" s="48"/>
      <c r="DR42" s="48"/>
      <c r="DS42" s="15"/>
    </row>
    <row r="43" spans="1:123" x14ac:dyDescent="0.25">
      <c r="A43" s="12">
        <v>35</v>
      </c>
      <c r="B43" s="23">
        <f>IF(Setting!J40="","",Setting!J40)</f>
        <v>0</v>
      </c>
      <c r="C43" s="28">
        <f>IF(Setting!K40="","",Setting!K40)</f>
        <v>0</v>
      </c>
      <c r="D43" s="28">
        <f>IF(Setting!L40="","",Setting!L40)</f>
        <v>0</v>
      </c>
      <c r="E43" s="15" t="str">
        <f>IF(Setting!$E$11="","",Setting!$E$11)</f>
        <v>XII MIPA 4</v>
      </c>
      <c r="F43" s="15">
        <f>'Input Nilai Sikap dan Catatan'!D38</f>
        <v>0</v>
      </c>
      <c r="G43" s="15">
        <f>'Input Nilai Sikap dan Catatan'!E38</f>
        <v>0</v>
      </c>
      <c r="H43" s="15">
        <f>'Input Nilai Sikap dan Catatan'!F38</f>
        <v>0</v>
      </c>
      <c r="I43" s="15">
        <f>'Input Nilai Sikap dan Catatan'!G38</f>
        <v>0</v>
      </c>
      <c r="J43" s="52"/>
      <c r="K43" s="52"/>
      <c r="L43" s="52"/>
      <c r="M43" s="52"/>
      <c r="N43" s="52"/>
      <c r="O43" s="52"/>
      <c r="P43" s="54"/>
      <c r="Q43" s="54"/>
      <c r="R43" s="54"/>
      <c r="S43" s="54"/>
      <c r="T43" s="54"/>
      <c r="U43" s="54"/>
      <c r="V43" s="166"/>
      <c r="W43" s="167"/>
      <c r="X43" s="168"/>
      <c r="Y43" s="166"/>
      <c r="Z43" s="167"/>
      <c r="AA43" s="169"/>
      <c r="AB43" s="54"/>
      <c r="AC43" s="54"/>
      <c r="AD43" s="54"/>
      <c r="AE43" s="54"/>
      <c r="AF43" s="54"/>
      <c r="AG43" s="54"/>
      <c r="AH43" s="52"/>
      <c r="AI43" s="52"/>
      <c r="AJ43" s="52"/>
      <c r="AK43" s="52"/>
      <c r="AL43" s="52"/>
      <c r="AM43" s="52"/>
      <c r="AN43" s="54"/>
      <c r="AO43" s="54"/>
      <c r="AP43" s="54"/>
      <c r="AQ43" s="54"/>
      <c r="AR43" s="54"/>
      <c r="AS43" s="54"/>
      <c r="AT43" s="52"/>
      <c r="AU43" s="52"/>
      <c r="AV43" s="52"/>
      <c r="AW43" s="52"/>
      <c r="AX43" s="52"/>
      <c r="AY43" s="52"/>
      <c r="AZ43" s="54"/>
      <c r="BA43" s="54"/>
      <c r="BB43" s="54"/>
      <c r="BC43" s="54"/>
      <c r="BD43" s="54"/>
      <c r="BE43" s="54"/>
      <c r="BF43" s="52"/>
      <c r="BG43" s="52"/>
      <c r="BH43" s="52"/>
      <c r="BI43" s="52"/>
      <c r="BJ43" s="52"/>
      <c r="BK43" s="52"/>
      <c r="BL43" s="54"/>
      <c r="BM43" s="54"/>
      <c r="BN43" s="54"/>
      <c r="BO43" s="54"/>
      <c r="BP43" s="54"/>
      <c r="BQ43" s="54"/>
      <c r="BR43" s="52"/>
      <c r="BS43" s="52"/>
      <c r="BT43" s="52"/>
      <c r="BU43" s="52"/>
      <c r="BV43" s="52"/>
      <c r="BW43" s="52"/>
      <c r="BX43" s="54"/>
      <c r="BY43" s="54"/>
      <c r="BZ43" s="54"/>
      <c r="CA43" s="54"/>
      <c r="CB43" s="54"/>
      <c r="CC43" s="54"/>
      <c r="CD43" s="52"/>
      <c r="CE43" s="52"/>
      <c r="CF43" s="52"/>
      <c r="CG43" s="52"/>
      <c r="CH43" s="52"/>
      <c r="CI43" s="52"/>
      <c r="CJ43" s="54"/>
      <c r="CK43" s="54"/>
      <c r="CL43" s="54"/>
      <c r="CM43" s="54"/>
      <c r="CN43" s="54"/>
      <c r="CO43" s="54"/>
      <c r="CP43" s="52"/>
      <c r="CQ43" s="52"/>
      <c r="CR43" s="52"/>
      <c r="CS43" s="52"/>
      <c r="CT43" s="52"/>
      <c r="CU43" s="52"/>
      <c r="CV43" s="54"/>
      <c r="CW43" s="54"/>
      <c r="CX43" s="54"/>
      <c r="CY43" s="54"/>
      <c r="CZ43" s="54"/>
      <c r="DA43" s="54"/>
      <c r="DB43" s="15"/>
      <c r="DC43" s="15"/>
      <c r="DD43" s="15"/>
      <c r="DE43" s="15"/>
      <c r="DF43" s="15"/>
      <c r="DG43" s="15"/>
      <c r="DH43" s="15"/>
      <c r="DI43" s="15"/>
      <c r="DJ43" s="15"/>
      <c r="DK43" s="48"/>
      <c r="DL43" s="48"/>
      <c r="DM43" s="48"/>
      <c r="DN43" s="48"/>
      <c r="DO43" s="48"/>
      <c r="DP43" s="48"/>
      <c r="DQ43" s="48"/>
      <c r="DR43" s="48"/>
      <c r="DS43" s="15"/>
    </row>
    <row r="44" spans="1:123" x14ac:dyDescent="0.25">
      <c r="A44" s="12">
        <v>36</v>
      </c>
      <c r="B44" s="23" t="str">
        <f>IF(Setting!J41="","",Setting!J41)</f>
        <v/>
      </c>
      <c r="C44" s="28" t="str">
        <f>IF(Setting!K41="","",Setting!K41)</f>
        <v/>
      </c>
      <c r="D44" s="28" t="str">
        <f>IF(Setting!L41="","",Setting!L41)</f>
        <v/>
      </c>
      <c r="E44" s="15" t="str">
        <f>IF(Setting!$E$11="","",Setting!$E$11)</f>
        <v>XII MIPA 4</v>
      </c>
      <c r="F44" s="15">
        <f>'Input Nilai Sikap dan Catatan'!D39</f>
        <v>0</v>
      </c>
      <c r="G44" s="15">
        <f>'Input Nilai Sikap dan Catatan'!E39</f>
        <v>0</v>
      </c>
      <c r="H44" s="15">
        <f>'Input Nilai Sikap dan Catatan'!F39</f>
        <v>0</v>
      </c>
      <c r="I44" s="15">
        <f>'Input Nilai Sikap dan Catatan'!G39</f>
        <v>0</v>
      </c>
      <c r="J44" s="52"/>
      <c r="K44" s="52"/>
      <c r="L44" s="52"/>
      <c r="M44" s="52"/>
      <c r="N44" s="52"/>
      <c r="O44" s="52"/>
      <c r="P44" s="54"/>
      <c r="Q44" s="54"/>
      <c r="R44" s="54"/>
      <c r="S44" s="54"/>
      <c r="T44" s="54"/>
      <c r="U44" s="54"/>
      <c r="V44" s="52"/>
      <c r="W44" s="52"/>
      <c r="X44" s="52"/>
      <c r="Y44" s="52"/>
      <c r="Z44" s="52"/>
      <c r="AA44" s="52"/>
      <c r="AB44" s="54"/>
      <c r="AC44" s="54"/>
      <c r="AD44" s="54"/>
      <c r="AE44" s="54"/>
      <c r="AF44" s="54"/>
      <c r="AG44" s="54"/>
      <c r="AH44" s="52"/>
      <c r="AI44" s="52"/>
      <c r="AJ44" s="52"/>
      <c r="AK44" s="52"/>
      <c r="AL44" s="52"/>
      <c r="AM44" s="52"/>
      <c r="AN44" s="54"/>
      <c r="AO44" s="54"/>
      <c r="AP44" s="54"/>
      <c r="AQ44" s="54"/>
      <c r="AR44" s="54"/>
      <c r="AS44" s="54"/>
      <c r="AT44" s="52"/>
      <c r="AU44" s="52"/>
      <c r="AV44" s="52"/>
      <c r="AW44" s="52"/>
      <c r="AX44" s="52"/>
      <c r="AY44" s="52"/>
      <c r="AZ44" s="54"/>
      <c r="BA44" s="54"/>
      <c r="BB44" s="54"/>
      <c r="BC44" s="54"/>
      <c r="BD44" s="54"/>
      <c r="BE44" s="54"/>
      <c r="BF44" s="52"/>
      <c r="BG44" s="52"/>
      <c r="BH44" s="52"/>
      <c r="BI44" s="52"/>
      <c r="BJ44" s="52"/>
      <c r="BK44" s="52"/>
      <c r="BL44" s="54"/>
      <c r="BM44" s="54"/>
      <c r="BN44" s="54"/>
      <c r="BO44" s="54"/>
      <c r="BP44" s="54"/>
      <c r="BQ44" s="54"/>
      <c r="BR44" s="52"/>
      <c r="BS44" s="52"/>
      <c r="BT44" s="52"/>
      <c r="BU44" s="52"/>
      <c r="BV44" s="52"/>
      <c r="BW44" s="52"/>
      <c r="BX44" s="54"/>
      <c r="BY44" s="54"/>
      <c r="BZ44" s="54"/>
      <c r="CA44" s="54"/>
      <c r="CB44" s="54"/>
      <c r="CC44" s="54"/>
      <c r="CD44" s="52"/>
      <c r="CE44" s="52"/>
      <c r="CF44" s="52"/>
      <c r="CG44" s="52"/>
      <c r="CH44" s="52"/>
      <c r="CI44" s="52"/>
      <c r="CJ44" s="54"/>
      <c r="CK44" s="54"/>
      <c r="CL44" s="54"/>
      <c r="CM44" s="54"/>
      <c r="CN44" s="54"/>
      <c r="CO44" s="54"/>
      <c r="CP44" s="52"/>
      <c r="CQ44" s="52"/>
      <c r="CR44" s="52"/>
      <c r="CS44" s="52"/>
      <c r="CT44" s="52"/>
      <c r="CU44" s="52"/>
      <c r="CV44" s="54"/>
      <c r="CW44" s="54"/>
      <c r="CX44" s="54"/>
      <c r="CY44" s="54"/>
      <c r="CZ44" s="54"/>
      <c r="DA44" s="54"/>
      <c r="DB44" s="15"/>
      <c r="DC44" s="15"/>
      <c r="DD44" s="15"/>
      <c r="DE44" s="15"/>
      <c r="DF44" s="15"/>
      <c r="DG44" s="15"/>
      <c r="DH44" s="15"/>
      <c r="DI44" s="15"/>
      <c r="DJ44" s="15"/>
      <c r="DK44" s="48"/>
      <c r="DL44" s="48"/>
      <c r="DM44" s="48"/>
      <c r="DN44" s="48"/>
      <c r="DO44" s="48"/>
      <c r="DP44" s="48"/>
      <c r="DQ44" s="48"/>
      <c r="DR44" s="48"/>
      <c r="DS44" s="15"/>
    </row>
    <row r="45" spans="1:123" x14ac:dyDescent="0.25">
      <c r="A45" s="12">
        <v>37</v>
      </c>
      <c r="B45" s="23" t="str">
        <f>IF(Setting!J42="","",Setting!J42)</f>
        <v/>
      </c>
      <c r="C45" s="28" t="str">
        <f>IF(Setting!K42="","",Setting!K42)</f>
        <v/>
      </c>
      <c r="D45" s="28" t="str">
        <f>IF(Setting!L42="","",Setting!L42)</f>
        <v/>
      </c>
      <c r="E45" s="15" t="str">
        <f>IF(Setting!$E$11="","",Setting!$E$11)</f>
        <v>XII MIPA 4</v>
      </c>
      <c r="F45" s="15">
        <f>'Input Nilai Sikap dan Catatan'!D40</f>
        <v>0</v>
      </c>
      <c r="G45" s="15">
        <f>'Input Nilai Sikap dan Catatan'!E40</f>
        <v>0</v>
      </c>
      <c r="H45" s="15">
        <f>'Input Nilai Sikap dan Catatan'!F40</f>
        <v>0</v>
      </c>
      <c r="I45" s="15">
        <f>'Input Nilai Sikap dan Catatan'!G40</f>
        <v>0</v>
      </c>
      <c r="J45" s="52"/>
      <c r="K45" s="52"/>
      <c r="L45" s="52"/>
      <c r="M45" s="52"/>
      <c r="N45" s="52"/>
      <c r="O45" s="52"/>
      <c r="P45" s="54"/>
      <c r="Q45" s="54"/>
      <c r="R45" s="54"/>
      <c r="S45" s="54"/>
      <c r="T45" s="54"/>
      <c r="U45" s="54"/>
      <c r="V45" s="52"/>
      <c r="W45" s="52"/>
      <c r="X45" s="52"/>
      <c r="Y45" s="52"/>
      <c r="Z45" s="52"/>
      <c r="AA45" s="52"/>
      <c r="AB45" s="54"/>
      <c r="AC45" s="54"/>
      <c r="AD45" s="54"/>
      <c r="AE45" s="54"/>
      <c r="AF45" s="54"/>
      <c r="AG45" s="54"/>
      <c r="AH45" s="52"/>
      <c r="AI45" s="52"/>
      <c r="AJ45" s="52"/>
      <c r="AK45" s="52"/>
      <c r="AL45" s="52"/>
      <c r="AM45" s="52"/>
      <c r="AN45" s="54"/>
      <c r="AO45" s="54"/>
      <c r="AP45" s="54"/>
      <c r="AQ45" s="54"/>
      <c r="AR45" s="54"/>
      <c r="AS45" s="54"/>
      <c r="AT45" s="52"/>
      <c r="AU45" s="52"/>
      <c r="AV45" s="52"/>
      <c r="AW45" s="52"/>
      <c r="AX45" s="52"/>
      <c r="AY45" s="52"/>
      <c r="AZ45" s="54"/>
      <c r="BA45" s="54"/>
      <c r="BB45" s="54"/>
      <c r="BC45" s="54"/>
      <c r="BD45" s="54"/>
      <c r="BE45" s="54"/>
      <c r="BF45" s="52"/>
      <c r="BG45" s="52"/>
      <c r="BH45" s="52"/>
      <c r="BI45" s="52"/>
      <c r="BJ45" s="52"/>
      <c r="BK45" s="52"/>
      <c r="BL45" s="54"/>
      <c r="BM45" s="54"/>
      <c r="BN45" s="54"/>
      <c r="BO45" s="54"/>
      <c r="BP45" s="54"/>
      <c r="BQ45" s="54"/>
      <c r="BR45" s="52"/>
      <c r="BS45" s="52"/>
      <c r="BT45" s="52"/>
      <c r="BU45" s="52"/>
      <c r="BV45" s="52"/>
      <c r="BW45" s="52"/>
      <c r="BX45" s="54"/>
      <c r="BY45" s="54"/>
      <c r="BZ45" s="54"/>
      <c r="CA45" s="54"/>
      <c r="CB45" s="54"/>
      <c r="CC45" s="54"/>
      <c r="CD45" s="52"/>
      <c r="CE45" s="52"/>
      <c r="CF45" s="52"/>
      <c r="CG45" s="52"/>
      <c r="CH45" s="52"/>
      <c r="CI45" s="52"/>
      <c r="CJ45" s="54"/>
      <c r="CK45" s="54"/>
      <c r="CL45" s="54"/>
      <c r="CM45" s="54"/>
      <c r="CN45" s="54"/>
      <c r="CO45" s="54"/>
      <c r="CP45" s="52"/>
      <c r="CQ45" s="52"/>
      <c r="CR45" s="52"/>
      <c r="CS45" s="52"/>
      <c r="CT45" s="52"/>
      <c r="CU45" s="52"/>
      <c r="CV45" s="54"/>
      <c r="CW45" s="54"/>
      <c r="CX45" s="54"/>
      <c r="CY45" s="54"/>
      <c r="CZ45" s="54"/>
      <c r="DA45" s="54"/>
      <c r="DB45" s="15"/>
      <c r="DC45" s="15"/>
      <c r="DD45" s="15"/>
      <c r="DE45" s="15"/>
      <c r="DF45" s="15"/>
      <c r="DG45" s="15"/>
      <c r="DH45" s="15"/>
      <c r="DI45" s="15"/>
      <c r="DJ45" s="15"/>
      <c r="DK45" s="48"/>
      <c r="DL45" s="48"/>
      <c r="DM45" s="48"/>
      <c r="DN45" s="48"/>
      <c r="DO45" s="48"/>
      <c r="DP45" s="48"/>
      <c r="DQ45" s="48"/>
      <c r="DR45" s="48"/>
      <c r="DS45" s="15"/>
    </row>
    <row r="46" spans="1:123" x14ac:dyDescent="0.25">
      <c r="A46" s="12">
        <v>38</v>
      </c>
      <c r="B46" s="23" t="str">
        <f>IF(Setting!J43="","",Setting!J43)</f>
        <v/>
      </c>
      <c r="C46" s="28" t="str">
        <f>IF(Setting!K43="","",Setting!K43)</f>
        <v/>
      </c>
      <c r="D46" s="28" t="str">
        <f>IF(Setting!L43="","",Setting!L43)</f>
        <v/>
      </c>
      <c r="E46" s="15" t="str">
        <f>IF(Setting!$E$11="","",Setting!$E$11)</f>
        <v>XII MIPA 4</v>
      </c>
      <c r="F46" s="15">
        <f>'Input Nilai Sikap dan Catatan'!D41</f>
        <v>0</v>
      </c>
      <c r="G46" s="15">
        <f>'Input Nilai Sikap dan Catatan'!E41</f>
        <v>0</v>
      </c>
      <c r="H46" s="15">
        <f>'Input Nilai Sikap dan Catatan'!F41</f>
        <v>0</v>
      </c>
      <c r="I46" s="15">
        <f>'Input Nilai Sikap dan Catatan'!G41</f>
        <v>0</v>
      </c>
      <c r="J46" s="52"/>
      <c r="K46" s="52"/>
      <c r="L46" s="52"/>
      <c r="M46" s="52"/>
      <c r="N46" s="52"/>
      <c r="O46" s="52"/>
      <c r="P46" s="54"/>
      <c r="Q46" s="54"/>
      <c r="R46" s="54"/>
      <c r="S46" s="54"/>
      <c r="T46" s="54"/>
      <c r="U46" s="54"/>
      <c r="V46" s="52"/>
      <c r="W46" s="52"/>
      <c r="X46" s="52"/>
      <c r="Y46" s="52"/>
      <c r="Z46" s="52"/>
      <c r="AA46" s="52"/>
      <c r="AB46" s="54"/>
      <c r="AC46" s="54"/>
      <c r="AD46" s="54"/>
      <c r="AE46" s="54"/>
      <c r="AF46" s="54"/>
      <c r="AG46" s="54"/>
      <c r="AH46" s="52"/>
      <c r="AI46" s="52"/>
      <c r="AJ46" s="52"/>
      <c r="AK46" s="52"/>
      <c r="AL46" s="52"/>
      <c r="AM46" s="52"/>
      <c r="AN46" s="54"/>
      <c r="AO46" s="54"/>
      <c r="AP46" s="54"/>
      <c r="AQ46" s="54"/>
      <c r="AR46" s="54"/>
      <c r="AS46" s="54"/>
      <c r="AT46" s="52"/>
      <c r="AU46" s="52"/>
      <c r="AV46" s="52"/>
      <c r="AW46" s="52"/>
      <c r="AX46" s="52"/>
      <c r="AY46" s="52"/>
      <c r="AZ46" s="54"/>
      <c r="BA46" s="54"/>
      <c r="BB46" s="54"/>
      <c r="BC46" s="54"/>
      <c r="BD46" s="54"/>
      <c r="BE46" s="54"/>
      <c r="BF46" s="52"/>
      <c r="BG46" s="52"/>
      <c r="BH46" s="52"/>
      <c r="BI46" s="52"/>
      <c r="BJ46" s="52"/>
      <c r="BK46" s="52"/>
      <c r="BL46" s="54"/>
      <c r="BM46" s="54"/>
      <c r="BN46" s="54"/>
      <c r="BO46" s="54"/>
      <c r="BP46" s="54"/>
      <c r="BQ46" s="54"/>
      <c r="BR46" s="52"/>
      <c r="BS46" s="52"/>
      <c r="BT46" s="52"/>
      <c r="BU46" s="52"/>
      <c r="BV46" s="52"/>
      <c r="BW46" s="52"/>
      <c r="BX46" s="54"/>
      <c r="BY46" s="54"/>
      <c r="BZ46" s="54"/>
      <c r="CA46" s="54"/>
      <c r="CB46" s="54"/>
      <c r="CC46" s="54"/>
      <c r="CD46" s="52"/>
      <c r="CE46" s="52"/>
      <c r="CF46" s="52"/>
      <c r="CG46" s="52"/>
      <c r="CH46" s="52"/>
      <c r="CI46" s="52"/>
      <c r="CJ46" s="54"/>
      <c r="CK46" s="54"/>
      <c r="CL46" s="54"/>
      <c r="CM46" s="54"/>
      <c r="CN46" s="54"/>
      <c r="CO46" s="54"/>
      <c r="CP46" s="52"/>
      <c r="CQ46" s="52"/>
      <c r="CR46" s="52"/>
      <c r="CS46" s="52"/>
      <c r="CT46" s="52"/>
      <c r="CU46" s="52"/>
      <c r="CV46" s="54"/>
      <c r="CW46" s="54"/>
      <c r="CX46" s="54"/>
      <c r="CY46" s="54"/>
      <c r="CZ46" s="54"/>
      <c r="DA46" s="54"/>
      <c r="DB46" s="15"/>
      <c r="DC46" s="15"/>
      <c r="DD46" s="15"/>
      <c r="DE46" s="15"/>
      <c r="DF46" s="15"/>
      <c r="DG46" s="15"/>
      <c r="DH46" s="15"/>
      <c r="DI46" s="15"/>
      <c r="DJ46" s="15"/>
      <c r="DK46" s="48"/>
      <c r="DL46" s="48"/>
      <c r="DM46" s="48"/>
      <c r="DN46" s="48"/>
      <c r="DO46" s="48"/>
      <c r="DP46" s="48"/>
      <c r="DQ46" s="48"/>
      <c r="DR46" s="48"/>
      <c r="DS46" s="15"/>
    </row>
    <row r="47" spans="1:123" x14ac:dyDescent="0.25">
      <c r="A47" s="12">
        <v>39</v>
      </c>
      <c r="B47" s="23" t="str">
        <f>IF(Setting!J44="","",Setting!J44)</f>
        <v/>
      </c>
      <c r="C47" s="28" t="str">
        <f>IF(Setting!K44="","",Setting!K44)</f>
        <v/>
      </c>
      <c r="D47" s="28" t="str">
        <f>IF(Setting!L44="","",Setting!L44)</f>
        <v/>
      </c>
      <c r="E47" s="15" t="str">
        <f>IF(Setting!$E$11="","",Setting!$E$11)</f>
        <v>XII MIPA 4</v>
      </c>
      <c r="F47" s="15">
        <f>'Input Nilai Sikap dan Catatan'!D42</f>
        <v>0</v>
      </c>
      <c r="G47" s="15">
        <f>'Input Nilai Sikap dan Catatan'!E42</f>
        <v>0</v>
      </c>
      <c r="H47" s="15">
        <f>'Input Nilai Sikap dan Catatan'!F42</f>
        <v>0</v>
      </c>
      <c r="I47" s="15">
        <f>'Input Nilai Sikap dan Catatan'!G42</f>
        <v>0</v>
      </c>
      <c r="J47" s="52"/>
      <c r="K47" s="52"/>
      <c r="L47" s="52"/>
      <c r="M47" s="52"/>
      <c r="N47" s="52"/>
      <c r="O47" s="52"/>
      <c r="P47" s="54"/>
      <c r="Q47" s="54"/>
      <c r="R47" s="54"/>
      <c r="S47" s="54"/>
      <c r="T47" s="54"/>
      <c r="U47" s="54"/>
      <c r="V47" s="52"/>
      <c r="W47" s="52"/>
      <c r="X47" s="52"/>
      <c r="Y47" s="52"/>
      <c r="Z47" s="52"/>
      <c r="AA47" s="52"/>
      <c r="AB47" s="54"/>
      <c r="AC47" s="54"/>
      <c r="AD47" s="54"/>
      <c r="AE47" s="54"/>
      <c r="AF47" s="54"/>
      <c r="AG47" s="54"/>
      <c r="AH47" s="52"/>
      <c r="AI47" s="52"/>
      <c r="AJ47" s="52"/>
      <c r="AK47" s="52"/>
      <c r="AL47" s="52"/>
      <c r="AM47" s="52"/>
      <c r="AN47" s="54"/>
      <c r="AO47" s="54"/>
      <c r="AP47" s="54"/>
      <c r="AQ47" s="54"/>
      <c r="AR47" s="54"/>
      <c r="AS47" s="54"/>
      <c r="AT47" s="52"/>
      <c r="AU47" s="52"/>
      <c r="AV47" s="52"/>
      <c r="AW47" s="52"/>
      <c r="AX47" s="52"/>
      <c r="AY47" s="52"/>
      <c r="AZ47" s="54"/>
      <c r="BA47" s="54"/>
      <c r="BB47" s="54"/>
      <c r="BC47" s="54"/>
      <c r="BD47" s="54"/>
      <c r="BE47" s="54"/>
      <c r="BF47" s="52"/>
      <c r="BG47" s="52"/>
      <c r="BH47" s="52"/>
      <c r="BI47" s="52"/>
      <c r="BJ47" s="52"/>
      <c r="BK47" s="52"/>
      <c r="BL47" s="54"/>
      <c r="BM47" s="54"/>
      <c r="BN47" s="54"/>
      <c r="BO47" s="54"/>
      <c r="BP47" s="54"/>
      <c r="BQ47" s="54"/>
      <c r="BR47" s="52"/>
      <c r="BS47" s="52"/>
      <c r="BT47" s="52"/>
      <c r="BU47" s="52"/>
      <c r="BV47" s="52"/>
      <c r="BW47" s="52"/>
      <c r="BX47" s="54"/>
      <c r="BY47" s="54"/>
      <c r="BZ47" s="54"/>
      <c r="CA47" s="54"/>
      <c r="CB47" s="54"/>
      <c r="CC47" s="54"/>
      <c r="CD47" s="52"/>
      <c r="CE47" s="52"/>
      <c r="CF47" s="52"/>
      <c r="CG47" s="52"/>
      <c r="CH47" s="52"/>
      <c r="CI47" s="52"/>
      <c r="CJ47" s="54"/>
      <c r="CK47" s="54"/>
      <c r="CL47" s="54"/>
      <c r="CM47" s="54"/>
      <c r="CN47" s="54"/>
      <c r="CO47" s="54"/>
      <c r="CP47" s="52"/>
      <c r="CQ47" s="52"/>
      <c r="CR47" s="52"/>
      <c r="CS47" s="52"/>
      <c r="CT47" s="52"/>
      <c r="CU47" s="52"/>
      <c r="CV47" s="54"/>
      <c r="CW47" s="54"/>
      <c r="CX47" s="54"/>
      <c r="CY47" s="54"/>
      <c r="CZ47" s="54"/>
      <c r="DA47" s="54"/>
      <c r="DB47" s="15"/>
      <c r="DC47" s="15"/>
      <c r="DD47" s="15"/>
      <c r="DE47" s="15"/>
      <c r="DF47" s="15"/>
      <c r="DG47" s="15"/>
      <c r="DH47" s="15"/>
      <c r="DI47" s="15"/>
      <c r="DJ47" s="15"/>
      <c r="DK47" s="48"/>
      <c r="DL47" s="48"/>
      <c r="DM47" s="48"/>
      <c r="DN47" s="48"/>
      <c r="DO47" s="48"/>
      <c r="DP47" s="48"/>
      <c r="DQ47" s="48"/>
      <c r="DR47" s="48"/>
      <c r="DS47" s="15"/>
    </row>
    <row r="48" spans="1:123" x14ac:dyDescent="0.25">
      <c r="A48" s="12">
        <v>40</v>
      </c>
      <c r="B48" s="23" t="str">
        <f>IF(Setting!J45="","",Setting!J45)</f>
        <v/>
      </c>
      <c r="C48" s="28" t="str">
        <f>IF(Setting!K45="","",Setting!K45)</f>
        <v/>
      </c>
      <c r="D48" s="28" t="str">
        <f>IF(Setting!L45="","",Setting!L45)</f>
        <v/>
      </c>
      <c r="E48" s="15" t="str">
        <f>IF(Setting!$E$11="","",Setting!$E$11)</f>
        <v>XII MIPA 4</v>
      </c>
      <c r="F48" s="15">
        <f>'Input Nilai Sikap dan Catatan'!D43</f>
        <v>0</v>
      </c>
      <c r="G48" s="15">
        <f>'Input Nilai Sikap dan Catatan'!E43</f>
        <v>0</v>
      </c>
      <c r="H48" s="15">
        <f>'Input Nilai Sikap dan Catatan'!F43</f>
        <v>0</v>
      </c>
      <c r="I48" s="15">
        <f>'Input Nilai Sikap dan Catatan'!G43</f>
        <v>0</v>
      </c>
      <c r="J48" s="52"/>
      <c r="K48" s="52"/>
      <c r="L48" s="52"/>
      <c r="M48" s="52"/>
      <c r="N48" s="52"/>
      <c r="O48" s="52"/>
      <c r="P48" s="54"/>
      <c r="Q48" s="54"/>
      <c r="R48" s="54"/>
      <c r="S48" s="54"/>
      <c r="T48" s="54"/>
      <c r="U48" s="54"/>
      <c r="V48" s="52"/>
      <c r="W48" s="52"/>
      <c r="X48" s="52"/>
      <c r="Y48" s="52"/>
      <c r="Z48" s="52"/>
      <c r="AA48" s="52"/>
      <c r="AB48" s="54"/>
      <c r="AC48" s="54"/>
      <c r="AD48" s="54"/>
      <c r="AE48" s="54"/>
      <c r="AF48" s="54"/>
      <c r="AG48" s="54"/>
      <c r="AH48" s="52"/>
      <c r="AI48" s="52"/>
      <c r="AJ48" s="52"/>
      <c r="AK48" s="52"/>
      <c r="AL48" s="52"/>
      <c r="AM48" s="52"/>
      <c r="AN48" s="54"/>
      <c r="AO48" s="54"/>
      <c r="AP48" s="54"/>
      <c r="AQ48" s="54"/>
      <c r="AR48" s="54"/>
      <c r="AS48" s="54"/>
      <c r="AT48" s="52"/>
      <c r="AU48" s="52"/>
      <c r="AV48" s="52"/>
      <c r="AW48" s="52"/>
      <c r="AX48" s="52"/>
      <c r="AY48" s="52"/>
      <c r="AZ48" s="54"/>
      <c r="BA48" s="54"/>
      <c r="BB48" s="54"/>
      <c r="BC48" s="54"/>
      <c r="BD48" s="54"/>
      <c r="BE48" s="54"/>
      <c r="BF48" s="52"/>
      <c r="BG48" s="52"/>
      <c r="BH48" s="52"/>
      <c r="BI48" s="52"/>
      <c r="BJ48" s="52"/>
      <c r="BK48" s="52"/>
      <c r="BL48" s="54"/>
      <c r="BM48" s="54"/>
      <c r="BN48" s="54"/>
      <c r="BO48" s="54"/>
      <c r="BP48" s="54"/>
      <c r="BQ48" s="54"/>
      <c r="BR48" s="52"/>
      <c r="BS48" s="52"/>
      <c r="BT48" s="52"/>
      <c r="BU48" s="52"/>
      <c r="BV48" s="52"/>
      <c r="BW48" s="52"/>
      <c r="BX48" s="54"/>
      <c r="BY48" s="54"/>
      <c r="BZ48" s="54"/>
      <c r="CA48" s="54"/>
      <c r="CB48" s="54"/>
      <c r="CC48" s="54"/>
      <c r="CD48" s="52"/>
      <c r="CE48" s="52"/>
      <c r="CF48" s="52"/>
      <c r="CG48" s="52"/>
      <c r="CH48" s="52"/>
      <c r="CI48" s="52"/>
      <c r="CJ48" s="54"/>
      <c r="CK48" s="54"/>
      <c r="CL48" s="54"/>
      <c r="CM48" s="54"/>
      <c r="CN48" s="54"/>
      <c r="CO48" s="54"/>
      <c r="CP48" s="52"/>
      <c r="CQ48" s="52"/>
      <c r="CR48" s="52"/>
      <c r="CS48" s="52"/>
      <c r="CT48" s="52"/>
      <c r="CU48" s="52"/>
      <c r="CV48" s="54"/>
      <c r="CW48" s="54"/>
      <c r="CX48" s="54"/>
      <c r="CY48" s="54"/>
      <c r="CZ48" s="54"/>
      <c r="DA48" s="54"/>
      <c r="DB48" s="15"/>
      <c r="DC48" s="15"/>
      <c r="DD48" s="15"/>
      <c r="DE48" s="15"/>
      <c r="DF48" s="15"/>
      <c r="DG48" s="15"/>
      <c r="DH48" s="15"/>
      <c r="DI48" s="15"/>
      <c r="DJ48" s="15"/>
      <c r="DK48" s="48"/>
      <c r="DL48" s="48"/>
      <c r="DM48" s="48"/>
      <c r="DN48" s="48"/>
      <c r="DO48" s="48"/>
      <c r="DP48" s="48"/>
      <c r="DQ48" s="48"/>
      <c r="DR48" s="48"/>
      <c r="DS48" s="15"/>
    </row>
    <row r="49" spans="2:2" x14ac:dyDescent="0.25">
      <c r="B49" s="4"/>
    </row>
  </sheetData>
  <sheetProtection selectLockedCells="1"/>
  <mergeCells count="75">
    <mergeCell ref="DJ6:DJ7"/>
    <mergeCell ref="DK6:DN6"/>
    <mergeCell ref="DO6:DR6"/>
    <mergeCell ref="DD6:DD7"/>
    <mergeCell ref="DE6:DE7"/>
    <mergeCell ref="DF6:DF7"/>
    <mergeCell ref="DG6:DG7"/>
    <mergeCell ref="DH6:DH7"/>
    <mergeCell ref="DI6:DI7"/>
    <mergeCell ref="BR6:BT6"/>
    <mergeCell ref="DC6:DC7"/>
    <mergeCell ref="BX6:BZ6"/>
    <mergeCell ref="CA6:CC6"/>
    <mergeCell ref="CD6:CF6"/>
    <mergeCell ref="CG6:CI6"/>
    <mergeCell ref="CJ6:CL6"/>
    <mergeCell ref="CM6:CO6"/>
    <mergeCell ref="CP6:CR6"/>
    <mergeCell ref="CS6:CU6"/>
    <mergeCell ref="CV6:CX6"/>
    <mergeCell ref="CY6:DA6"/>
    <mergeCell ref="DB6:DB7"/>
    <mergeCell ref="BC6:BE6"/>
    <mergeCell ref="BF6:BH6"/>
    <mergeCell ref="BI6:BK6"/>
    <mergeCell ref="BL6:BN6"/>
    <mergeCell ref="BO6:BQ6"/>
    <mergeCell ref="J6:L6"/>
    <mergeCell ref="M6:O6"/>
    <mergeCell ref="P6:R6"/>
    <mergeCell ref="AK6:AM6"/>
    <mergeCell ref="CD5:CI5"/>
    <mergeCell ref="V6:X6"/>
    <mergeCell ref="Y6:AA6"/>
    <mergeCell ref="AB6:AD6"/>
    <mergeCell ref="AE6:AG6"/>
    <mergeCell ref="AH6:AJ6"/>
    <mergeCell ref="BU6:BW6"/>
    <mergeCell ref="AN6:AP6"/>
    <mergeCell ref="AQ6:AS6"/>
    <mergeCell ref="AT6:AV6"/>
    <mergeCell ref="AW6:AY6"/>
    <mergeCell ref="AZ6:BB6"/>
    <mergeCell ref="S6:U6"/>
    <mergeCell ref="DK4:DR5"/>
    <mergeCell ref="DS4:DS7"/>
    <mergeCell ref="J5:O5"/>
    <mergeCell ref="P5:U5"/>
    <mergeCell ref="V5:AA5"/>
    <mergeCell ref="AB5:AG5"/>
    <mergeCell ref="AH5:AM5"/>
    <mergeCell ref="AN5:AS5"/>
    <mergeCell ref="AT5:AY5"/>
    <mergeCell ref="AZ5:BE5"/>
    <mergeCell ref="J4:AS4"/>
    <mergeCell ref="AT4:BQ4"/>
    <mergeCell ref="BR4:CO4"/>
    <mergeCell ref="CP4:DA4"/>
    <mergeCell ref="DB4:DG5"/>
    <mergeCell ref="DH4:DJ5"/>
    <mergeCell ref="BF5:BK5"/>
    <mergeCell ref="BL5:BQ5"/>
    <mergeCell ref="BR5:BW5"/>
    <mergeCell ref="BX5:CC5"/>
    <mergeCell ref="CJ5:CO5"/>
    <mergeCell ref="CP5:CU5"/>
    <mergeCell ref="CV5:DA5"/>
    <mergeCell ref="F4:I5"/>
    <mergeCell ref="A4:A7"/>
    <mergeCell ref="B4:B7"/>
    <mergeCell ref="C4:C7"/>
    <mergeCell ref="D4:D7"/>
    <mergeCell ref="E4:E7"/>
    <mergeCell ref="F6:G6"/>
    <mergeCell ref="H6:I6"/>
  </mergeCells>
  <conditionalFormatting sqref="V9:V43">
    <cfRule type="cellIs" dxfId="15" priority="16" operator="lessThan">
      <formula>50</formula>
    </cfRule>
  </conditionalFormatting>
  <conditionalFormatting sqref="Y9:Y43">
    <cfRule type="cellIs" dxfId="14" priority="15" operator="lessThan">
      <formula>50</formula>
    </cfRule>
  </conditionalFormatting>
  <conditionalFormatting sqref="V9:V39">
    <cfRule type="cellIs" dxfId="13" priority="14" operator="lessThan">
      <formula>50</formula>
    </cfRule>
  </conditionalFormatting>
  <conditionalFormatting sqref="Y9:Y39">
    <cfRule type="cellIs" dxfId="12" priority="13" operator="lessThan">
      <formula>50</formula>
    </cfRule>
  </conditionalFormatting>
  <conditionalFormatting sqref="J9:J39">
    <cfRule type="cellIs" dxfId="11" priority="9" operator="lessThan">
      <formula>80</formula>
    </cfRule>
    <cfRule type="cellIs" dxfId="10" priority="12" operator="lessThan">
      <formula>50</formula>
    </cfRule>
  </conditionalFormatting>
  <conditionalFormatting sqref="M9:M39">
    <cfRule type="cellIs" dxfId="9" priority="10" operator="lessThan">
      <formula>80</formula>
    </cfRule>
    <cfRule type="cellIs" dxfId="8" priority="11" operator="lessThan">
      <formula>50</formula>
    </cfRule>
  </conditionalFormatting>
  <conditionalFormatting sqref="CD9:CD39">
    <cfRule type="cellIs" dxfId="7" priority="5" operator="lessThan">
      <formula>80</formula>
    </cfRule>
    <cfRule type="cellIs" dxfId="6" priority="8" operator="lessThan">
      <formula>50</formula>
    </cfRule>
  </conditionalFormatting>
  <conditionalFormatting sqref="CG9:CG39">
    <cfRule type="cellIs" dxfId="5" priority="6" operator="lessThan">
      <formula>80</formula>
    </cfRule>
    <cfRule type="cellIs" dxfId="4" priority="7" operator="lessThan">
      <formula>50</formula>
    </cfRule>
  </conditionalFormatting>
  <conditionalFormatting sqref="AT9:AT39">
    <cfRule type="cellIs" dxfId="3" priority="1" operator="lessThan">
      <formula>80</formula>
    </cfRule>
    <cfRule type="cellIs" dxfId="2" priority="4" operator="lessThan">
      <formula>50</formula>
    </cfRule>
  </conditionalFormatting>
  <conditionalFormatting sqref="AW9:AW39">
    <cfRule type="cellIs" dxfId="1" priority="2" operator="lessThan">
      <formula>80</formula>
    </cfRule>
    <cfRule type="cellIs" dxfId="0" priority="3" operator="lessThan">
      <formula>50</formula>
    </cfRule>
  </conditionalFormatting>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82"/>
  <sheetViews>
    <sheetView view="pageBreakPreview" zoomScale="80" zoomScaleSheetLayoutView="80" workbookViewId="0">
      <pane xSplit="1" ySplit="8" topLeftCell="B9" activePane="bottomRight" state="frozenSplit"/>
      <selection pane="topRight" activeCell="E1" sqref="E1"/>
      <selection pane="bottomLeft" activeCell="A11" sqref="A11"/>
      <selection pane="bottomRight"/>
    </sheetView>
  </sheetViews>
  <sheetFormatPr defaultColWidth="9.140625" defaultRowHeight="15" x14ac:dyDescent="0.25"/>
  <cols>
    <col min="1" max="1" width="15.28515625" style="8" customWidth="1"/>
    <col min="2" max="2" width="5.140625" style="9" customWidth="1"/>
    <col min="3" max="3" width="18.7109375" style="8" customWidth="1"/>
    <col min="4" max="4" width="26.42578125" style="8" customWidth="1"/>
    <col min="5" max="5" width="58.42578125" style="8" customWidth="1"/>
    <col min="6" max="6" width="16.28515625" style="8" customWidth="1"/>
    <col min="7" max="7" width="7.5703125" style="8" customWidth="1"/>
    <col min="8" max="8" width="19.85546875" style="8" customWidth="1"/>
    <col min="9" max="16384" width="9.140625" style="8"/>
  </cols>
  <sheetData>
    <row r="1" spans="2:13" ht="51" customHeight="1" x14ac:dyDescent="0.25"/>
    <row r="2" spans="2:13" ht="21" x14ac:dyDescent="0.35">
      <c r="B2" s="325" t="s">
        <v>124</v>
      </c>
      <c r="C2" s="325"/>
      <c r="D2" s="325"/>
      <c r="E2" s="325"/>
      <c r="F2" s="325"/>
      <c r="G2" s="325"/>
      <c r="H2" s="325"/>
      <c r="I2" s="77"/>
      <c r="J2" s="77"/>
      <c r="K2" s="77"/>
      <c r="L2" s="77"/>
      <c r="M2" s="77"/>
    </row>
    <row r="3" spans="2:13" ht="21" x14ac:dyDescent="0.35">
      <c r="B3" s="325" t="str">
        <f>"SEMESTER "&amp;[1]Home!M19&amp;""</f>
        <v>SEMESTER GENAP</v>
      </c>
      <c r="C3" s="325"/>
      <c r="D3" s="325"/>
      <c r="E3" s="325"/>
      <c r="F3" s="325"/>
      <c r="G3" s="325"/>
      <c r="H3" s="325"/>
      <c r="I3" s="77"/>
      <c r="J3" s="77"/>
      <c r="K3" s="77"/>
      <c r="L3" s="77"/>
      <c r="M3" s="77"/>
    </row>
    <row r="4" spans="2:13" ht="21" x14ac:dyDescent="0.35">
      <c r="B4" s="325" t="str">
        <f>"TAHUN PELAJARAN "&amp;[1]Home!L17&amp;""</f>
        <v>TAHUN PELAJARAN 2015/2016</v>
      </c>
      <c r="C4" s="325"/>
      <c r="D4" s="325"/>
      <c r="E4" s="325"/>
      <c r="F4" s="325"/>
      <c r="G4" s="325"/>
      <c r="H4" s="325"/>
      <c r="I4" s="77"/>
      <c r="J4" s="77"/>
      <c r="K4" s="77"/>
      <c r="L4" s="77"/>
      <c r="M4" s="77"/>
    </row>
    <row r="5" spans="2:13" x14ac:dyDescent="0.25">
      <c r="B5" s="84"/>
      <c r="C5" s="66"/>
      <c r="D5" s="66"/>
      <c r="E5" s="66"/>
      <c r="F5" s="66"/>
      <c r="G5" s="66"/>
      <c r="H5" s="66"/>
      <c r="I5" s="66"/>
      <c r="J5" s="66"/>
      <c r="K5" s="66"/>
      <c r="L5" s="66"/>
      <c r="M5" s="78"/>
    </row>
    <row r="6" spans="2:13" x14ac:dyDescent="0.25">
      <c r="B6" s="85" t="s">
        <v>125</v>
      </c>
      <c r="C6" s="86"/>
      <c r="D6" s="87" t="str">
        <f>": "&amp;[1]Home!$L$15&amp;""</f>
        <v>: XII.MIPA Khawarizmi</v>
      </c>
      <c r="F6" s="79"/>
      <c r="G6" s="79"/>
      <c r="H6" s="66"/>
      <c r="I6" s="66"/>
      <c r="J6" s="66"/>
      <c r="K6" s="66"/>
      <c r="L6" s="66"/>
      <c r="M6" s="78"/>
    </row>
    <row r="8" spans="2:13" x14ac:dyDescent="0.25">
      <c r="B8" s="80" t="s">
        <v>30</v>
      </c>
      <c r="C8" s="80" t="s">
        <v>126</v>
      </c>
      <c r="D8" s="80" t="s">
        <v>42</v>
      </c>
      <c r="E8" s="80" t="s">
        <v>127</v>
      </c>
      <c r="F8" s="80" t="s">
        <v>128</v>
      </c>
      <c r="G8" s="80" t="s">
        <v>129</v>
      </c>
      <c r="H8" s="80" t="s">
        <v>130</v>
      </c>
    </row>
    <row r="9" spans="2:13" x14ac:dyDescent="0.25">
      <c r="B9" s="76"/>
      <c r="C9" s="81"/>
      <c r="D9" s="81"/>
      <c r="E9" s="82"/>
      <c r="F9" s="81"/>
      <c r="G9" s="81"/>
      <c r="H9" s="81"/>
    </row>
    <row r="10" spans="2:13" x14ac:dyDescent="0.25">
      <c r="B10" s="76"/>
      <c r="C10" s="81"/>
      <c r="D10" s="81"/>
      <c r="E10" s="82"/>
      <c r="F10" s="81"/>
      <c r="G10" s="81"/>
      <c r="H10" s="81"/>
    </row>
    <row r="11" spans="2:13" x14ac:dyDescent="0.25">
      <c r="B11" s="76"/>
      <c r="C11" s="81"/>
      <c r="D11" s="81"/>
      <c r="E11" s="82"/>
      <c r="F11" s="81"/>
      <c r="G11" s="81"/>
      <c r="H11" s="81"/>
    </row>
    <row r="12" spans="2:13" x14ac:dyDescent="0.25">
      <c r="B12" s="76"/>
      <c r="C12" s="81"/>
      <c r="D12" s="81"/>
      <c r="E12" s="82"/>
      <c r="F12" s="81"/>
      <c r="G12" s="81"/>
      <c r="H12" s="81"/>
    </row>
    <row r="13" spans="2:13" x14ac:dyDescent="0.25">
      <c r="B13" s="76"/>
      <c r="C13" s="81"/>
      <c r="D13" s="81"/>
      <c r="E13" s="82"/>
      <c r="F13" s="81"/>
      <c r="G13" s="81"/>
      <c r="H13" s="81"/>
    </row>
    <row r="14" spans="2:13" x14ac:dyDescent="0.25">
      <c r="B14" s="76"/>
      <c r="C14" s="81"/>
      <c r="D14" s="81"/>
      <c r="E14" s="82"/>
      <c r="F14" s="81"/>
      <c r="G14" s="81"/>
      <c r="H14" s="81"/>
    </row>
    <row r="15" spans="2:13" x14ac:dyDescent="0.25">
      <c r="B15" s="76"/>
      <c r="C15" s="81"/>
      <c r="D15" s="81"/>
      <c r="E15" s="82"/>
      <c r="F15" s="81"/>
      <c r="G15" s="81"/>
      <c r="H15" s="81"/>
    </row>
    <row r="16" spans="2:13" x14ac:dyDescent="0.25">
      <c r="B16" s="76"/>
      <c r="C16" s="81"/>
      <c r="D16" s="81"/>
      <c r="E16" s="82"/>
      <c r="F16" s="81"/>
      <c r="G16" s="81"/>
      <c r="H16" s="81"/>
    </row>
    <row r="17" spans="2:8" x14ac:dyDescent="0.25">
      <c r="B17" s="76"/>
      <c r="C17" s="81"/>
      <c r="D17" s="81"/>
      <c r="E17" s="82"/>
      <c r="F17" s="81"/>
      <c r="G17" s="81"/>
      <c r="H17" s="81"/>
    </row>
    <row r="18" spans="2:8" x14ac:dyDescent="0.25">
      <c r="B18" s="76"/>
      <c r="C18" s="81"/>
      <c r="D18" s="81"/>
      <c r="E18" s="82"/>
      <c r="F18" s="81"/>
      <c r="G18" s="81"/>
      <c r="H18" s="81"/>
    </row>
    <row r="19" spans="2:8" x14ac:dyDescent="0.25">
      <c r="B19" s="76"/>
      <c r="C19" s="81"/>
      <c r="D19" s="81"/>
      <c r="E19" s="82"/>
      <c r="F19" s="81"/>
      <c r="G19" s="81"/>
      <c r="H19" s="81"/>
    </row>
    <row r="20" spans="2:8" x14ac:dyDescent="0.25">
      <c r="B20" s="76"/>
      <c r="C20" s="81"/>
      <c r="D20" s="81"/>
      <c r="E20" s="82"/>
      <c r="F20" s="81"/>
      <c r="G20" s="81"/>
      <c r="H20" s="81"/>
    </row>
    <row r="21" spans="2:8" x14ac:dyDescent="0.25">
      <c r="B21" s="76"/>
      <c r="C21" s="81"/>
      <c r="D21" s="81"/>
      <c r="E21" s="82"/>
      <c r="F21" s="81"/>
      <c r="G21" s="81"/>
      <c r="H21" s="81"/>
    </row>
    <row r="22" spans="2:8" x14ac:dyDescent="0.25">
      <c r="B22" s="76"/>
      <c r="C22" s="81"/>
      <c r="D22" s="81"/>
      <c r="E22" s="82"/>
      <c r="F22" s="81"/>
      <c r="G22" s="81"/>
      <c r="H22" s="81"/>
    </row>
    <row r="23" spans="2:8" x14ac:dyDescent="0.25">
      <c r="B23" s="76"/>
      <c r="C23" s="81"/>
      <c r="D23" s="81"/>
      <c r="E23" s="82"/>
      <c r="F23" s="81"/>
      <c r="G23" s="81"/>
      <c r="H23" s="81"/>
    </row>
    <row r="24" spans="2:8" x14ac:dyDescent="0.25">
      <c r="B24" s="76"/>
      <c r="C24" s="81"/>
      <c r="D24" s="81"/>
      <c r="E24" s="82"/>
      <c r="F24" s="81"/>
      <c r="G24" s="81"/>
      <c r="H24" s="81"/>
    </row>
    <row r="25" spans="2:8" x14ac:dyDescent="0.25">
      <c r="B25" s="76"/>
      <c r="C25" s="81"/>
      <c r="D25" s="81"/>
      <c r="E25" s="82"/>
      <c r="F25" s="81"/>
      <c r="G25" s="81"/>
      <c r="H25" s="81"/>
    </row>
    <row r="26" spans="2:8" x14ac:dyDescent="0.25">
      <c r="B26" s="76"/>
      <c r="C26" s="81"/>
      <c r="D26" s="81"/>
      <c r="E26" s="82"/>
      <c r="F26" s="81"/>
      <c r="G26" s="81"/>
      <c r="H26" s="81"/>
    </row>
    <row r="27" spans="2:8" x14ac:dyDescent="0.25">
      <c r="B27" s="76"/>
      <c r="C27" s="81"/>
      <c r="D27" s="81"/>
      <c r="E27" s="82"/>
      <c r="F27" s="81"/>
      <c r="G27" s="81"/>
      <c r="H27" s="81"/>
    </row>
    <row r="28" spans="2:8" x14ac:dyDescent="0.25">
      <c r="B28" s="76"/>
      <c r="C28" s="81"/>
      <c r="D28" s="81"/>
      <c r="E28" s="82"/>
      <c r="F28" s="81"/>
      <c r="G28" s="81"/>
      <c r="H28" s="81"/>
    </row>
    <row r="29" spans="2:8" x14ac:dyDescent="0.25">
      <c r="B29" s="76"/>
      <c r="C29" s="81"/>
      <c r="D29" s="81"/>
      <c r="E29" s="82"/>
      <c r="F29" s="81"/>
      <c r="G29" s="81"/>
      <c r="H29" s="81"/>
    </row>
    <row r="30" spans="2:8" x14ac:dyDescent="0.25">
      <c r="B30" s="76"/>
      <c r="C30" s="81"/>
      <c r="D30" s="81"/>
      <c r="E30" s="82"/>
      <c r="F30" s="81"/>
      <c r="G30" s="81"/>
      <c r="H30" s="81"/>
    </row>
    <row r="31" spans="2:8" x14ac:dyDescent="0.25">
      <c r="B31" s="76"/>
      <c r="C31" s="81"/>
      <c r="D31" s="81"/>
      <c r="E31" s="82"/>
      <c r="F31" s="81"/>
      <c r="G31" s="81"/>
      <c r="H31" s="81"/>
    </row>
    <row r="32" spans="2:8" x14ac:dyDescent="0.25">
      <c r="B32" s="76"/>
      <c r="C32" s="81"/>
      <c r="D32" s="81"/>
      <c r="E32" s="82"/>
      <c r="F32" s="81"/>
      <c r="G32" s="81"/>
      <c r="H32" s="81"/>
    </row>
    <row r="33" spans="2:8" x14ac:dyDescent="0.25">
      <c r="B33" s="76"/>
      <c r="C33" s="81"/>
      <c r="D33" s="81"/>
      <c r="E33" s="82"/>
      <c r="F33" s="81"/>
      <c r="G33" s="81"/>
      <c r="H33" s="81"/>
    </row>
    <row r="34" spans="2:8" x14ac:dyDescent="0.25">
      <c r="B34" s="76"/>
      <c r="C34" s="81"/>
      <c r="D34" s="81"/>
      <c r="E34" s="82"/>
      <c r="F34" s="81"/>
      <c r="G34" s="81"/>
      <c r="H34" s="81"/>
    </row>
    <row r="35" spans="2:8" x14ac:dyDescent="0.25">
      <c r="B35" s="76"/>
      <c r="C35" s="81"/>
      <c r="D35" s="81"/>
      <c r="E35" s="82"/>
      <c r="F35" s="81"/>
      <c r="G35" s="81"/>
      <c r="H35" s="81"/>
    </row>
    <row r="36" spans="2:8" x14ac:dyDescent="0.25">
      <c r="B36" s="76"/>
      <c r="C36" s="81"/>
      <c r="D36" s="81"/>
      <c r="E36" s="82"/>
      <c r="F36" s="81"/>
      <c r="G36" s="81"/>
      <c r="H36" s="81"/>
    </row>
    <row r="37" spans="2:8" x14ac:dyDescent="0.25">
      <c r="B37" s="76"/>
      <c r="C37" s="81"/>
      <c r="D37" s="81"/>
      <c r="E37" s="82"/>
      <c r="F37" s="81"/>
      <c r="G37" s="81"/>
      <c r="H37" s="81"/>
    </row>
    <row r="38" spans="2:8" x14ac:dyDescent="0.25">
      <c r="B38" s="76"/>
      <c r="C38" s="81"/>
      <c r="D38" s="81"/>
      <c r="E38" s="82"/>
      <c r="F38" s="81"/>
      <c r="G38" s="81"/>
      <c r="H38" s="81"/>
    </row>
    <row r="39" spans="2:8" x14ac:dyDescent="0.25">
      <c r="B39" s="76"/>
      <c r="C39" s="81"/>
      <c r="D39" s="81"/>
      <c r="E39" s="82"/>
      <c r="F39" s="81"/>
      <c r="G39" s="81"/>
      <c r="H39" s="81"/>
    </row>
    <row r="40" spans="2:8" x14ac:dyDescent="0.25">
      <c r="B40" s="76"/>
      <c r="C40" s="81"/>
      <c r="D40" s="81"/>
      <c r="E40" s="82"/>
      <c r="F40" s="81"/>
      <c r="G40" s="81"/>
      <c r="H40" s="81"/>
    </row>
    <row r="41" spans="2:8" x14ac:dyDescent="0.25">
      <c r="B41" s="76"/>
      <c r="C41" s="81"/>
      <c r="D41" s="81"/>
      <c r="E41" s="82"/>
      <c r="F41" s="81"/>
      <c r="G41" s="81"/>
      <c r="H41" s="81"/>
    </row>
    <row r="42" spans="2:8" x14ac:dyDescent="0.25">
      <c r="B42" s="76"/>
      <c r="C42" s="81"/>
      <c r="D42" s="81"/>
      <c r="E42" s="82"/>
      <c r="F42" s="81"/>
      <c r="G42" s="81"/>
      <c r="H42" s="81"/>
    </row>
    <row r="43" spans="2:8" x14ac:dyDescent="0.25">
      <c r="B43" s="76"/>
      <c r="C43" s="81"/>
      <c r="D43" s="81"/>
      <c r="E43" s="82"/>
      <c r="F43" s="81"/>
      <c r="G43" s="81"/>
      <c r="H43" s="81"/>
    </row>
    <row r="44" spans="2:8" x14ac:dyDescent="0.25">
      <c r="B44" s="76"/>
      <c r="C44" s="81"/>
      <c r="D44" s="81"/>
      <c r="E44" s="82"/>
      <c r="F44" s="81"/>
      <c r="G44" s="81"/>
      <c r="H44" s="81"/>
    </row>
    <row r="45" spans="2:8" x14ac:dyDescent="0.25">
      <c r="B45" s="76"/>
      <c r="C45" s="81"/>
      <c r="D45" s="81"/>
      <c r="E45" s="82"/>
      <c r="F45" s="81"/>
      <c r="G45" s="81"/>
      <c r="H45" s="81"/>
    </row>
    <row r="46" spans="2:8" x14ac:dyDescent="0.25">
      <c r="B46" s="76"/>
      <c r="C46" s="81"/>
      <c r="D46" s="81"/>
      <c r="E46" s="82"/>
      <c r="F46" s="81"/>
      <c r="G46" s="81"/>
      <c r="H46" s="81"/>
    </row>
    <row r="47" spans="2:8" x14ac:dyDescent="0.25">
      <c r="B47" s="76"/>
      <c r="C47" s="81"/>
      <c r="D47" s="81"/>
      <c r="E47" s="82"/>
      <c r="F47" s="81"/>
      <c r="G47" s="81"/>
      <c r="H47" s="81"/>
    </row>
    <row r="48" spans="2:8" x14ac:dyDescent="0.25">
      <c r="B48" s="76"/>
      <c r="C48" s="81"/>
      <c r="D48" s="81"/>
      <c r="E48" s="82"/>
      <c r="F48" s="81"/>
      <c r="G48" s="81"/>
      <c r="H48" s="81"/>
    </row>
    <row r="49" spans="2:8" x14ac:dyDescent="0.25">
      <c r="B49" s="76"/>
      <c r="C49" s="81"/>
      <c r="D49" s="81"/>
      <c r="E49" s="82"/>
      <c r="F49" s="81"/>
      <c r="G49" s="81"/>
      <c r="H49" s="81"/>
    </row>
    <row r="50" spans="2:8" x14ac:dyDescent="0.25">
      <c r="B50" s="76"/>
      <c r="C50" s="81"/>
      <c r="D50" s="81"/>
      <c r="E50" s="82"/>
      <c r="F50" s="81"/>
      <c r="G50" s="81"/>
      <c r="H50" s="81"/>
    </row>
    <row r="51" spans="2:8" x14ac:dyDescent="0.25">
      <c r="B51" s="76"/>
      <c r="C51" s="81"/>
      <c r="D51" s="81"/>
      <c r="E51" s="82"/>
      <c r="F51" s="81"/>
      <c r="G51" s="81"/>
      <c r="H51" s="81"/>
    </row>
    <row r="52" spans="2:8" x14ac:dyDescent="0.25">
      <c r="B52" s="76"/>
      <c r="C52" s="81"/>
      <c r="D52" s="81"/>
      <c r="E52" s="82"/>
      <c r="F52" s="81"/>
      <c r="G52" s="81"/>
      <c r="H52" s="81"/>
    </row>
    <row r="53" spans="2:8" x14ac:dyDescent="0.25">
      <c r="B53" s="76"/>
      <c r="C53" s="81"/>
      <c r="D53" s="81"/>
      <c r="E53" s="82"/>
      <c r="F53" s="81"/>
      <c r="G53" s="81"/>
      <c r="H53" s="81"/>
    </row>
    <row r="54" spans="2:8" x14ac:dyDescent="0.25">
      <c r="B54" s="76"/>
      <c r="C54" s="81"/>
      <c r="D54" s="81"/>
      <c r="E54" s="82"/>
      <c r="F54" s="81"/>
      <c r="G54" s="81"/>
      <c r="H54" s="81"/>
    </row>
    <row r="55" spans="2:8" x14ac:dyDescent="0.25">
      <c r="B55" s="76"/>
      <c r="C55" s="81"/>
      <c r="D55" s="81"/>
      <c r="E55" s="82"/>
      <c r="F55" s="81"/>
      <c r="G55" s="81"/>
      <c r="H55" s="81"/>
    </row>
    <row r="56" spans="2:8" x14ac:dyDescent="0.25">
      <c r="B56" s="76"/>
      <c r="C56" s="81"/>
      <c r="D56" s="81"/>
      <c r="E56" s="82"/>
      <c r="F56" s="81"/>
      <c r="G56" s="81"/>
      <c r="H56" s="81"/>
    </row>
    <row r="57" spans="2:8" x14ac:dyDescent="0.25">
      <c r="B57" s="76"/>
      <c r="C57" s="81"/>
      <c r="D57" s="81"/>
      <c r="E57" s="82"/>
      <c r="F57" s="81"/>
      <c r="G57" s="81"/>
      <c r="H57" s="81"/>
    </row>
    <row r="58" spans="2:8" x14ac:dyDescent="0.25">
      <c r="B58" s="76"/>
      <c r="C58" s="81"/>
      <c r="D58" s="81"/>
      <c r="E58" s="82"/>
      <c r="F58" s="81"/>
      <c r="G58" s="81"/>
      <c r="H58" s="81"/>
    </row>
    <row r="59" spans="2:8" x14ac:dyDescent="0.25">
      <c r="B59" s="76"/>
      <c r="C59" s="81"/>
      <c r="D59" s="81"/>
      <c r="E59" s="82"/>
      <c r="F59" s="81"/>
      <c r="G59" s="81"/>
      <c r="H59" s="81"/>
    </row>
    <row r="60" spans="2:8" x14ac:dyDescent="0.25">
      <c r="B60" s="76"/>
      <c r="C60" s="81"/>
      <c r="D60" s="81"/>
      <c r="E60" s="82"/>
      <c r="F60" s="81"/>
      <c r="G60" s="81"/>
      <c r="H60" s="81"/>
    </row>
    <row r="61" spans="2:8" x14ac:dyDescent="0.25">
      <c r="B61" s="76"/>
      <c r="C61" s="81"/>
      <c r="D61" s="81"/>
      <c r="E61" s="82"/>
      <c r="F61" s="81"/>
      <c r="G61" s="81"/>
      <c r="H61" s="81"/>
    </row>
    <row r="62" spans="2:8" x14ac:dyDescent="0.25">
      <c r="B62" s="76"/>
      <c r="C62" s="81"/>
      <c r="D62" s="81"/>
      <c r="E62" s="82"/>
      <c r="F62" s="81"/>
      <c r="G62" s="81"/>
      <c r="H62" s="81"/>
    </row>
    <row r="63" spans="2:8" x14ac:dyDescent="0.25">
      <c r="B63" s="76"/>
      <c r="C63" s="81"/>
      <c r="D63" s="81"/>
      <c r="E63" s="82"/>
      <c r="F63" s="81"/>
      <c r="G63" s="81"/>
      <c r="H63" s="81"/>
    </row>
    <row r="64" spans="2:8" x14ac:dyDescent="0.25">
      <c r="B64" s="76"/>
      <c r="C64" s="81"/>
      <c r="D64" s="81"/>
      <c r="E64" s="82"/>
      <c r="F64" s="81"/>
      <c r="G64" s="81"/>
      <c r="H64" s="81"/>
    </row>
    <row r="65" spans="2:12" x14ac:dyDescent="0.25">
      <c r="B65" s="76"/>
      <c r="C65" s="81"/>
      <c r="D65" s="81"/>
      <c r="E65" s="82"/>
      <c r="F65" s="81"/>
      <c r="G65" s="81"/>
      <c r="H65" s="81"/>
    </row>
    <row r="66" spans="2:12" x14ac:dyDescent="0.25">
      <c r="B66" s="76"/>
      <c r="C66" s="81"/>
      <c r="D66" s="81"/>
      <c r="E66" s="82"/>
      <c r="F66" s="81"/>
      <c r="G66" s="81"/>
      <c r="H66" s="81"/>
    </row>
    <row r="67" spans="2:12" x14ac:dyDescent="0.25">
      <c r="B67" s="76"/>
      <c r="C67" s="81"/>
      <c r="D67" s="81"/>
      <c r="E67" s="82"/>
      <c r="F67" s="81"/>
      <c r="G67" s="81"/>
      <c r="H67" s="81"/>
    </row>
    <row r="68" spans="2:12" x14ac:dyDescent="0.25">
      <c r="B68" s="76"/>
      <c r="C68" s="81"/>
      <c r="D68" s="81"/>
      <c r="E68" s="82"/>
      <c r="F68" s="81"/>
      <c r="G68" s="81"/>
      <c r="H68" s="81"/>
    </row>
    <row r="69" spans="2:12" x14ac:dyDescent="0.25">
      <c r="B69" s="76"/>
      <c r="C69" s="81"/>
      <c r="D69" s="81"/>
      <c r="E69" s="82"/>
      <c r="F69" s="81"/>
      <c r="G69" s="81"/>
      <c r="H69" s="81"/>
    </row>
    <row r="70" spans="2:12" x14ac:dyDescent="0.25">
      <c r="B70" s="76"/>
      <c r="C70" s="81"/>
      <c r="D70" s="81"/>
      <c r="E70" s="82"/>
      <c r="F70" s="81"/>
      <c r="G70" s="81"/>
      <c r="H70" s="81"/>
    </row>
    <row r="71" spans="2:12" x14ac:dyDescent="0.25">
      <c r="B71" s="76"/>
      <c r="C71" s="81"/>
      <c r="D71" s="81"/>
      <c r="E71" s="82"/>
      <c r="F71" s="81"/>
      <c r="G71" s="81"/>
      <c r="H71" s="81"/>
    </row>
    <row r="72" spans="2:12" x14ac:dyDescent="0.25">
      <c r="B72" s="76"/>
      <c r="C72" s="81"/>
      <c r="D72" s="81"/>
      <c r="E72" s="82"/>
      <c r="F72" s="81"/>
      <c r="G72" s="81"/>
      <c r="H72" s="81"/>
    </row>
    <row r="73" spans="2:12" x14ac:dyDescent="0.25">
      <c r="B73" s="76"/>
      <c r="C73" s="81"/>
      <c r="D73" s="81"/>
      <c r="E73" s="82"/>
      <c r="F73" s="81"/>
      <c r="G73" s="81"/>
      <c r="H73" s="81"/>
    </row>
    <row r="75" spans="2:12" x14ac:dyDescent="0.25">
      <c r="F75" s="66" t="str">
        <f>"Surakarta, "&amp;[1]Home!L21&amp;""</f>
        <v>Surakarta, 22 Januari 2016</v>
      </c>
      <c r="G75" s="66"/>
    </row>
    <row r="76" spans="2:12" x14ac:dyDescent="0.25">
      <c r="E76" s="66" t="s">
        <v>131</v>
      </c>
      <c r="F76" s="66"/>
      <c r="G76" s="66"/>
      <c r="H76" s="66"/>
      <c r="I76" s="66"/>
      <c r="J76" s="66"/>
      <c r="K76" s="66"/>
      <c r="L76" s="66"/>
    </row>
    <row r="77" spans="2:12" x14ac:dyDescent="0.25">
      <c r="E77" s="66" t="s">
        <v>1</v>
      </c>
      <c r="F77" s="66" t="s">
        <v>132</v>
      </c>
      <c r="G77" s="66"/>
      <c r="H77" s="66"/>
      <c r="I77" s="66"/>
      <c r="J77" s="66"/>
      <c r="L77" s="66"/>
    </row>
    <row r="78" spans="2:12" x14ac:dyDescent="0.25">
      <c r="E78" s="66"/>
      <c r="F78" s="66"/>
      <c r="G78" s="66"/>
      <c r="H78" s="66"/>
      <c r="I78" s="66"/>
      <c r="J78" s="66"/>
      <c r="K78" s="66"/>
    </row>
    <row r="79" spans="2:12" x14ac:dyDescent="0.25">
      <c r="E79" s="83" t="str">
        <f>[1]Home!L9</f>
        <v>Imam Samodra, S.Si</v>
      </c>
      <c r="F79" s="66" t="str">
        <f>[1]Home!L5</f>
        <v>Achrudin, S.Pd.</v>
      </c>
      <c r="G79" s="66"/>
      <c r="H79" s="66"/>
      <c r="I79" s="66"/>
      <c r="J79" s="66"/>
    </row>
    <row r="80" spans="2:12" x14ac:dyDescent="0.25">
      <c r="E80" s="4" t="str">
        <f>"NIK. "&amp;[1]Home!L11&amp;""</f>
        <v>NIK. 2014 10 3 172</v>
      </c>
      <c r="F80" s="8" t="str">
        <f>"NIK. "&amp;[1]Home!L7&amp;""</f>
        <v>NIK. 2014 09 3 163</v>
      </c>
      <c r="H80" s="66"/>
      <c r="I80" s="66"/>
      <c r="J80" s="66"/>
      <c r="K80" s="66"/>
    </row>
    <row r="81" spans="6:11" x14ac:dyDescent="0.25">
      <c r="F81" s="66"/>
      <c r="G81" s="66"/>
      <c r="H81" s="66"/>
      <c r="I81" s="66"/>
      <c r="J81" s="66"/>
      <c r="K81" s="66"/>
    </row>
    <row r="82" spans="6:11" x14ac:dyDescent="0.25">
      <c r="F82" s="66"/>
      <c r="G82" s="66"/>
      <c r="H82" s="66"/>
      <c r="I82" s="66"/>
      <c r="J82" s="66"/>
    </row>
  </sheetData>
  <mergeCells count="3">
    <mergeCell ref="B2:H2"/>
    <mergeCell ref="B3:H3"/>
    <mergeCell ref="B4:H4"/>
  </mergeCells>
  <pageMargins left="0.7" right="0.7" top="0.75" bottom="0.75" header="0.3" footer="0.3"/>
  <pageSetup paperSize="9" scale="86"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zoomScale="70" zoomScaleNormal="70" workbookViewId="0">
      <selection activeCell="G9" sqref="G9"/>
    </sheetView>
  </sheetViews>
  <sheetFormatPr defaultRowHeight="15" x14ac:dyDescent="0.25"/>
  <cols>
    <col min="1" max="1" width="16.42578125" customWidth="1"/>
    <col min="2" max="2" width="25.28515625" customWidth="1"/>
    <col min="4" max="4" width="12" customWidth="1"/>
    <col min="5" max="5" width="67.7109375" customWidth="1"/>
    <col min="6" max="6" width="12" customWidth="1"/>
    <col min="7" max="7" width="67.7109375" customWidth="1"/>
    <col min="8" max="8" width="59.85546875" customWidth="1"/>
  </cols>
  <sheetData>
    <row r="1" spans="1:8" s="55" customFormat="1" ht="39.75" customHeight="1" x14ac:dyDescent="0.25">
      <c r="B1" s="64" t="str">
        <f>"Input Data Nilai Sikap dan Catatan Walas Siswa Kelas "&amp;Setting!E11&amp;" Tahun "&amp;Setting!E14&amp;" Semester "&amp;Setting!E15&amp;""</f>
        <v>Input Data Nilai Sikap dan Catatan Walas Siswa Kelas XII MIPA 4 Tahun 2022/2023 Semester V</v>
      </c>
    </row>
    <row r="2" spans="1:8" x14ac:dyDescent="0.25">
      <c r="A2" s="326" t="s">
        <v>43</v>
      </c>
      <c r="B2" s="326" t="s">
        <v>42</v>
      </c>
      <c r="C2" s="326" t="s">
        <v>45</v>
      </c>
      <c r="D2" s="294" t="s">
        <v>70</v>
      </c>
      <c r="E2" s="295"/>
      <c r="F2" s="294" t="s">
        <v>71</v>
      </c>
      <c r="G2" s="295"/>
      <c r="H2" s="296" t="s">
        <v>66</v>
      </c>
    </row>
    <row r="3" spans="1:8" ht="27" customHeight="1" x14ac:dyDescent="0.25">
      <c r="A3" s="326"/>
      <c r="B3" s="326"/>
      <c r="C3" s="326"/>
      <c r="D3" s="44" t="s">
        <v>78</v>
      </c>
      <c r="E3" s="44" t="s">
        <v>38</v>
      </c>
      <c r="F3" s="44" t="s">
        <v>78</v>
      </c>
      <c r="G3" s="44" t="s">
        <v>38</v>
      </c>
      <c r="H3" s="296"/>
    </row>
    <row r="4" spans="1:8" ht="30" customHeight="1" x14ac:dyDescent="0.25">
      <c r="A4" s="7">
        <v>1</v>
      </c>
      <c r="B4" s="48" t="str">
        <f>IF(Setting!J6="","",Setting!J6)</f>
        <v>Abdul Fattah Irfan Al Mubaroq</v>
      </c>
      <c r="C4" s="15">
        <f>IF(Setting!K6="","",Setting!K6)</f>
        <v>2008004</v>
      </c>
      <c r="D4" s="63" t="s">
        <v>144</v>
      </c>
      <c r="E4" s="63" t="s">
        <v>2432</v>
      </c>
      <c r="F4" s="63" t="s">
        <v>145</v>
      </c>
      <c r="G4" s="63" t="str">
        <f>"Memiliki sopan santun yang "&amp;IF(F4="A","sangat baik","baik")&amp;" dan mampu memposisikan diri dengan "&amp;IF(F4="A","sangat baik","baik")&amp;" dalam pertemanan"</f>
        <v>Memiliki sopan santun yang baik dan mampu memposisikan diri dengan baik dalam pertemanan</v>
      </c>
      <c r="H4" s="63" t="s">
        <v>2434</v>
      </c>
    </row>
    <row r="5" spans="1:8" ht="30" customHeight="1" x14ac:dyDescent="0.25">
      <c r="A5" s="7">
        <v>2</v>
      </c>
      <c r="B5" s="48" t="str">
        <f>IF(Setting!J7="","",Setting!J7)</f>
        <v>Adam Zidane Danata Pranugroho</v>
      </c>
      <c r="C5" s="15">
        <f>IF(Setting!K7="","",Setting!K7)</f>
        <v>2008009</v>
      </c>
      <c r="D5" s="63" t="s">
        <v>144</v>
      </c>
      <c r="E5" s="63" t="s">
        <v>2432</v>
      </c>
      <c r="F5" s="63" t="s">
        <v>145</v>
      </c>
      <c r="G5" s="63" t="str">
        <f t="shared" ref="G5:G34" si="0">"Memiliki sopan santun yang "&amp;IF(F5="A","sangat baik","baik")&amp;" dan mampu memposisikan diri dengan "&amp;IF(F5="A","sangat baik","baik")&amp;" dalam pertemanan"</f>
        <v>Memiliki sopan santun yang baik dan mampu memposisikan diri dengan baik dalam pertemanan</v>
      </c>
      <c r="H5" s="63" t="s">
        <v>2434</v>
      </c>
    </row>
    <row r="6" spans="1:8" ht="30" customHeight="1" x14ac:dyDescent="0.25">
      <c r="A6" s="7">
        <v>3</v>
      </c>
      <c r="B6" s="48" t="str">
        <f>IF(Setting!J8="","",Setting!J8)</f>
        <v>Ahmad Fikry</v>
      </c>
      <c r="C6" s="15">
        <f>IF(Setting!K8="","",Setting!K8)</f>
        <v>2008021</v>
      </c>
      <c r="D6" s="63" t="s">
        <v>144</v>
      </c>
      <c r="E6" s="63" t="s">
        <v>2432</v>
      </c>
      <c r="F6" s="63" t="s">
        <v>144</v>
      </c>
      <c r="G6" s="63" t="str">
        <f t="shared" si="0"/>
        <v>Memiliki sopan santun yang sangat baik dan mampu memposisikan diri dengan sangat baik dalam pertemanan</v>
      </c>
      <c r="H6" s="63" t="s">
        <v>2434</v>
      </c>
    </row>
    <row r="7" spans="1:8" ht="30" customHeight="1" x14ac:dyDescent="0.25">
      <c r="A7" s="7">
        <v>4</v>
      </c>
      <c r="B7" s="48" t="str">
        <f>IF(Setting!J9="","",Setting!J9)</f>
        <v>Almas Sabih Wahindra</v>
      </c>
      <c r="C7" s="15">
        <f>IF(Setting!K9="","",Setting!K9)</f>
        <v>2008034</v>
      </c>
      <c r="D7" s="63" t="s">
        <v>144</v>
      </c>
      <c r="E7" s="63" t="s">
        <v>2432</v>
      </c>
      <c r="F7" s="63" t="s">
        <v>144</v>
      </c>
      <c r="G7" s="63" t="str">
        <f t="shared" si="0"/>
        <v>Memiliki sopan santun yang sangat baik dan mampu memposisikan diri dengan sangat baik dalam pertemanan</v>
      </c>
      <c r="H7" s="63" t="s">
        <v>2434</v>
      </c>
    </row>
    <row r="8" spans="1:8" ht="30" customHeight="1" x14ac:dyDescent="0.25">
      <c r="A8" s="7">
        <v>5</v>
      </c>
      <c r="B8" s="48" t="str">
        <f>IF(Setting!J10="","",Setting!J10)</f>
        <v>Aria Fenha Apri Buma</v>
      </c>
      <c r="C8" s="15">
        <f>IF(Setting!K10="","",Setting!K10)</f>
        <v>2008054</v>
      </c>
      <c r="D8" s="63" t="s">
        <v>144</v>
      </c>
      <c r="E8" s="63" t="s">
        <v>2432</v>
      </c>
      <c r="F8" s="63" t="s">
        <v>145</v>
      </c>
      <c r="G8" s="63" t="str">
        <f t="shared" si="0"/>
        <v>Memiliki sopan santun yang baik dan mampu memposisikan diri dengan baik dalam pertemanan</v>
      </c>
      <c r="H8" s="63" t="s">
        <v>2434</v>
      </c>
    </row>
    <row r="9" spans="1:8" ht="30" customHeight="1" x14ac:dyDescent="0.25">
      <c r="A9" s="7">
        <v>6</v>
      </c>
      <c r="B9" s="48" t="str">
        <f>IF(Setting!J11="","",Setting!J11)</f>
        <v>Baharuddin Barkah Pratama</v>
      </c>
      <c r="C9" s="15">
        <f>IF(Setting!K11="","",Setting!K11)</f>
        <v>2008075</v>
      </c>
      <c r="D9" s="63" t="s">
        <v>145</v>
      </c>
      <c r="E9" s="63" t="s">
        <v>2433</v>
      </c>
      <c r="F9" s="63" t="s">
        <v>145</v>
      </c>
      <c r="G9" s="63" t="str">
        <f t="shared" si="0"/>
        <v>Memiliki sopan santun yang baik dan mampu memposisikan diri dengan baik dalam pertemanan</v>
      </c>
      <c r="H9" s="63" t="s">
        <v>2434</v>
      </c>
    </row>
    <row r="10" spans="1:8" ht="30" customHeight="1" x14ac:dyDescent="0.25">
      <c r="A10" s="7">
        <v>7</v>
      </c>
      <c r="B10" s="48" t="str">
        <f>IF(Setting!J12="","",Setting!J12)</f>
        <v>Daffa Arya Pudyastungkara</v>
      </c>
      <c r="C10" s="15">
        <f>IF(Setting!K12="","",Setting!K12)</f>
        <v>2008089</v>
      </c>
      <c r="D10" s="63" t="s">
        <v>144</v>
      </c>
      <c r="E10" s="63" t="s">
        <v>2432</v>
      </c>
      <c r="F10" s="63" t="s">
        <v>145</v>
      </c>
      <c r="G10" s="63" t="str">
        <f t="shared" si="0"/>
        <v>Memiliki sopan santun yang baik dan mampu memposisikan diri dengan baik dalam pertemanan</v>
      </c>
      <c r="H10" s="63" t="s">
        <v>2434</v>
      </c>
    </row>
    <row r="11" spans="1:8" ht="30" customHeight="1" x14ac:dyDescent="0.25">
      <c r="A11" s="7">
        <v>8</v>
      </c>
      <c r="B11" s="48" t="str">
        <f>IF(Setting!J13="","",Setting!J13)</f>
        <v>Dody Muhammad Pasha</v>
      </c>
      <c r="C11" s="15">
        <f>IF(Setting!K13="","",Setting!K13)</f>
        <v>2008095</v>
      </c>
      <c r="D11" s="63" t="s">
        <v>144</v>
      </c>
      <c r="E11" s="63" t="s">
        <v>2432</v>
      </c>
      <c r="F11" s="63" t="s">
        <v>145</v>
      </c>
      <c r="G11" s="63" t="str">
        <f t="shared" si="0"/>
        <v>Memiliki sopan santun yang baik dan mampu memposisikan diri dengan baik dalam pertemanan</v>
      </c>
      <c r="H11" s="63" t="s">
        <v>2434</v>
      </c>
    </row>
    <row r="12" spans="1:8" ht="30" customHeight="1" x14ac:dyDescent="0.25">
      <c r="A12" s="7">
        <v>9</v>
      </c>
      <c r="B12" s="48" t="str">
        <f>IF(Setting!J14="","",Setting!J14)</f>
        <v>Elga Perdana</v>
      </c>
      <c r="C12" s="15">
        <f>IF(Setting!K14="","",Setting!K14)</f>
        <v>2008099</v>
      </c>
      <c r="D12" s="63" t="s">
        <v>145</v>
      </c>
      <c r="E12" s="63" t="s">
        <v>2433</v>
      </c>
      <c r="F12" s="63" t="s">
        <v>144</v>
      </c>
      <c r="G12" s="63" t="str">
        <f t="shared" si="0"/>
        <v>Memiliki sopan santun yang sangat baik dan mampu memposisikan diri dengan sangat baik dalam pertemanan</v>
      </c>
      <c r="H12" s="63" t="s">
        <v>2434</v>
      </c>
    </row>
    <row r="13" spans="1:8" ht="30" customHeight="1" x14ac:dyDescent="0.25">
      <c r="A13" s="7">
        <v>10</v>
      </c>
      <c r="B13" s="48" t="str">
        <f>IF(Setting!J15="","",Setting!J15)</f>
        <v>Fathoni Daniswara</v>
      </c>
      <c r="C13" s="15">
        <f>IF(Setting!K15="","",Setting!K15)</f>
        <v>2008118</v>
      </c>
      <c r="D13" s="63" t="s">
        <v>144</v>
      </c>
      <c r="E13" s="63" t="s">
        <v>2432</v>
      </c>
      <c r="F13" s="63" t="s">
        <v>145</v>
      </c>
      <c r="G13" s="63" t="str">
        <f t="shared" si="0"/>
        <v>Memiliki sopan santun yang baik dan mampu memposisikan diri dengan baik dalam pertemanan</v>
      </c>
      <c r="H13" s="63" t="s">
        <v>2434</v>
      </c>
    </row>
    <row r="14" spans="1:8" ht="30" customHeight="1" x14ac:dyDescent="0.25">
      <c r="A14" s="7">
        <v>11</v>
      </c>
      <c r="B14" s="48" t="str">
        <f>IF(Setting!J16="","",Setting!J16)</f>
        <v>Gading Setyo Manunggal</v>
      </c>
      <c r="C14" s="15">
        <f>IF(Setting!K16="","",Setting!K16)</f>
        <v>2008127</v>
      </c>
      <c r="D14" s="63" t="s">
        <v>144</v>
      </c>
      <c r="E14" s="63" t="s">
        <v>2432</v>
      </c>
      <c r="F14" s="63" t="s">
        <v>145</v>
      </c>
      <c r="G14" s="63" t="str">
        <f t="shared" si="0"/>
        <v>Memiliki sopan santun yang baik dan mampu memposisikan diri dengan baik dalam pertemanan</v>
      </c>
      <c r="H14" s="63" t="s">
        <v>2434</v>
      </c>
    </row>
    <row r="15" spans="1:8" ht="30" customHeight="1" x14ac:dyDescent="0.25">
      <c r="A15" s="7">
        <v>12</v>
      </c>
      <c r="B15" s="48" t="str">
        <f>IF(Setting!J17="","",Setting!J17)</f>
        <v>Ghifari Mabrur Al Burhani</v>
      </c>
      <c r="C15" s="15">
        <f>IF(Setting!K17="","",Setting!K17)</f>
        <v>2008128</v>
      </c>
      <c r="D15" s="63" t="s">
        <v>144</v>
      </c>
      <c r="E15" s="63" t="s">
        <v>2432</v>
      </c>
      <c r="F15" s="63" t="s">
        <v>145</v>
      </c>
      <c r="G15" s="63" t="str">
        <f t="shared" si="0"/>
        <v>Memiliki sopan santun yang baik dan mampu memposisikan diri dengan baik dalam pertemanan</v>
      </c>
      <c r="H15" s="63" t="s">
        <v>2434</v>
      </c>
    </row>
    <row r="16" spans="1:8" ht="30" customHeight="1" x14ac:dyDescent="0.25">
      <c r="A16" s="7">
        <v>13</v>
      </c>
      <c r="B16" s="48" t="str">
        <f>IF(Setting!J18="","",Setting!J18)</f>
        <v>Hafid Mahreza Ilham</v>
      </c>
      <c r="C16" s="15">
        <f>IF(Setting!K18="","",Setting!K18)</f>
        <v>2008131</v>
      </c>
      <c r="D16" s="63" t="s">
        <v>144</v>
      </c>
      <c r="E16" s="63" t="s">
        <v>2432</v>
      </c>
      <c r="F16" s="63" t="s">
        <v>145</v>
      </c>
      <c r="G16" s="63" t="str">
        <f t="shared" si="0"/>
        <v>Memiliki sopan santun yang baik dan mampu memposisikan diri dengan baik dalam pertemanan</v>
      </c>
      <c r="H16" s="63" t="s">
        <v>2434</v>
      </c>
    </row>
    <row r="17" spans="1:8" ht="30" customHeight="1" x14ac:dyDescent="0.25">
      <c r="A17" s="7">
        <v>14</v>
      </c>
      <c r="B17" s="48" t="str">
        <f>IF(Setting!J19="","",Setting!J19)</f>
        <v>Haidar Rafif Hibatulloh</v>
      </c>
      <c r="C17" s="15">
        <f>IF(Setting!K19="","",Setting!K19)</f>
        <v>2008132</v>
      </c>
      <c r="D17" s="63" t="s">
        <v>145</v>
      </c>
      <c r="E17" s="63" t="s">
        <v>2432</v>
      </c>
      <c r="F17" s="63" t="s">
        <v>145</v>
      </c>
      <c r="G17" s="63" t="str">
        <f t="shared" si="0"/>
        <v>Memiliki sopan santun yang baik dan mampu memposisikan diri dengan baik dalam pertemanan</v>
      </c>
      <c r="H17" s="63" t="s">
        <v>2434</v>
      </c>
    </row>
    <row r="18" spans="1:8" ht="30" customHeight="1" x14ac:dyDescent="0.25">
      <c r="A18" s="7">
        <v>15</v>
      </c>
      <c r="B18" s="48" t="str">
        <f>IF(Setting!J20="","",Setting!J20)</f>
        <v>Kelvin Oktabrian Ramadhan</v>
      </c>
      <c r="C18" s="15">
        <f>IF(Setting!K20="","",Setting!K20)</f>
        <v>2008169</v>
      </c>
      <c r="D18" s="63" t="s">
        <v>144</v>
      </c>
      <c r="E18" s="63" t="s">
        <v>2432</v>
      </c>
      <c r="F18" s="63" t="s">
        <v>145</v>
      </c>
      <c r="G18" s="63" t="str">
        <f t="shared" si="0"/>
        <v>Memiliki sopan santun yang baik dan mampu memposisikan diri dengan baik dalam pertemanan</v>
      </c>
      <c r="H18" s="63" t="s">
        <v>2434</v>
      </c>
    </row>
    <row r="19" spans="1:8" ht="30" customHeight="1" x14ac:dyDescent="0.25">
      <c r="A19" s="7">
        <v>16</v>
      </c>
      <c r="B19" s="48" t="str">
        <f>IF(Setting!J21="","",Setting!J21)</f>
        <v>Mohamad Khoiril Afwa</v>
      </c>
      <c r="C19" s="15">
        <f>IF(Setting!K21="","",Setting!K21)</f>
        <v>2008197</v>
      </c>
      <c r="D19" s="63" t="s">
        <v>145</v>
      </c>
      <c r="E19" s="63" t="s">
        <v>2433</v>
      </c>
      <c r="F19" s="63" t="s">
        <v>145</v>
      </c>
      <c r="G19" s="63" t="str">
        <f t="shared" si="0"/>
        <v>Memiliki sopan santun yang baik dan mampu memposisikan diri dengan baik dalam pertemanan</v>
      </c>
      <c r="H19" s="63" t="s">
        <v>2434</v>
      </c>
    </row>
    <row r="20" spans="1:8" ht="30" customHeight="1" x14ac:dyDescent="0.25">
      <c r="A20" s="7">
        <v>17</v>
      </c>
      <c r="B20" s="48" t="str">
        <f>IF(Setting!J22="","",Setting!J22)</f>
        <v>Muhammad Hanif Pearlyaradja</v>
      </c>
      <c r="C20" s="15">
        <f>IF(Setting!K22="","",Setting!K22)</f>
        <v>2008214</v>
      </c>
      <c r="D20" s="63" t="s">
        <v>145</v>
      </c>
      <c r="E20" s="63" t="s">
        <v>2433</v>
      </c>
      <c r="F20" s="63" t="s">
        <v>145</v>
      </c>
      <c r="G20" s="63" t="str">
        <f t="shared" si="0"/>
        <v>Memiliki sopan santun yang baik dan mampu memposisikan diri dengan baik dalam pertemanan</v>
      </c>
      <c r="H20" s="63" t="s">
        <v>2434</v>
      </c>
    </row>
    <row r="21" spans="1:8" ht="30" customHeight="1" x14ac:dyDescent="0.25">
      <c r="A21" s="7">
        <v>18</v>
      </c>
      <c r="B21" s="48" t="str">
        <f>IF(Setting!J23="","",Setting!J23)</f>
        <v>Muhammad Maurel Han</v>
      </c>
      <c r="C21" s="15">
        <f>IF(Setting!K23="","",Setting!K23)</f>
        <v>2008218</v>
      </c>
      <c r="D21" s="63" t="s">
        <v>145</v>
      </c>
      <c r="E21" s="63" t="s">
        <v>2433</v>
      </c>
      <c r="F21" s="63" t="s">
        <v>145</v>
      </c>
      <c r="G21" s="63" t="str">
        <f t="shared" si="0"/>
        <v>Memiliki sopan santun yang baik dan mampu memposisikan diri dengan baik dalam pertemanan</v>
      </c>
      <c r="H21" s="63" t="s">
        <v>2434</v>
      </c>
    </row>
    <row r="22" spans="1:8" ht="30" customHeight="1" x14ac:dyDescent="0.25">
      <c r="A22" s="7">
        <v>19</v>
      </c>
      <c r="B22" s="48" t="str">
        <f>IF(Setting!J24="","",Setting!J24)</f>
        <v>Muhammad Niam Masykuri</v>
      </c>
      <c r="C22" s="15">
        <f>IF(Setting!K24="","",Setting!K24)</f>
        <v>2008220</v>
      </c>
      <c r="D22" s="63" t="s">
        <v>144</v>
      </c>
      <c r="E22" s="63" t="s">
        <v>2432</v>
      </c>
      <c r="F22" s="63" t="s">
        <v>145</v>
      </c>
      <c r="G22" s="63" t="str">
        <f t="shared" si="0"/>
        <v>Memiliki sopan santun yang baik dan mampu memposisikan diri dengan baik dalam pertemanan</v>
      </c>
      <c r="H22" s="63" t="s">
        <v>2434</v>
      </c>
    </row>
    <row r="23" spans="1:8" ht="30" customHeight="1" x14ac:dyDescent="0.25">
      <c r="A23" s="7">
        <v>20</v>
      </c>
      <c r="B23" s="48" t="str">
        <f>IF(Setting!J25="","",Setting!J25)</f>
        <v>Muhammad Nur Arzhian Kusuma</v>
      </c>
      <c r="C23" s="15">
        <f>IF(Setting!K25="","",Setting!K25)</f>
        <v>2008221</v>
      </c>
      <c r="D23" s="63" t="s">
        <v>144</v>
      </c>
      <c r="E23" s="63" t="s">
        <v>2432</v>
      </c>
      <c r="F23" s="63" t="s">
        <v>144</v>
      </c>
      <c r="G23" s="63" t="str">
        <f t="shared" si="0"/>
        <v>Memiliki sopan santun yang sangat baik dan mampu memposisikan diri dengan sangat baik dalam pertemanan</v>
      </c>
      <c r="H23" s="63" t="s">
        <v>2434</v>
      </c>
    </row>
    <row r="24" spans="1:8" ht="30" customHeight="1" x14ac:dyDescent="0.25">
      <c r="A24" s="7">
        <v>21</v>
      </c>
      <c r="B24" s="48" t="str">
        <f>IF(Setting!J26="","",Setting!J26)</f>
        <v>Muhammad Rafif Rizqullah</v>
      </c>
      <c r="C24" s="15">
        <f>IF(Setting!K26="","",Setting!K26)</f>
        <v>2008222</v>
      </c>
      <c r="D24" s="63" t="s">
        <v>144</v>
      </c>
      <c r="E24" s="63" t="s">
        <v>2432</v>
      </c>
      <c r="F24" s="63" t="s">
        <v>145</v>
      </c>
      <c r="G24" s="63" t="str">
        <f t="shared" si="0"/>
        <v>Memiliki sopan santun yang baik dan mampu memposisikan diri dengan baik dalam pertemanan</v>
      </c>
      <c r="H24" s="63" t="s">
        <v>2434</v>
      </c>
    </row>
    <row r="25" spans="1:8" ht="30" customHeight="1" x14ac:dyDescent="0.25">
      <c r="A25" s="7">
        <v>22</v>
      </c>
      <c r="B25" s="48" t="str">
        <f>IF(Setting!J27="","",Setting!J27)</f>
        <v>Muhammad Raihan Al Faridzi</v>
      </c>
      <c r="C25" s="15">
        <f>IF(Setting!K27="","",Setting!K27)</f>
        <v>2008223</v>
      </c>
      <c r="D25" s="63" t="s">
        <v>144</v>
      </c>
      <c r="E25" s="63" t="s">
        <v>2432</v>
      </c>
      <c r="F25" s="63" t="s">
        <v>144</v>
      </c>
      <c r="G25" s="63" t="str">
        <f t="shared" si="0"/>
        <v>Memiliki sopan santun yang sangat baik dan mampu memposisikan diri dengan sangat baik dalam pertemanan</v>
      </c>
      <c r="H25" s="63" t="s">
        <v>2434</v>
      </c>
    </row>
    <row r="26" spans="1:8" ht="30" customHeight="1" x14ac:dyDescent="0.25">
      <c r="A26" s="7">
        <v>23</v>
      </c>
      <c r="B26" s="48" t="str">
        <f>IF(Setting!J28="","",Setting!J28)</f>
        <v>Muhammad Rakan Hafidh Al Ghalib</v>
      </c>
      <c r="C26" s="15">
        <f>IF(Setting!K28="","",Setting!K28)</f>
        <v>2008224</v>
      </c>
      <c r="D26" s="63" t="s">
        <v>144</v>
      </c>
      <c r="E26" s="63" t="s">
        <v>2432</v>
      </c>
      <c r="F26" s="63" t="s">
        <v>145</v>
      </c>
      <c r="G26" s="63" t="str">
        <f t="shared" si="0"/>
        <v>Memiliki sopan santun yang baik dan mampu memposisikan diri dengan baik dalam pertemanan</v>
      </c>
      <c r="H26" s="63" t="s">
        <v>2434</v>
      </c>
    </row>
    <row r="27" spans="1:8" ht="30" customHeight="1" x14ac:dyDescent="0.25">
      <c r="A27" s="7">
        <v>24</v>
      </c>
      <c r="B27" s="48" t="str">
        <f>IF(Setting!J29="","",Setting!J29)</f>
        <v>Muhammad Syamu Naufal</v>
      </c>
      <c r="C27" s="15">
        <f>IF(Setting!K29="","",Setting!K29)</f>
        <v>2008230</v>
      </c>
      <c r="D27" s="63" t="s">
        <v>144</v>
      </c>
      <c r="E27" s="63" t="s">
        <v>2432</v>
      </c>
      <c r="F27" s="63" t="s">
        <v>144</v>
      </c>
      <c r="G27" s="63" t="str">
        <f t="shared" si="0"/>
        <v>Memiliki sopan santun yang sangat baik dan mampu memposisikan diri dengan sangat baik dalam pertemanan</v>
      </c>
      <c r="H27" s="63" t="s">
        <v>2434</v>
      </c>
    </row>
    <row r="28" spans="1:8" ht="30" customHeight="1" x14ac:dyDescent="0.25">
      <c r="A28" s="7">
        <v>25</v>
      </c>
      <c r="B28" s="48" t="str">
        <f>IF(Setting!J30="","",Setting!J30)</f>
        <v>Naufal Muhammad Iqbal</v>
      </c>
      <c r="C28" s="15">
        <f>IF(Setting!K30="","",Setting!K30)</f>
        <v>2008251</v>
      </c>
      <c r="D28" s="63" t="s">
        <v>144</v>
      </c>
      <c r="E28" s="63" t="s">
        <v>2432</v>
      </c>
      <c r="F28" s="63" t="s">
        <v>144</v>
      </c>
      <c r="G28" s="63" t="str">
        <f t="shared" si="0"/>
        <v>Memiliki sopan santun yang sangat baik dan mampu memposisikan diri dengan sangat baik dalam pertemanan</v>
      </c>
      <c r="H28" s="63" t="s">
        <v>2434</v>
      </c>
    </row>
    <row r="29" spans="1:8" ht="30" customHeight="1" x14ac:dyDescent="0.25">
      <c r="A29" s="7">
        <v>26</v>
      </c>
      <c r="B29" s="48" t="str">
        <f>IF(Setting!J31="","",Setting!J31)</f>
        <v>Nauval Nur Mustafa</v>
      </c>
      <c r="C29" s="15">
        <f>IF(Setting!K31="","",Setting!K31)</f>
        <v>2008253</v>
      </c>
      <c r="D29" s="63" t="s">
        <v>145</v>
      </c>
      <c r="E29" s="63" t="s">
        <v>2433</v>
      </c>
      <c r="F29" s="63" t="s">
        <v>145</v>
      </c>
      <c r="G29" s="63" t="str">
        <f t="shared" si="0"/>
        <v>Memiliki sopan santun yang baik dan mampu memposisikan diri dengan baik dalam pertemanan</v>
      </c>
      <c r="H29" s="63" t="s">
        <v>2434</v>
      </c>
    </row>
    <row r="30" spans="1:8" ht="30" customHeight="1" x14ac:dyDescent="0.25">
      <c r="A30" s="7">
        <v>27</v>
      </c>
      <c r="B30" s="48" t="str">
        <f>IF(Setting!J32="","",Setting!J32)</f>
        <v>Oriegano Kanahaya Siagian</v>
      </c>
      <c r="C30" s="15">
        <f>IF(Setting!K32="","",Setting!K32)</f>
        <v>2008272</v>
      </c>
      <c r="D30" s="63" t="s">
        <v>144</v>
      </c>
      <c r="E30" s="63" t="s">
        <v>2432</v>
      </c>
      <c r="F30" s="63" t="s">
        <v>145</v>
      </c>
      <c r="G30" s="63" t="str">
        <f t="shared" si="0"/>
        <v>Memiliki sopan santun yang baik dan mampu memposisikan diri dengan baik dalam pertemanan</v>
      </c>
      <c r="H30" s="63" t="s">
        <v>2434</v>
      </c>
    </row>
    <row r="31" spans="1:8" ht="30" customHeight="1" x14ac:dyDescent="0.25">
      <c r="A31" s="7">
        <v>28</v>
      </c>
      <c r="B31" s="48" t="str">
        <f>IF(Setting!J33="","",Setting!J33)</f>
        <v>Rafif Mahatma Indrastata</v>
      </c>
      <c r="C31" s="15">
        <f>IF(Setting!K33="","",Setting!K33)</f>
        <v>2008282</v>
      </c>
      <c r="D31" s="63" t="s">
        <v>145</v>
      </c>
      <c r="E31" s="63" t="s">
        <v>2433</v>
      </c>
      <c r="F31" s="63" t="s">
        <v>145</v>
      </c>
      <c r="G31" s="63" t="str">
        <f t="shared" si="0"/>
        <v>Memiliki sopan santun yang baik dan mampu memposisikan diri dengan baik dalam pertemanan</v>
      </c>
      <c r="H31" s="63" t="s">
        <v>2434</v>
      </c>
    </row>
    <row r="32" spans="1:8" ht="30" customHeight="1" x14ac:dyDescent="0.25">
      <c r="A32" s="7">
        <v>29</v>
      </c>
      <c r="B32" s="48" t="str">
        <f>IF(Setting!J34="","",Setting!J34)</f>
        <v>Rayhan Yoga Edy Pratama</v>
      </c>
      <c r="C32" s="15">
        <f>IF(Setting!K34="","",Setting!K34)</f>
        <v>2008296</v>
      </c>
      <c r="D32" s="63" t="s">
        <v>144</v>
      </c>
      <c r="E32" s="63" t="s">
        <v>2432</v>
      </c>
      <c r="F32" s="63" t="s">
        <v>144</v>
      </c>
      <c r="G32" s="63" t="str">
        <f t="shared" si="0"/>
        <v>Memiliki sopan santun yang sangat baik dan mampu memposisikan diri dengan sangat baik dalam pertemanan</v>
      </c>
      <c r="H32" s="63" t="s">
        <v>2434</v>
      </c>
    </row>
    <row r="33" spans="1:8" ht="30" customHeight="1" x14ac:dyDescent="0.25">
      <c r="A33" s="7">
        <v>30</v>
      </c>
      <c r="B33" s="48" t="str">
        <f>IF(Setting!J35="","",Setting!J35)</f>
        <v>Rusianto Munif</v>
      </c>
      <c r="C33" s="15">
        <f>IF(Setting!K35="","",Setting!K35)</f>
        <v>2008307</v>
      </c>
      <c r="D33" s="63" t="s">
        <v>144</v>
      </c>
      <c r="E33" s="63" t="s">
        <v>2432</v>
      </c>
      <c r="F33" s="63" t="s">
        <v>144</v>
      </c>
      <c r="G33" s="63" t="str">
        <f t="shared" si="0"/>
        <v>Memiliki sopan santun yang sangat baik dan mampu memposisikan diri dengan sangat baik dalam pertemanan</v>
      </c>
      <c r="H33" s="63" t="s">
        <v>2434</v>
      </c>
    </row>
    <row r="34" spans="1:8" ht="30" customHeight="1" x14ac:dyDescent="0.25">
      <c r="A34" s="7">
        <v>31</v>
      </c>
      <c r="B34" s="48" t="str">
        <f>IF(Setting!J36="","",Setting!J36)</f>
        <v>Zaidan Mu'afy Althaf</v>
      </c>
      <c r="C34" s="15">
        <f>IF(Setting!K36="","",Setting!K36)</f>
        <v>2008347</v>
      </c>
      <c r="D34" s="63" t="s">
        <v>144</v>
      </c>
      <c r="E34" s="63" t="s">
        <v>2432</v>
      </c>
      <c r="F34" s="63" t="s">
        <v>145</v>
      </c>
      <c r="G34" s="63" t="str">
        <f t="shared" si="0"/>
        <v>Memiliki sopan santun yang baik dan mampu memposisikan diri dengan baik dalam pertemanan</v>
      </c>
      <c r="H34" s="63" t="s">
        <v>2434</v>
      </c>
    </row>
    <row r="35" spans="1:8" ht="30" customHeight="1" x14ac:dyDescent="0.25">
      <c r="A35" s="7">
        <v>32</v>
      </c>
      <c r="B35" s="48">
        <f>IF(Setting!J37="","",Setting!J37)</f>
        <v>0</v>
      </c>
      <c r="C35" s="15">
        <f>IF(Setting!K37="","",Setting!K37)</f>
        <v>0</v>
      </c>
      <c r="D35" s="63"/>
      <c r="E35" s="63"/>
      <c r="F35" s="63"/>
      <c r="G35" s="63"/>
      <c r="H35" s="63"/>
    </row>
    <row r="36" spans="1:8" ht="30" customHeight="1" x14ac:dyDescent="0.25">
      <c r="A36" s="7">
        <v>33</v>
      </c>
      <c r="B36" s="48">
        <f>IF(Setting!J38="","",Setting!J38)</f>
        <v>0</v>
      </c>
      <c r="C36" s="15">
        <f>IF(Setting!K38="","",Setting!K38)</f>
        <v>0</v>
      </c>
      <c r="D36" s="63"/>
      <c r="E36" s="63"/>
      <c r="F36" s="63"/>
      <c r="G36" s="63"/>
      <c r="H36" s="63"/>
    </row>
    <row r="37" spans="1:8" ht="30" customHeight="1" x14ac:dyDescent="0.25">
      <c r="A37" s="7">
        <v>34</v>
      </c>
      <c r="B37" s="48">
        <f>IF(Setting!J39="","",Setting!J39)</f>
        <v>0</v>
      </c>
      <c r="C37" s="15">
        <f>IF(Setting!K39="","",Setting!K39)</f>
        <v>0</v>
      </c>
      <c r="D37" s="63"/>
      <c r="E37" s="63"/>
      <c r="F37" s="63"/>
      <c r="G37" s="63"/>
      <c r="H37" s="63"/>
    </row>
    <row r="38" spans="1:8" ht="30" customHeight="1" x14ac:dyDescent="0.25">
      <c r="A38" s="7">
        <v>35</v>
      </c>
      <c r="B38" s="48">
        <f>IF(Setting!J40="","",Setting!J40)</f>
        <v>0</v>
      </c>
      <c r="C38" s="15">
        <f>IF(Setting!K40="","",Setting!K40)</f>
        <v>0</v>
      </c>
      <c r="D38" s="63"/>
      <c r="E38" s="63"/>
      <c r="F38" s="63"/>
      <c r="G38" s="63"/>
      <c r="H38" s="63"/>
    </row>
    <row r="39" spans="1:8" ht="30" customHeight="1" x14ac:dyDescent="0.25">
      <c r="A39" s="7">
        <v>36</v>
      </c>
      <c r="B39" s="48" t="str">
        <f>IF(Setting!J41="","",Setting!J41)</f>
        <v/>
      </c>
      <c r="C39" s="15" t="str">
        <f>IF(Setting!K41="","",Setting!K41)</f>
        <v/>
      </c>
      <c r="D39" s="63"/>
      <c r="E39" s="63"/>
      <c r="F39" s="63"/>
      <c r="G39" s="63"/>
      <c r="H39" s="63"/>
    </row>
    <row r="40" spans="1:8" ht="30" customHeight="1" x14ac:dyDescent="0.25">
      <c r="A40" s="7">
        <v>37</v>
      </c>
      <c r="B40" s="48" t="str">
        <f>IF(Setting!J42="","",Setting!J42)</f>
        <v/>
      </c>
      <c r="C40" s="15" t="str">
        <f>IF(Setting!K42="","",Setting!K42)</f>
        <v/>
      </c>
      <c r="D40" s="63"/>
      <c r="E40" s="63"/>
      <c r="F40" s="63"/>
      <c r="G40" s="63"/>
      <c r="H40" s="63"/>
    </row>
    <row r="41" spans="1:8" ht="30" customHeight="1" x14ac:dyDescent="0.25">
      <c r="A41" s="7">
        <v>38</v>
      </c>
      <c r="B41" s="48" t="str">
        <f>IF(Setting!J43="","",Setting!J43)</f>
        <v/>
      </c>
      <c r="C41" s="15" t="str">
        <f>IF(Setting!K43="","",Setting!K43)</f>
        <v/>
      </c>
      <c r="D41" s="63"/>
      <c r="E41" s="63"/>
      <c r="F41" s="63"/>
      <c r="G41" s="63"/>
      <c r="H41" s="63"/>
    </row>
    <row r="42" spans="1:8" ht="30" customHeight="1" x14ac:dyDescent="0.25">
      <c r="A42" s="7">
        <v>39</v>
      </c>
      <c r="B42" s="48" t="str">
        <f>IF(Setting!J44="","",Setting!J44)</f>
        <v/>
      </c>
      <c r="C42" s="15" t="str">
        <f>IF(Setting!K44="","",Setting!K44)</f>
        <v/>
      </c>
      <c r="D42" s="63"/>
      <c r="E42" s="63"/>
      <c r="F42" s="63"/>
      <c r="G42" s="63"/>
      <c r="H42" s="63"/>
    </row>
    <row r="43" spans="1:8" ht="30" customHeight="1" x14ac:dyDescent="0.25">
      <c r="A43" s="7">
        <v>40</v>
      </c>
      <c r="B43" s="48" t="str">
        <f>IF(Setting!J45="","",Setting!J45)</f>
        <v/>
      </c>
      <c r="C43" s="15" t="str">
        <f>IF(Setting!K45="","",Setting!K45)</f>
        <v/>
      </c>
      <c r="D43" s="63"/>
      <c r="E43" s="63"/>
      <c r="F43" s="63"/>
      <c r="G43" s="63"/>
      <c r="H43" s="63"/>
    </row>
  </sheetData>
  <sheetProtection algorithmName="SHA-512" hashValue="ueRIXr6nQMJoCn9+iyuEtj8+1jtBB3/uOGZ7rYGK+8CWnqUgx91h/p4LZbQO93lXreQjCWmz6VYvyzSY7vGD9g==" saltValue="sD7jP68RHgn2sfc2Uwu7TQ==" spinCount="100000" sheet="1" objects="1" scenarios="1" selectLockedCells="1"/>
  <mergeCells count="6">
    <mergeCell ref="H2:H3"/>
    <mergeCell ref="D2:E2"/>
    <mergeCell ref="F2:G2"/>
    <mergeCell ref="A2:A3"/>
    <mergeCell ref="B2:B3"/>
    <mergeCell ref="C2:C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Home</vt:lpstr>
      <vt:lpstr>Legger Dinas</vt:lpstr>
      <vt:lpstr>Rank</vt:lpstr>
      <vt:lpstr>Setting</vt:lpstr>
      <vt:lpstr>DATA SISWA LENGKAP</vt:lpstr>
      <vt:lpstr>Raport</vt:lpstr>
      <vt:lpstr>Legger</vt:lpstr>
      <vt:lpstr>Catatan Sikap</vt:lpstr>
      <vt:lpstr>Input Nilai Sikap dan Catatan</vt:lpstr>
      <vt:lpstr>Input Ekstra</vt:lpstr>
      <vt:lpstr>Input Kehadiran</vt:lpstr>
      <vt:lpstr>Input Prestasi</vt:lpstr>
      <vt:lpstr>'Catatan Sikap'!Print_Area</vt:lpstr>
      <vt:lpstr>Raport!Print_Area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dc:creator>
  <cp:keywords>SMA ABBS SURAKARTA</cp:keywords>
  <cp:lastModifiedBy>acer</cp:lastModifiedBy>
  <cp:lastPrinted>2022-12-15T04:08:41Z</cp:lastPrinted>
  <dcterms:created xsi:type="dcterms:W3CDTF">2014-12-16T13:31:22Z</dcterms:created>
  <dcterms:modified xsi:type="dcterms:W3CDTF">2022-12-15T04:08:46Z</dcterms:modified>
</cp:coreProperties>
</file>