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tiff" ContentType="image/tif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cer\Downloads\"/>
    </mc:Choice>
  </mc:AlternateContent>
  <bookViews>
    <workbookView showSheetTabs="0" xWindow="0" yWindow="0" windowWidth="28800" windowHeight="12330" activeTab="4"/>
  </bookViews>
  <sheets>
    <sheet name="Home" sheetId="4" r:id="rId1"/>
    <sheet name="Legger Dinas" sheetId="71" r:id="rId2"/>
    <sheet name="Rank" sheetId="72" r:id="rId3"/>
    <sheet name="Setting" sheetId="64" r:id="rId4"/>
    <sheet name="Raport" sheetId="7" r:id="rId5"/>
    <sheet name="Legger" sheetId="65" r:id="rId6"/>
    <sheet name="Catatan Sikap" sheetId="73" r:id="rId7"/>
    <sheet name="Input Nilai Sikap dan Catatan" sheetId="67" r:id="rId8"/>
    <sheet name="Input Ekstra" sheetId="60" r:id="rId9"/>
    <sheet name="Input Kehadiran" sheetId="68" r:id="rId10"/>
    <sheet name="Input Prestasi" sheetId="62" r:id="rId11"/>
    <sheet name="Sheet1" sheetId="74" r:id="rId12"/>
  </sheets>
  <externalReferences>
    <externalReference r:id="rId13"/>
  </externalReferences>
  <definedNames>
    <definedName name="_xlnm.Print_Area" localSheetId="6">'Catatan Sikap'!$B$2:$H$80</definedName>
    <definedName name="_xlnm.Print_Area" localSheetId="4">Raport!$B$3:$J$149</definedName>
  </definedNames>
  <calcPr calcId="191029"/>
</workbook>
</file>

<file path=xl/calcChain.xml><?xml version="1.0" encoding="utf-8"?>
<calcChain xmlns="http://schemas.openxmlformats.org/spreadsheetml/2006/main">
  <c r="X39" i="71" l="1"/>
  <c r="X40" i="71"/>
  <c r="X41" i="71"/>
  <c r="X42" i="71"/>
  <c r="X43" i="71"/>
  <c r="X44" i="71"/>
  <c r="X45" i="71"/>
  <c r="X46" i="71"/>
  <c r="W39" i="71"/>
  <c r="W40" i="71"/>
  <c r="W41" i="71"/>
  <c r="W42" i="71"/>
  <c r="W43" i="71"/>
  <c r="W44" i="71"/>
  <c r="W45" i="71"/>
  <c r="W46" i="71"/>
  <c r="B7" i="71"/>
  <c r="G8" i="71"/>
  <c r="H8" i="71"/>
  <c r="I8" i="71"/>
  <c r="J8" i="71"/>
  <c r="K8" i="71"/>
  <c r="L8" i="71"/>
  <c r="M8" i="71"/>
  <c r="N8" i="71"/>
  <c r="O8" i="71"/>
  <c r="P8" i="71"/>
  <c r="Q8" i="71"/>
  <c r="R8" i="71"/>
  <c r="S8" i="71"/>
  <c r="T8" i="71"/>
  <c r="U8" i="71"/>
  <c r="V8" i="71"/>
  <c r="G9" i="71"/>
  <c r="H9" i="71"/>
  <c r="I9" i="71"/>
  <c r="J9" i="71"/>
  <c r="K9" i="71"/>
  <c r="L9" i="71"/>
  <c r="M9" i="71"/>
  <c r="N9" i="71"/>
  <c r="O9" i="71"/>
  <c r="P9" i="71"/>
  <c r="Q9" i="71"/>
  <c r="R9" i="71"/>
  <c r="S9" i="71"/>
  <c r="T9" i="71"/>
  <c r="U9" i="71"/>
  <c r="V9" i="71"/>
  <c r="G10" i="71"/>
  <c r="H10" i="71"/>
  <c r="I10" i="71"/>
  <c r="J10" i="71"/>
  <c r="K10" i="71"/>
  <c r="L10" i="71"/>
  <c r="M10" i="71"/>
  <c r="N10" i="71"/>
  <c r="O10" i="71"/>
  <c r="P10" i="71"/>
  <c r="Q10" i="71"/>
  <c r="R10" i="71"/>
  <c r="S10" i="71"/>
  <c r="T10" i="71"/>
  <c r="U10" i="71"/>
  <c r="V10" i="71"/>
  <c r="G11" i="71"/>
  <c r="H11" i="71"/>
  <c r="I11" i="71"/>
  <c r="J11" i="71"/>
  <c r="K11" i="71"/>
  <c r="L11" i="71"/>
  <c r="M11" i="71"/>
  <c r="N11" i="71"/>
  <c r="O11" i="71"/>
  <c r="P11" i="71"/>
  <c r="Q11" i="71"/>
  <c r="R11" i="71"/>
  <c r="S11" i="71"/>
  <c r="T11" i="71"/>
  <c r="U11" i="71"/>
  <c r="V11" i="71"/>
  <c r="G12" i="71"/>
  <c r="H12" i="71"/>
  <c r="I12" i="71"/>
  <c r="J12" i="71"/>
  <c r="K12" i="71"/>
  <c r="L12" i="71"/>
  <c r="M12" i="71"/>
  <c r="N12" i="71"/>
  <c r="O12" i="71"/>
  <c r="P12" i="71"/>
  <c r="Q12" i="71"/>
  <c r="R12" i="71"/>
  <c r="S12" i="71"/>
  <c r="T12" i="71"/>
  <c r="U12" i="71"/>
  <c r="V12" i="71"/>
  <c r="G13" i="71"/>
  <c r="H13" i="71"/>
  <c r="I13" i="71"/>
  <c r="J13" i="71"/>
  <c r="K13" i="71"/>
  <c r="L13" i="71"/>
  <c r="M13" i="71"/>
  <c r="N13" i="71"/>
  <c r="O13" i="71"/>
  <c r="P13" i="71"/>
  <c r="Q13" i="71"/>
  <c r="R13" i="71"/>
  <c r="S13" i="71"/>
  <c r="T13" i="71"/>
  <c r="U13" i="71"/>
  <c r="V13" i="71"/>
  <c r="G14" i="71"/>
  <c r="H14" i="71"/>
  <c r="I14" i="71"/>
  <c r="J14" i="71"/>
  <c r="K14" i="71"/>
  <c r="L14" i="71"/>
  <c r="M14" i="71"/>
  <c r="N14" i="71"/>
  <c r="O14" i="71"/>
  <c r="P14" i="71"/>
  <c r="Q14" i="71"/>
  <c r="R14" i="71"/>
  <c r="S14" i="71"/>
  <c r="T14" i="71"/>
  <c r="U14" i="71"/>
  <c r="V14" i="71"/>
  <c r="G15" i="71"/>
  <c r="H15" i="71"/>
  <c r="I15" i="71"/>
  <c r="J15" i="71"/>
  <c r="K15" i="71"/>
  <c r="L15" i="71"/>
  <c r="M15" i="71"/>
  <c r="N15" i="71"/>
  <c r="O15" i="71"/>
  <c r="P15" i="71"/>
  <c r="Q15" i="71"/>
  <c r="R15" i="71"/>
  <c r="S15" i="71"/>
  <c r="T15" i="71"/>
  <c r="U15" i="71"/>
  <c r="V15" i="71"/>
  <c r="G16" i="71"/>
  <c r="H16" i="71"/>
  <c r="I16" i="71"/>
  <c r="J16" i="71"/>
  <c r="K16" i="71"/>
  <c r="L16" i="71"/>
  <c r="M16" i="71"/>
  <c r="N16" i="71"/>
  <c r="O16" i="71"/>
  <c r="P16" i="71"/>
  <c r="Q16" i="71"/>
  <c r="R16" i="71"/>
  <c r="S16" i="71"/>
  <c r="T16" i="71"/>
  <c r="U16" i="71"/>
  <c r="V16" i="71"/>
  <c r="G17" i="71"/>
  <c r="H17" i="71"/>
  <c r="I17" i="71"/>
  <c r="J17" i="71"/>
  <c r="K17" i="71"/>
  <c r="L17" i="71"/>
  <c r="M17" i="71"/>
  <c r="N17" i="71"/>
  <c r="O17" i="71"/>
  <c r="P17" i="71"/>
  <c r="Q17" i="71"/>
  <c r="R17" i="71"/>
  <c r="S17" i="71"/>
  <c r="T17" i="71"/>
  <c r="U17" i="71"/>
  <c r="V17" i="71"/>
  <c r="G18" i="71"/>
  <c r="H18" i="71"/>
  <c r="I18" i="71"/>
  <c r="J18" i="71"/>
  <c r="K18" i="71"/>
  <c r="L18" i="71"/>
  <c r="M18" i="71"/>
  <c r="N18" i="71"/>
  <c r="O18" i="71"/>
  <c r="P18" i="71"/>
  <c r="Q18" i="71"/>
  <c r="R18" i="71"/>
  <c r="S18" i="71"/>
  <c r="T18" i="71"/>
  <c r="U18" i="71"/>
  <c r="V18" i="71"/>
  <c r="G19" i="71"/>
  <c r="H19" i="71"/>
  <c r="I19" i="71"/>
  <c r="J19" i="71"/>
  <c r="K19" i="71"/>
  <c r="L19" i="71"/>
  <c r="M19" i="71"/>
  <c r="N19" i="71"/>
  <c r="O19" i="71"/>
  <c r="P19" i="71"/>
  <c r="Q19" i="71"/>
  <c r="R19" i="71"/>
  <c r="S19" i="71"/>
  <c r="T19" i="71"/>
  <c r="U19" i="71"/>
  <c r="V19" i="71"/>
  <c r="G20" i="71"/>
  <c r="H20" i="71"/>
  <c r="I20" i="71"/>
  <c r="J20" i="71"/>
  <c r="K20" i="71"/>
  <c r="L20" i="71"/>
  <c r="M20" i="71"/>
  <c r="N20" i="71"/>
  <c r="O20" i="71"/>
  <c r="P20" i="71"/>
  <c r="Q20" i="71"/>
  <c r="R20" i="71"/>
  <c r="S20" i="71"/>
  <c r="T20" i="71"/>
  <c r="U20" i="71"/>
  <c r="V20" i="71"/>
  <c r="G21" i="71"/>
  <c r="H21" i="71"/>
  <c r="I21" i="71"/>
  <c r="J21" i="71"/>
  <c r="K21" i="71"/>
  <c r="L21" i="71"/>
  <c r="M21" i="71"/>
  <c r="N21" i="71"/>
  <c r="O21" i="71"/>
  <c r="P21" i="71"/>
  <c r="Q21" i="71"/>
  <c r="R21" i="71"/>
  <c r="S21" i="71"/>
  <c r="T21" i="71"/>
  <c r="U21" i="71"/>
  <c r="V21" i="71"/>
  <c r="G22" i="71"/>
  <c r="H22" i="71"/>
  <c r="I22" i="71"/>
  <c r="J22" i="71"/>
  <c r="K22" i="71"/>
  <c r="L22" i="71"/>
  <c r="M22" i="71"/>
  <c r="N22" i="71"/>
  <c r="O22" i="71"/>
  <c r="P22" i="71"/>
  <c r="Q22" i="71"/>
  <c r="R22" i="71"/>
  <c r="S22" i="71"/>
  <c r="T22" i="71"/>
  <c r="U22" i="71"/>
  <c r="V22" i="71"/>
  <c r="G23" i="71"/>
  <c r="H23" i="71"/>
  <c r="I23" i="71"/>
  <c r="J23" i="71"/>
  <c r="K23" i="71"/>
  <c r="L23" i="71"/>
  <c r="M23" i="71"/>
  <c r="N23" i="71"/>
  <c r="O23" i="71"/>
  <c r="P23" i="71"/>
  <c r="Q23" i="71"/>
  <c r="R23" i="71"/>
  <c r="S23" i="71"/>
  <c r="T23" i="71"/>
  <c r="U23" i="71"/>
  <c r="V23" i="71"/>
  <c r="G24" i="71"/>
  <c r="H24" i="71"/>
  <c r="I24" i="71"/>
  <c r="J24" i="71"/>
  <c r="K24" i="71"/>
  <c r="L24" i="71"/>
  <c r="M24" i="71"/>
  <c r="N24" i="71"/>
  <c r="O24" i="71"/>
  <c r="P24" i="71"/>
  <c r="Q24" i="71"/>
  <c r="R24" i="71"/>
  <c r="S24" i="71"/>
  <c r="T24" i="71"/>
  <c r="U24" i="71"/>
  <c r="V24" i="71"/>
  <c r="G25" i="71"/>
  <c r="H25" i="71"/>
  <c r="I25" i="71"/>
  <c r="J25" i="71"/>
  <c r="K25" i="71"/>
  <c r="L25" i="71"/>
  <c r="M25" i="71"/>
  <c r="N25" i="71"/>
  <c r="O25" i="71"/>
  <c r="P25" i="71"/>
  <c r="Q25" i="71"/>
  <c r="R25" i="71"/>
  <c r="S25" i="71"/>
  <c r="T25" i="71"/>
  <c r="U25" i="71"/>
  <c r="V25" i="71"/>
  <c r="G26" i="71"/>
  <c r="H26" i="71"/>
  <c r="I26" i="71"/>
  <c r="J26" i="71"/>
  <c r="K26" i="71"/>
  <c r="L26" i="71"/>
  <c r="M26" i="71"/>
  <c r="N26" i="71"/>
  <c r="O26" i="71"/>
  <c r="P26" i="71"/>
  <c r="Q26" i="71"/>
  <c r="R26" i="71"/>
  <c r="S26" i="71"/>
  <c r="T26" i="71"/>
  <c r="U26" i="71"/>
  <c r="V26" i="71"/>
  <c r="G27" i="71"/>
  <c r="H27" i="71"/>
  <c r="I27" i="71"/>
  <c r="J27" i="71"/>
  <c r="K27" i="71"/>
  <c r="L27" i="71"/>
  <c r="M27" i="71"/>
  <c r="N27" i="71"/>
  <c r="O27" i="71"/>
  <c r="P27" i="71"/>
  <c r="Q27" i="71"/>
  <c r="R27" i="71"/>
  <c r="S27" i="71"/>
  <c r="T27" i="71"/>
  <c r="U27" i="71"/>
  <c r="V27" i="71"/>
  <c r="G28" i="71"/>
  <c r="H28" i="71"/>
  <c r="I28" i="71"/>
  <c r="J28" i="71"/>
  <c r="K28" i="71"/>
  <c r="L28" i="71"/>
  <c r="M28" i="71"/>
  <c r="N28" i="71"/>
  <c r="O28" i="71"/>
  <c r="P28" i="71"/>
  <c r="Q28" i="71"/>
  <c r="R28" i="71"/>
  <c r="S28" i="71"/>
  <c r="T28" i="71"/>
  <c r="U28" i="71"/>
  <c r="V28" i="71"/>
  <c r="G29" i="71"/>
  <c r="H29" i="71"/>
  <c r="I29" i="71"/>
  <c r="J29" i="71"/>
  <c r="K29" i="71"/>
  <c r="L29" i="71"/>
  <c r="M29" i="71"/>
  <c r="N29" i="71"/>
  <c r="O29" i="71"/>
  <c r="P29" i="71"/>
  <c r="Q29" i="71"/>
  <c r="R29" i="71"/>
  <c r="S29" i="71"/>
  <c r="T29" i="71"/>
  <c r="U29" i="71"/>
  <c r="V29" i="71"/>
  <c r="G30" i="71"/>
  <c r="H30" i="71"/>
  <c r="I30" i="71"/>
  <c r="J30" i="71"/>
  <c r="K30" i="71"/>
  <c r="L30" i="71"/>
  <c r="M30" i="71"/>
  <c r="N30" i="71"/>
  <c r="O30" i="71"/>
  <c r="P30" i="71"/>
  <c r="Q30" i="71"/>
  <c r="R30" i="71"/>
  <c r="S30" i="71"/>
  <c r="T30" i="71"/>
  <c r="U30" i="71"/>
  <c r="V30" i="71"/>
  <c r="G31" i="71"/>
  <c r="H31" i="71"/>
  <c r="I31" i="71"/>
  <c r="J31" i="71"/>
  <c r="K31" i="71"/>
  <c r="L31" i="71"/>
  <c r="M31" i="71"/>
  <c r="N31" i="71"/>
  <c r="O31" i="71"/>
  <c r="P31" i="71"/>
  <c r="Q31" i="71"/>
  <c r="R31" i="71"/>
  <c r="S31" i="71"/>
  <c r="T31" i="71"/>
  <c r="U31" i="71"/>
  <c r="V31" i="71"/>
  <c r="G32" i="71"/>
  <c r="H32" i="71"/>
  <c r="I32" i="71"/>
  <c r="J32" i="71"/>
  <c r="K32" i="71"/>
  <c r="L32" i="71"/>
  <c r="M32" i="71"/>
  <c r="N32" i="71"/>
  <c r="O32" i="71"/>
  <c r="P32" i="71"/>
  <c r="Q32" i="71"/>
  <c r="R32" i="71"/>
  <c r="S32" i="71"/>
  <c r="T32" i="71"/>
  <c r="U32" i="71"/>
  <c r="V32" i="71"/>
  <c r="G33" i="71"/>
  <c r="H33" i="71"/>
  <c r="I33" i="71"/>
  <c r="J33" i="71"/>
  <c r="K33" i="71"/>
  <c r="L33" i="71"/>
  <c r="M33" i="71"/>
  <c r="N33" i="71"/>
  <c r="O33" i="71"/>
  <c r="P33" i="71"/>
  <c r="Q33" i="71"/>
  <c r="R33" i="71"/>
  <c r="S33" i="71"/>
  <c r="T33" i="71"/>
  <c r="U33" i="71"/>
  <c r="V33" i="71"/>
  <c r="G34" i="71"/>
  <c r="H34" i="71"/>
  <c r="I34" i="71"/>
  <c r="J34" i="71"/>
  <c r="K34" i="71"/>
  <c r="L34" i="71"/>
  <c r="M34" i="71"/>
  <c r="N34" i="71"/>
  <c r="O34" i="71"/>
  <c r="P34" i="71"/>
  <c r="Q34" i="71"/>
  <c r="R34" i="71"/>
  <c r="S34" i="71"/>
  <c r="T34" i="71"/>
  <c r="U34" i="71"/>
  <c r="V34" i="71"/>
  <c r="G35" i="71"/>
  <c r="H35" i="71"/>
  <c r="I35" i="71"/>
  <c r="J35" i="71"/>
  <c r="K35" i="71"/>
  <c r="L35" i="71"/>
  <c r="M35" i="71"/>
  <c r="N35" i="71"/>
  <c r="O35" i="71"/>
  <c r="P35" i="71"/>
  <c r="Q35" i="71"/>
  <c r="R35" i="71"/>
  <c r="S35" i="71"/>
  <c r="T35" i="71"/>
  <c r="U35" i="71"/>
  <c r="V35" i="71"/>
  <c r="G36" i="71"/>
  <c r="H36" i="71"/>
  <c r="I36" i="71"/>
  <c r="J36" i="71"/>
  <c r="K36" i="71"/>
  <c r="L36" i="71"/>
  <c r="M36" i="71"/>
  <c r="N36" i="71"/>
  <c r="O36" i="71"/>
  <c r="P36" i="71"/>
  <c r="Q36" i="71"/>
  <c r="R36" i="71"/>
  <c r="S36" i="71"/>
  <c r="T36" i="71"/>
  <c r="U36" i="71"/>
  <c r="V36" i="71"/>
  <c r="G37" i="71"/>
  <c r="H37" i="71"/>
  <c r="I37" i="71"/>
  <c r="J37" i="71"/>
  <c r="K37" i="71"/>
  <c r="L37" i="71"/>
  <c r="M37" i="71"/>
  <c r="N37" i="71"/>
  <c r="O37" i="71"/>
  <c r="P37" i="71"/>
  <c r="Q37" i="71"/>
  <c r="R37" i="71"/>
  <c r="S37" i="71"/>
  <c r="T37" i="71"/>
  <c r="U37" i="71"/>
  <c r="V37" i="71"/>
  <c r="G38" i="71"/>
  <c r="H38" i="71"/>
  <c r="I38" i="71"/>
  <c r="J38" i="71"/>
  <c r="K38" i="71"/>
  <c r="L38" i="71"/>
  <c r="M38" i="71"/>
  <c r="N38" i="71"/>
  <c r="O38" i="71"/>
  <c r="P38" i="71"/>
  <c r="Q38" i="71"/>
  <c r="R38" i="71"/>
  <c r="S38" i="71"/>
  <c r="T38" i="71"/>
  <c r="U38" i="71"/>
  <c r="V38" i="71"/>
  <c r="G39" i="71"/>
  <c r="H39" i="71"/>
  <c r="I39" i="71"/>
  <c r="J39" i="71"/>
  <c r="K39" i="71"/>
  <c r="L39" i="71"/>
  <c r="M39" i="71"/>
  <c r="N39" i="71"/>
  <c r="O39" i="71"/>
  <c r="P39" i="71"/>
  <c r="Q39" i="71"/>
  <c r="R39" i="71"/>
  <c r="S39" i="71"/>
  <c r="T39" i="71"/>
  <c r="U39" i="71"/>
  <c r="V39" i="71"/>
  <c r="G40" i="71"/>
  <c r="H40" i="71"/>
  <c r="I40" i="71"/>
  <c r="J40" i="71"/>
  <c r="K40" i="71"/>
  <c r="L40" i="71"/>
  <c r="M40" i="71"/>
  <c r="N40" i="71"/>
  <c r="O40" i="71"/>
  <c r="P40" i="71"/>
  <c r="Q40" i="71"/>
  <c r="R40" i="71"/>
  <c r="S40" i="71"/>
  <c r="T40" i="71"/>
  <c r="U40" i="71"/>
  <c r="V40" i="71"/>
  <c r="G41" i="71"/>
  <c r="H41" i="71"/>
  <c r="I41" i="71"/>
  <c r="J41" i="71"/>
  <c r="K41" i="71"/>
  <c r="L41" i="71"/>
  <c r="M41" i="71"/>
  <c r="N41" i="71"/>
  <c r="O41" i="71"/>
  <c r="P41" i="71"/>
  <c r="Q41" i="71"/>
  <c r="R41" i="71"/>
  <c r="S41" i="71"/>
  <c r="T41" i="71"/>
  <c r="U41" i="71"/>
  <c r="V41" i="71"/>
  <c r="G42" i="71"/>
  <c r="H42" i="71"/>
  <c r="I42" i="71"/>
  <c r="J42" i="71"/>
  <c r="K42" i="71"/>
  <c r="L42" i="71"/>
  <c r="M42" i="71"/>
  <c r="N42" i="71"/>
  <c r="O42" i="71"/>
  <c r="P42" i="71"/>
  <c r="Q42" i="71"/>
  <c r="R42" i="71"/>
  <c r="S42" i="71"/>
  <c r="T42" i="71"/>
  <c r="U42" i="71"/>
  <c r="V42" i="71"/>
  <c r="G43" i="71"/>
  <c r="H43" i="71"/>
  <c r="I43" i="71"/>
  <c r="J43" i="71"/>
  <c r="K43" i="71"/>
  <c r="L43" i="71"/>
  <c r="M43" i="71"/>
  <c r="N43" i="71"/>
  <c r="O43" i="71"/>
  <c r="P43" i="71"/>
  <c r="Q43" i="71"/>
  <c r="R43" i="71"/>
  <c r="S43" i="71"/>
  <c r="T43" i="71"/>
  <c r="U43" i="71"/>
  <c r="V43" i="71"/>
  <c r="G44" i="71"/>
  <c r="H44" i="71"/>
  <c r="I44" i="71"/>
  <c r="J44" i="71"/>
  <c r="K44" i="71"/>
  <c r="L44" i="71"/>
  <c r="M44" i="71"/>
  <c r="N44" i="71"/>
  <c r="O44" i="71"/>
  <c r="P44" i="71"/>
  <c r="Q44" i="71"/>
  <c r="R44" i="71"/>
  <c r="S44" i="71"/>
  <c r="T44" i="71"/>
  <c r="U44" i="71"/>
  <c r="V44" i="71"/>
  <c r="G45" i="71"/>
  <c r="H45" i="71"/>
  <c r="I45" i="71"/>
  <c r="J45" i="71"/>
  <c r="K45" i="71"/>
  <c r="L45" i="71"/>
  <c r="M45" i="71"/>
  <c r="N45" i="71"/>
  <c r="O45" i="71"/>
  <c r="P45" i="71"/>
  <c r="Q45" i="71"/>
  <c r="R45" i="71"/>
  <c r="S45" i="71"/>
  <c r="T45" i="71"/>
  <c r="U45" i="71"/>
  <c r="V45" i="71"/>
  <c r="G46" i="71"/>
  <c r="H46" i="71"/>
  <c r="I46" i="71"/>
  <c r="J46" i="71"/>
  <c r="K46" i="71"/>
  <c r="L46" i="71"/>
  <c r="M46" i="71"/>
  <c r="N46" i="71"/>
  <c r="O46" i="71"/>
  <c r="P46" i="71"/>
  <c r="Q46" i="71"/>
  <c r="R46" i="71"/>
  <c r="S46" i="71"/>
  <c r="T46" i="71"/>
  <c r="U46" i="71"/>
  <c r="V46" i="71"/>
  <c r="V7" i="71"/>
  <c r="U7" i="71"/>
  <c r="T7" i="71"/>
  <c r="S7" i="71"/>
  <c r="R7" i="71"/>
  <c r="Q7" i="71"/>
  <c r="P7" i="71"/>
  <c r="O7" i="71"/>
  <c r="N7" i="71"/>
  <c r="M7" i="71"/>
  <c r="L7" i="71"/>
  <c r="K7" i="71"/>
  <c r="J7" i="71"/>
  <c r="I7" i="71"/>
  <c r="H7" i="71"/>
  <c r="G7" i="71"/>
  <c r="F8" i="71"/>
  <c r="F9" i="71"/>
  <c r="F10" i="71"/>
  <c r="F11" i="71"/>
  <c r="F12" i="71"/>
  <c r="F13" i="71"/>
  <c r="F14" i="71"/>
  <c r="F15" i="71"/>
  <c r="F16" i="71"/>
  <c r="F17" i="71"/>
  <c r="F18" i="71"/>
  <c r="F19" i="71"/>
  <c r="F20" i="71"/>
  <c r="F21" i="71"/>
  <c r="F22" i="71"/>
  <c r="F23" i="71"/>
  <c r="F24" i="71"/>
  <c r="F25" i="71"/>
  <c r="F26" i="71"/>
  <c r="F27" i="71"/>
  <c r="F28" i="71"/>
  <c r="F29" i="71"/>
  <c r="F30" i="71"/>
  <c r="F31" i="71"/>
  <c r="F32" i="71"/>
  <c r="F33" i="71"/>
  <c r="F34" i="71"/>
  <c r="F35" i="71"/>
  <c r="F36" i="71"/>
  <c r="F37" i="71"/>
  <c r="F38" i="71"/>
  <c r="F39" i="71"/>
  <c r="F40" i="71"/>
  <c r="F41" i="71"/>
  <c r="F42" i="71"/>
  <c r="F43" i="71"/>
  <c r="F44" i="71"/>
  <c r="F45" i="71"/>
  <c r="F46" i="71"/>
  <c r="F7" i="71"/>
  <c r="E8" i="71"/>
  <c r="E9" i="71"/>
  <c r="E10" i="71"/>
  <c r="E11" i="71"/>
  <c r="E12" i="71"/>
  <c r="E13" i="71"/>
  <c r="E14" i="71"/>
  <c r="E15" i="71"/>
  <c r="E16" i="71"/>
  <c r="E17" i="71"/>
  <c r="E18" i="71"/>
  <c r="E19" i="71"/>
  <c r="E20" i="71"/>
  <c r="E21" i="71"/>
  <c r="E22" i="71"/>
  <c r="E23" i="71"/>
  <c r="E24" i="71"/>
  <c r="E25" i="71"/>
  <c r="E26" i="71"/>
  <c r="E27" i="71"/>
  <c r="E28" i="71"/>
  <c r="E29" i="71"/>
  <c r="E30" i="71"/>
  <c r="E31" i="71"/>
  <c r="E32" i="71"/>
  <c r="E33" i="71"/>
  <c r="E34" i="71"/>
  <c r="E35" i="71"/>
  <c r="E36" i="71"/>
  <c r="E37" i="71"/>
  <c r="E38" i="71"/>
  <c r="E39" i="71"/>
  <c r="E40" i="71"/>
  <c r="E41" i="71"/>
  <c r="E42" i="71"/>
  <c r="E43" i="71"/>
  <c r="E44" i="71"/>
  <c r="E45" i="71"/>
  <c r="E46" i="71"/>
  <c r="E7" i="71"/>
  <c r="D8" i="71"/>
  <c r="D9" i="71"/>
  <c r="D10" i="71"/>
  <c r="D11" i="71"/>
  <c r="D12" i="71"/>
  <c r="D13" i="71"/>
  <c r="D14" i="71"/>
  <c r="D15" i="71"/>
  <c r="D16" i="71"/>
  <c r="D17" i="71"/>
  <c r="D18" i="71"/>
  <c r="D19" i="71"/>
  <c r="D20" i="71"/>
  <c r="D21" i="71"/>
  <c r="D22" i="71"/>
  <c r="D23" i="71"/>
  <c r="D24" i="71"/>
  <c r="D25" i="71"/>
  <c r="D26" i="71"/>
  <c r="D27" i="71"/>
  <c r="D28" i="71"/>
  <c r="D29" i="71"/>
  <c r="D30" i="71"/>
  <c r="D31" i="71"/>
  <c r="D32" i="71"/>
  <c r="D33" i="71"/>
  <c r="D34" i="71"/>
  <c r="D35" i="71"/>
  <c r="D36" i="71"/>
  <c r="D37" i="71"/>
  <c r="D38" i="71"/>
  <c r="D39" i="71"/>
  <c r="D40" i="71"/>
  <c r="D41" i="71"/>
  <c r="D42" i="71"/>
  <c r="D43" i="71"/>
  <c r="D44" i="71"/>
  <c r="D45" i="71"/>
  <c r="D46" i="71"/>
  <c r="D7"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8" i="71"/>
  <c r="C9" i="71"/>
  <c r="C10" i="71"/>
  <c r="C7" i="71"/>
  <c r="F44" i="7"/>
  <c r="I39" i="7"/>
  <c r="F70" i="7"/>
  <c r="W37" i="71" l="1"/>
  <c r="W38" i="71"/>
  <c r="W36" i="71"/>
  <c r="W35" i="71"/>
  <c r="W34" i="71"/>
  <c r="W7" i="71"/>
  <c r="W33" i="71"/>
  <c r="W31" i="71"/>
  <c r="W30" i="71"/>
  <c r="W29" i="71"/>
  <c r="W27" i="71"/>
  <c r="W26" i="71"/>
  <c r="W25" i="71"/>
  <c r="W24" i="71"/>
  <c r="W23" i="71"/>
  <c r="W22" i="71"/>
  <c r="W21" i="71"/>
  <c r="W20" i="71"/>
  <c r="W19" i="71"/>
  <c r="W18" i="71"/>
  <c r="W17" i="71"/>
  <c r="W16" i="71"/>
  <c r="W14" i="71"/>
  <c r="W13" i="71"/>
  <c r="W12" i="71"/>
  <c r="W11" i="71"/>
  <c r="W10" i="71"/>
  <c r="W9" i="71"/>
  <c r="W8" i="71"/>
  <c r="W28" i="71"/>
  <c r="W32" i="71"/>
  <c r="W15" i="71"/>
  <c r="B4" i="73"/>
  <c r="X34" i="71" l="1"/>
  <c r="X10" i="71"/>
  <c r="X23" i="71"/>
  <c r="X18" i="71"/>
  <c r="X8" i="71"/>
  <c r="X31" i="71"/>
  <c r="X28" i="71"/>
  <c r="X37" i="71"/>
  <c r="X24" i="71"/>
  <c r="X32" i="71"/>
  <c r="X36" i="71"/>
  <c r="X38" i="71"/>
  <c r="X15" i="71"/>
  <c r="X7" i="71"/>
  <c r="X16" i="71"/>
  <c r="X26" i="71"/>
  <c r="X35" i="71"/>
  <c r="X19" i="71"/>
  <c r="X27" i="71"/>
  <c r="X12" i="71"/>
  <c r="X13" i="71"/>
  <c r="X21" i="71"/>
  <c r="X29" i="71"/>
  <c r="X14" i="71"/>
  <c r="X22" i="71"/>
  <c r="X30" i="71"/>
  <c r="X9" i="71"/>
  <c r="X17" i="71"/>
  <c r="X25" i="71"/>
  <c r="X33" i="71"/>
  <c r="X11" i="71"/>
  <c r="X20" i="71"/>
  <c r="J44" i="7"/>
  <c r="J43" i="7"/>
  <c r="I43" i="7"/>
  <c r="H43" i="7"/>
  <c r="G43" i="7"/>
  <c r="F43" i="7"/>
  <c r="G44" i="7" l="1"/>
  <c r="I44" i="7"/>
  <c r="H44" i="7"/>
  <c r="F105" i="7"/>
  <c r="F104" i="7"/>
  <c r="F103" i="7"/>
  <c r="F102" i="7"/>
  <c r="F99" i="7"/>
  <c r="F98" i="7"/>
  <c r="F97" i="7"/>
  <c r="F96" i="7"/>
  <c r="F95" i="7"/>
  <c r="F94" i="7"/>
  <c r="F93" i="7"/>
  <c r="F92" i="7"/>
  <c r="F89" i="7"/>
  <c r="F88" i="7"/>
  <c r="F87" i="7"/>
  <c r="F86" i="7"/>
  <c r="F76" i="7"/>
  <c r="F75" i="7"/>
  <c r="F74" i="7"/>
  <c r="F73" i="7"/>
  <c r="F71" i="7"/>
  <c r="F69" i="7"/>
  <c r="F68" i="7"/>
  <c r="F67" i="7"/>
  <c r="F66" i="7"/>
  <c r="F65" i="7"/>
  <c r="F64" i="7"/>
  <c r="F63" i="7"/>
  <c r="F62" i="7"/>
  <c r="F61" i="7"/>
  <c r="F60" i="7"/>
  <c r="J40" i="7"/>
  <c r="I40" i="7"/>
  <c r="H40" i="7"/>
  <c r="G40" i="7"/>
  <c r="J39" i="7"/>
  <c r="H39" i="7"/>
  <c r="G39" i="7"/>
  <c r="J38" i="7"/>
  <c r="I38" i="7"/>
  <c r="H38" i="7"/>
  <c r="G38" i="7"/>
  <c r="J37" i="7"/>
  <c r="I37" i="7"/>
  <c r="H37" i="7"/>
  <c r="G37" i="7"/>
  <c r="J34" i="7"/>
  <c r="I34" i="7"/>
  <c r="H34" i="7"/>
  <c r="G34" i="7"/>
  <c r="J33" i="7"/>
  <c r="I33" i="7"/>
  <c r="H33" i="7"/>
  <c r="G33" i="7"/>
  <c r="J32" i="7"/>
  <c r="I32" i="7"/>
  <c r="H32" i="7"/>
  <c r="G32" i="7"/>
  <c r="J31" i="7"/>
  <c r="I31" i="7"/>
  <c r="H31" i="7"/>
  <c r="G31" i="7"/>
  <c r="J29" i="7"/>
  <c r="I29" i="7"/>
  <c r="H29" i="7"/>
  <c r="G29" i="7"/>
  <c r="J28" i="7"/>
  <c r="I28" i="7"/>
  <c r="H28" i="7"/>
  <c r="G28" i="7"/>
  <c r="J27" i="7"/>
  <c r="I27" i="7"/>
  <c r="H27" i="7"/>
  <c r="G27" i="7"/>
  <c r="J26" i="7"/>
  <c r="I26" i="7"/>
  <c r="H26" i="7"/>
  <c r="G26" i="7"/>
  <c r="J25" i="7"/>
  <c r="I25" i="7"/>
  <c r="H25" i="7"/>
  <c r="G25" i="7"/>
  <c r="J24" i="7"/>
  <c r="I24" i="7"/>
  <c r="H24" i="7"/>
  <c r="G24" i="7"/>
  <c r="F80" i="73" l="1"/>
  <c r="E80" i="73"/>
  <c r="F79" i="73"/>
  <c r="E79" i="73"/>
  <c r="F75" i="73"/>
  <c r="D6" i="73"/>
  <c r="B3" i="73"/>
  <c r="C2" i="72" l="1"/>
  <c r="D46" i="72" l="1"/>
  <c r="C46" i="72"/>
  <c r="B46" i="72"/>
  <c r="D45" i="72"/>
  <c r="C45" i="72"/>
  <c r="B45" i="72"/>
  <c r="D44" i="72"/>
  <c r="C44" i="72"/>
  <c r="B44" i="72"/>
  <c r="D43" i="72"/>
  <c r="C43" i="72"/>
  <c r="B43" i="72"/>
  <c r="D42" i="72"/>
  <c r="C42" i="72"/>
  <c r="B42" i="72"/>
  <c r="D41" i="72"/>
  <c r="C41" i="72"/>
  <c r="B41" i="72"/>
  <c r="D40" i="72"/>
  <c r="C40" i="72"/>
  <c r="B40" i="72"/>
  <c r="D39" i="72"/>
  <c r="C39" i="72"/>
  <c r="B39" i="72"/>
  <c r="D38" i="72"/>
  <c r="C38" i="72"/>
  <c r="B38" i="72"/>
  <c r="D37" i="72"/>
  <c r="C37" i="72"/>
  <c r="B37" i="72"/>
  <c r="D36" i="72"/>
  <c r="C36" i="72"/>
  <c r="B36" i="72"/>
  <c r="D35" i="72"/>
  <c r="C35" i="72"/>
  <c r="B35" i="72"/>
  <c r="D34" i="72"/>
  <c r="C34" i="72"/>
  <c r="B34" i="72"/>
  <c r="D33" i="72"/>
  <c r="C33" i="72"/>
  <c r="B33" i="72"/>
  <c r="D32" i="72"/>
  <c r="C32" i="72"/>
  <c r="B32" i="72"/>
  <c r="D31" i="72"/>
  <c r="C31" i="72"/>
  <c r="B31" i="72"/>
  <c r="D30" i="72"/>
  <c r="C30" i="72"/>
  <c r="B30" i="72"/>
  <c r="D29" i="72"/>
  <c r="C29" i="72"/>
  <c r="B29" i="72"/>
  <c r="D28" i="72"/>
  <c r="C28" i="72"/>
  <c r="B28" i="72"/>
  <c r="D27" i="72"/>
  <c r="C27" i="72"/>
  <c r="B27" i="72"/>
  <c r="D26" i="72"/>
  <c r="C26" i="72"/>
  <c r="B26" i="72"/>
  <c r="D25" i="72"/>
  <c r="C25" i="72"/>
  <c r="B25" i="72"/>
  <c r="D24" i="72"/>
  <c r="C24" i="72"/>
  <c r="B24" i="72"/>
  <c r="D23" i="72"/>
  <c r="C23" i="72"/>
  <c r="B23" i="72"/>
  <c r="D22" i="72"/>
  <c r="C22" i="72"/>
  <c r="B22" i="72"/>
  <c r="D21" i="72"/>
  <c r="C21" i="72"/>
  <c r="B21" i="72"/>
  <c r="D20" i="72"/>
  <c r="C20" i="72"/>
  <c r="B20" i="72"/>
  <c r="D19" i="72"/>
  <c r="C19" i="72"/>
  <c r="B19" i="72"/>
  <c r="D18" i="72"/>
  <c r="C18" i="72"/>
  <c r="B18" i="72"/>
  <c r="D17" i="72"/>
  <c r="C17" i="72"/>
  <c r="B17" i="72"/>
  <c r="D16" i="72"/>
  <c r="C16" i="72"/>
  <c r="B16" i="72"/>
  <c r="D15" i="72"/>
  <c r="C15" i="72"/>
  <c r="B15" i="72"/>
  <c r="D14" i="72"/>
  <c r="C14" i="72"/>
  <c r="B14" i="72"/>
  <c r="D13" i="72"/>
  <c r="C13" i="72"/>
  <c r="B13" i="72"/>
  <c r="D12" i="72"/>
  <c r="C12" i="72"/>
  <c r="B12" i="72"/>
  <c r="D11" i="72"/>
  <c r="C11" i="72"/>
  <c r="B11" i="72"/>
  <c r="D10" i="72"/>
  <c r="C10" i="72"/>
  <c r="B10" i="72"/>
  <c r="D9" i="72"/>
  <c r="C9" i="72"/>
  <c r="B9" i="72"/>
  <c r="D8" i="72"/>
  <c r="C8" i="72"/>
  <c r="B8" i="72"/>
  <c r="D7" i="72"/>
  <c r="C7" i="72"/>
  <c r="B7" i="72"/>
  <c r="C2" i="71"/>
  <c r="B46" i="71"/>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D29" i="4"/>
  <c r="D28" i="4"/>
  <c r="D30" i="4"/>
  <c r="D27" i="4"/>
  <c r="F9" i="65"/>
  <c r="U8" i="72" l="1"/>
  <c r="W38" i="72"/>
  <c r="G38" i="72"/>
  <c r="I38" i="72"/>
  <c r="K38" i="72"/>
  <c r="M38" i="72"/>
  <c r="O38" i="72"/>
  <c r="Q38" i="72"/>
  <c r="S38" i="72"/>
  <c r="V38" i="72"/>
  <c r="F38" i="72"/>
  <c r="E38" i="72"/>
  <c r="H38" i="72"/>
  <c r="J38" i="72"/>
  <c r="L38" i="72"/>
  <c r="N38" i="72"/>
  <c r="P38" i="72"/>
  <c r="R38" i="72"/>
  <c r="T38" i="72"/>
  <c r="X40" i="72"/>
  <c r="W40" i="72"/>
  <c r="G40" i="72"/>
  <c r="I40" i="72"/>
  <c r="K40" i="72"/>
  <c r="M40" i="72"/>
  <c r="O40" i="72"/>
  <c r="Q40" i="72"/>
  <c r="S40" i="72"/>
  <c r="V40" i="72"/>
  <c r="F40" i="72"/>
  <c r="E40" i="72"/>
  <c r="H40" i="72"/>
  <c r="J40" i="72"/>
  <c r="L40" i="72"/>
  <c r="N40" i="72"/>
  <c r="P40" i="72"/>
  <c r="R40" i="72"/>
  <c r="T40" i="72"/>
  <c r="X42" i="72"/>
  <c r="W42" i="72"/>
  <c r="G42" i="72"/>
  <c r="I42" i="72"/>
  <c r="K42" i="72"/>
  <c r="M42" i="72"/>
  <c r="O42" i="72"/>
  <c r="Q42" i="72"/>
  <c r="S42" i="72"/>
  <c r="V42" i="72"/>
  <c r="F42" i="72"/>
  <c r="E42" i="72"/>
  <c r="H42" i="72"/>
  <c r="J42" i="72"/>
  <c r="L42" i="72"/>
  <c r="N42" i="72"/>
  <c r="P42" i="72"/>
  <c r="R42" i="72"/>
  <c r="T42" i="72"/>
  <c r="X44" i="72"/>
  <c r="W44" i="72"/>
  <c r="G44" i="72"/>
  <c r="I44" i="72"/>
  <c r="K44" i="72"/>
  <c r="M44" i="72"/>
  <c r="O44" i="72"/>
  <c r="Q44" i="72"/>
  <c r="S44" i="72"/>
  <c r="V44" i="72"/>
  <c r="F44" i="72"/>
  <c r="E44" i="72"/>
  <c r="H44" i="72"/>
  <c r="J44" i="72"/>
  <c r="L44" i="72"/>
  <c r="N44" i="72"/>
  <c r="P44" i="72"/>
  <c r="R44" i="72"/>
  <c r="T44" i="72"/>
  <c r="X46" i="72"/>
  <c r="W46" i="72"/>
  <c r="G46" i="72"/>
  <c r="I46" i="72"/>
  <c r="K46" i="72"/>
  <c r="M46" i="72"/>
  <c r="O46" i="72"/>
  <c r="Q46" i="72"/>
  <c r="S46" i="72"/>
  <c r="V46" i="72"/>
  <c r="F46" i="72"/>
  <c r="E46" i="72"/>
  <c r="J46" i="72"/>
  <c r="N46" i="72"/>
  <c r="R46" i="72"/>
  <c r="H46" i="72"/>
  <c r="L46" i="72"/>
  <c r="P46" i="72"/>
  <c r="T46" i="72"/>
  <c r="U10" i="72"/>
  <c r="U12" i="72"/>
  <c r="U14" i="72"/>
  <c r="U16" i="72"/>
  <c r="U18" i="72"/>
  <c r="U20" i="72"/>
  <c r="U22" i="72"/>
  <c r="U24" i="72"/>
  <c r="U26" i="72"/>
  <c r="U28" i="72"/>
  <c r="U30" i="72"/>
  <c r="U32" i="72"/>
  <c r="U34" i="72"/>
  <c r="U36" i="72"/>
  <c r="U38" i="72"/>
  <c r="U40" i="72"/>
  <c r="U42" i="72"/>
  <c r="U44" i="72"/>
  <c r="U46" i="72"/>
  <c r="H37" i="72"/>
  <c r="J37" i="72"/>
  <c r="L37" i="72"/>
  <c r="N37" i="72"/>
  <c r="P37" i="72"/>
  <c r="R37" i="72"/>
  <c r="T37" i="72"/>
  <c r="F37" i="72"/>
  <c r="W37" i="72"/>
  <c r="G37" i="72"/>
  <c r="I37" i="72"/>
  <c r="K37" i="72"/>
  <c r="M37" i="72"/>
  <c r="O37" i="72"/>
  <c r="Q37" i="72"/>
  <c r="S37" i="72"/>
  <c r="V37" i="72"/>
  <c r="E37" i="72"/>
  <c r="H39" i="72"/>
  <c r="J39" i="72"/>
  <c r="L39" i="72"/>
  <c r="N39" i="72"/>
  <c r="P39" i="72"/>
  <c r="R39" i="72"/>
  <c r="T39" i="72"/>
  <c r="E39" i="72"/>
  <c r="X39" i="72"/>
  <c r="W39" i="72"/>
  <c r="G39" i="72"/>
  <c r="I39" i="72"/>
  <c r="K39" i="72"/>
  <c r="M39" i="72"/>
  <c r="O39" i="72"/>
  <c r="Q39" i="72"/>
  <c r="S39" i="72"/>
  <c r="V39" i="72"/>
  <c r="F39" i="72"/>
  <c r="H41" i="72"/>
  <c r="J41" i="72"/>
  <c r="L41" i="72"/>
  <c r="N41" i="72"/>
  <c r="P41" i="72"/>
  <c r="R41" i="72"/>
  <c r="T41" i="72"/>
  <c r="F41" i="72"/>
  <c r="X41" i="72"/>
  <c r="W41" i="72"/>
  <c r="G41" i="72"/>
  <c r="I41" i="72"/>
  <c r="K41" i="72"/>
  <c r="M41" i="72"/>
  <c r="O41" i="72"/>
  <c r="Q41" i="72"/>
  <c r="S41" i="72"/>
  <c r="V41" i="72"/>
  <c r="E41" i="72"/>
  <c r="H43" i="72"/>
  <c r="J43" i="72"/>
  <c r="L43" i="72"/>
  <c r="N43" i="72"/>
  <c r="P43" i="72"/>
  <c r="R43" i="72"/>
  <c r="T43" i="72"/>
  <c r="E43" i="72"/>
  <c r="X43" i="72"/>
  <c r="W43" i="72"/>
  <c r="G43" i="72"/>
  <c r="I43" i="72"/>
  <c r="K43" i="72"/>
  <c r="M43" i="72"/>
  <c r="O43" i="72"/>
  <c r="Q43" i="72"/>
  <c r="S43" i="72"/>
  <c r="V43" i="72"/>
  <c r="F43" i="72"/>
  <c r="H45" i="72"/>
  <c r="J45" i="72"/>
  <c r="L45" i="72"/>
  <c r="N45" i="72"/>
  <c r="P45" i="72"/>
  <c r="R45" i="72"/>
  <c r="T45" i="72"/>
  <c r="G45" i="72"/>
  <c r="K45" i="72"/>
  <c r="O45" i="72"/>
  <c r="V45" i="72"/>
  <c r="F45" i="72"/>
  <c r="X45" i="72"/>
  <c r="W45" i="72"/>
  <c r="I45" i="72"/>
  <c r="M45" i="72"/>
  <c r="Q45" i="72"/>
  <c r="S45" i="72"/>
  <c r="E45" i="72"/>
  <c r="U7" i="72"/>
  <c r="U9" i="72"/>
  <c r="U11" i="72"/>
  <c r="U13" i="72"/>
  <c r="U15" i="72"/>
  <c r="U17" i="72"/>
  <c r="U19" i="72"/>
  <c r="U21" i="72"/>
  <c r="U23" i="72"/>
  <c r="U25" i="72"/>
  <c r="U27" i="72"/>
  <c r="U29" i="72"/>
  <c r="U31" i="72"/>
  <c r="U33" i="72"/>
  <c r="U35" i="72"/>
  <c r="U37" i="72"/>
  <c r="U39" i="72"/>
  <c r="U41" i="72"/>
  <c r="U43" i="72"/>
  <c r="U45" i="72"/>
  <c r="H8" i="72"/>
  <c r="J8" i="72"/>
  <c r="L8" i="72"/>
  <c r="N8" i="72"/>
  <c r="P8" i="72"/>
  <c r="R8" i="72"/>
  <c r="T8" i="72"/>
  <c r="W8" i="72"/>
  <c r="G8" i="72"/>
  <c r="I8" i="72"/>
  <c r="K8" i="72"/>
  <c r="M8" i="72"/>
  <c r="O8" i="72"/>
  <c r="Q8" i="72"/>
  <c r="S8" i="72"/>
  <c r="V8" i="72"/>
  <c r="F8" i="72"/>
  <c r="E8" i="72"/>
  <c r="H10" i="72"/>
  <c r="J10" i="72"/>
  <c r="L10" i="72"/>
  <c r="N10" i="72"/>
  <c r="P10" i="72"/>
  <c r="R10" i="72"/>
  <c r="T10" i="72"/>
  <c r="W10" i="72"/>
  <c r="G10" i="72"/>
  <c r="I10" i="72"/>
  <c r="K10" i="72"/>
  <c r="M10" i="72"/>
  <c r="O10" i="72"/>
  <c r="Q10" i="72"/>
  <c r="S10" i="72"/>
  <c r="V10" i="72"/>
  <c r="F10" i="72"/>
  <c r="E10" i="72"/>
  <c r="H12" i="72"/>
  <c r="J12" i="72"/>
  <c r="L12" i="72"/>
  <c r="N12" i="72"/>
  <c r="P12" i="72"/>
  <c r="R12" i="72"/>
  <c r="T12" i="72"/>
  <c r="W12" i="72"/>
  <c r="G12" i="72"/>
  <c r="I12" i="72"/>
  <c r="K12" i="72"/>
  <c r="M12" i="72"/>
  <c r="O12" i="72"/>
  <c r="Q12" i="72"/>
  <c r="S12" i="72"/>
  <c r="V12" i="72"/>
  <c r="F12" i="72"/>
  <c r="E12" i="72"/>
  <c r="H14" i="72"/>
  <c r="J14" i="72"/>
  <c r="L14" i="72"/>
  <c r="N14" i="72"/>
  <c r="P14" i="72"/>
  <c r="R14" i="72"/>
  <c r="T14" i="72"/>
  <c r="W14" i="72"/>
  <c r="G14" i="72"/>
  <c r="I14" i="72"/>
  <c r="K14" i="72"/>
  <c r="M14" i="72"/>
  <c r="O14" i="72"/>
  <c r="Q14" i="72"/>
  <c r="S14" i="72"/>
  <c r="V14" i="72"/>
  <c r="F14" i="72"/>
  <c r="E14" i="72"/>
  <c r="H16" i="72"/>
  <c r="J16" i="72"/>
  <c r="L16" i="72"/>
  <c r="N16" i="72"/>
  <c r="P16" i="72"/>
  <c r="R16" i="72"/>
  <c r="T16" i="72"/>
  <c r="W16" i="72"/>
  <c r="G16" i="72"/>
  <c r="I16" i="72"/>
  <c r="K16" i="72"/>
  <c r="M16" i="72"/>
  <c r="O16" i="72"/>
  <c r="Q16" i="72"/>
  <c r="S16" i="72"/>
  <c r="V16" i="72"/>
  <c r="F16" i="72"/>
  <c r="E16" i="72"/>
  <c r="H18" i="72"/>
  <c r="J18" i="72"/>
  <c r="L18" i="72"/>
  <c r="N18" i="72"/>
  <c r="P18" i="72"/>
  <c r="R18" i="72"/>
  <c r="T18" i="72"/>
  <c r="W18" i="72"/>
  <c r="G18" i="72"/>
  <c r="I18" i="72"/>
  <c r="K18" i="72"/>
  <c r="M18" i="72"/>
  <c r="O18" i="72"/>
  <c r="Q18" i="72"/>
  <c r="S18" i="72"/>
  <c r="V18" i="72"/>
  <c r="F18" i="72"/>
  <c r="E18" i="72"/>
  <c r="H20" i="72"/>
  <c r="J20" i="72"/>
  <c r="L20" i="72"/>
  <c r="N20" i="72"/>
  <c r="P20" i="72"/>
  <c r="R20" i="72"/>
  <c r="T20" i="72"/>
  <c r="W20" i="72"/>
  <c r="G20" i="72"/>
  <c r="I20" i="72"/>
  <c r="K20" i="72"/>
  <c r="M20" i="72"/>
  <c r="O20" i="72"/>
  <c r="Q20" i="72"/>
  <c r="S20" i="72"/>
  <c r="V20" i="72"/>
  <c r="F20" i="72"/>
  <c r="E20" i="72"/>
  <c r="H22" i="72"/>
  <c r="J22" i="72"/>
  <c r="L22" i="72"/>
  <c r="N22" i="72"/>
  <c r="P22" i="72"/>
  <c r="R22" i="72"/>
  <c r="T22" i="72"/>
  <c r="W22" i="72"/>
  <c r="G22" i="72"/>
  <c r="I22" i="72"/>
  <c r="K22" i="72"/>
  <c r="M22" i="72"/>
  <c r="O22" i="72"/>
  <c r="Q22" i="72"/>
  <c r="S22" i="72"/>
  <c r="V22" i="72"/>
  <c r="F22" i="72"/>
  <c r="E22" i="72"/>
  <c r="H24" i="72"/>
  <c r="J24" i="72"/>
  <c r="L24" i="72"/>
  <c r="N24" i="72"/>
  <c r="P24" i="72"/>
  <c r="R24" i="72"/>
  <c r="T24" i="72"/>
  <c r="W24" i="72"/>
  <c r="G24" i="72"/>
  <c r="I24" i="72"/>
  <c r="K24" i="72"/>
  <c r="M24" i="72"/>
  <c r="O24" i="72"/>
  <c r="Q24" i="72"/>
  <c r="S24" i="72"/>
  <c r="V24" i="72"/>
  <c r="F24" i="72"/>
  <c r="E24" i="72"/>
  <c r="H26" i="72"/>
  <c r="J26" i="72"/>
  <c r="L26" i="72"/>
  <c r="N26" i="72"/>
  <c r="P26" i="72"/>
  <c r="R26" i="72"/>
  <c r="T26" i="72"/>
  <c r="W26" i="72"/>
  <c r="G26" i="72"/>
  <c r="I26" i="72"/>
  <c r="K26" i="72"/>
  <c r="M26" i="72"/>
  <c r="O26" i="72"/>
  <c r="Q26" i="72"/>
  <c r="S26" i="72"/>
  <c r="V26" i="72"/>
  <c r="F26" i="72"/>
  <c r="E26" i="72"/>
  <c r="H28" i="72"/>
  <c r="J28" i="72"/>
  <c r="L28" i="72"/>
  <c r="N28" i="72"/>
  <c r="P28" i="72"/>
  <c r="R28" i="72"/>
  <c r="T28" i="72"/>
  <c r="W28" i="72"/>
  <c r="G28" i="72"/>
  <c r="I28" i="72"/>
  <c r="K28" i="72"/>
  <c r="M28" i="72"/>
  <c r="O28" i="72"/>
  <c r="Q28" i="72"/>
  <c r="S28" i="72"/>
  <c r="V28" i="72"/>
  <c r="F28" i="72"/>
  <c r="E28" i="72"/>
  <c r="H30" i="72"/>
  <c r="J30" i="72"/>
  <c r="L30" i="72"/>
  <c r="N30" i="72"/>
  <c r="P30" i="72"/>
  <c r="R30" i="72"/>
  <c r="T30" i="72"/>
  <c r="W30" i="72"/>
  <c r="G30" i="72"/>
  <c r="I30" i="72"/>
  <c r="K30" i="72"/>
  <c r="M30" i="72"/>
  <c r="O30" i="72"/>
  <c r="Q30" i="72"/>
  <c r="S30" i="72"/>
  <c r="V30" i="72"/>
  <c r="F30" i="72"/>
  <c r="E30" i="72"/>
  <c r="H32" i="72"/>
  <c r="J32" i="72"/>
  <c r="L32" i="72"/>
  <c r="N32" i="72"/>
  <c r="P32" i="72"/>
  <c r="R32" i="72"/>
  <c r="T32" i="72"/>
  <c r="W32" i="72"/>
  <c r="G32" i="72"/>
  <c r="I32" i="72"/>
  <c r="K32" i="72"/>
  <c r="M32" i="72"/>
  <c r="O32" i="72"/>
  <c r="Q32" i="72"/>
  <c r="S32" i="72"/>
  <c r="V32" i="72"/>
  <c r="F32" i="72"/>
  <c r="E32" i="72"/>
  <c r="H34" i="72"/>
  <c r="J34" i="72"/>
  <c r="L34" i="72"/>
  <c r="N34" i="72"/>
  <c r="P34" i="72"/>
  <c r="R34" i="72"/>
  <c r="T34" i="72"/>
  <c r="W34" i="72"/>
  <c r="G34" i="72"/>
  <c r="I34" i="72"/>
  <c r="K34" i="72"/>
  <c r="M34" i="72"/>
  <c r="O34" i="72"/>
  <c r="Q34" i="72"/>
  <c r="S34" i="72"/>
  <c r="V34" i="72"/>
  <c r="F34" i="72"/>
  <c r="E34" i="72"/>
  <c r="H36" i="72"/>
  <c r="J36" i="72"/>
  <c r="L36" i="72"/>
  <c r="N36" i="72"/>
  <c r="P36" i="72"/>
  <c r="R36" i="72"/>
  <c r="T36" i="72"/>
  <c r="W36" i="72"/>
  <c r="G36" i="72"/>
  <c r="I36" i="72"/>
  <c r="K36" i="72"/>
  <c r="M36" i="72"/>
  <c r="O36" i="72"/>
  <c r="Q36" i="72"/>
  <c r="S36" i="72"/>
  <c r="V36" i="72"/>
  <c r="F36" i="72"/>
  <c r="E36" i="72"/>
  <c r="V7" i="72"/>
  <c r="H7" i="72"/>
  <c r="W7" i="72"/>
  <c r="I7" i="72"/>
  <c r="K7" i="72"/>
  <c r="M7" i="72"/>
  <c r="O7" i="72"/>
  <c r="Q7" i="72"/>
  <c r="S7" i="72"/>
  <c r="G7" i="72"/>
  <c r="L7" i="72"/>
  <c r="P7" i="72"/>
  <c r="T7" i="72"/>
  <c r="E7" i="72"/>
  <c r="J7" i="72"/>
  <c r="N7" i="72"/>
  <c r="R7" i="72"/>
  <c r="F7" i="72"/>
  <c r="W9" i="72"/>
  <c r="G9" i="72"/>
  <c r="I9" i="72"/>
  <c r="K9" i="72"/>
  <c r="M9" i="72"/>
  <c r="O9" i="72"/>
  <c r="Q9" i="72"/>
  <c r="S9" i="72"/>
  <c r="V9" i="72"/>
  <c r="H9" i="72"/>
  <c r="J9" i="72"/>
  <c r="L9" i="72"/>
  <c r="N9" i="72"/>
  <c r="P9" i="72"/>
  <c r="R9" i="72"/>
  <c r="T9" i="72"/>
  <c r="F9" i="72"/>
  <c r="E9" i="72"/>
  <c r="W11" i="72"/>
  <c r="G11" i="72"/>
  <c r="I11" i="72"/>
  <c r="K11" i="72"/>
  <c r="M11" i="72"/>
  <c r="O11" i="72"/>
  <c r="Q11" i="72"/>
  <c r="S11" i="72"/>
  <c r="V11" i="72"/>
  <c r="H11" i="72"/>
  <c r="J11" i="72"/>
  <c r="L11" i="72"/>
  <c r="N11" i="72"/>
  <c r="P11" i="72"/>
  <c r="R11" i="72"/>
  <c r="T11" i="72"/>
  <c r="F11" i="72"/>
  <c r="E11" i="72"/>
  <c r="W13" i="72"/>
  <c r="G13" i="72"/>
  <c r="I13" i="72"/>
  <c r="K13" i="72"/>
  <c r="M13" i="72"/>
  <c r="O13" i="72"/>
  <c r="Q13" i="72"/>
  <c r="S13" i="72"/>
  <c r="V13" i="72"/>
  <c r="H13" i="72"/>
  <c r="J13" i="72"/>
  <c r="L13" i="72"/>
  <c r="N13" i="72"/>
  <c r="P13" i="72"/>
  <c r="R13" i="72"/>
  <c r="T13" i="72"/>
  <c r="F13" i="72"/>
  <c r="E13" i="72"/>
  <c r="W15" i="72"/>
  <c r="G15" i="72"/>
  <c r="I15" i="72"/>
  <c r="K15" i="72"/>
  <c r="M15" i="72"/>
  <c r="O15" i="72"/>
  <c r="Q15" i="72"/>
  <c r="S15" i="72"/>
  <c r="V15" i="72"/>
  <c r="H15" i="72"/>
  <c r="J15" i="72"/>
  <c r="L15" i="72"/>
  <c r="N15" i="72"/>
  <c r="P15" i="72"/>
  <c r="R15" i="72"/>
  <c r="T15" i="72"/>
  <c r="F15" i="72"/>
  <c r="E15" i="72"/>
  <c r="W17" i="72"/>
  <c r="G17" i="72"/>
  <c r="I17" i="72"/>
  <c r="K17" i="72"/>
  <c r="M17" i="72"/>
  <c r="O17" i="72"/>
  <c r="Q17" i="72"/>
  <c r="S17" i="72"/>
  <c r="V17" i="72"/>
  <c r="H17" i="72"/>
  <c r="J17" i="72"/>
  <c r="L17" i="72"/>
  <c r="N17" i="72"/>
  <c r="P17" i="72"/>
  <c r="R17" i="72"/>
  <c r="T17" i="72"/>
  <c r="F17" i="72"/>
  <c r="E17" i="72"/>
  <c r="W19" i="72"/>
  <c r="G19" i="72"/>
  <c r="I19" i="72"/>
  <c r="K19" i="72"/>
  <c r="M19" i="72"/>
  <c r="O19" i="72"/>
  <c r="Q19" i="72"/>
  <c r="S19" i="72"/>
  <c r="V19" i="72"/>
  <c r="H19" i="72"/>
  <c r="J19" i="72"/>
  <c r="L19" i="72"/>
  <c r="N19" i="72"/>
  <c r="P19" i="72"/>
  <c r="R19" i="72"/>
  <c r="T19" i="72"/>
  <c r="F19" i="72"/>
  <c r="E19" i="72"/>
  <c r="W21" i="72"/>
  <c r="G21" i="72"/>
  <c r="I21" i="72"/>
  <c r="K21" i="72"/>
  <c r="M21" i="72"/>
  <c r="O21" i="72"/>
  <c r="Q21" i="72"/>
  <c r="S21" i="72"/>
  <c r="V21" i="72"/>
  <c r="H21" i="72"/>
  <c r="J21" i="72"/>
  <c r="L21" i="72"/>
  <c r="N21" i="72"/>
  <c r="P21" i="72"/>
  <c r="R21" i="72"/>
  <c r="T21" i="72"/>
  <c r="F21" i="72"/>
  <c r="E21" i="72"/>
  <c r="W23" i="72"/>
  <c r="G23" i="72"/>
  <c r="I23" i="72"/>
  <c r="K23" i="72"/>
  <c r="M23" i="72"/>
  <c r="O23" i="72"/>
  <c r="Q23" i="72"/>
  <c r="S23" i="72"/>
  <c r="V23" i="72"/>
  <c r="H23" i="72"/>
  <c r="J23" i="72"/>
  <c r="L23" i="72"/>
  <c r="N23" i="72"/>
  <c r="P23" i="72"/>
  <c r="R23" i="72"/>
  <c r="T23" i="72"/>
  <c r="F23" i="72"/>
  <c r="E23" i="72"/>
  <c r="W25" i="72"/>
  <c r="G25" i="72"/>
  <c r="I25" i="72"/>
  <c r="K25" i="72"/>
  <c r="M25" i="72"/>
  <c r="O25" i="72"/>
  <c r="Q25" i="72"/>
  <c r="S25" i="72"/>
  <c r="V25" i="72"/>
  <c r="H25" i="72"/>
  <c r="J25" i="72"/>
  <c r="L25" i="72"/>
  <c r="N25" i="72"/>
  <c r="P25" i="72"/>
  <c r="R25" i="72"/>
  <c r="T25" i="72"/>
  <c r="F25" i="72"/>
  <c r="E25" i="72"/>
  <c r="W27" i="72"/>
  <c r="G27" i="72"/>
  <c r="I27" i="72"/>
  <c r="K27" i="72"/>
  <c r="M27" i="72"/>
  <c r="O27" i="72"/>
  <c r="Q27" i="72"/>
  <c r="S27" i="72"/>
  <c r="V27" i="72"/>
  <c r="H27" i="72"/>
  <c r="J27" i="72"/>
  <c r="L27" i="72"/>
  <c r="N27" i="72"/>
  <c r="P27" i="72"/>
  <c r="R27" i="72"/>
  <c r="T27" i="72"/>
  <c r="F27" i="72"/>
  <c r="E27" i="72"/>
  <c r="W29" i="72"/>
  <c r="G29" i="72"/>
  <c r="I29" i="72"/>
  <c r="K29" i="72"/>
  <c r="M29" i="72"/>
  <c r="O29" i="72"/>
  <c r="Q29" i="72"/>
  <c r="S29" i="72"/>
  <c r="V29" i="72"/>
  <c r="H29" i="72"/>
  <c r="J29" i="72"/>
  <c r="L29" i="72"/>
  <c r="N29" i="72"/>
  <c r="P29" i="72"/>
  <c r="R29" i="72"/>
  <c r="T29" i="72"/>
  <c r="F29" i="72"/>
  <c r="E29" i="72"/>
  <c r="W31" i="72"/>
  <c r="G31" i="72"/>
  <c r="I31" i="72"/>
  <c r="K31" i="72"/>
  <c r="M31" i="72"/>
  <c r="O31" i="72"/>
  <c r="Q31" i="72"/>
  <c r="S31" i="72"/>
  <c r="V31" i="72"/>
  <c r="H31" i="72"/>
  <c r="J31" i="72"/>
  <c r="L31" i="72"/>
  <c r="N31" i="72"/>
  <c r="P31" i="72"/>
  <c r="R31" i="72"/>
  <c r="T31" i="72"/>
  <c r="F31" i="72"/>
  <c r="E31" i="72"/>
  <c r="W33" i="72"/>
  <c r="G33" i="72"/>
  <c r="I33" i="72"/>
  <c r="K33" i="72"/>
  <c r="M33" i="72"/>
  <c r="O33" i="72"/>
  <c r="Q33" i="72"/>
  <c r="S33" i="72"/>
  <c r="V33" i="72"/>
  <c r="H33" i="72"/>
  <c r="J33" i="72"/>
  <c r="L33" i="72"/>
  <c r="N33" i="72"/>
  <c r="P33" i="72"/>
  <c r="R33" i="72"/>
  <c r="T33" i="72"/>
  <c r="F33" i="72"/>
  <c r="E33" i="72"/>
  <c r="W35" i="72"/>
  <c r="G35" i="72"/>
  <c r="I35" i="72"/>
  <c r="K35" i="72"/>
  <c r="M35" i="72"/>
  <c r="O35" i="72"/>
  <c r="Q35" i="72"/>
  <c r="S35" i="72"/>
  <c r="V35" i="72"/>
  <c r="H35" i="72"/>
  <c r="J35" i="72"/>
  <c r="L35" i="72"/>
  <c r="N35" i="72"/>
  <c r="P35" i="72"/>
  <c r="R35" i="72"/>
  <c r="T35" i="72"/>
  <c r="F35" i="72"/>
  <c r="E35" i="72"/>
  <c r="DH48" i="65"/>
  <c r="DI48" i="65"/>
  <c r="DJ48" i="65"/>
  <c r="DH10" i="65"/>
  <c r="DI10" i="65"/>
  <c r="DJ10" i="65"/>
  <c r="DH11" i="65"/>
  <c r="DI11" i="65"/>
  <c r="DJ11" i="65"/>
  <c r="DH12" i="65"/>
  <c r="DI12" i="65"/>
  <c r="DJ12" i="65"/>
  <c r="DH13" i="65"/>
  <c r="DI13" i="65"/>
  <c r="DJ13" i="65"/>
  <c r="DH14" i="65"/>
  <c r="DI14" i="65"/>
  <c r="DJ14" i="65"/>
  <c r="DH15" i="65"/>
  <c r="DI15" i="65"/>
  <c r="DJ15" i="65"/>
  <c r="DH16" i="65"/>
  <c r="DI16" i="65"/>
  <c r="DJ16" i="65"/>
  <c r="DH17" i="65"/>
  <c r="DI17" i="65"/>
  <c r="DJ17" i="65"/>
  <c r="DH18" i="65"/>
  <c r="DI18" i="65"/>
  <c r="DJ18" i="65"/>
  <c r="DH19" i="65"/>
  <c r="DI19" i="65"/>
  <c r="DJ19" i="65"/>
  <c r="DH20" i="65"/>
  <c r="DI20" i="65"/>
  <c r="DJ20" i="65"/>
  <c r="DH21" i="65"/>
  <c r="DI21" i="65"/>
  <c r="DJ21" i="65"/>
  <c r="DH22" i="65"/>
  <c r="DI22" i="65"/>
  <c r="DJ22" i="65"/>
  <c r="DH23" i="65"/>
  <c r="DI23" i="65"/>
  <c r="DJ23" i="65"/>
  <c r="DH24" i="65"/>
  <c r="DI24" i="65"/>
  <c r="DJ24" i="65"/>
  <c r="DH25" i="65"/>
  <c r="DI25" i="65"/>
  <c r="DJ25" i="65"/>
  <c r="DH26" i="65"/>
  <c r="DI26" i="65"/>
  <c r="DJ26" i="65"/>
  <c r="DH27" i="65"/>
  <c r="DI27" i="65"/>
  <c r="DJ27" i="65"/>
  <c r="DH28" i="65"/>
  <c r="DI28" i="65"/>
  <c r="DJ28" i="65"/>
  <c r="DH29" i="65"/>
  <c r="DI29" i="65"/>
  <c r="DJ29" i="65"/>
  <c r="DH30" i="65"/>
  <c r="DI30" i="65"/>
  <c r="DJ30" i="65"/>
  <c r="DH31" i="65"/>
  <c r="DI31" i="65"/>
  <c r="DJ31" i="65"/>
  <c r="DH32" i="65"/>
  <c r="DI32" i="65"/>
  <c r="DJ32" i="65"/>
  <c r="DH33" i="65"/>
  <c r="DI33" i="65"/>
  <c r="DJ33" i="65"/>
  <c r="DH34" i="65"/>
  <c r="DI34" i="65"/>
  <c r="DJ34" i="65"/>
  <c r="DH35" i="65"/>
  <c r="DI35" i="65"/>
  <c r="DJ35" i="65"/>
  <c r="DH36" i="65"/>
  <c r="DI36" i="65"/>
  <c r="DJ36" i="65"/>
  <c r="DH37" i="65"/>
  <c r="DI37" i="65"/>
  <c r="DJ37" i="65"/>
  <c r="DH38" i="65"/>
  <c r="DI38" i="65"/>
  <c r="DJ38" i="65"/>
  <c r="DH39" i="65"/>
  <c r="DI39" i="65"/>
  <c r="DJ39" i="65"/>
  <c r="DH40" i="65"/>
  <c r="DI40" i="65"/>
  <c r="DJ40" i="65"/>
  <c r="DH41" i="65"/>
  <c r="DI41" i="65"/>
  <c r="DJ41" i="65"/>
  <c r="DH42" i="65"/>
  <c r="DI42" i="65"/>
  <c r="DJ42" i="65"/>
  <c r="DH43" i="65"/>
  <c r="DI43" i="65"/>
  <c r="DJ43" i="65"/>
  <c r="DH44" i="65"/>
  <c r="DI44" i="65"/>
  <c r="DJ44" i="65"/>
  <c r="DH45" i="65"/>
  <c r="DI45" i="65"/>
  <c r="DJ45" i="65"/>
  <c r="DH46" i="65"/>
  <c r="DI46" i="65"/>
  <c r="DJ46" i="65"/>
  <c r="DH47" i="65"/>
  <c r="DI47" i="65"/>
  <c r="DJ47" i="65"/>
  <c r="DI9" i="65"/>
  <c r="DJ9" i="65"/>
  <c r="DH9" i="65"/>
  <c r="E127" i="7" s="1"/>
  <c r="C1" i="68"/>
  <c r="D44" i="68"/>
  <c r="C44" i="68"/>
  <c r="D43" i="68"/>
  <c r="C43" i="68"/>
  <c r="D42" i="68"/>
  <c r="C42" i="68"/>
  <c r="D41" i="68"/>
  <c r="C41" i="68"/>
  <c r="D40" i="68"/>
  <c r="C40" i="68"/>
  <c r="D39" i="68"/>
  <c r="C39" i="68"/>
  <c r="D38" i="68"/>
  <c r="C38" i="68"/>
  <c r="D37" i="68"/>
  <c r="C37" i="68"/>
  <c r="D36" i="68"/>
  <c r="C36" i="68"/>
  <c r="D35" i="68"/>
  <c r="C35" i="68"/>
  <c r="D34" i="68"/>
  <c r="C34" i="68"/>
  <c r="D33" i="68"/>
  <c r="C33" i="68"/>
  <c r="D32" i="68"/>
  <c r="C32" i="68"/>
  <c r="D31" i="68"/>
  <c r="C31" i="68"/>
  <c r="D30" i="68"/>
  <c r="C30" i="68"/>
  <c r="D29" i="68"/>
  <c r="C29" i="68"/>
  <c r="D28" i="68"/>
  <c r="C28" i="68"/>
  <c r="D27" i="68"/>
  <c r="C27" i="68"/>
  <c r="D26" i="68"/>
  <c r="C26" i="68"/>
  <c r="D25" i="68"/>
  <c r="C25" i="68"/>
  <c r="D24" i="68"/>
  <c r="C24" i="68"/>
  <c r="D23" i="68"/>
  <c r="C23" i="68"/>
  <c r="D22" i="68"/>
  <c r="C22" i="68"/>
  <c r="D21" i="68"/>
  <c r="C21" i="68"/>
  <c r="D20" i="68"/>
  <c r="C20" i="68"/>
  <c r="D19" i="68"/>
  <c r="C19" i="68"/>
  <c r="D18" i="68"/>
  <c r="C18" i="68"/>
  <c r="D17" i="68"/>
  <c r="C17" i="68"/>
  <c r="D16" i="68"/>
  <c r="C16" i="68"/>
  <c r="D15" i="68"/>
  <c r="C15" i="68"/>
  <c r="D14" i="68"/>
  <c r="C14" i="68"/>
  <c r="D13" i="68"/>
  <c r="C13" i="68"/>
  <c r="D12" i="68"/>
  <c r="C12" i="68"/>
  <c r="D11" i="68"/>
  <c r="C11" i="68"/>
  <c r="D10" i="68"/>
  <c r="C10" i="68"/>
  <c r="D9" i="68"/>
  <c r="C9" i="68"/>
  <c r="D8" i="68"/>
  <c r="C8" i="68"/>
  <c r="D7" i="68"/>
  <c r="C7" i="68"/>
  <c r="D6" i="68"/>
  <c r="C6" i="68"/>
  <c r="D5" i="68"/>
  <c r="C5" i="68"/>
  <c r="DK10" i="65"/>
  <c r="DL10" i="65"/>
  <c r="DM10" i="65"/>
  <c r="DN10" i="65"/>
  <c r="DO10" i="65"/>
  <c r="DP10" i="65"/>
  <c r="DQ10" i="65"/>
  <c r="DR10" i="65"/>
  <c r="DK11" i="65"/>
  <c r="DL11" i="65"/>
  <c r="DM11" i="65"/>
  <c r="DN11" i="65"/>
  <c r="DO11" i="65"/>
  <c r="DP11" i="65"/>
  <c r="DQ11" i="65"/>
  <c r="DR11" i="65"/>
  <c r="DK12" i="65"/>
  <c r="DL12" i="65"/>
  <c r="DM12" i="65"/>
  <c r="DN12" i="65"/>
  <c r="DO12" i="65"/>
  <c r="DP12" i="65"/>
  <c r="DQ12" i="65"/>
  <c r="DR12" i="65"/>
  <c r="DK13" i="65"/>
  <c r="DL13" i="65"/>
  <c r="DM13" i="65"/>
  <c r="DN13" i="65"/>
  <c r="DO13" i="65"/>
  <c r="DP13" i="65"/>
  <c r="DQ13" i="65"/>
  <c r="DR13" i="65"/>
  <c r="DK14" i="65"/>
  <c r="DL14" i="65"/>
  <c r="DM14" i="65"/>
  <c r="DN14" i="65"/>
  <c r="DO14" i="65"/>
  <c r="DP14" i="65"/>
  <c r="DQ14" i="65"/>
  <c r="DR14" i="65"/>
  <c r="DK15" i="65"/>
  <c r="DL15" i="65"/>
  <c r="DM15" i="65"/>
  <c r="DN15" i="65"/>
  <c r="DO15" i="65"/>
  <c r="DP15" i="65"/>
  <c r="DQ15" i="65"/>
  <c r="DR15" i="65"/>
  <c r="DK16" i="65"/>
  <c r="DL16" i="65"/>
  <c r="DM16" i="65"/>
  <c r="DN16" i="65"/>
  <c r="DO16" i="65"/>
  <c r="DP16" i="65"/>
  <c r="DQ16" i="65"/>
  <c r="DR16" i="65"/>
  <c r="DK17" i="65"/>
  <c r="DL17" i="65"/>
  <c r="DM17" i="65"/>
  <c r="DN17" i="65"/>
  <c r="DO17" i="65"/>
  <c r="DP17" i="65"/>
  <c r="DQ17" i="65"/>
  <c r="DR17" i="65"/>
  <c r="DK18" i="65"/>
  <c r="DL18" i="65"/>
  <c r="DM18" i="65"/>
  <c r="DN18" i="65"/>
  <c r="DO18" i="65"/>
  <c r="DP18" i="65"/>
  <c r="DQ18" i="65"/>
  <c r="DR18" i="65"/>
  <c r="DK19" i="65"/>
  <c r="DL19" i="65"/>
  <c r="DM19" i="65"/>
  <c r="DN19" i="65"/>
  <c r="DO19" i="65"/>
  <c r="DP19" i="65"/>
  <c r="DQ19" i="65"/>
  <c r="DR19" i="65"/>
  <c r="DK20" i="65"/>
  <c r="DL20" i="65"/>
  <c r="DM20" i="65"/>
  <c r="DN20" i="65"/>
  <c r="DO20" i="65"/>
  <c r="DP20" i="65"/>
  <c r="DQ20" i="65"/>
  <c r="DR20" i="65"/>
  <c r="DK21" i="65"/>
  <c r="DL21" i="65"/>
  <c r="DM21" i="65"/>
  <c r="DN21" i="65"/>
  <c r="DO21" i="65"/>
  <c r="DP21" i="65"/>
  <c r="DQ21" i="65"/>
  <c r="DR21" i="65"/>
  <c r="DK22" i="65"/>
  <c r="DL22" i="65"/>
  <c r="DM22" i="65"/>
  <c r="DN22" i="65"/>
  <c r="DO22" i="65"/>
  <c r="DP22" i="65"/>
  <c r="DQ22" i="65"/>
  <c r="DR22" i="65"/>
  <c r="DK23" i="65"/>
  <c r="DL23" i="65"/>
  <c r="DM23" i="65"/>
  <c r="DN23" i="65"/>
  <c r="DO23" i="65"/>
  <c r="DP23" i="65"/>
  <c r="DQ23" i="65"/>
  <c r="DR23" i="65"/>
  <c r="DK24" i="65"/>
  <c r="DL24" i="65"/>
  <c r="DM24" i="65"/>
  <c r="DN24" i="65"/>
  <c r="DO24" i="65"/>
  <c r="DP24" i="65"/>
  <c r="DQ24" i="65"/>
  <c r="DR24" i="65"/>
  <c r="DK25" i="65"/>
  <c r="DL25" i="65"/>
  <c r="DM25" i="65"/>
  <c r="DN25" i="65"/>
  <c r="DO25" i="65"/>
  <c r="DP25" i="65"/>
  <c r="DQ25" i="65"/>
  <c r="DR25" i="65"/>
  <c r="DK26" i="65"/>
  <c r="DL26" i="65"/>
  <c r="DM26" i="65"/>
  <c r="DN26" i="65"/>
  <c r="DO26" i="65"/>
  <c r="DP26" i="65"/>
  <c r="DQ26" i="65"/>
  <c r="DR26" i="65"/>
  <c r="DK27" i="65"/>
  <c r="DL27" i="65"/>
  <c r="DM27" i="65"/>
  <c r="DN27" i="65"/>
  <c r="DO27" i="65"/>
  <c r="DP27" i="65"/>
  <c r="DQ27" i="65"/>
  <c r="DR27" i="65"/>
  <c r="DK28" i="65"/>
  <c r="DL28" i="65"/>
  <c r="DM28" i="65"/>
  <c r="DN28" i="65"/>
  <c r="DO28" i="65"/>
  <c r="DP28" i="65"/>
  <c r="DQ28" i="65"/>
  <c r="DR28" i="65"/>
  <c r="DK29" i="65"/>
  <c r="DL29" i="65"/>
  <c r="DM29" i="65"/>
  <c r="DN29" i="65"/>
  <c r="DO29" i="65"/>
  <c r="DP29" i="65"/>
  <c r="DQ29" i="65"/>
  <c r="DR29" i="65"/>
  <c r="DK30" i="65"/>
  <c r="DL30" i="65"/>
  <c r="DM30" i="65"/>
  <c r="DN30" i="65"/>
  <c r="DO30" i="65"/>
  <c r="DP30" i="65"/>
  <c r="DQ30" i="65"/>
  <c r="DR30" i="65"/>
  <c r="DK31" i="65"/>
  <c r="DL31" i="65"/>
  <c r="DM31" i="65"/>
  <c r="DN31" i="65"/>
  <c r="DO31" i="65"/>
  <c r="DP31" i="65"/>
  <c r="DQ31" i="65"/>
  <c r="DR31" i="65"/>
  <c r="DK32" i="65"/>
  <c r="DL32" i="65"/>
  <c r="DM32" i="65"/>
  <c r="DN32" i="65"/>
  <c r="DO32" i="65"/>
  <c r="DP32" i="65"/>
  <c r="DQ32" i="65"/>
  <c r="DR32" i="65"/>
  <c r="DK33" i="65"/>
  <c r="DL33" i="65"/>
  <c r="DM33" i="65"/>
  <c r="DN33" i="65"/>
  <c r="DO33" i="65"/>
  <c r="DP33" i="65"/>
  <c r="DQ33" i="65"/>
  <c r="DR33" i="65"/>
  <c r="DK34" i="65"/>
  <c r="DL34" i="65"/>
  <c r="DM34" i="65"/>
  <c r="DN34" i="65"/>
  <c r="DO34" i="65"/>
  <c r="DP34" i="65"/>
  <c r="DQ34" i="65"/>
  <c r="DR34" i="65"/>
  <c r="DK35" i="65"/>
  <c r="DL35" i="65"/>
  <c r="DM35" i="65"/>
  <c r="DN35" i="65"/>
  <c r="DO35" i="65"/>
  <c r="DP35" i="65"/>
  <c r="DQ35" i="65"/>
  <c r="DR35" i="65"/>
  <c r="DK36" i="65"/>
  <c r="DL36" i="65"/>
  <c r="DM36" i="65"/>
  <c r="DN36" i="65"/>
  <c r="DO36" i="65"/>
  <c r="DP36" i="65"/>
  <c r="DQ36" i="65"/>
  <c r="DR36" i="65"/>
  <c r="DK37" i="65"/>
  <c r="DL37" i="65"/>
  <c r="DM37" i="65"/>
  <c r="DN37" i="65"/>
  <c r="DO37" i="65"/>
  <c r="DP37" i="65"/>
  <c r="DQ37" i="65"/>
  <c r="DR37" i="65"/>
  <c r="DK38" i="65"/>
  <c r="DL38" i="65"/>
  <c r="DM38" i="65"/>
  <c r="DN38" i="65"/>
  <c r="DO38" i="65"/>
  <c r="DP38" i="65"/>
  <c r="DQ38" i="65"/>
  <c r="DR38" i="65"/>
  <c r="DK39" i="65"/>
  <c r="DL39" i="65"/>
  <c r="DM39" i="65"/>
  <c r="DN39" i="65"/>
  <c r="DO39" i="65"/>
  <c r="DP39" i="65"/>
  <c r="DQ39" i="65"/>
  <c r="DR39" i="65"/>
  <c r="DK40" i="65"/>
  <c r="DL40" i="65"/>
  <c r="DM40" i="65"/>
  <c r="DN40" i="65"/>
  <c r="DO40" i="65"/>
  <c r="DP40" i="65"/>
  <c r="DQ40" i="65"/>
  <c r="DR40" i="65"/>
  <c r="DK41" i="65"/>
  <c r="DL41" i="65"/>
  <c r="DM41" i="65"/>
  <c r="DN41" i="65"/>
  <c r="DO41" i="65"/>
  <c r="DP41" i="65"/>
  <c r="DQ41" i="65"/>
  <c r="DR41" i="65"/>
  <c r="DK42" i="65"/>
  <c r="DL42" i="65"/>
  <c r="DM42" i="65"/>
  <c r="DN42" i="65"/>
  <c r="DO42" i="65"/>
  <c r="DP42" i="65"/>
  <c r="DQ42" i="65"/>
  <c r="DR42" i="65"/>
  <c r="DK43" i="65"/>
  <c r="DL43" i="65"/>
  <c r="DM43" i="65"/>
  <c r="DN43" i="65"/>
  <c r="DO43" i="65"/>
  <c r="DP43" i="65"/>
  <c r="DQ43" i="65"/>
  <c r="DR43" i="65"/>
  <c r="DK44" i="65"/>
  <c r="DL44" i="65"/>
  <c r="DM44" i="65"/>
  <c r="DN44" i="65"/>
  <c r="DO44" i="65"/>
  <c r="DP44" i="65"/>
  <c r="DQ44" i="65"/>
  <c r="DR44" i="65"/>
  <c r="DK45" i="65"/>
  <c r="DL45" i="65"/>
  <c r="DM45" i="65"/>
  <c r="DN45" i="65"/>
  <c r="DO45" i="65"/>
  <c r="DP45" i="65"/>
  <c r="DQ45" i="65"/>
  <c r="DR45" i="65"/>
  <c r="DK46" i="65"/>
  <c r="DL46" i="65"/>
  <c r="DM46" i="65"/>
  <c r="DN46" i="65"/>
  <c r="DO46" i="65"/>
  <c r="DP46" i="65"/>
  <c r="DQ46" i="65"/>
  <c r="DR46" i="65"/>
  <c r="DK47" i="65"/>
  <c r="DL47" i="65"/>
  <c r="DM47" i="65"/>
  <c r="DN47" i="65"/>
  <c r="DO47" i="65"/>
  <c r="DP47" i="65"/>
  <c r="DQ47" i="65"/>
  <c r="DR47" i="65"/>
  <c r="DK48" i="65"/>
  <c r="DL48" i="65"/>
  <c r="DM48" i="65"/>
  <c r="DN48" i="65"/>
  <c r="DO48" i="65"/>
  <c r="DP48" i="65"/>
  <c r="DQ48" i="65"/>
  <c r="DR48" i="65"/>
  <c r="DL9" i="65"/>
  <c r="DM9" i="65"/>
  <c r="DN9" i="65"/>
  <c r="DO9" i="65"/>
  <c r="DP9" i="65"/>
  <c r="DQ9" i="65"/>
  <c r="DR9" i="65"/>
  <c r="DK9" i="65"/>
  <c r="DB10" i="65"/>
  <c r="DC10" i="65"/>
  <c r="DD10" i="65"/>
  <c r="DE10" i="65"/>
  <c r="DF10" i="65"/>
  <c r="DG10" i="65"/>
  <c r="DB11" i="65"/>
  <c r="DC11" i="65"/>
  <c r="DD11" i="65"/>
  <c r="DE11" i="65"/>
  <c r="DF11" i="65"/>
  <c r="DG11" i="65"/>
  <c r="DB12" i="65"/>
  <c r="DC12" i="65"/>
  <c r="DD12" i="65"/>
  <c r="DE12" i="65"/>
  <c r="DF12" i="65"/>
  <c r="DG12" i="65"/>
  <c r="DB13" i="65"/>
  <c r="DC13" i="65"/>
  <c r="DD13" i="65"/>
  <c r="DE13" i="65"/>
  <c r="DF13" i="65"/>
  <c r="DG13" i="65"/>
  <c r="DB14" i="65"/>
  <c r="DC14" i="65"/>
  <c r="DD14" i="65"/>
  <c r="DE14" i="65"/>
  <c r="DF14" i="65"/>
  <c r="DG14" i="65"/>
  <c r="DB15" i="65"/>
  <c r="DC15" i="65"/>
  <c r="DD15" i="65"/>
  <c r="DE15" i="65"/>
  <c r="DF15" i="65"/>
  <c r="DG15" i="65"/>
  <c r="DB16" i="65"/>
  <c r="DC16" i="65"/>
  <c r="DD16" i="65"/>
  <c r="DE16" i="65"/>
  <c r="DF16" i="65"/>
  <c r="DG16" i="65"/>
  <c r="DB17" i="65"/>
  <c r="DC17" i="65"/>
  <c r="DD17" i="65"/>
  <c r="DE17" i="65"/>
  <c r="DF17" i="65"/>
  <c r="DG17" i="65"/>
  <c r="DB18" i="65"/>
  <c r="DC18" i="65"/>
  <c r="DD18" i="65"/>
  <c r="DE18" i="65"/>
  <c r="DF18" i="65"/>
  <c r="DG18" i="65"/>
  <c r="DB19" i="65"/>
  <c r="DC19" i="65"/>
  <c r="DD19" i="65"/>
  <c r="DE19" i="65"/>
  <c r="DF19" i="65"/>
  <c r="DG19" i="65"/>
  <c r="DB20" i="65"/>
  <c r="DC20" i="65"/>
  <c r="DD20" i="65"/>
  <c r="DE20" i="65"/>
  <c r="DF20" i="65"/>
  <c r="DG20" i="65"/>
  <c r="DB21" i="65"/>
  <c r="DC21" i="65"/>
  <c r="DD21" i="65"/>
  <c r="DE21" i="65"/>
  <c r="DF21" i="65"/>
  <c r="DG21" i="65"/>
  <c r="DB22" i="65"/>
  <c r="DC22" i="65"/>
  <c r="DD22" i="65"/>
  <c r="DE22" i="65"/>
  <c r="DF22" i="65"/>
  <c r="DG22" i="65"/>
  <c r="DB23" i="65"/>
  <c r="DC23" i="65"/>
  <c r="DD23" i="65"/>
  <c r="DE23" i="65"/>
  <c r="DF23" i="65"/>
  <c r="DG23" i="65"/>
  <c r="DB24" i="65"/>
  <c r="DC24" i="65"/>
  <c r="DD24" i="65"/>
  <c r="DE24" i="65"/>
  <c r="DF24" i="65"/>
  <c r="DG24" i="65"/>
  <c r="DB25" i="65"/>
  <c r="DC25" i="65"/>
  <c r="DD25" i="65"/>
  <c r="DE25" i="65"/>
  <c r="DF25" i="65"/>
  <c r="DG25" i="65"/>
  <c r="DB26" i="65"/>
  <c r="DC26" i="65"/>
  <c r="DD26" i="65"/>
  <c r="DE26" i="65"/>
  <c r="DF26" i="65"/>
  <c r="DG26" i="65"/>
  <c r="DB27" i="65"/>
  <c r="DC27" i="65"/>
  <c r="DD27" i="65"/>
  <c r="DE27" i="65"/>
  <c r="DF27" i="65"/>
  <c r="DG27" i="65"/>
  <c r="DB28" i="65"/>
  <c r="DC28" i="65"/>
  <c r="DD28" i="65"/>
  <c r="DE28" i="65"/>
  <c r="DF28" i="65"/>
  <c r="DG28" i="65"/>
  <c r="DB29" i="65"/>
  <c r="DC29" i="65"/>
  <c r="DD29" i="65"/>
  <c r="DE29" i="65"/>
  <c r="DF29" i="65"/>
  <c r="DG29" i="65"/>
  <c r="DB30" i="65"/>
  <c r="DC30" i="65"/>
  <c r="DD30" i="65"/>
  <c r="DE30" i="65"/>
  <c r="DF30" i="65"/>
  <c r="DG30" i="65"/>
  <c r="DB31" i="65"/>
  <c r="DC31" i="65"/>
  <c r="DD31" i="65"/>
  <c r="DE31" i="65"/>
  <c r="DF31" i="65"/>
  <c r="DG31" i="65"/>
  <c r="DB32" i="65"/>
  <c r="DC32" i="65"/>
  <c r="DD32" i="65"/>
  <c r="DE32" i="65"/>
  <c r="DF32" i="65"/>
  <c r="DG32" i="65"/>
  <c r="DB33" i="65"/>
  <c r="DC33" i="65"/>
  <c r="DD33" i="65"/>
  <c r="DE33" i="65"/>
  <c r="DF33" i="65"/>
  <c r="DG33" i="65"/>
  <c r="DB34" i="65"/>
  <c r="DC34" i="65"/>
  <c r="DD34" i="65"/>
  <c r="DE34" i="65"/>
  <c r="DF34" i="65"/>
  <c r="DG34" i="65"/>
  <c r="DB35" i="65"/>
  <c r="DC35" i="65"/>
  <c r="DD35" i="65"/>
  <c r="DE35" i="65"/>
  <c r="DF35" i="65"/>
  <c r="DG35" i="65"/>
  <c r="DB36" i="65"/>
  <c r="DC36" i="65"/>
  <c r="DD36" i="65"/>
  <c r="DE36" i="65"/>
  <c r="DF36" i="65"/>
  <c r="DG36" i="65"/>
  <c r="DB37" i="65"/>
  <c r="DC37" i="65"/>
  <c r="DD37" i="65"/>
  <c r="DE37" i="65"/>
  <c r="DF37" i="65"/>
  <c r="DG37" i="65"/>
  <c r="DB38" i="65"/>
  <c r="DC38" i="65"/>
  <c r="DD38" i="65"/>
  <c r="DE38" i="65"/>
  <c r="DF38" i="65"/>
  <c r="DG38" i="65"/>
  <c r="DB39" i="65"/>
  <c r="DC39" i="65"/>
  <c r="DD39" i="65"/>
  <c r="DE39" i="65"/>
  <c r="DF39" i="65"/>
  <c r="DG39" i="65"/>
  <c r="DB40" i="65"/>
  <c r="DC40" i="65"/>
  <c r="DD40" i="65"/>
  <c r="DE40" i="65"/>
  <c r="DF40" i="65"/>
  <c r="DG40" i="65"/>
  <c r="DB41" i="65"/>
  <c r="DC41" i="65"/>
  <c r="DD41" i="65"/>
  <c r="DE41" i="65"/>
  <c r="DF41" i="65"/>
  <c r="DG41" i="65"/>
  <c r="DB42" i="65"/>
  <c r="DC42" i="65"/>
  <c r="DD42" i="65"/>
  <c r="DE42" i="65"/>
  <c r="DF42" i="65"/>
  <c r="DG42" i="65"/>
  <c r="DB43" i="65"/>
  <c r="DC43" i="65"/>
  <c r="DD43" i="65"/>
  <c r="DE43" i="65"/>
  <c r="DF43" i="65"/>
  <c r="DG43" i="65"/>
  <c r="DB44" i="65"/>
  <c r="DC44" i="65"/>
  <c r="DD44" i="65"/>
  <c r="DE44" i="65"/>
  <c r="DF44" i="65"/>
  <c r="DG44" i="65"/>
  <c r="DB45" i="65"/>
  <c r="DC45" i="65"/>
  <c r="DD45" i="65"/>
  <c r="DE45" i="65"/>
  <c r="DF45" i="65"/>
  <c r="DG45" i="65"/>
  <c r="DB46" i="65"/>
  <c r="DC46" i="65"/>
  <c r="DD46" i="65"/>
  <c r="DE46" i="65"/>
  <c r="DF46" i="65"/>
  <c r="DG46" i="65"/>
  <c r="DB47" i="65"/>
  <c r="DC47" i="65"/>
  <c r="DD47" i="65"/>
  <c r="DE47" i="65"/>
  <c r="DF47" i="65"/>
  <c r="DG47" i="65"/>
  <c r="DB48" i="65"/>
  <c r="DC48" i="65"/>
  <c r="DD48" i="65"/>
  <c r="DE48" i="65"/>
  <c r="DF48" i="65"/>
  <c r="DG48" i="65"/>
  <c r="DC9" i="65"/>
  <c r="DD9" i="65"/>
  <c r="DE9" i="65"/>
  <c r="DF9" i="65"/>
  <c r="DG9" i="65"/>
  <c r="DB9" i="65"/>
  <c r="DS10" i="65"/>
  <c r="DS11" i="65"/>
  <c r="DS12" i="65"/>
  <c r="DS13" i="65"/>
  <c r="DS14" i="65"/>
  <c r="DS15" i="65"/>
  <c r="DS16" i="65"/>
  <c r="DS17" i="65"/>
  <c r="DS18" i="65"/>
  <c r="DS19" i="65"/>
  <c r="DS20" i="65"/>
  <c r="DS21" i="65"/>
  <c r="DS22" i="65"/>
  <c r="DS23" i="65"/>
  <c r="DS24" i="65"/>
  <c r="DS25" i="65"/>
  <c r="DS26" i="65"/>
  <c r="DS27" i="65"/>
  <c r="DS28" i="65"/>
  <c r="DS29" i="65"/>
  <c r="DS30" i="65"/>
  <c r="DS31" i="65"/>
  <c r="DS32" i="65"/>
  <c r="DS33" i="65"/>
  <c r="DS34" i="65"/>
  <c r="DS35" i="65"/>
  <c r="DS36" i="65"/>
  <c r="DS37" i="65"/>
  <c r="DS38" i="65"/>
  <c r="DS39" i="65"/>
  <c r="DS40" i="65"/>
  <c r="DS41" i="65"/>
  <c r="DS42" i="65"/>
  <c r="DS43" i="65"/>
  <c r="DS44" i="65"/>
  <c r="DS45" i="65"/>
  <c r="DS46" i="65"/>
  <c r="DS47" i="65"/>
  <c r="DS48" i="65"/>
  <c r="DS9" i="65"/>
  <c r="F10" i="65"/>
  <c r="G10" i="65"/>
  <c r="H10" i="65"/>
  <c r="I10" i="65"/>
  <c r="F11" i="65"/>
  <c r="G11" i="65"/>
  <c r="H11" i="65"/>
  <c r="I11" i="65"/>
  <c r="F12" i="65"/>
  <c r="G12" i="65"/>
  <c r="H12" i="65"/>
  <c r="I12" i="65"/>
  <c r="F13" i="65"/>
  <c r="G13" i="65"/>
  <c r="H13" i="65"/>
  <c r="I13" i="65"/>
  <c r="F14" i="65"/>
  <c r="G14" i="65"/>
  <c r="H14" i="65"/>
  <c r="I14" i="65"/>
  <c r="F15" i="65"/>
  <c r="G15" i="65"/>
  <c r="H15" i="65"/>
  <c r="I15" i="65"/>
  <c r="F16" i="65"/>
  <c r="G16" i="65"/>
  <c r="H16" i="65"/>
  <c r="I16" i="65"/>
  <c r="F17" i="65"/>
  <c r="G17" i="65"/>
  <c r="H17" i="65"/>
  <c r="I17" i="65"/>
  <c r="F18" i="65"/>
  <c r="G18" i="65"/>
  <c r="H18" i="65"/>
  <c r="I18" i="65"/>
  <c r="F19" i="65"/>
  <c r="G19" i="65"/>
  <c r="H19" i="65"/>
  <c r="I19" i="65"/>
  <c r="F20" i="65"/>
  <c r="G20" i="65"/>
  <c r="H20" i="65"/>
  <c r="I20" i="65"/>
  <c r="F21" i="65"/>
  <c r="G21" i="65"/>
  <c r="H21" i="65"/>
  <c r="I21" i="65"/>
  <c r="F22" i="65"/>
  <c r="G22" i="65"/>
  <c r="H22" i="65"/>
  <c r="I22" i="65"/>
  <c r="F23" i="65"/>
  <c r="G23" i="65"/>
  <c r="H23" i="65"/>
  <c r="I23" i="65"/>
  <c r="F24" i="65"/>
  <c r="G24" i="65"/>
  <c r="H24" i="65"/>
  <c r="I24" i="65"/>
  <c r="F25" i="65"/>
  <c r="G25" i="65"/>
  <c r="H25" i="65"/>
  <c r="I25" i="65"/>
  <c r="F26" i="65"/>
  <c r="G26" i="65"/>
  <c r="H26" i="65"/>
  <c r="I26" i="65"/>
  <c r="F27" i="65"/>
  <c r="G27" i="65"/>
  <c r="H27" i="65"/>
  <c r="I27" i="65"/>
  <c r="F28" i="65"/>
  <c r="G28" i="65"/>
  <c r="H28" i="65"/>
  <c r="I28" i="65"/>
  <c r="F29" i="65"/>
  <c r="G29" i="65"/>
  <c r="H29" i="65"/>
  <c r="I29" i="65"/>
  <c r="F30" i="65"/>
  <c r="G30" i="65"/>
  <c r="H30" i="65"/>
  <c r="I30" i="65"/>
  <c r="F31" i="65"/>
  <c r="G31" i="65"/>
  <c r="H31" i="65"/>
  <c r="I31" i="65"/>
  <c r="F32" i="65"/>
  <c r="G32" i="65"/>
  <c r="H32" i="65"/>
  <c r="I32" i="65"/>
  <c r="F33" i="65"/>
  <c r="G33" i="65"/>
  <c r="H33" i="65"/>
  <c r="I33" i="65"/>
  <c r="F34" i="65"/>
  <c r="G34" i="65"/>
  <c r="H34" i="65"/>
  <c r="I34" i="65"/>
  <c r="F35" i="65"/>
  <c r="G35" i="65"/>
  <c r="H35" i="65"/>
  <c r="I35" i="65"/>
  <c r="F36" i="65"/>
  <c r="G36" i="65"/>
  <c r="H36" i="65"/>
  <c r="I36" i="65"/>
  <c r="F37" i="65"/>
  <c r="G37" i="65"/>
  <c r="H37" i="65"/>
  <c r="I37" i="65"/>
  <c r="F38" i="65"/>
  <c r="G38" i="65"/>
  <c r="H38" i="65"/>
  <c r="I38" i="65"/>
  <c r="F39" i="65"/>
  <c r="G39" i="65"/>
  <c r="H39" i="65"/>
  <c r="I39" i="65"/>
  <c r="F40" i="65"/>
  <c r="G40" i="65"/>
  <c r="H40" i="65"/>
  <c r="I40" i="65"/>
  <c r="F41" i="65"/>
  <c r="G41" i="65"/>
  <c r="H41" i="65"/>
  <c r="I41" i="65"/>
  <c r="F42" i="65"/>
  <c r="G42" i="65"/>
  <c r="H42" i="65"/>
  <c r="I42" i="65"/>
  <c r="F43" i="65"/>
  <c r="G43" i="65"/>
  <c r="H43" i="65"/>
  <c r="I43" i="65"/>
  <c r="F44" i="65"/>
  <c r="G44" i="65"/>
  <c r="H44" i="65"/>
  <c r="I44" i="65"/>
  <c r="F45" i="65"/>
  <c r="G45" i="65"/>
  <c r="H45" i="65"/>
  <c r="I45" i="65"/>
  <c r="F46" i="65"/>
  <c r="G46" i="65"/>
  <c r="H46" i="65"/>
  <c r="I46" i="65"/>
  <c r="F47" i="65"/>
  <c r="G47" i="65"/>
  <c r="H47" i="65"/>
  <c r="I47" i="65"/>
  <c r="F48" i="65"/>
  <c r="G48" i="65"/>
  <c r="H48" i="65"/>
  <c r="I48" i="65"/>
  <c r="G9" i="65"/>
  <c r="H9" i="65"/>
  <c r="I9" i="65"/>
  <c r="B2" i="65"/>
  <c r="C43" i="67"/>
  <c r="B43" i="67"/>
  <c r="C42" i="67"/>
  <c r="B42" i="67"/>
  <c r="C41" i="67"/>
  <c r="B41" i="67"/>
  <c r="C40" i="67"/>
  <c r="B40" i="67"/>
  <c r="C39" i="67"/>
  <c r="B39" i="67"/>
  <c r="C38" i="67"/>
  <c r="B38" i="67"/>
  <c r="C37" i="67"/>
  <c r="B37" i="67"/>
  <c r="C36" i="67"/>
  <c r="B36" i="67"/>
  <c r="C35" i="67"/>
  <c r="B35" i="67"/>
  <c r="C34" i="67"/>
  <c r="B34" i="67"/>
  <c r="C33" i="67"/>
  <c r="B33" i="67"/>
  <c r="C32" i="67"/>
  <c r="B32" i="67"/>
  <c r="C31" i="67"/>
  <c r="B31" i="67"/>
  <c r="C30" i="67"/>
  <c r="B30" i="67"/>
  <c r="C29" i="67"/>
  <c r="B29" i="67"/>
  <c r="C28" i="67"/>
  <c r="B28" i="67"/>
  <c r="C27" i="67"/>
  <c r="B27" i="67"/>
  <c r="C26" i="67"/>
  <c r="B26" i="67"/>
  <c r="C25" i="67"/>
  <c r="B25" i="67"/>
  <c r="C24" i="67"/>
  <c r="B24" i="67"/>
  <c r="C23" i="67"/>
  <c r="B23" i="67"/>
  <c r="C22" i="67"/>
  <c r="B22" i="67"/>
  <c r="C21" i="67"/>
  <c r="B21" i="67"/>
  <c r="C20" i="67"/>
  <c r="B20" i="67"/>
  <c r="C19" i="67"/>
  <c r="B19" i="67"/>
  <c r="C18" i="67"/>
  <c r="B18" i="67"/>
  <c r="C17" i="67"/>
  <c r="B17" i="67"/>
  <c r="C16" i="67"/>
  <c r="B16" i="67"/>
  <c r="C15" i="67"/>
  <c r="B15" i="67"/>
  <c r="C14" i="67"/>
  <c r="B14" i="67"/>
  <c r="C13" i="67"/>
  <c r="B13" i="67"/>
  <c r="C12" i="67"/>
  <c r="B12" i="67"/>
  <c r="C11" i="67"/>
  <c r="B11" i="67"/>
  <c r="C10" i="67"/>
  <c r="B10" i="67"/>
  <c r="C9" i="67"/>
  <c r="B9" i="67"/>
  <c r="C8" i="67"/>
  <c r="B8" i="67"/>
  <c r="C7" i="67"/>
  <c r="B7" i="67"/>
  <c r="C6" i="67"/>
  <c r="B6" i="67"/>
  <c r="C5" i="67"/>
  <c r="B5" i="67"/>
  <c r="C4" i="67"/>
  <c r="B4" i="67"/>
  <c r="B1" i="67"/>
  <c r="B1" i="62"/>
  <c r="C1" i="60"/>
  <c r="C6" i="60"/>
  <c r="D6" i="60"/>
  <c r="C7" i="60"/>
  <c r="D7" i="60"/>
  <c r="C8" i="60"/>
  <c r="D8" i="60"/>
  <c r="C9" i="60"/>
  <c r="D9" i="60"/>
  <c r="C10" i="60"/>
  <c r="D10" i="60"/>
  <c r="C11" i="60"/>
  <c r="D11" i="60"/>
  <c r="C12" i="60"/>
  <c r="D12" i="60"/>
  <c r="C13" i="60"/>
  <c r="D13" i="60"/>
  <c r="C14" i="60"/>
  <c r="D14" i="60"/>
  <c r="C15" i="60"/>
  <c r="D15" i="60"/>
  <c r="C16" i="60"/>
  <c r="D16" i="60"/>
  <c r="C17" i="60"/>
  <c r="D17" i="60"/>
  <c r="C18" i="60"/>
  <c r="D18" i="60"/>
  <c r="C19" i="60"/>
  <c r="D19" i="60"/>
  <c r="C20" i="60"/>
  <c r="D20" i="60"/>
  <c r="C21" i="60"/>
  <c r="D21" i="60"/>
  <c r="C22" i="60"/>
  <c r="D22" i="60"/>
  <c r="C23" i="60"/>
  <c r="D23" i="60"/>
  <c r="C24" i="60"/>
  <c r="D24" i="60"/>
  <c r="C25" i="60"/>
  <c r="D25" i="60"/>
  <c r="C26" i="60"/>
  <c r="D26" i="60"/>
  <c r="C27" i="60"/>
  <c r="D27" i="60"/>
  <c r="C28" i="60"/>
  <c r="D28" i="60"/>
  <c r="C29" i="60"/>
  <c r="D29" i="60"/>
  <c r="C30" i="60"/>
  <c r="D30" i="60"/>
  <c r="C31" i="60"/>
  <c r="D31" i="60"/>
  <c r="C32" i="60"/>
  <c r="D32" i="60"/>
  <c r="C33" i="60"/>
  <c r="D33" i="60"/>
  <c r="C34" i="60"/>
  <c r="D34" i="60"/>
  <c r="C35" i="60"/>
  <c r="D35" i="60"/>
  <c r="C36" i="60"/>
  <c r="D36" i="60"/>
  <c r="C37" i="60"/>
  <c r="D37" i="60"/>
  <c r="C38" i="60"/>
  <c r="D38" i="60"/>
  <c r="C39" i="60"/>
  <c r="D39" i="60"/>
  <c r="C40" i="60"/>
  <c r="D40" i="60"/>
  <c r="C41" i="60"/>
  <c r="D41" i="60"/>
  <c r="C42" i="60"/>
  <c r="D42" i="60"/>
  <c r="C43" i="60"/>
  <c r="D43" i="60"/>
  <c r="C44" i="60"/>
  <c r="D44" i="60"/>
  <c r="D5" i="60"/>
  <c r="C5" i="60"/>
  <c r="B7" i="62"/>
  <c r="C7" i="62"/>
  <c r="B8" i="62"/>
  <c r="C8" i="62"/>
  <c r="B9" i="62"/>
  <c r="C9" i="62"/>
  <c r="B10" i="62"/>
  <c r="C10" i="62"/>
  <c r="B11" i="62"/>
  <c r="C11" i="62"/>
  <c r="B12" i="62"/>
  <c r="C12" i="62"/>
  <c r="B13" i="62"/>
  <c r="C13" i="62"/>
  <c r="B14" i="62"/>
  <c r="C14" i="62"/>
  <c r="B15" i="62"/>
  <c r="C15" i="62"/>
  <c r="B16" i="62"/>
  <c r="C16" i="62"/>
  <c r="B17" i="62"/>
  <c r="C17" i="62"/>
  <c r="B18" i="62"/>
  <c r="C18" i="62"/>
  <c r="B19" i="62"/>
  <c r="C19" i="62"/>
  <c r="B20" i="62"/>
  <c r="C20" i="62"/>
  <c r="B21" i="62"/>
  <c r="C21" i="62"/>
  <c r="B22" i="62"/>
  <c r="C22" i="62"/>
  <c r="B23" i="62"/>
  <c r="C23" i="62"/>
  <c r="B24" i="62"/>
  <c r="C24" i="62"/>
  <c r="B25" i="62"/>
  <c r="C25" i="62"/>
  <c r="B26" i="62"/>
  <c r="C26" i="62"/>
  <c r="B27" i="62"/>
  <c r="C27" i="62"/>
  <c r="B28" i="62"/>
  <c r="C28" i="62"/>
  <c r="B29" i="62"/>
  <c r="C29" i="62"/>
  <c r="B30" i="62"/>
  <c r="C30" i="62"/>
  <c r="B31" i="62"/>
  <c r="C31" i="62"/>
  <c r="B32" i="62"/>
  <c r="C32" i="62"/>
  <c r="B33" i="62"/>
  <c r="C33" i="62"/>
  <c r="B34" i="62"/>
  <c r="C34" i="62"/>
  <c r="B35" i="62"/>
  <c r="C35" i="62"/>
  <c r="B36" i="62"/>
  <c r="C36" i="62"/>
  <c r="B37" i="62"/>
  <c r="C37" i="62"/>
  <c r="B38" i="62"/>
  <c r="C38" i="62"/>
  <c r="B39" i="62"/>
  <c r="C39" i="62"/>
  <c r="B40" i="62"/>
  <c r="C40" i="62"/>
  <c r="B41" i="62"/>
  <c r="C41" i="62"/>
  <c r="B42" i="62"/>
  <c r="C42" i="62"/>
  <c r="B43" i="62"/>
  <c r="C43" i="62"/>
  <c r="B44" i="62"/>
  <c r="C44" i="62"/>
  <c r="B45" i="62"/>
  <c r="C45" i="62"/>
  <c r="C6" i="62"/>
  <c r="B6" i="62"/>
  <c r="X37" i="72" l="1"/>
  <c r="X38" i="72"/>
  <c r="B132" i="7"/>
  <c r="C114" i="7"/>
  <c r="F114" i="7"/>
  <c r="C121" i="7"/>
  <c r="F121" i="7"/>
  <c r="B18" i="7"/>
  <c r="E115" i="7"/>
  <c r="F123" i="7"/>
  <c r="C123" i="7"/>
  <c r="E129" i="7"/>
  <c r="F115" i="7"/>
  <c r="C115" i="7"/>
  <c r="E114" i="7"/>
  <c r="F124" i="7"/>
  <c r="F122" i="7"/>
  <c r="C124" i="7"/>
  <c r="C122" i="7"/>
  <c r="E128" i="7"/>
  <c r="E18" i="7"/>
  <c r="E14" i="7"/>
  <c r="B14" i="7"/>
  <c r="X33" i="72"/>
  <c r="X34" i="72"/>
  <c r="X30" i="72"/>
  <c r="X26" i="72"/>
  <c r="X22" i="72"/>
  <c r="X18" i="72"/>
  <c r="X14" i="72"/>
  <c r="X10" i="72"/>
  <c r="X8" i="72"/>
  <c r="X29" i="72"/>
  <c r="X25" i="72"/>
  <c r="X21" i="72"/>
  <c r="X17" i="72"/>
  <c r="X13" i="72"/>
  <c r="X7" i="72"/>
  <c r="X36" i="72"/>
  <c r="X35" i="72"/>
  <c r="X31" i="72"/>
  <c r="X27" i="72"/>
  <c r="X23" i="72"/>
  <c r="X19" i="72"/>
  <c r="X15" i="72"/>
  <c r="X11" i="72"/>
  <c r="X9" i="72"/>
  <c r="X32" i="72"/>
  <c r="X28" i="72"/>
  <c r="X24" i="72"/>
  <c r="X20" i="72"/>
  <c r="X16" i="72"/>
  <c r="X12" i="72"/>
  <c r="E9" i="65"/>
  <c r="D9" i="65"/>
  <c r="C9" i="65"/>
  <c r="B9" i="65"/>
  <c r="E48" i="65" l="1"/>
  <c r="D48" i="65"/>
  <c r="C48" i="65"/>
  <c r="B48" i="65"/>
  <c r="E47" i="65"/>
  <c r="D47" i="65"/>
  <c r="C47" i="65"/>
  <c r="B47" i="65"/>
  <c r="E46" i="65"/>
  <c r="D46" i="65"/>
  <c r="C46" i="65"/>
  <c r="B46" i="65"/>
  <c r="E45" i="65"/>
  <c r="D45" i="65"/>
  <c r="C45" i="65"/>
  <c r="B45" i="65"/>
  <c r="E44" i="65"/>
  <c r="D44" i="65"/>
  <c r="C44" i="65"/>
  <c r="B44" i="65"/>
  <c r="E43" i="65"/>
  <c r="D43" i="65"/>
  <c r="C43" i="65"/>
  <c r="B43" i="65"/>
  <c r="E42" i="65"/>
  <c r="D42" i="65"/>
  <c r="C42" i="65"/>
  <c r="B42" i="65"/>
  <c r="E41" i="65"/>
  <c r="D41" i="65"/>
  <c r="C41" i="65"/>
  <c r="B41" i="65"/>
  <c r="E40" i="65"/>
  <c r="D40" i="65"/>
  <c r="C40" i="65"/>
  <c r="B40" i="65"/>
  <c r="E39" i="65"/>
  <c r="D39" i="65"/>
  <c r="C39" i="65"/>
  <c r="B39" i="65"/>
  <c r="E38" i="65"/>
  <c r="D38" i="65"/>
  <c r="C38" i="65"/>
  <c r="B38" i="65"/>
  <c r="E37" i="65"/>
  <c r="D37" i="65"/>
  <c r="C37" i="65"/>
  <c r="B37" i="65"/>
  <c r="E36" i="65"/>
  <c r="D36" i="65"/>
  <c r="C36" i="65"/>
  <c r="B36" i="65"/>
  <c r="E35" i="65"/>
  <c r="D35" i="65"/>
  <c r="C35" i="65"/>
  <c r="B35" i="65"/>
  <c r="E34" i="65"/>
  <c r="D34" i="65"/>
  <c r="C34" i="65"/>
  <c r="B34" i="65"/>
  <c r="E33" i="65"/>
  <c r="D33" i="65"/>
  <c r="C33" i="65"/>
  <c r="B33" i="65"/>
  <c r="E32" i="65"/>
  <c r="D32" i="65"/>
  <c r="C32" i="65"/>
  <c r="B32" i="65"/>
  <c r="E31" i="65"/>
  <c r="D31" i="65"/>
  <c r="C31" i="65"/>
  <c r="B31" i="65"/>
  <c r="E30" i="65"/>
  <c r="D30" i="65"/>
  <c r="C30" i="65"/>
  <c r="B30" i="65"/>
  <c r="E29" i="65"/>
  <c r="D29" i="65"/>
  <c r="C29" i="65"/>
  <c r="B29" i="65"/>
  <c r="E28" i="65"/>
  <c r="D28" i="65"/>
  <c r="C28" i="65"/>
  <c r="B28" i="65"/>
  <c r="E27" i="65"/>
  <c r="D27" i="65"/>
  <c r="C27" i="65"/>
  <c r="B27" i="65"/>
  <c r="E26" i="65"/>
  <c r="D26" i="65"/>
  <c r="C26" i="65"/>
  <c r="B26" i="65"/>
  <c r="E25" i="65"/>
  <c r="D25" i="65"/>
  <c r="C25" i="65"/>
  <c r="B25" i="65"/>
  <c r="E24" i="65"/>
  <c r="D24" i="65"/>
  <c r="C24" i="65"/>
  <c r="B24" i="65"/>
  <c r="E23" i="65"/>
  <c r="D23" i="65"/>
  <c r="C23" i="65"/>
  <c r="B23" i="65"/>
  <c r="E22" i="65"/>
  <c r="D22" i="65"/>
  <c r="C22" i="65"/>
  <c r="B22" i="65"/>
  <c r="E21" i="65"/>
  <c r="D21" i="65"/>
  <c r="C21" i="65"/>
  <c r="B21" i="65"/>
  <c r="E20" i="65"/>
  <c r="D20" i="65"/>
  <c r="C20" i="65"/>
  <c r="B20" i="65"/>
  <c r="E19" i="65"/>
  <c r="D19" i="65"/>
  <c r="C19" i="65"/>
  <c r="B19" i="65"/>
  <c r="E18" i="65"/>
  <c r="D18" i="65"/>
  <c r="C18" i="65"/>
  <c r="B18" i="65"/>
  <c r="E17" i="65"/>
  <c r="D17" i="65"/>
  <c r="C17" i="65"/>
  <c r="B17" i="65"/>
  <c r="E16" i="65"/>
  <c r="D16" i="65"/>
  <c r="C16" i="65"/>
  <c r="B16" i="65"/>
  <c r="E15" i="65"/>
  <c r="D15" i="65"/>
  <c r="C15" i="65"/>
  <c r="B15" i="65"/>
  <c r="E14" i="65"/>
  <c r="D14" i="65"/>
  <c r="C14" i="65"/>
  <c r="B14" i="65"/>
  <c r="E13" i="65"/>
  <c r="D13" i="65"/>
  <c r="C13" i="65"/>
  <c r="E7" i="7" s="1"/>
  <c r="B13" i="65"/>
  <c r="E12" i="65"/>
  <c r="D12" i="65"/>
  <c r="C12" i="65"/>
  <c r="B12" i="65"/>
  <c r="E11" i="65"/>
  <c r="D11" i="65"/>
  <c r="C11" i="65"/>
  <c r="B11" i="65"/>
  <c r="E10" i="65"/>
  <c r="D10" i="65"/>
  <c r="C10" i="65"/>
  <c r="B10" i="65"/>
  <c r="I5" i="7"/>
  <c r="I4" i="7"/>
  <c r="E4" i="7"/>
  <c r="E3" i="7"/>
  <c r="H139" i="7"/>
  <c r="H142" i="7"/>
  <c r="H143" i="7"/>
  <c r="F38" i="7"/>
  <c r="F39" i="7"/>
  <c r="F40" i="7"/>
  <c r="F37" i="7"/>
  <c r="F32" i="7"/>
  <c r="F33" i="7"/>
  <c r="F34" i="7"/>
  <c r="F31" i="7"/>
  <c r="F25" i="7"/>
  <c r="F26" i="7"/>
  <c r="F27" i="7"/>
  <c r="F28" i="7"/>
  <c r="F29" i="7"/>
  <c r="F24" i="7"/>
  <c r="F149" i="7"/>
  <c r="F148" i="7"/>
  <c r="E6" i="7" l="1"/>
  <c r="I3" i="7"/>
  <c r="E78" i="7"/>
  <c r="E107" i="7"/>
  <c r="E51" i="7"/>
  <c r="I108" i="7"/>
  <c r="I52" i="7"/>
  <c r="I79" i="7"/>
  <c r="E106" i="7"/>
  <c r="E50" i="7"/>
  <c r="E77" i="7"/>
  <c r="I78" i="7"/>
  <c r="I107" i="7"/>
  <c r="I51" i="7"/>
  <c r="E109" i="7" l="1"/>
  <c r="E80" i="7"/>
  <c r="E53" i="7"/>
  <c r="E81" i="7"/>
  <c r="E110" i="7"/>
  <c r="E54" i="7"/>
  <c r="I106" i="7"/>
  <c r="I50" i="7"/>
  <c r="I77" i="7"/>
</calcChain>
</file>

<file path=xl/sharedStrings.xml><?xml version="1.0" encoding="utf-8"?>
<sst xmlns="http://schemas.openxmlformats.org/spreadsheetml/2006/main" count="4005" uniqueCount="1132">
  <si>
    <t>Mata Pelajaran</t>
  </si>
  <si>
    <t>Kepala Sekolah</t>
  </si>
  <si>
    <t xml:space="preserve">Nama Sekolah                        </t>
  </si>
  <si>
    <t xml:space="preserve">Kelas                        </t>
  </si>
  <si>
    <t xml:space="preserve">Alamat                       </t>
  </si>
  <si>
    <t xml:space="preserve">Semester                  </t>
  </si>
  <si>
    <t xml:space="preserve">Nama Peserta Didik  </t>
  </si>
  <si>
    <t xml:space="preserve">Nomor Induk/NISN   </t>
  </si>
  <si>
    <t>Pendidikan Agama dan Budi Pekerti</t>
  </si>
  <si>
    <t>Pendidikan Pancasila dan Kewarganegaraan</t>
  </si>
  <si>
    <t>Bahasa Indonesia</t>
  </si>
  <si>
    <t>Matematika</t>
  </si>
  <si>
    <t>Sejarah Indonesia</t>
  </si>
  <si>
    <t>Bahasa Inggris</t>
  </si>
  <si>
    <t>Kelompok B (Wajib)</t>
  </si>
  <si>
    <t>Seni Budaya</t>
  </si>
  <si>
    <t>Pendidikan Jasmani, Olahraga dan Kesehatan</t>
  </si>
  <si>
    <t>Prakarya dan Kewirausahaan</t>
  </si>
  <si>
    <t>Bahasa Jawa</t>
  </si>
  <si>
    <t>Kelompok C (Peminatan)</t>
  </si>
  <si>
    <t>Fisika</t>
  </si>
  <si>
    <t>Kimia</t>
  </si>
  <si>
    <t>Biologi</t>
  </si>
  <si>
    <t>Bahasa Arab</t>
  </si>
  <si>
    <t>Ekstra Kurikuler</t>
  </si>
  <si>
    <t>Ketidakhadiran</t>
  </si>
  <si>
    <t>Sakit</t>
  </si>
  <si>
    <t>hari</t>
  </si>
  <si>
    <t>Izin</t>
  </si>
  <si>
    <t>Tanpa Keterangan</t>
  </si>
  <si>
    <t>No</t>
  </si>
  <si>
    <t>Pengetahuan</t>
  </si>
  <si>
    <t>Keterampilan</t>
  </si>
  <si>
    <t>Nama Peserta Didik</t>
  </si>
  <si>
    <t>No Induk</t>
  </si>
  <si>
    <t>NISN</t>
  </si>
  <si>
    <t>Kelas</t>
  </si>
  <si>
    <t>Nama Wali Kelas</t>
  </si>
  <si>
    <t>Deskripsi</t>
  </si>
  <si>
    <t>Prakarya dan Kewirausahan</t>
  </si>
  <si>
    <t xml:space="preserve">Kimia </t>
  </si>
  <si>
    <t>PAI</t>
  </si>
  <si>
    <t>Nama</t>
  </si>
  <si>
    <t xml:space="preserve">No </t>
  </si>
  <si>
    <t>SMA ABBS Surakarta</t>
  </si>
  <si>
    <t>NIS</t>
  </si>
  <si>
    <t>Kelompok A (Umum)</t>
  </si>
  <si>
    <t>Kelompok B (Umum)</t>
  </si>
  <si>
    <t>II. Lintas Minat dan atau Pendalaman Minat</t>
  </si>
  <si>
    <t>I. Peminatan Matematika dan IPA</t>
  </si>
  <si>
    <t>CAPAIAN HASIL BELAJAR</t>
  </si>
  <si>
    <t>A.</t>
  </si>
  <si>
    <t>Sikap</t>
  </si>
  <si>
    <t>1. Sikap Spiritual</t>
  </si>
  <si>
    <t>2. Sikap Sosial</t>
  </si>
  <si>
    <t>B.</t>
  </si>
  <si>
    <t>Pengetahuan dan Keterampilan</t>
  </si>
  <si>
    <t>Angka</t>
  </si>
  <si>
    <t>C.</t>
  </si>
  <si>
    <t>Ekstrakurikuler</t>
  </si>
  <si>
    <t>Kegiatan Ekstrakurikuler</t>
  </si>
  <si>
    <t>Keterangan</t>
  </si>
  <si>
    <t>D.</t>
  </si>
  <si>
    <t>Prestasi</t>
  </si>
  <si>
    <t>E.</t>
  </si>
  <si>
    <t>F.</t>
  </si>
  <si>
    <t>Catatan Wali Kelas</t>
  </si>
  <si>
    <t>G.</t>
  </si>
  <si>
    <t>Tanggapan Orang Tua/Wali</t>
  </si>
  <si>
    <t>PKn</t>
  </si>
  <si>
    <t>Spiritual</t>
  </si>
  <si>
    <t>Sosial</t>
  </si>
  <si>
    <t>Prestasi 1</t>
  </si>
  <si>
    <t>Prestasi 2</t>
  </si>
  <si>
    <t>Prestasi 3</t>
  </si>
  <si>
    <t>Prestasi 4</t>
  </si>
  <si>
    <t>Keterangan Prestasi</t>
  </si>
  <si>
    <t xml:space="preserve">Thn. Pelajaran       </t>
  </si>
  <si>
    <t>Predikat</t>
  </si>
  <si>
    <t>KKM</t>
  </si>
  <si>
    <t>Deskripsi Pengetahuan dan Keterampilan</t>
  </si>
  <si>
    <t>Aspek</t>
  </si>
  <si>
    <t>Nilai</t>
  </si>
  <si>
    <t>Orang Tua/Wali,</t>
  </si>
  <si>
    <t>Wali Kelas,</t>
  </si>
  <si>
    <t>Kepala Sekolah,</t>
  </si>
  <si>
    <t>Jenis Kegiatan</t>
  </si>
  <si>
    <t>Ekstra Wajib</t>
  </si>
  <si>
    <t>Ekstra Pilihan</t>
  </si>
  <si>
    <t>Huruf</t>
  </si>
  <si>
    <t>Wajib</t>
  </si>
  <si>
    <t>Pilihan</t>
  </si>
  <si>
    <t>Tanpa Kete-rangan</t>
  </si>
  <si>
    <t>Desk.</t>
  </si>
  <si>
    <t>Nilai Sikap</t>
  </si>
  <si>
    <t>Kelompok A (Wajib)</t>
  </si>
  <si>
    <t>Kelompok C Peminatan Matematika dan IPA</t>
  </si>
  <si>
    <t>Kelompok C Lintas Minat</t>
  </si>
  <si>
    <t>Prestasi Siswa</t>
  </si>
  <si>
    <t>Jenis Prestasi (Nama dan Penyelenggara)</t>
  </si>
  <si>
    <t>Keterangan (Juara dan Tingkat)</t>
  </si>
  <si>
    <t>22 Januari 2016</t>
  </si>
  <si>
    <t>Nama Sekolah</t>
  </si>
  <si>
    <t>Alamat</t>
  </si>
  <si>
    <t>Nama Kepsek</t>
  </si>
  <si>
    <t>NIK</t>
  </si>
  <si>
    <t>Tahun Pelajaran</t>
  </si>
  <si>
    <t>Semester</t>
  </si>
  <si>
    <t>DATA SISWA</t>
  </si>
  <si>
    <t>Tanggal Cetak</t>
  </si>
  <si>
    <t>Kelompok A</t>
  </si>
  <si>
    <t>Kelompok B</t>
  </si>
  <si>
    <t>Kelompok C</t>
  </si>
  <si>
    <t>MIPA</t>
  </si>
  <si>
    <t>Lintas Minat</t>
  </si>
  <si>
    <t>(                                                )</t>
  </si>
  <si>
    <t>Pendidikan Pancasila dan Kewarga-negaraan</t>
  </si>
  <si>
    <t>Deskrip-si</t>
  </si>
  <si>
    <t>PPKn</t>
  </si>
  <si>
    <t>Prakarya dan KWU</t>
  </si>
  <si>
    <t>Penjas-orkes</t>
  </si>
  <si>
    <t>Total Score</t>
  </si>
  <si>
    <t>Rank dalam Kelas</t>
  </si>
  <si>
    <t>Kelompok C Peminatan MIPA</t>
  </si>
  <si>
    <t>Kel. C Lintas Minat</t>
  </si>
  <si>
    <t>DAFTAR CATATAN KOMPETENSI SIKAP</t>
  </si>
  <si>
    <t>Klas / Program</t>
  </si>
  <si>
    <t>Waktu</t>
  </si>
  <si>
    <t>Kejadian/Perilaku</t>
  </si>
  <si>
    <t>Butir Sikap</t>
  </si>
  <si>
    <t>(+/-)</t>
  </si>
  <si>
    <t>Tindak Lanjut</t>
  </si>
  <si>
    <t>Miko</t>
  </si>
  <si>
    <t>Membantu membersihkan kantor</t>
  </si>
  <si>
    <t>Percaya diri</t>
  </si>
  <si>
    <t>+</t>
  </si>
  <si>
    <t>Diapresiasi</t>
  </si>
  <si>
    <t>Mengetahui :</t>
  </si>
  <si>
    <t>Guru Mapel</t>
  </si>
  <si>
    <t>SETTING RAPOR</t>
  </si>
  <si>
    <t xml:space="preserve">  Banjarsari, Surakarta</t>
  </si>
  <si>
    <t>Peserta didik sudah menunjukkan sikap mengamalkan ajaran agamanya, konsisten menerapkan sikap santun, jujur, dan mandiri. Tingkatkan rasa ingin tahu dan sikap baik di dalam maupun di luar pembelajaran.</t>
  </si>
  <si>
    <t>Tabel interval predikat berdasar KKM</t>
  </si>
  <si>
    <t>D = Kurang</t>
  </si>
  <si>
    <t>C = Cukup</t>
  </si>
  <si>
    <t>B = Baik</t>
  </si>
  <si>
    <t>A = Sangat Baik</t>
  </si>
  <si>
    <t>nilai &lt; 75</t>
  </si>
  <si>
    <t xml:space="preserve">75 ≤ nilai &lt; 80 </t>
  </si>
  <si>
    <t>80 ≤ nilai &lt; 88</t>
  </si>
  <si>
    <t>88 ≤ nilai ≤ 100</t>
  </si>
  <si>
    <t>A</t>
  </si>
  <si>
    <t>B</t>
  </si>
  <si>
    <t>C</t>
  </si>
  <si>
    <t>D</t>
  </si>
  <si>
    <t>Ahmad Ghozi</t>
  </si>
  <si>
    <t>Ahmad Taufiqur Rahman</t>
  </si>
  <si>
    <t>Akhyar Hidayat Wijayanto</t>
  </si>
  <si>
    <t>Dafi' Andinil Haqqi</t>
  </si>
  <si>
    <t>Didik Zakaria</t>
  </si>
  <si>
    <t>Fachmi Putra Prasetyo</t>
  </si>
  <si>
    <t>Fadhil Muhammad Rayhan Faza</t>
  </si>
  <si>
    <t>Faiq Naufal Ikbar</t>
  </si>
  <si>
    <t>Fatur Rahman Syaiful</t>
  </si>
  <si>
    <t>Hakam Arkham Tegar Prakosa</t>
  </si>
  <si>
    <t>Hakim Nurmalik Zubaidi</t>
  </si>
  <si>
    <t>Harya Muhammad Wijaya</t>
  </si>
  <si>
    <t>Irfan Nur Rohman</t>
  </si>
  <si>
    <t>M. Ikhlasul Amal</t>
  </si>
  <si>
    <t>Maulana Abdul Aziz</t>
  </si>
  <si>
    <t>Mochammad Sadita Setyawan</t>
  </si>
  <si>
    <t>Muhammad Arif Saputra</t>
  </si>
  <si>
    <t>Muhammad Aslamy Al Kautsar</t>
  </si>
  <si>
    <t>Muhammad Iqbal Bagas Gumilar</t>
  </si>
  <si>
    <t>Muhammad Nur Fairuz Yuliawan</t>
  </si>
  <si>
    <t>Muhammad Rafi Wibowo</t>
  </si>
  <si>
    <t>Muhammad Syaffi Nazhir Gunawan</t>
  </si>
  <si>
    <t>Nabil Adli Multazim</t>
  </si>
  <si>
    <t>Naufal Muhammad 'Allam</t>
  </si>
  <si>
    <t>Rangga Aji Satria Yudha</t>
  </si>
  <si>
    <t>Rayhan Adhya Kasturi</t>
  </si>
  <si>
    <t>Syahrial Qhoirul Effendi</t>
  </si>
  <si>
    <t/>
  </si>
  <si>
    <t>Pramuka</t>
  </si>
  <si>
    <t>2014  09 2 095</t>
  </si>
  <si>
    <t>X MIPA ABU DZAR</t>
  </si>
  <si>
    <t>X MIPA M ALFATIH</t>
  </si>
  <si>
    <t>SALMAN AL FARISI</t>
  </si>
  <si>
    <t>X MIPA SHOLAHUDIN</t>
  </si>
  <si>
    <t>X MIPA THORIQ</t>
  </si>
  <si>
    <t>X MIPA U HABIBAH</t>
  </si>
  <si>
    <t>X MIPA U IMAROH</t>
  </si>
  <si>
    <t>X MIPA U KULTSUM</t>
  </si>
  <si>
    <t>X MIPA U MUTHI'AH</t>
  </si>
  <si>
    <t>X MIPA U SALAMAH</t>
  </si>
  <si>
    <t>X MIPA U SAUDAH</t>
  </si>
  <si>
    <t>X MIPA U SULAIM</t>
  </si>
  <si>
    <t>XI MIPA AQSA</t>
  </si>
  <si>
    <t>XI MIPA AZHAR</t>
  </si>
  <si>
    <t>XI MIPA KUFAH</t>
  </si>
  <si>
    <t>XI MIPA NABAWI</t>
  </si>
  <si>
    <t>XI MIPA BADSHAHI</t>
  </si>
  <si>
    <t>XI MIPA HAGIA S</t>
  </si>
  <si>
    <t>X MIPA ISTIQLAL</t>
  </si>
  <si>
    <t>XI MIPA NAMIRA</t>
  </si>
  <si>
    <t>XI MIPA QUBA</t>
  </si>
  <si>
    <t>XII MIPA ADIB</t>
  </si>
  <si>
    <t>XII MIPA 'ALIM</t>
  </si>
  <si>
    <t>XII MIPA AZAM</t>
  </si>
  <si>
    <t>XII MIPA HASIFAH</t>
  </si>
  <si>
    <t>XII MIPA KAMILAH</t>
  </si>
  <si>
    <t>XII MIPA MAHIROH</t>
  </si>
  <si>
    <t>XII MIPA NASYITOH</t>
  </si>
  <si>
    <t>Abdil Syafiq Lorentz Wibisono</t>
  </si>
  <si>
    <t>Afif Naufal Fathin</t>
  </si>
  <si>
    <t>Abib Hilal Agra Pramudana</t>
  </si>
  <si>
    <t>Abid Adib Ahsani</t>
  </si>
  <si>
    <t>Abiyan Euro Rosyid</t>
  </si>
  <si>
    <t>Adila Ufaira Nada Zahirah</t>
  </si>
  <si>
    <t>Alfirda Moqta Darmawan</t>
  </si>
  <si>
    <t>Afra' Al Mumtaz</t>
  </si>
  <si>
    <t>Aisyah Kusuma Wardani</t>
  </si>
  <si>
    <t>Ade Intan Rahmawati</t>
  </si>
  <si>
    <t>Almira Calista</t>
  </si>
  <si>
    <t>Aisyah Humaira</t>
  </si>
  <si>
    <t>Abdurrahman Al Aufa</t>
  </si>
  <si>
    <t>Adhitya Ayesayoga Wibowo</t>
  </si>
  <si>
    <t>Arvel Ghani Abhinaya</t>
  </si>
  <si>
    <t>Anjar Wijayanto</t>
  </si>
  <si>
    <t>Adelia Yoana Iswayani</t>
  </si>
  <si>
    <t>Adelia Nurfani</t>
  </si>
  <si>
    <t>Adinda Chintya Dewi</t>
  </si>
  <si>
    <t>Adilla Salsabella Putri Rosiana</t>
  </si>
  <si>
    <t>Afiqah Alya Nur Sabrina</t>
  </si>
  <si>
    <t>Addin Zidni Nafi'a Susilo</t>
  </si>
  <si>
    <t>Abiyyu Rio Razan</t>
  </si>
  <si>
    <t>Afif Abda Syakur</t>
  </si>
  <si>
    <t>Afina Salma 'Abida</t>
  </si>
  <si>
    <t>Ahsana Nadia Zahra</t>
  </si>
  <si>
    <t>Alya Ramadhani</t>
  </si>
  <si>
    <t>Abiyya Fathanita</t>
  </si>
  <si>
    <t xml:space="preserve">Ahmad Qurquzani </t>
  </si>
  <si>
    <t>Al Hafidz Oktavi Ramadhan</t>
  </si>
  <si>
    <t>Akhmad Bahtiar Jayawardana</t>
  </si>
  <si>
    <t>Achmad Fadlil Pamungkas</t>
  </si>
  <si>
    <t>Ammar Ghiffar Al-Aqib</t>
  </si>
  <si>
    <t>Aisyah Nur Hidayah</t>
  </si>
  <si>
    <t>Dyna Nurhauna Nisa</t>
  </si>
  <si>
    <t>Agil Setia Putri</t>
  </si>
  <si>
    <t>Aisyah Ratri Wulandari</t>
  </si>
  <si>
    <t>Adinda Viona Febriani</t>
  </si>
  <si>
    <t>Aulia Zahra Amalia</t>
  </si>
  <si>
    <t>Alif Sabrina Alfatih</t>
  </si>
  <si>
    <t>Arif Rifqi Ardiyanto</t>
  </si>
  <si>
    <t>Ahmad Yusuf Hermanto</t>
  </si>
  <si>
    <t>Bagus Prayoga</t>
  </si>
  <si>
    <t>Ardian Luqman Adichandra</t>
  </si>
  <si>
    <t>Aisyah Humairo</t>
  </si>
  <si>
    <t>Ajeng Sayidah Wardani</t>
  </si>
  <si>
    <t>Adinda Zahrin Nisrina Naura</t>
  </si>
  <si>
    <t>Agustin Putri Perdana</t>
  </si>
  <si>
    <t>Alvina Berta Raisah</t>
  </si>
  <si>
    <t>Ali Muhajir Ansori Idhar</t>
  </si>
  <si>
    <t>Achmad Adib Naufal</t>
  </si>
  <si>
    <t>Agta Husni Fadhly</t>
  </si>
  <si>
    <t>Aisyah Nur Salsabila Az - Zahra</t>
  </si>
  <si>
    <t>Aisyah Sajida</t>
  </si>
  <si>
    <t>Anggun Retno Utami</t>
  </si>
  <si>
    <t>Adinda Destyana Kusumawardhani</t>
  </si>
  <si>
    <t>Alby Raditya Putra</t>
  </si>
  <si>
    <t>Anif Punto Adhi</t>
  </si>
  <si>
    <t>Ahmad Hafidz Yuniansa</t>
  </si>
  <si>
    <t>Arya Bintang Cahyono</t>
  </si>
  <si>
    <t>Bugar Ridho Pangestu</t>
  </si>
  <si>
    <t>Amalia Nur Azizah</t>
  </si>
  <si>
    <t>Fatimah Nur Alfiani</t>
  </si>
  <si>
    <t>Anggraini Shinta Wardani</t>
  </si>
  <si>
    <t>Anugrah Indirasiwi</t>
  </si>
  <si>
    <t>Aine Lilla Nurahmania</t>
  </si>
  <si>
    <t>Balqis Amalia Putri</t>
  </si>
  <si>
    <t>Alisha Setyawan</t>
  </si>
  <si>
    <t>Brilian Fatahillah</t>
  </si>
  <si>
    <t>Ahsan Rasendriya</t>
  </si>
  <si>
    <t>Bunayya Ridwan Nasution</t>
  </si>
  <si>
    <t>Arkan Dwi Cahyo Fauzananto</t>
  </si>
  <si>
    <t>Annisa Lathifah Muthmainah</t>
  </si>
  <si>
    <t>Ananda Sukma Tri Rahma Siwi</t>
  </si>
  <si>
    <t>Airin Vaniadestia</t>
  </si>
  <si>
    <t>Aleyda Salsa Sabillawati</t>
  </si>
  <si>
    <t>Annisa Azhar</t>
  </si>
  <si>
    <t>Amrico Afgan Fajri Rumagit</t>
  </si>
  <si>
    <t>Adam Ramadhan Firdaus</t>
  </si>
  <si>
    <t>Ahmad Fathan Hanif</t>
  </si>
  <si>
    <t>Alifa Choirun Nisa</t>
  </si>
  <si>
    <t>Annisa Hasna Ayu Luffita</t>
  </si>
  <si>
    <t>Austazdhah Aulia Oktafia</t>
  </si>
  <si>
    <t>Aisa Anggun Shafira</t>
  </si>
  <si>
    <t>Anugrah Akbar Rosyid Prabowo</t>
  </si>
  <si>
    <t>Aufa Lazuardi Sulaiman</t>
  </si>
  <si>
    <t>Aldiansyah Rahma Mahendra Putra</t>
  </si>
  <si>
    <t>Davin Habibie Rahman</t>
  </si>
  <si>
    <t>Detak Dailsi Ahmad Azzam</t>
  </si>
  <si>
    <t>Andina Hurinnisa</t>
  </si>
  <si>
    <t>Hasna Ruwaida Annisa</t>
  </si>
  <si>
    <t>Annisa Salsabila Nurussalma</t>
  </si>
  <si>
    <t>Asy Syifa Nada Afifah</t>
  </si>
  <si>
    <t>Ananda Intan Hisana</t>
  </si>
  <si>
    <t>Ezra Aulia Najwa Dewi</t>
  </si>
  <si>
    <t>Amanda Julian Pratiwi</t>
  </si>
  <si>
    <t>Damar Jati Pamungkas</t>
  </si>
  <si>
    <t>Ahsani Taufiq Khawarizmi</t>
  </si>
  <si>
    <t>Daisuke Bijak Kawashima</t>
  </si>
  <si>
    <t>Aufa Faza Fauzan Farma</t>
  </si>
  <si>
    <t>Arum Fathiha Setyani</t>
  </si>
  <si>
    <t>Annisa Mumtaz Karima</t>
  </si>
  <si>
    <t>Ajeng Safrina Danuwati</t>
  </si>
  <si>
    <t>Alivia Kusuma Reza</t>
  </si>
  <si>
    <t>Annisa Hanif</t>
  </si>
  <si>
    <t>Candra Luqman Kurniawan</t>
  </si>
  <si>
    <t>Amalia Dwi Oktaviani</t>
  </si>
  <si>
    <t>Ardisya Ifala Al Shofaida</t>
  </si>
  <si>
    <t>Berliana Puteri Husnul Khotimah</t>
  </si>
  <si>
    <t>Alifia Tita Maharani</t>
  </si>
  <si>
    <t>Farras I'zaaz Fadhlurrohman</t>
  </si>
  <si>
    <t>Fadli Akbar Hardhito</t>
  </si>
  <si>
    <t>Alfian Hakim Restu Putra</t>
  </si>
  <si>
    <t>Dhimas Indra Pratama</t>
  </si>
  <si>
    <t>Dzaky Atha Legawa</t>
  </si>
  <si>
    <t>Annisa Fatika Ayu Larasati</t>
  </si>
  <si>
    <t>Indah Putriyani Harahap</t>
  </si>
  <si>
    <t>Aswa Arsa Kumala</t>
  </si>
  <si>
    <t>Aulia Firstiniesya</t>
  </si>
  <si>
    <t>Angelia Kurnia Saputri</t>
  </si>
  <si>
    <t>Fatihah Nasywa Hamidah</t>
  </si>
  <si>
    <t>Amelia Risqi Yanuarisa</t>
  </si>
  <si>
    <t>Dzaky Pandya Wikrama Utomo</t>
  </si>
  <si>
    <t>Alden Ganendra Madhava Priya Hardianto</t>
  </si>
  <si>
    <t>Faishal Luthfiansyah</t>
  </si>
  <si>
    <t>Bagas Prianggono</t>
  </si>
  <si>
    <t>Assafinah Zahro</t>
  </si>
  <si>
    <t>Arisya Dwiana Nevaditta</t>
  </si>
  <si>
    <t>Alfiyah Intan Nurani Nur Budi Asalam</t>
  </si>
  <si>
    <t>Aliya Diani Nur Fauziah</t>
  </si>
  <si>
    <t>Az Zahra Rajwa Taufiqah</t>
  </si>
  <si>
    <t>Andre Dwi Putra</t>
  </si>
  <si>
    <t>Ahmad Rafi Adnanta</t>
  </si>
  <si>
    <t>Amelia Gizzela Sheehan Auni</t>
  </si>
  <si>
    <t>Asna Syahrani</t>
  </si>
  <si>
    <t>Cindiyola Hana Pungky</t>
  </si>
  <si>
    <t>Annisa Raudhatul Jannah</t>
  </si>
  <si>
    <t>Faruq Dzulfikr</t>
  </si>
  <si>
    <t>Faiq Nurrohim</t>
  </si>
  <si>
    <t>Asher Fawwas Adzka</t>
  </si>
  <si>
    <t>Elrey Naufal Hidayat</t>
  </si>
  <si>
    <t>Faiq Aryandi Sofyan</t>
  </si>
  <si>
    <t>Arifia Fitrianni Ma'ruf</t>
  </si>
  <si>
    <t>Intan Nur Fadhilah</t>
  </si>
  <si>
    <t>Aulia Fitri Ramadhani</t>
  </si>
  <si>
    <t>Clara Adhani Aulia Febrina</t>
  </si>
  <si>
    <t>Anindya Maghfira Zain</t>
  </si>
  <si>
    <t>Fazila Nisa Arianto</t>
  </si>
  <si>
    <t>Amira Izza Farnanda</t>
  </si>
  <si>
    <t>Farid Rafif Fakhruddin</t>
  </si>
  <si>
    <t>Alifuddin Aqilla Rahman</t>
  </si>
  <si>
    <t>Ferdinand Bima Anggara</t>
  </si>
  <si>
    <t>Bima Aji Harjono</t>
  </si>
  <si>
    <t>Ayu Sekar Trinastiti</t>
  </si>
  <si>
    <t>Baladiva Keysha Maheswari</t>
  </si>
  <si>
    <t>Alifah Inas Nurazizah</t>
  </si>
  <si>
    <t>Aninda Wardani Putri</t>
  </si>
  <si>
    <t>Belva Khanza Iftinan</t>
  </si>
  <si>
    <t>Fadhlan Dinan Oktavian</t>
  </si>
  <si>
    <t>Arsalan Amri Rakhshan Jaan Van Der Pol</t>
  </si>
  <si>
    <t>Anindya Dian Azhaari</t>
  </si>
  <si>
    <t>Atika Maulida Azzahra</t>
  </si>
  <si>
    <t>Cindy Puspitasari</t>
  </si>
  <si>
    <t>Aulia Hana Zahiyya</t>
  </si>
  <si>
    <t>Habib Nurrochman</t>
  </si>
  <si>
    <t>Ilham Adhiyatma Yuwono</t>
  </si>
  <si>
    <t>Bintang Ardi Nur Nugraha</t>
  </si>
  <si>
    <t>Faiqqiya Rafif Amanullah</t>
  </si>
  <si>
    <t>Fajar Nurrohman</t>
  </si>
  <si>
    <t>Aziza Laila Fitrianti</t>
  </si>
  <si>
    <t>Masyithoh Nirmala Sari</t>
  </si>
  <si>
    <t>Auna Najwa Salsabilla</t>
  </si>
  <si>
    <t>Dina Mulinda</t>
  </si>
  <si>
    <t>Annisa Ardhiana EP</t>
  </si>
  <si>
    <t>Fikriagsys Hindun Hamidah</t>
  </si>
  <si>
    <t>Anandyna Fathiya Azzahra</t>
  </si>
  <si>
    <t>Fariz Muhammad Abiyyu</t>
  </si>
  <si>
    <t>Alvian Arya Prayuda</t>
  </si>
  <si>
    <t>Khoiril Danastio Wijayanto</t>
  </si>
  <si>
    <t>Cahya Susilo</t>
  </si>
  <si>
    <t>Elfa Shabrina Hudallaila</t>
  </si>
  <si>
    <t>Bilqis Najwa Dzakia</t>
  </si>
  <si>
    <t>Aqila Naila Nur</t>
  </si>
  <si>
    <t>Aulia Nurrohmah</t>
  </si>
  <si>
    <t>Dela Amanda</t>
  </si>
  <si>
    <t>Fajar Ramadhan Patty</t>
  </si>
  <si>
    <t>Damar Ariefin</t>
  </si>
  <si>
    <t>Alfian Asyam Nur Afnan</t>
  </si>
  <si>
    <t>Anis Riska Makrifatul Choiroh</t>
  </si>
  <si>
    <t>Atthiyah Gisca Ahsya</t>
  </si>
  <si>
    <t>Fadhila Zahra Arika</t>
  </si>
  <si>
    <t>Bella Naura Mutia Khansa</t>
  </si>
  <si>
    <t>Muhammad Rizqon Nafi</t>
  </si>
  <si>
    <t>Jahfal Tora</t>
  </si>
  <si>
    <t>Darell Afinaf Hibatullah</t>
  </si>
  <si>
    <t>Farhan Wildan Al Fadhil</t>
  </si>
  <si>
    <t>Fikry Abdul Rozak</t>
  </si>
  <si>
    <t>Azkia Shafa Ar Rahma</t>
  </si>
  <si>
    <t>Meitari Kendra Maharani</t>
  </si>
  <si>
    <t>Elmalia Putri Khusnul Khotimah</t>
  </si>
  <si>
    <t>Farah Aprilia Hidayanti</t>
  </si>
  <si>
    <t>Annisa Fitriany Lulu Ul Hasanah</t>
  </si>
  <si>
    <t>Hasna Fairuz Zakia</t>
  </si>
  <si>
    <t>Annisa Risqi Rahmawati</t>
  </si>
  <si>
    <t>Fathin Thariq Wiyono</t>
  </si>
  <si>
    <t>Arkan Aulia Hafiz</t>
  </si>
  <si>
    <t>Mahdi Syahputra Imam</t>
  </si>
  <si>
    <t>Faiz Adib Bafana</t>
  </si>
  <si>
    <t>Fathia Dini Syamila</t>
  </si>
  <si>
    <t>Clarissa Anggraini</t>
  </si>
  <si>
    <t>Athaayaa Fausta Dyrianjaso</t>
  </si>
  <si>
    <t>Avivaya Mustika</t>
  </si>
  <si>
    <t>Fariha Najda Fiaunillah</t>
  </si>
  <si>
    <t>Daffa Aqila Fadhurrahman</t>
  </si>
  <si>
    <t>Annisa Fairuz Shafa Hendrawan</t>
  </si>
  <si>
    <t>Beta Istiqomiyati Kim</t>
  </si>
  <si>
    <t>Fadiyah Hasna</t>
  </si>
  <si>
    <t>Cindai Luih Jelawardi</t>
  </si>
  <si>
    <t>Muhammad Atid Dafa</t>
  </si>
  <si>
    <t>Muhammad Alim Firmansyah</t>
  </si>
  <si>
    <t>Devara Arwin Anindhito</t>
  </si>
  <si>
    <t>Hasbin Muafi</t>
  </si>
  <si>
    <t>Ibrahim Alif Zidan</t>
  </si>
  <si>
    <t>Chelsy Naristya Adiesti Utomo</t>
  </si>
  <si>
    <t>Nabila Fasya Kamila</t>
  </si>
  <si>
    <t>Fakhirah Febriana Putri</t>
  </si>
  <si>
    <t>Haidar Salsabila Zahrah</t>
  </si>
  <si>
    <t>Astri Mahsa Elvarita</t>
  </si>
  <si>
    <t>Muna Rozinata</t>
  </si>
  <si>
    <t>Astrida Zahwa Filmasally</t>
  </si>
  <si>
    <t>Fauzi Akhiru Ramadhan</t>
  </si>
  <si>
    <t>Daffa Fadlila Setya Meunasah</t>
  </si>
  <si>
    <t>Mohammad Binawa Anoraga</t>
  </si>
  <si>
    <t>Ilham Azhar Raihan Rahmanul Hakim</t>
  </si>
  <si>
    <t>Gendis Safira Ardana</t>
  </si>
  <si>
    <t>Diannisa Ghina Savitri</t>
  </si>
  <si>
    <t>Aurum Latifah Azzahra</t>
  </si>
  <si>
    <t>Citra Pramesti</t>
  </si>
  <si>
    <t>Giatri</t>
  </si>
  <si>
    <t>Arifka Farah Husna</t>
  </si>
  <si>
    <t>Cut Meutia Chalifatunnisa</t>
  </si>
  <si>
    <t>Ida Putri Rahayu</t>
  </si>
  <si>
    <t>Dwi Nur Aisyah</t>
  </si>
  <si>
    <t>Muhammad Ilham</t>
  </si>
  <si>
    <t>Muhammad Athallah Fikri</t>
  </si>
  <si>
    <t>Dhiyaa' Ahnaf Hariyanta</t>
  </si>
  <si>
    <t>Mawla Afadha Yunas</t>
  </si>
  <si>
    <t>Jovani Ardian Maulana</t>
  </si>
  <si>
    <t>Dinna Andini Maulidia</t>
  </si>
  <si>
    <t>Nadya Qisti Fida Ghossani</t>
  </si>
  <si>
    <t>Fathi Farah Aulia Yasmin</t>
  </si>
  <si>
    <t>Khaisya Salsabila</t>
  </si>
  <si>
    <t>Aura Fadhila Kusumaningtyas</t>
  </si>
  <si>
    <t>Mustiska Nurhalizda Tania Laukin</t>
  </si>
  <si>
    <t>Azizah Neysa Ar Rizky</t>
  </si>
  <si>
    <t>Hafidz Syahid Ilmansyah</t>
  </si>
  <si>
    <t>Dery Hafiz Satria</t>
  </si>
  <si>
    <t>Muhammad Andhika Rayhan Hidayat</t>
  </si>
  <si>
    <t>M. Raafi Alvian Kusuma</t>
  </si>
  <si>
    <t>Hazima Salsabila Arifin</t>
  </si>
  <si>
    <t>Faiqotul Himmah</t>
  </si>
  <si>
    <t>Davinka Aliyya Suprihono</t>
  </si>
  <si>
    <t>Frisca Cindy Anggraini</t>
  </si>
  <si>
    <t>Hana Anwar Baraja</t>
  </si>
  <si>
    <t>Irfan Fauzi</t>
  </si>
  <si>
    <t>Hikmatiar Yusril Hanif</t>
  </si>
  <si>
    <t>Bela Puspita</t>
  </si>
  <si>
    <t>Desita Amalia Hayatun Najah</t>
  </si>
  <si>
    <t>Juwita Maghfiranti</t>
  </si>
  <si>
    <t>Farah Zhafirah</t>
  </si>
  <si>
    <t>Muhammad Jibran</t>
  </si>
  <si>
    <t>Muhammad Azmi Ghozi Ramadhan</t>
  </si>
  <si>
    <t>Faiz Aditya Anggit Pratama</t>
  </si>
  <si>
    <t>Muhammad Fajri</t>
  </si>
  <si>
    <t>Maharsi Galih Raditya Taqwa</t>
  </si>
  <si>
    <t>Farah Mutia Arrohma</t>
  </si>
  <si>
    <t>Nasva Fadila Eltari Putri</t>
  </si>
  <si>
    <t>Fatima Inggar Heno Putriana</t>
  </si>
  <si>
    <t>Khurin Zakiyyah</t>
  </si>
  <si>
    <t>Bella Syahquilla Az Zahra</t>
  </si>
  <si>
    <t>Nabila Ula Nugraeni</t>
  </si>
  <si>
    <t>Callula Putri Abiyu</t>
  </si>
  <si>
    <t>Irfan Zulkarnaen Anas</t>
  </si>
  <si>
    <t>Dimas Pramudiansyah Saputra</t>
  </si>
  <si>
    <t>Muhammad Aryaseto Hartanto</t>
  </si>
  <si>
    <t>Maulana Zidan Perwira Negara</t>
  </si>
  <si>
    <t>Ika Nursyahbani Kiranasari</t>
  </si>
  <si>
    <t>Fathimah Az Zahra</t>
  </si>
  <si>
    <t>Emilia Kurnia Dewi</t>
  </si>
  <si>
    <t>Hanifa Queen</t>
  </si>
  <si>
    <t>Hanani Adeliya Hasyim</t>
  </si>
  <si>
    <t>Leonardo Saputro Handoyo</t>
  </si>
  <si>
    <t>Imam Fathoni Nur Hakim</t>
  </si>
  <si>
    <t>Evita Marcella Diastuti</t>
  </si>
  <si>
    <t>Fadhilah Nurluthfi Sari</t>
  </si>
  <si>
    <t>Karina Shafani Farrosa</t>
  </si>
  <si>
    <t>Farrah Diva Astuti</t>
  </si>
  <si>
    <t>Muhammad Naufaldo Aritedjo</t>
  </si>
  <si>
    <t>Muhammad Fildzah Faais</t>
  </si>
  <si>
    <t>Fakhrul Zidan Nurrohman</t>
  </si>
  <si>
    <t>Muhammad Rafi Athallah</t>
  </si>
  <si>
    <t>Mizaj Zanjabila Haq</t>
  </si>
  <si>
    <t>Farida Alya Malayu</t>
  </si>
  <si>
    <t>Naswa Ibtihal Nafi'ah</t>
  </si>
  <si>
    <t>Garnisa Febriastika Chaterin Nastiti</t>
  </si>
  <si>
    <t>Laksita Ayu Latifa</t>
  </si>
  <si>
    <t>Belva Alisha Hasna</t>
  </si>
  <si>
    <t>Nadia Amalia Salsabila</t>
  </si>
  <si>
    <t>Fasyalda Alfitria Maharani</t>
  </si>
  <si>
    <t>Irham Asfahani</t>
  </si>
  <si>
    <t>Garda Muhammad Faqih Abdillah Sutikno</t>
  </si>
  <si>
    <t>Muhammad Audaffa Fairuz Fuad</t>
  </si>
  <si>
    <t>Muhammad Alfaatih Salsabila</t>
  </si>
  <si>
    <t>Iliyaul Amali</t>
  </si>
  <si>
    <t>Irish Nur Fayza</t>
  </si>
  <si>
    <t>Fadhillah Firly Rachmawati</t>
  </si>
  <si>
    <t>Heigy Averosa Fitriani Bakri</t>
  </si>
  <si>
    <t>Inayah Latifatun Nisa</t>
  </si>
  <si>
    <t>Khaerazul Sevi Dian Nusa</t>
  </si>
  <si>
    <t>Hanandysa Rayhan Fadhlurrohman</t>
  </si>
  <si>
    <t>Fadhila Annisa Suci</t>
  </si>
  <si>
    <t>Fatih Erika Rahmah</t>
  </si>
  <si>
    <t>Larasati Amandha Praptiwi</t>
  </si>
  <si>
    <t>Muhammad Rafi Rohmatullah</t>
  </si>
  <si>
    <t>Muhammad Marsa Syauqi</t>
  </si>
  <si>
    <t>Hasyim Muhammad Nasir</t>
  </si>
  <si>
    <t>Muhammad Raihan Maulana</t>
  </si>
  <si>
    <t>Muhammad Luthfi Dharmawan</t>
  </si>
  <si>
    <t>Fidela Fairuz Zulfaa</t>
  </si>
  <si>
    <t>Nasywa Widika Salma Putri</t>
  </si>
  <si>
    <t>Hawazin Rachma Nur Annisa</t>
  </si>
  <si>
    <t>Marshalena Falihah</t>
  </si>
  <si>
    <t>Dhiyaa Almaasah Hibatullah</t>
  </si>
  <si>
    <t>Nafasha Wenanditya Putri</t>
  </si>
  <si>
    <t>Faza Adha Nafiah</t>
  </si>
  <si>
    <t>Muhammad Affin Ghifari</t>
  </si>
  <si>
    <t>Ghazy Fawwaz Sunindito</t>
  </si>
  <si>
    <t>Muhammad Fachrizal Nirwasita</t>
  </si>
  <si>
    <t>Muhammad Alif Kurnawan</t>
  </si>
  <si>
    <t>Irma Jauza Heriaskalma</t>
  </si>
  <si>
    <t>Isro Fajariya Hafizha</t>
  </si>
  <si>
    <t>Fatkhiya Rahmawati Fauziah Hidayat</t>
  </si>
  <si>
    <t>Inggrid Rimadona Jamaludin</t>
  </si>
  <si>
    <t>Inayah Ramadani Baharuddin</t>
  </si>
  <si>
    <t>Maulana Nur Ridwan Prakosa</t>
  </si>
  <si>
    <t>Lembah Samudra</t>
  </si>
  <si>
    <t>Handika Nur Rohman</t>
  </si>
  <si>
    <t>Hiyarunnisa Kahes Waypi</t>
  </si>
  <si>
    <t>Febri Fatika Sari</t>
  </si>
  <si>
    <t>Marsandha Azzahra Paramita</t>
  </si>
  <si>
    <t>Halisa Giri Artha</t>
  </si>
  <si>
    <t>Muhammad Zaid Abdul Karim</t>
  </si>
  <si>
    <t>Muhammad Nibraskanz R</t>
  </si>
  <si>
    <t>Jibril Anjad Taqjud</t>
  </si>
  <si>
    <t>Muhammad Satrio Gandhi</t>
  </si>
  <si>
    <t>Muhammad Rafif Budi  Haryanto</t>
  </si>
  <si>
    <t>Hasna 'Afifatun Shabirah</t>
  </si>
  <si>
    <t>Ni'mah Afifah Armalia</t>
  </si>
  <si>
    <t>Hida Pratiwi</t>
  </si>
  <si>
    <t>Mutiara Rani Pawestri</t>
  </si>
  <si>
    <t>Diandra Chaerunissa</t>
  </si>
  <si>
    <t>Najmi Hunafa</t>
  </si>
  <si>
    <t>Hafizha Nahda Taqiyya</t>
  </si>
  <si>
    <t>Muhammad Zaki Nur Rahman</t>
  </si>
  <si>
    <t>Ilham Shollahuddin</t>
  </si>
  <si>
    <t>Muhammad Hanip Nurrahman</t>
  </si>
  <si>
    <t>Muhammad Ar Rafi</t>
  </si>
  <si>
    <t>Jihan Muthi'ah Amatulloh</t>
  </si>
  <si>
    <t>Jauza Lathifah Annassalafi</t>
  </si>
  <si>
    <t>Firdaus Fillia Rossa</t>
  </si>
  <si>
    <t>Kharisma Dwi Anggraheni</t>
  </si>
  <si>
    <t>Iqlima Fitria Kayyis</t>
  </si>
  <si>
    <t>Muhammad Albar Sultoni</t>
  </si>
  <si>
    <t>Marco Sajid Aristo Haniputra</t>
  </si>
  <si>
    <t>Icha Haniaziza</t>
  </si>
  <si>
    <t>Galuh Herin Faranisa</t>
  </si>
  <si>
    <t>Milati Darmastuti</t>
  </si>
  <si>
    <t>Jane Abell</t>
  </si>
  <si>
    <t>Naufal Aftabuddin Putra Pranama</t>
  </si>
  <si>
    <t>Muhammad Rifani Azward</t>
  </si>
  <si>
    <t>Kurnia Mahendra Setya Abdi</t>
  </si>
  <si>
    <t>Muhammad Zaki Rajendra Aghasya</t>
  </si>
  <si>
    <t>Muhammad Rizaldi Kuncoro</t>
  </si>
  <si>
    <t>Hasna Mazaya</t>
  </si>
  <si>
    <t>Nisrina Hasna Az Zahra</t>
  </si>
  <si>
    <t>Irbah Rakha Citratsani</t>
  </si>
  <si>
    <t>Naila Zahida</t>
  </si>
  <si>
    <t>Fizca Anfidhia Zulfa</t>
  </si>
  <si>
    <t>Nia Cahaya Murni</t>
  </si>
  <si>
    <t>Jasmine Alia Rahma</t>
  </si>
  <si>
    <t>Mulqiyati Zikra</t>
  </si>
  <si>
    <t>Izza Ramadhani Setiyanto</t>
  </si>
  <si>
    <t>Muhammad Ilham Abdurrahman</t>
  </si>
  <si>
    <t>Muhammad Arfi Ramanda</t>
  </si>
  <si>
    <t>Lina Nur Fatimah</t>
  </si>
  <si>
    <t>Juwita Ayu Widiawati</t>
  </si>
  <si>
    <t>Galuh</t>
  </si>
  <si>
    <t>Lady Noor Majid</t>
  </si>
  <si>
    <t>Iriswanda Dian Pavita</t>
  </si>
  <si>
    <t>Muhammad Athallah Adianto</t>
  </si>
  <si>
    <t>Muhammad Amar Bil Qisti</t>
  </si>
  <si>
    <t>Irfan Hanif</t>
  </si>
  <si>
    <t>Intan Nabila Laksita</t>
  </si>
  <si>
    <t>Intan Nur Hidayati</t>
  </si>
  <si>
    <t>Muthia Nayla Szaldi</t>
  </si>
  <si>
    <t>Jihida Riska Shalehah</t>
  </si>
  <si>
    <t>Qeis Ar Rosyid</t>
  </si>
  <si>
    <t>Muhammad Zainul Arifin</t>
  </si>
  <si>
    <t>Luthfi Kresna Hariz Mustaqim</t>
  </si>
  <si>
    <t>Nathan Gadang Widyatamaka</t>
  </si>
  <si>
    <t>Muhammad Zaidan Zaki</t>
  </si>
  <si>
    <t>Mauliddina Adinda Putri Indah Pakerti</t>
  </si>
  <si>
    <t>Puti Rana Hanaunnuha</t>
  </si>
  <si>
    <t>Kanaya Keisya Oi Tsamarakavia  Az Zahra</t>
  </si>
  <si>
    <t>Nindya Gina Sangniti Nagari</t>
  </si>
  <si>
    <t>Hafidzatunnisa Nurin Fajrina</t>
  </si>
  <si>
    <t>Nikmatul Maula</t>
  </si>
  <si>
    <t>Kayla Meidina Fadyasari</t>
  </si>
  <si>
    <t>Naufal Rafid Ardanu</t>
  </si>
  <si>
    <t>Kevin Hidayatullah Djama</t>
  </si>
  <si>
    <t>Muhammad Ilham Fajrulfalah</t>
  </si>
  <si>
    <t>Muhammad Arief Fathur Rahman</t>
  </si>
  <si>
    <t>Mahilda Ainieza</t>
  </si>
  <si>
    <t>Koirunnisaa' Azzahro</t>
  </si>
  <si>
    <t>Galuh Malakiano</t>
  </si>
  <si>
    <t>Laurent Carolina Azizah</t>
  </si>
  <si>
    <t>Isna Rihhadatul Aisy</t>
  </si>
  <si>
    <t>Muhammad Fadhil Ihsan</t>
  </si>
  <si>
    <t>Jihida Riski Shalehah</t>
  </si>
  <si>
    <t>Lina Wafa'ul Hikmah</t>
  </si>
  <si>
    <t>Nabila Ikbar Kamila</t>
  </si>
  <si>
    <t>Kiren Irel Mirza Yafi' Syarafana</t>
  </si>
  <si>
    <t>Rafi Abiyyu Ramadhan</t>
  </si>
  <si>
    <t>Naufal Dwiharsya Suryo Yudhanto</t>
  </si>
  <si>
    <t>Muhammad Muchlisin Habibie</t>
  </si>
  <si>
    <t>Restu Kurnia Sanjaya</t>
  </si>
  <si>
    <t>N.M. Briva Rizky O.M</t>
  </si>
  <si>
    <t>Nafisa Rafi Azumah</t>
  </si>
  <si>
    <t>Rhapsodya Sekar Ratu Kedaton</t>
  </si>
  <si>
    <t>Naia Fitri Meutia Sutarto</t>
  </si>
  <si>
    <t>Nisa Salsabila Hakim</t>
  </si>
  <si>
    <t>Lutfi Adelia Maisaroh</t>
  </si>
  <si>
    <t>Novinda Cantika Rahmadhani</t>
  </si>
  <si>
    <t>Keisha Naila Adiba</t>
  </si>
  <si>
    <t>Raihan Fadzlurrahman</t>
  </si>
  <si>
    <t>Leonard Yassar Afram</t>
  </si>
  <si>
    <t>Muhammad Ilham Muttaqin</t>
  </si>
  <si>
    <t>Muhammad Azmal Fahri</t>
  </si>
  <si>
    <t>Maritza Lutfiah Rafa Hardian</t>
  </si>
  <si>
    <t>Maula Alsasya Azahra Putri</t>
  </si>
  <si>
    <t>Gayung Ayatillah Annur</t>
  </si>
  <si>
    <t>Lintang Atikasari Frisanudin</t>
  </si>
  <si>
    <t>Khalisa Dhiya Amani</t>
  </si>
  <si>
    <t>Muhammad Hilmi Luqman Hakim</t>
  </si>
  <si>
    <t>Luthfyannisa' Nur Azizah</t>
  </si>
  <si>
    <t>Luthfi Anidya Putri Az-Zahra</t>
  </si>
  <si>
    <t>Nida' Mujahidah Addiini</t>
  </si>
  <si>
    <t>Levyna Zahryne Hanida Qyntara</t>
  </si>
  <si>
    <t>Raihan Abiyu Darda</t>
  </si>
  <si>
    <t>Naufal Muhammad Agna Fahreza</t>
  </si>
  <si>
    <t>Muhammad Shyahrul Fadhli</t>
  </si>
  <si>
    <t>Rian Darmawan</t>
  </si>
  <si>
    <t>Naufal Asykar Qiyada</t>
  </si>
  <si>
    <t>Nasywa Nurina Hidayat</t>
  </si>
  <si>
    <t>Saraswati Tienssafrina Lorenz</t>
  </si>
  <si>
    <t>Naurah Athyyah Ramadhani</t>
  </si>
  <si>
    <t>Saffanah Kamila Salsabila</t>
  </si>
  <si>
    <t>Muthi'a Rihadatul Aisyi</t>
  </si>
  <si>
    <t>Putri Shania Nashwa Utama</t>
  </si>
  <si>
    <t>Laili Nabila Putri</t>
  </si>
  <si>
    <t>Rajiv Noor Said</t>
  </si>
  <si>
    <t>Muhammad Abdul Aziz</t>
  </si>
  <si>
    <t>Muhammad Rafii Putraemas Donny</t>
  </si>
  <si>
    <t>Muhammad Fajri Firdausi</t>
  </si>
  <si>
    <t>Mukarramah Ayu Winasis</t>
  </si>
  <si>
    <t>Nabila Putri Rihan</t>
  </si>
  <si>
    <t>Hayina Ulfa Sabila</t>
  </si>
  <si>
    <t>Mahadewi Antika Salsabila</t>
  </si>
  <si>
    <t>Mariah Salsabila Setiadi</t>
  </si>
  <si>
    <t>Muhammad Fadhil Mu'afa</t>
  </si>
  <si>
    <t>Masyita Asna Rosyida</t>
  </si>
  <si>
    <t>Mahira Shafiya Nada</t>
  </si>
  <si>
    <t>Noorida Shafa Inayah Janan</t>
  </si>
  <si>
    <t>Nur Alfiyah Zaizafun</t>
  </si>
  <si>
    <t>Rifqi Hamzah Yugi Nasrullah</t>
  </si>
  <si>
    <t>Nazer Muhammad Noor</t>
  </si>
  <si>
    <t>Muhammad Yudha Setiawan</t>
  </si>
  <si>
    <t>Rizqi Agung Nugraha</t>
  </si>
  <si>
    <t>Restu Nurhusodo</t>
  </si>
  <si>
    <t>Nikita Farah Andrea</t>
  </si>
  <si>
    <t>Shofi Berliyan Khusnul Hardini</t>
  </si>
  <si>
    <t>Ndaru Salma Rahmadani</t>
  </si>
  <si>
    <t>Sekar Khairunnisa</t>
  </si>
  <si>
    <t>Naila Azahra</t>
  </si>
  <si>
    <t>Refiana Aziizu</t>
  </si>
  <si>
    <t>Lilybrigandi Brigita Maudy</t>
  </si>
  <si>
    <t>Rifa'i Arva Irianto</t>
  </si>
  <si>
    <t>Muhammad Didat Wiradhyaksa</t>
  </si>
  <si>
    <t>Muhammad Rizal Musyaffa</t>
  </si>
  <si>
    <t>Muhammad Ghozy Diena Hilmy Elfawas</t>
  </si>
  <si>
    <t>Nafa Zulfanda Dewi</t>
  </si>
  <si>
    <t>Nadhifa Tsabita Arlia Putri</t>
  </si>
  <si>
    <t>Hayyu Haqqu Zazqia Valsa</t>
  </si>
  <si>
    <t>Nabila Apriyanto</t>
  </si>
  <si>
    <t>Marisa Fatwa</t>
  </si>
  <si>
    <t>Muhammad Naufal Hakim</t>
  </si>
  <si>
    <t>Muhammad Faishal Fathin Fathurahman</t>
  </si>
  <si>
    <t>Mohammad Rheza Aldaffa</t>
  </si>
  <si>
    <t>Nafi Rahima Aliyani</t>
  </si>
  <si>
    <t>Marandina Putri Prapasha</t>
  </si>
  <si>
    <t>Raihan Gunaringtyas Hatmanti</t>
  </si>
  <si>
    <t>Pradita Wahyuningtyas</t>
  </si>
  <si>
    <t>Rizky Aditya Nur Firmansyah</t>
  </si>
  <si>
    <t>Nur Cahyo Kuncoro Wibowo</t>
  </si>
  <si>
    <t>Rafi Naufal Arkananta</t>
  </si>
  <si>
    <t>Sultan Djorgie Putra Harjanto</t>
  </si>
  <si>
    <t>Rifky Anandya Suryawinarno</t>
  </si>
  <si>
    <t>Nisa Adhelia Hardiana Putri</t>
  </si>
  <si>
    <t>Siti Asysyaffa</t>
  </si>
  <si>
    <t>Nisrina Muhana Zaidah</t>
  </si>
  <si>
    <t>Serena Khansa</t>
  </si>
  <si>
    <t>Najwah Nazila M.</t>
  </si>
  <si>
    <t>Ristiyasningrum</t>
  </si>
  <si>
    <t>Mayesq Prameswari</t>
  </si>
  <si>
    <t>Rizal Noor Said</t>
  </si>
  <si>
    <t>Muhammad Farhan Ichsanuddin</t>
  </si>
  <si>
    <t>Muhammad Yusuf Arrafi</t>
  </si>
  <si>
    <t>Muhammad Hafidz Abdul Aziz</t>
  </si>
  <si>
    <t>Nindi Puspita Nur Aini</t>
  </si>
  <si>
    <t>Nur Khofifah Risa Putri</t>
  </si>
  <si>
    <t>Lutfi Estika Wasi</t>
  </si>
  <si>
    <t>Nilamsari Dinda Andini</t>
  </si>
  <si>
    <t>Nadia Maharani Wisnuputri</t>
  </si>
  <si>
    <t>Muhammad Hariz Adiguna</t>
  </si>
  <si>
    <t>Muhamad Yasser Alviandi</t>
  </si>
  <si>
    <t>Nellam Cahyaningrum</t>
  </si>
  <si>
    <t>Mufida Alfiana</t>
  </si>
  <si>
    <t>Rozan Aruna Fatsa Tenoyo</t>
  </si>
  <si>
    <t>Putri Qonita Haq</t>
  </si>
  <si>
    <t>Satria Sandy Wijaya</t>
  </si>
  <si>
    <t>Nurrahman Akbar</t>
  </si>
  <si>
    <t>Raka Samaidar Rowdak</t>
  </si>
  <si>
    <t>Zaim Muhammad Tsaqif Adinegara</t>
  </si>
  <si>
    <t>Rizki Ary Dwiandika</t>
  </si>
  <si>
    <t>Nur Na'imah Ma'ruf</t>
  </si>
  <si>
    <t>Syafira Alfianita Wardhani</t>
  </si>
  <si>
    <t>Rania Syahda Aurellia Rachmadhani</t>
  </si>
  <si>
    <t>Syakhila Fortuna Kusuma Dewi Aiko</t>
  </si>
  <si>
    <t>Nurul Hanifa Lutfiana</t>
  </si>
  <si>
    <t>Rizki Tri Kusuma Prawitasari</t>
  </si>
  <si>
    <t>Melati Nur Hayati</t>
  </si>
  <si>
    <t>Wahyu Hafizh Hilhamd Fatiha</t>
  </si>
  <si>
    <t>Muhammad Miftahul Huda</t>
  </si>
  <si>
    <t>Rafi Ahnaf Abu Bakar</t>
  </si>
  <si>
    <t>Muhammad Hanif Al Hadi</t>
  </si>
  <si>
    <t>Putri Nadira Khairani</t>
  </si>
  <si>
    <t>Nurul Arfanadila Arsyad</t>
  </si>
  <si>
    <t>Lutfiyah Qurota 'Ayyun</t>
  </si>
  <si>
    <t>Pruecylla Tavania Putri Wijayanti</t>
  </si>
  <si>
    <t>Salsabila Ainun Nisa</t>
  </si>
  <si>
    <t>Muhammad Gufran Nurendrawan Bangsa</t>
  </si>
  <si>
    <t>Olivia Permata Disena</t>
  </si>
  <si>
    <t>Nabila Marsha Diva</t>
  </si>
  <si>
    <t>Rufaidah Azzahroh Ali</t>
  </si>
  <si>
    <t>Renny Fitriana</t>
  </si>
  <si>
    <t>Zaldy Kayya Hatti</t>
  </si>
  <si>
    <t>Reyfasha Syihab Ulwan</t>
  </si>
  <si>
    <t>Raka Widya Pamungkas</t>
  </si>
  <si>
    <t>Shafa Adjie Nasution</t>
  </si>
  <si>
    <t>Rabita Ira Khusnaini</t>
  </si>
  <si>
    <t>Zidni Khofifah Tazkia</t>
  </si>
  <si>
    <t>Rojwa Zhurifa Thifalariq</t>
  </si>
  <si>
    <t>Tara Pramesti Nuraji</t>
  </si>
  <si>
    <t>Ovita Legowosari</t>
  </si>
  <si>
    <t>Tazkia Hayyuning Bakti Palupi</t>
  </si>
  <si>
    <t>Naila Syahida</t>
  </si>
  <si>
    <t>Yusuf Ainurrofiq</t>
  </si>
  <si>
    <t>Muhammad Raainaa Ashidiqqie</t>
  </si>
  <si>
    <t>Rafi Edris Putra</t>
  </si>
  <si>
    <t>Muhammad Irfan Murtadho</t>
  </si>
  <si>
    <t>Salsabila Ivana</t>
  </si>
  <si>
    <t>Oktavia Saksana Rusdiana</t>
  </si>
  <si>
    <t>Nabila Aliya Putri</t>
  </si>
  <si>
    <t>Qorina Indah Puspitasari</t>
  </si>
  <si>
    <t>Shafa Oktavia Nafisah</t>
  </si>
  <si>
    <t>Nashiruddin Walid</t>
  </si>
  <si>
    <t>Muhammad Rifki</t>
  </si>
  <si>
    <t>Muhammad Mafaza Rabbani</t>
  </si>
  <si>
    <t>Rini Rahyuni</t>
  </si>
  <si>
    <t>Salma Adila Cahyani</t>
  </si>
  <si>
    <t>Salsabila Hana Nurul Fatiha</t>
  </si>
  <si>
    <t>Septy Ajeng Maharani</t>
  </si>
  <si>
    <t>Ziyad At Thoriq</t>
  </si>
  <si>
    <t>Rizki Okta Adelaksa</t>
  </si>
  <si>
    <t>Rayya Aqila Rahmawan</t>
  </si>
  <si>
    <t>Yusra Amar Zakariya</t>
  </si>
  <si>
    <t>Shabrina Qanitatunnisa</t>
  </si>
  <si>
    <t>Wirda Syadza Firdausi</t>
  </si>
  <si>
    <t>Summa Sabila Yasaroh</t>
  </si>
  <si>
    <t>Tiva Eka Prawesthi</t>
  </si>
  <si>
    <t>Prameswari Salma Hayamadi</t>
  </si>
  <si>
    <t>Ulya  Lutfiyah Qurrota Aini</t>
  </si>
  <si>
    <t>Natasya Audyna Anwar Putri</t>
  </si>
  <si>
    <t>Muhammad Rasyid Maulana</t>
  </si>
  <si>
    <t>Rafiansyah Dwi Nugroho</t>
  </si>
  <si>
    <t>Muhammad Latief</t>
  </si>
  <si>
    <t>Selvyana Putri</t>
  </si>
  <si>
    <t>Putri Amelia Yumna</t>
  </si>
  <si>
    <t>Naja Kamila Rahma Maulid</t>
  </si>
  <si>
    <t>Radhyana Ayu Nastiti</t>
  </si>
  <si>
    <t>Shelomitha Larasati</t>
  </si>
  <si>
    <t>Naufal Fadhlurrahman Rofi'</t>
  </si>
  <si>
    <t>Muhammad Rikza Yulianto</t>
  </si>
  <si>
    <t>Mujaddid Abdullah Azzam</t>
  </si>
  <si>
    <t>Rosyita Intan Khoirunnisa</t>
  </si>
  <si>
    <t>Samiroh</t>
  </si>
  <si>
    <t>Sendy Meilantika</t>
  </si>
  <si>
    <t>Sulistyowati Khairunnisa</t>
  </si>
  <si>
    <t>Ryan Harsya Shevaditama</t>
  </si>
  <si>
    <t>Roja Falih Yudhayana</t>
  </si>
  <si>
    <t>Salwa Alifia Azzahra</t>
  </si>
  <si>
    <t>Qayla Nur'aini</t>
  </si>
  <si>
    <t>Syafira Nauroh Hamidah</t>
  </si>
  <si>
    <t>Wevy Rossiana Fazira Z</t>
  </si>
  <si>
    <t>Rahma Zahro'ul Fitria</t>
  </si>
  <si>
    <t>Wahyu Latifa Azzahroh</t>
  </si>
  <si>
    <t>Nisak Nur Azizah</t>
  </si>
  <si>
    <t>Pande Putu Marco Surya Pratama</t>
  </si>
  <si>
    <t>Rangga Mukti Muthahhar Hartoyo</t>
  </si>
  <si>
    <t>Muhammad Taufiq Hidayat</t>
  </si>
  <si>
    <t>Shofia Wahdha</t>
  </si>
  <si>
    <t>Salsabila Aulya Rosida</t>
  </si>
  <si>
    <t>Nisa Nurkhasanah Supriyanto</t>
  </si>
  <si>
    <t>Rinindya Kirana Putri</t>
  </si>
  <si>
    <t>Syifa Khairunnisa</t>
  </si>
  <si>
    <t>Namaskara Tawang Kusuma</t>
  </si>
  <si>
    <t>Salma Umi Rafiah</t>
  </si>
  <si>
    <t>Shafa Widya</t>
  </si>
  <si>
    <t>Ziam Atika Laudri</t>
  </si>
  <si>
    <t>Zahrani Isham Shabrina</t>
  </si>
  <si>
    <t>Sakti Cahya Buana</t>
  </si>
  <si>
    <t>Satrio Arif Wicaksono</t>
  </si>
  <si>
    <t>Sarah Salwa Salsabila</t>
  </si>
  <si>
    <t>Syifa Salsabila Hanindita</t>
  </si>
  <si>
    <t>Syifa Karimah</t>
  </si>
  <si>
    <t>Yustika Agamila Ihsani</t>
  </si>
  <si>
    <t>Salsabila Syazwina Lukman</t>
  </si>
  <si>
    <t>Wildaniah Tuzakiah</t>
  </si>
  <si>
    <t>Qonita Amelia Fawwaz</t>
  </si>
  <si>
    <t>Raden Muhammad Khalid Baginda</t>
  </si>
  <si>
    <t>Rijal Mubarok Hayono Putro</t>
  </si>
  <si>
    <t>Nadhif Mauliddino Rizky</t>
  </si>
  <si>
    <t>Syifa Rustriawanti</t>
  </si>
  <si>
    <t>Salwa Adara Safanja</t>
  </si>
  <si>
    <t>Nur Shoumi Rahmatunnisa</t>
  </si>
  <si>
    <t>Salsa Latifa Hafidh</t>
  </si>
  <si>
    <t>Viona Febiola Wibowo</t>
  </si>
  <si>
    <t>Ubaidillah Raihan Al Farosi</t>
  </si>
  <si>
    <t>Muhammad Zaid Rabbani</t>
  </si>
  <si>
    <t>Rafli Fabri Ardian</t>
  </si>
  <si>
    <t>Shofia Sausania Amalia</t>
  </si>
  <si>
    <t>Sholla Musyafia Ulin Nuha</t>
  </si>
  <si>
    <t>Zuhria Rahmawati</t>
  </si>
  <si>
    <t>Zulfa Andhini Putri Pertiwi</t>
  </si>
  <si>
    <t>Slamet Syahrul Wahyudi</t>
  </si>
  <si>
    <t>Savaroja Farhan Putra Pradana</t>
  </si>
  <si>
    <t>Talitha Kafi Sahda</t>
  </si>
  <si>
    <t>Zahra Alifvia Kasturi</t>
  </si>
  <si>
    <t>Zahrah Putri Haryadi</t>
  </si>
  <si>
    <t>Ramona Dixci</t>
  </si>
  <si>
    <t>Rivaldi Noor Roofiif Dita</t>
  </si>
  <si>
    <t>Shoffin Muhammad Zaky</t>
  </si>
  <si>
    <t>Rakha Ars Raihanichi</t>
  </si>
  <si>
    <t>Yasmin Nur Izzati</t>
  </si>
  <si>
    <t>Siti Nur Afifah</t>
  </si>
  <si>
    <t>Salwa Muzayana Rahmah</t>
  </si>
  <si>
    <t>Sri Suatussa'adah</t>
  </si>
  <si>
    <t>Yasfiina Najma Tsaqiba</t>
  </si>
  <si>
    <t>Yahya Ayyas</t>
  </si>
  <si>
    <t>Rakha Kalam Mahardhika</t>
  </si>
  <si>
    <t>Zhaskya Isna Aditama</t>
  </si>
  <si>
    <t>Wafi Aulia Tsabitah</t>
  </si>
  <si>
    <t>Syahan Rafiqul Islam</t>
  </si>
  <si>
    <t>Ubaidillah Mubarok</t>
  </si>
  <si>
    <t>Zahra Alifia Yuwaida</t>
  </si>
  <si>
    <t>Razan Hassan Ahmad Hassan Akesh</t>
  </si>
  <si>
    <t>Sayyid Adil Al Banna</t>
  </si>
  <si>
    <t>Zein Alivanda Musyafa</t>
  </si>
  <si>
    <t>Zidane Rizqi Utoyo</t>
  </si>
  <si>
    <t>Zahroh Nur Azizah</t>
  </si>
  <si>
    <t>Tsaabita Ronaa Atsiila Heruningtyas</t>
  </si>
  <si>
    <t>Triana Surya Pratiwi</t>
  </si>
  <si>
    <t>Utpala Dewi Prama Putri</t>
  </si>
  <si>
    <t>Gicela Viga Gita Wisesa</t>
  </si>
  <si>
    <t>Zain Arie Priyanto</t>
  </si>
  <si>
    <t>Tiflan Akna Mumtaaz Ilmi</t>
  </si>
  <si>
    <t>Ulul Azmi Abid Anantri</t>
  </si>
  <si>
    <t>Salma Maulida</t>
  </si>
  <si>
    <t>Hanifah Nurul Aini</t>
  </si>
  <si>
    <t>Ulya Faiza Husna</t>
  </si>
  <si>
    <t>Zumrotin Ummi Fadillah</t>
  </si>
  <si>
    <t>Zharifa Atta Alfatina</t>
  </si>
  <si>
    <t>Tegar Sanfian Pratama Bhakti</t>
  </si>
  <si>
    <t>Wildan Titto Aminurrohman</t>
  </si>
  <si>
    <t>Yoga Dzaki</t>
  </si>
  <si>
    <t>Salwa Rahmanisa</t>
  </si>
  <si>
    <t>Norma Putri Hutami</t>
  </si>
  <si>
    <t>Zifa Salsabella Putri Az Zahra</t>
  </si>
  <si>
    <t>Zen Abid Muhammad Daffa</t>
  </si>
  <si>
    <t>Shafira Nur Aini Sholichah</t>
  </si>
  <si>
    <t>Tsaqifa Zirlyfera Ramadhani</t>
  </si>
  <si>
    <t>Tiara Azva Mara Alvia</t>
  </si>
  <si>
    <t>Wafa Nabiha Amjad</t>
  </si>
  <si>
    <t>Wiandaprilia Rayhannissa</t>
  </si>
  <si>
    <t>Yovita Angesti Pinasthika</t>
  </si>
  <si>
    <t>Zalfa Fadilah Arsyda</t>
  </si>
  <si>
    <t xml:space="preserve"> -</t>
  </si>
  <si>
    <t>Bahasa dan Sastra Inggris</t>
  </si>
  <si>
    <t xml:space="preserve">Bahasa dan Sastra Inggris </t>
  </si>
  <si>
    <t>Bahasa dan Sastra Arab</t>
  </si>
  <si>
    <t>Jumlah</t>
  </si>
  <si>
    <t>Peringkat Kelas</t>
  </si>
  <si>
    <t>Jln. Tarumanegara III No 22, Banyuanyar, Banjarsari, Surakarta</t>
  </si>
  <si>
    <t>2020/2021</t>
  </si>
  <si>
    <t>II</t>
  </si>
  <si>
    <t>Genap</t>
  </si>
  <si>
    <t>Anna Rafaidah, S.Pd., Gr.</t>
  </si>
  <si>
    <t>19 Juni 2021</t>
  </si>
  <si>
    <t>Abdul Fattah Irfan Al Mubaroq</t>
  </si>
  <si>
    <t>0047308275</t>
  </si>
  <si>
    <t>Adam Zidane Danata Pranugroho</t>
  </si>
  <si>
    <t>0051700957</t>
  </si>
  <si>
    <t>Ahmad Fikry</t>
  </si>
  <si>
    <t xml:space="preserve">0050998196 </t>
  </si>
  <si>
    <t>Akhmad Rifki Assegaf</t>
  </si>
  <si>
    <t xml:space="preserve">0058425358 </t>
  </si>
  <si>
    <t>Almas Sabih Wahindra</t>
  </si>
  <si>
    <t>0059000208</t>
  </si>
  <si>
    <t>0058068365</t>
  </si>
  <si>
    <t>Baharuddin Barkah Pratama</t>
  </si>
  <si>
    <t>0024374235</t>
  </si>
  <si>
    <t>Daffa Arya Pudyastungkara</t>
  </si>
  <si>
    <t>0043620048</t>
  </si>
  <si>
    <t>Dody Muhammad Pasha</t>
  </si>
  <si>
    <t>0053814584</t>
  </si>
  <si>
    <t>Elga Perdana</t>
  </si>
  <si>
    <t>0054718584</t>
  </si>
  <si>
    <t>Fathoni Daniswara</t>
  </si>
  <si>
    <t>0057882873</t>
  </si>
  <si>
    <t>Gading Setyo Manunggal</t>
  </si>
  <si>
    <t>0052532940</t>
  </si>
  <si>
    <t>Ghifari Mabrur Al Burhani</t>
  </si>
  <si>
    <t>0068080234</t>
  </si>
  <si>
    <t>Hafid Mahreza Ilham</t>
  </si>
  <si>
    <t xml:space="preserve"> 0058288476</t>
  </si>
  <si>
    <t>Haidar Rafif Hibatulloh</t>
  </si>
  <si>
    <t>0054005743</t>
  </si>
  <si>
    <t>0045893001</t>
  </si>
  <si>
    <t>Mohamad Khoiril Afwa</t>
  </si>
  <si>
    <t>0044910894</t>
  </si>
  <si>
    <t>Muhammad Hanif Pearlyaradja</t>
  </si>
  <si>
    <t>0052096412</t>
  </si>
  <si>
    <t>Muhammad Maurel Han</t>
  </si>
  <si>
    <t>9015578324</t>
  </si>
  <si>
    <t>Muhammad Niam Masykuri</t>
  </si>
  <si>
    <t xml:space="preserve"> 0044193368</t>
  </si>
  <si>
    <t>Muhammad Nur Arzhian Kusuma</t>
  </si>
  <si>
    <t>0053421781</t>
  </si>
  <si>
    <t>Muhammad Rafif Rizqullah</t>
  </si>
  <si>
    <t>0044559979</t>
  </si>
  <si>
    <t>Muhammad Raihan Al Faridzi</t>
  </si>
  <si>
    <t>0047682955</t>
  </si>
  <si>
    <t>Muhammad Rakan Hafidh Al Ghalib</t>
  </si>
  <si>
    <t>0053955049</t>
  </si>
  <si>
    <t>Muhammad Syamu Naufal</t>
  </si>
  <si>
    <t>0045892500</t>
  </si>
  <si>
    <t>Naufal Muhammad Iqbal</t>
  </si>
  <si>
    <t>0056904636</t>
  </si>
  <si>
    <t>Nauval Nur Mustafa</t>
  </si>
  <si>
    <t>0061518278</t>
  </si>
  <si>
    <t>Oriegano Kanahaya  Siagian</t>
  </si>
  <si>
    <t xml:space="preserve"> 0051837216</t>
  </si>
  <si>
    <t>Rafif Mahatma Indrastata</t>
  </si>
  <si>
    <t>0045017851</t>
  </si>
  <si>
    <t>Rayhan Yoga Edy Pratama</t>
  </si>
  <si>
    <t xml:space="preserve">0041380949 </t>
  </si>
  <si>
    <t>Rusianto Munif</t>
  </si>
  <si>
    <t>0060172183</t>
  </si>
  <si>
    <t>Zaidan Mu'afy Althaf</t>
  </si>
  <si>
    <t>0056182222</t>
  </si>
  <si>
    <t>X.MIPA 4</t>
  </si>
  <si>
    <t>Alfi Suryani Yusuf, S.Pd.</t>
  </si>
  <si>
    <t>2020 04 3 481</t>
  </si>
  <si>
    <t>Memiliki kemampuan menganalisis Q.S. al-Isra’/17: 32, dan Q.S. an-Nur/24 : 2, serta hadis tentang larangan pergaulan bebas dan perbuatan zina, namun perlu peningkatan menganalisis substansi, strategi, dan keberhasilan dakwah Nabi Muhammad saw di Madinah</t>
  </si>
  <si>
    <t>Memiliki kemampuan menganalisis makna beriman kepada malaikat-malaikat Allah Swt., namun perlu peningkatan menganalisis hikmah ibadah haji, zakat, dan wakaf bagi individu dan masyarakat.</t>
  </si>
  <si>
    <t>Memiliki kemampuan menganalisis Q.S. al-Hujurat/49: 10 dan 12 serta hadis tentang kontrol diri (mujahadah an-nafs), prasangka baik (husnudzan), dan persaudaraan (ukhuwah)., namun perlu peningkatan menganalisis semangat keilmuan</t>
  </si>
  <si>
    <t>Memiliki kemampuan menganalisis semangat keilmuan, namun perlu peningkatan menganalisis hikmah ibadah haji, zakat, dan wakaf bagi individu dan masyarakat.</t>
  </si>
  <si>
    <t>Memiliki kemampuan menganalisis semangat keilmuan, namun perlu peningkatan menganalisis Q.S. al-Isra’/17: 32, dan Q.S. an-Nur/24 : 2, serta hadis tentang larangan pergaulan bebas dan perbuatan zina</t>
  </si>
  <si>
    <t>Memiliki kemampuan menganalisis makna beriman kepada malaikat-malaikat Allah Swt., namun perlu peningkatan menganalisis substansi, strategi, dan keberhasilan dakwah Nabi Muhammad saw di Madinah</t>
  </si>
  <si>
    <t>Memiliki kemampuan menganalisis Q.S. al-Hujurat/49: 10 dan 12 serta hadis tentang kontrol diri (mujahadah an-nafs), prasangka baik (husnudzan), dan persaudaraan (ukhuwah)., namun perlu peningkatan menganalisis Q.S. al-Isra’/17: 32, dan Q.S. an-Nur/24 : 2, serta hadis tentang larangan pergaulan bebas dan perbuatan zina</t>
  </si>
  <si>
    <t>Memiliki kemampuan menganalisis makna beriman kepada malaikat-malaikat Allah Swt., namun perlu peningkatan menganalisis Q.S. al-Isra’/17: 32, dan Q.S. an-Nur/24 : 2, serta hadis tentang larangan pergaulan bebas dan perbuatan zina</t>
  </si>
  <si>
    <t>Memiliki kemampuan menganalisis Q.S. al-Hujurat/49: 10 dan 12 serta hadis tentang kontrol diri (mujahadah an-nafs), prasangka baik (husnudzan), dan persaudaraan (ukhuwah)., namun perlu peningkatan menganalisis hikmah ibadah haji, zakat, dan wakaf bagi individu dan masyarakat.</t>
  </si>
  <si>
    <t>Memiliki kemampuan menganalisis Q.S. al-Hujurat/49: 10 dan 12 serta hadis tentang kontrol diri (mujahadah an-nafs), prasangka baik (husnudzan), dan persaudaraan (ukhuwah)., namun perlu peningkatan menganalisis substansi, strategi, dan keberhasilan dakwah Nabi Muhammad saw di Madinah</t>
  </si>
  <si>
    <t>Memiliki kemampuan menganalisis substansi, strategi, dan keberhasilan dakwah Nabi Muhammad saw di Madinah, namun perlu peningkatan menganalisis hikmah ibadah haji, zakat, dan wakaf bagi individu dan masyarakat.</t>
  </si>
  <si>
    <t>Memiliki kemampuan menganalisis makna beriman kepada malaikat-malaikat Allah Swt., namun perlu peningkatan menganalisis Q.S. al-Hujurat/49: 10 dan 12 serta hadis tentang kontrol diri (mujahadah an-nafs), prasangka baik (husnudzan), dan persaudaraan (ukhuwah).</t>
  </si>
  <si>
    <t>Memiliki kemampuan menganalisis semangat keilmuan, namun perlu peningkatan menganalisis substansi, strategi, dan keberhasilan dakwah Nabi Muhammad saw di Madinah</t>
  </si>
  <si>
    <t xml:space="preserve">Memiliki keterampilan menyajikan kaitan antara kewajiban menuntut ilmu, dengan kewajiban membela agama sesuai perintah Q.S. at-Taubah/9: 122 adan hadis terkait.
</t>
  </si>
  <si>
    <t>Memiliki keterampilan menyimulasikan ibadah haji, zakat, dan wakaf.</t>
  </si>
  <si>
    <t xml:space="preserve">Memiliki keterampilan mendemonstrasikan hafalan Q.S. al-Hujurat/49: 10 dan 12 dengan fasih dan lancar.
</t>
  </si>
  <si>
    <t xml:space="preserve">Memiliki keterampilan menyajikan keterkaitan antara substansi dan strategi dengan keberhasilan dakwah Nabi Muhammad saw di Madinah.
</t>
  </si>
  <si>
    <t>Memiliki kemampuan merumuskan hubungan pemerintah pusat dan daerah menurut Undang-Undang Dasar Negara Republik Indonesia Tahun 1945, namun perlu peningkatan menganalisis fungsi dan kewenangan lembaga-lembaga Negara menurut Undang-Undang Dasar Negara Republik Indonesia Tahun 1945</t>
  </si>
  <si>
    <t>Memiliki kemampuan menganalisis fungsi dan kewenangan lembaga-lembaga Negara menurut Undang-Undang Dasar Negara Republik Indonesia Tahun 1945, namun perlu peningkatan merumuskan hubungan pemerintah pusat dan daerah menurut Undang-Undang Dasar Negara Republik Indonesia Tahun 1945</t>
  </si>
  <si>
    <t>Memiliki kemampuan mengevaluasi  pengajuan, penawaran dan persetujuan dalam teks negosiasi lisan maupun tertulis, namun perlu peningkatan mengidentifikasi suasana, tema, dan makna beberapa puisi yang terkandung  dalam antologi puisi yang diperdengarkan atau dibaca</t>
  </si>
  <si>
    <t>Memiliki keterampilan menyampaikan pengajuan, penawaran, persetujuan dan penutup dalam teks negosiasi secara lisan atau tulis</t>
  </si>
  <si>
    <t>Memiliki kemampuan menganalisis  isi, struktur (orientasi, pengajuan, penawaran,  persetujuan,  penutup) dan kebahasaan teks  negosiasi, namun perlu peningkatan menganalisis aspek makna dan kebahasaan dalam teks biografi</t>
  </si>
  <si>
    <t>Memiliki kemampuan menganalisis  isi, struktur (orientasi, pengajuan, penawaran,  persetujuan,  penutup) dan kebahasaan teks  negosiasi, namun perlu peningkatan menganalisis  unsur pembangun puisi</t>
  </si>
  <si>
    <t>Memiliki keterampilan mengungkapkan kembali hal-hal yang dapat diteladani  dari tokoh yang terdapat dalam teks biografi  yang dibaca secara tertulis</t>
  </si>
  <si>
    <t>Memiliki kemampuan menganalisis  isi debat (permasalahan/ isu, sudut pandang dan argumen beberapa  pihak, dan simpulan), namun perlu peningkatan mengevaluasi  pengajuan, penawaran dan persetujuan dalam teks negosiasi lisan maupun tertulis</t>
  </si>
  <si>
    <t>Memiliki kemampuan mengidentifikasi suasana, tema, dan makna beberapa puisi yang terkandung  dalam antologi puisi yang diperdengarkan atau dibaca, namun perlu peningkatan menganalisis aspek makna dan kebahasaan dalam teks biografi</t>
  </si>
  <si>
    <t>Memiliki kemampuan mengevaluasi  pengajuan, penawaran dan persetujuan dalam teks negosiasi lisan maupun tertulis, namun perlu peningkatan menganalisis  unsur pembangun puisi</t>
  </si>
  <si>
    <t>Memiliki kemampuan menganalisis  isi, struktur (orientasi, pengajuan, penawaran,  persetujuan,  penutup) dan kebahasaan teks  negosiasi, namun perlu peningkatan mengidentifikasi suasana, tema, dan makna beberapa puisi yang terkandung  dalam antologi puisi yang diperdengarkan atau dibaca</t>
  </si>
  <si>
    <t>Memiliki kemampuan menghubungkan permasalahan/ isu, sudut pandang dan argumen beberapa  pihak dan simpulan dari debat untuk menemukan esensi dari debat, namun perlu peningkatan menganalisis aspek makna dan kebahasaan dalam teks biografi</t>
  </si>
  <si>
    <t>Memiliki keterampilan mengonstruksi permasalahan/isu, sudut pandang dan argumen beberapa  pihak, dan simpulan dari debat secara lisan untuk menunjukkan esensi dari debat</t>
  </si>
  <si>
    <t>Memiliki kemampuan mengevaluasi  pengajuan, penawaran dan persetujuan dalam teks negosiasi lisan maupun tertulis, namun perlu peningkatan menganalisis aspek makna dan kebahasaan dalam teks biografi</t>
  </si>
  <si>
    <t>Memiliki kemampuan menganalisis  isi debat (permasalahan/ isu, sudut pandang dan argumen beberapa  pihak, dan simpulan), namun perlu peningkatan menganalisis  unsur pembangun puisi</t>
  </si>
  <si>
    <t>Memiliki kemampuan menghubungkan permasalahan/ isu, sudut pandang dan argumen beberapa  pihak dan simpulan dari debat untuk menemukan esensi dari debat, namun perlu peningkatan mengidentifikasi suasana, tema, dan makna beberapa puisi yang terkandung  dalam antologi puisi yang diperdengarkan atau dibaca</t>
  </si>
  <si>
    <t>Memiliki kemampuan menilai hal yang dapat diteladani dari teks biografi, namun perlu peningkatan menganalisis  unsur pembangun puisi</t>
  </si>
  <si>
    <t>Memiliki keterampilan mendemonstrasikan (membacakan atau memusikalisasikan) satu puisi dari antologi puisi atau kumpulan puisi dengan  memerhatikan vokal, ekspresi, dan intonasi (tekanan dinamik dan tekanan tempo)</t>
  </si>
  <si>
    <t>Memiliki kemampuan menggeneralisasi rasio trigonometri untuk sudut-sudut di berbagai kuadran dan sudut-sudut berelasi, namun perlu peningkatan menjelaskan aturan sinus cosinus</t>
  </si>
  <si>
    <t>Memiliki keterampilan menyelesaikan masalah kontekstual yang berkaitan dengan rasio trigonometri (sinus, cosinus, tangen, cosecan, secan, dan cotangen) pada segitiga siku-siku</t>
  </si>
  <si>
    <t>Memiliki kemampuan menjelaskan rasio trigonometri (sinus, cosinus, tangen, cosecan, secan, dan cotangen) pada segitiga siku-siku, namun perlu peningkatan menjelaskan fungsi trigonometri dengan menggunakan lingkaran satuan</t>
  </si>
  <si>
    <t>Memiliki kemampuan menggeneralisasi rasio trigonometri untuk sudut-sudut di berbagai kuadran dan sudut-sudut berelasi, namun perlu peningkatan menjelaskan fungsi trigonometri dengan menggunakan lingkaran satuan</t>
  </si>
  <si>
    <t>Memiliki kemampuan menjelaskan rasio trigonometri (sinus, cosinus, tangen, cosecan, secan, dan cotangen) pada segitiga siku-siku, namun perlu peningkatan menggeneralisasi rasio trigonometri untuk sudut-sudut di berbagai kuadran dan sudut-sudut berelasi</t>
  </si>
  <si>
    <t>Memiliki kemampuan menjelaskan aturan sinus cosinus, namun perlu peningkatan menggeneralisasi rasio trigonometri untuk sudut-sudut di berbagai kuadran dan sudut-sudut berelasi</t>
  </si>
  <si>
    <t>Memiliki kemampuan menjelaskan rasio trigonometri (sinus, cosinus, tangen, cosecan, secan, dan cotangen) pada segitiga siku-siku, namun perlu peningkatan menjelaskan aturan sinus cosinus</t>
  </si>
  <si>
    <t>Memiliki kemampuan menjelaskan fungsi trigonometri dengan menggunakan lingkaran satuan, namun perlu peningkatan menggeneralisasi rasio trigonometri untuk sudut-sudut di berbagai kuadran dan sudut-sudut berelasi</t>
  </si>
  <si>
    <t>Memiliki kemampuan menjelaskan fungsi trigonometri dengan menggunakan lingkaran satuan, namun perlu peningkatan menjelaskan aturan sinus cosinus</t>
  </si>
  <si>
    <t>Memiliki kemampuan menjelaskan aturan sinus cosinus, namun perlu peningkatan menjelaskan fungsi trigonometri dengan menggunakan lingkaran satuan</t>
  </si>
  <si>
    <t>Memiliki kemampuan menganalisis perkembangan kehidupan masyarakat, pemerintahan, dan budaya  pada masa kerajaan-kerajaan Hindu dan Buddha di Indonesia, namun perlu peningkatan menganalisis berbagai teori tentang proses masuknya agama dan kebudayaan Hindu dan Buddha ke Indonesia</t>
  </si>
  <si>
    <t>Memiliki keterampilan menyajikan hasil penalaran dalam bentuk tulisan tentang nilai-nilai dan unsur budaya yang berkembang pada masa kerajaan Islam dan masih berkelanjutan dalam kehidupan bangsa Indonesia pada masa kini</t>
  </si>
  <si>
    <t>Memiliki kemampuan menganalisis berbagai teori tentang proses masuknya agama dan kebudayaan Hindu dan Buddha ke Indonesia, namun perlu peningkatan menganalisis berbagai teori tentang proses masuknya agama dan kebudayaan Islam ke Indonesia</t>
  </si>
  <si>
    <t>Memiliki kemampuan menganalisis perkembangan kehidupan masyarakat, pemerintahan, dan budaya pada masa kerajaan-kerajaan Islam di Indonesia, namun perlu peningkatan menganalisis berbagai teori tentang proses masuknya agama dan kebudayaan Islam ke Indonesia</t>
  </si>
  <si>
    <t>Memiliki kemampuan menganalisis perkembangan kehidupan masyarakat, pemerintahan, dan budaya pada masa kerajaan-kerajaan Islam di Indonesia, namun perlu peningkatan menganalisis berbagai teori tentang proses masuknya agama dan kebudayaan Hindu dan Buddha ke Indonesia</t>
  </si>
  <si>
    <t>Memiliki kemampuan menganalisis perkembangan kehidupan masyarakat, pemerintahan, dan budaya  pada masa kerajaan-kerajaan Hindu dan Buddha di Indonesia, namun perlu peningkatan menganalisis berbagai teori tentang proses masuknya agama dan kebudayaan Islam ke Indonesia</t>
  </si>
  <si>
    <t>Memiliki kemampuan menganalisis berbagai teori tentang proses masuknya agama dan kebudayaan Hindu dan Buddha ke Indonesia, namun perlu peningkatan menganalisis perkembangan kehidupan masyarakat, pemerintahan, dan budaya pada masa kerajaan-kerajaan Islam di Indonesia</t>
  </si>
  <si>
    <t>Memiliki kemampuan menganalisis perkembangan kehidupan masyarakat, pemerintahan, dan budaya  pada masa kerajaan-kerajaan Hindu dan Buddha di Indonesia, namun perlu peningkatan menganalisis perkembangan kehidupan masyarakat, pemerintahan, dan budaya pada masa kerajaan-kerajaan Islam di Indonesia</t>
  </si>
  <si>
    <t>Memiliki kemampuan membedakan fungsi sosial, struktur teks, dan unsur kebahasaan beberapa teks recount lisan dan tulis yang berhubungan dengan peristiwa bersejarah, namun perlu peningkatan menerapkan fungsi sosial, struktur teks, dan unsur kebahasaan teks interaksi transaksional lisan dan tulis yang melibatkan tindakan memberi dan meminta informasi terkait kejadian yang dilakukan di waktu lampau (unsur kebahasaan simple past tense vs present perfect tense)</t>
  </si>
  <si>
    <t>Memiliki keterampilan menangkap makna secara kontekstual terkait fungsi sosial, struktur teks, dan unsur kebahasaan teks naratif, lisan dan tulis sederhana terkait legenda rakyat</t>
  </si>
  <si>
    <t>Memiliki kemampuan memahami unsur-unsur seni fashion disain, namun perlu peningkatan memahami unsur-unsur seni disain grafis</t>
  </si>
  <si>
    <t>Memiliki keterampilan mengaplikasikan disain grafis ke dalam karya dua dimensi</t>
  </si>
  <si>
    <t>Memiliki keterampilan mendemonstrasikan hasil analisis tentang fungsi dan kewenangan lembaga-lembaga Negara menurut Undang-Undang Dasar Negara Republik Indonesia Tahun 1945</t>
  </si>
  <si>
    <t>Memiliki keterampilan mengidentifikasi karakteristik wirausahawan</t>
  </si>
  <si>
    <t>Memiliki keterampilan memproduksi produk rekayasa</t>
  </si>
  <si>
    <t>Memiliki keterampilan menyajikan dan menyelesaikan masalah yang berkaitan dengan fungsi eksponensial dan fungsi logaritma</t>
  </si>
  <si>
    <t>Memiliki kemampuan menganalisis konsep energi, usaha (kerja), hubungan usaha (kerja) dan perubahan energi, hukum kekekalan energi, serta penerapannya dalam peristiwa sehari-hari, namun perlu peningkatan menerapkan konsep momentum dan impuls, serta hukum kekekalan momentum dalam kehidupan sehari-hari</t>
  </si>
  <si>
    <t>Memiliki keterampilan menerapkan metode ilmiah untuk mengajukan gagasan penyelesaian masalah gerak dalam kehidupan sehari-hari, yang berkaitan dengan konsep energi, usaha (kerja) dan hukum kekekalan energi</t>
  </si>
  <si>
    <t>Memiliki kemampuan menganalisis hubungan antara gaya dan getaran dalam kehidupan sehari-hari, namun perlu peningkatan menerapkan konsep momentum dan impuls, serta hukum kekekalan momentum dalam kehidupan sehari-hari</t>
  </si>
  <si>
    <t>Memiliki kemampuan menganalisis besaran fisis pada gerak melingkar dengan laju kkonstan (tetap) dan penerapannya dalam kehidupan sehari-hari, namun perlu peningkatan menerapkan konsep momentum dan impuls, serta hukum kekekalan momentum dalam kehidupan sehari-hari</t>
  </si>
  <si>
    <t>Memiliki kemampuan menganalisis besaran fisis pada gerak melingkar dengan laju kkonstan (tetap) dan penerapannya dalam kehidupan sehari-hari, namun perlu peningkatan menganalisis hubungan antara gaya dan getaran dalam kehidupan sehari-hari</t>
  </si>
  <si>
    <t>Memiliki kemampuan menerapkan konsep momentum dan impuls, serta hukum kekekalan momentum dalam kehidupan sehari-hari, namun perlu peningkatan menganalisis hubungan antara gaya dan getaran dalam kehidupan sehari-hari</t>
  </si>
  <si>
    <t>Memiliki kemampuan menganalisis konsep energi, usaha (kerja), hubungan usaha (kerja) dan perubahan energi, hukum kekekalan energi, serta penerapannya dalam peristiwa sehari-hari, namun perlu peningkatan menganalisis hubungan antara gaya dan getaran dalam kehidupan sehari-hari</t>
  </si>
  <si>
    <t>Memiliki kemampuan menerapkan konsep momentum dan impuls, serta hukum kekekalan momentum dalam kehidupan sehari-hari, namun perlu peningkatan menganalisis interaksi pada gaya serta hubungan antara gaya, massa dan gerak lurus benda serta penerapannya dalam kehidupan sehari-hari</t>
  </si>
  <si>
    <t>Memiliki kemampuan menganalisis konsep energi, usaha (kerja), hubungan usaha (kerja) dan perubahan energi, hukum kekekalan energi, serta penerapannya dalam peristiwa sehari-hari, namun perlu peningkatan menganalisis interaksi pada gaya serta hubungan antara gaya, massa dan gerak lurus benda serta penerapannya dalam kehidupan sehari-hari</t>
  </si>
  <si>
    <t>Memiliki kemampuan menerapkan teori VSEPR dan teori domain elektron dalam menentukan bentuk molekul, namun perlu peningkatan menganalisis sifat larutan berdasarkan daya hantar listriknya</t>
  </si>
  <si>
    <t>Memiliki keterampilan membuat model bentuk molekul dengan menggunakan perangkat lunak komputer</t>
  </si>
  <si>
    <t>Memiliki kemampuan menerapkan hukum dasar kimia, konsep massa molekul relatif, persamaan kimia, konsep mol dan kadar zat untuk menyelesaikan perhitungan kimia, namun perlu peningkatan menganalisis sifat larutan berdasarkan daya hantar listriknya</t>
  </si>
  <si>
    <t>Memiliki kemampuan menerapkan hukum dasar kimia, konsep massa molekul relatif, persamaan kimia, konsep mol dan kadar zat untuk menyelesaikan perhitungan kimia, namun perlu peningkatan menerapkan teori VSEPR dan teori domain elektron dalam menentukan bentuk molekul</t>
  </si>
  <si>
    <t>Memiliki kemampuan menerapkan hukum dasar kimia, konsep massa molekul relatif, persamaan kimia, konsep mol dan kadar zat untuk menyelesaikan perhitungan kimia, namun perlu peningkatan menghubungkan interaksi antar ion, atom dan molekul dengan sifat fisika zat</t>
  </si>
  <si>
    <t>Memiliki kemampuan menganalisis komponen ekosistem dan interaksi antar komponen ekosistem, namun perlu peningkatan menganalisis data perubahan lingkungan, penyebab, dan dampaknya bagi kehidupan</t>
  </si>
  <si>
    <t>Memiliki keterampilan menyajikan karya yang menunjukkan interaksi antar komponen ekosistem</t>
  </si>
  <si>
    <t>Memiliki kemampuan menganalisis data perubahan lingkungan, penyebab, dan dampaknya bagi kehidupan, namun perlu peningkatan menganalisis komponen ekosistem dan interaksi antar komponen ekosistem</t>
  </si>
  <si>
    <t>Memiliki keterampilan merumuskan gagasan pemecahan masalah perubahan lingkungan yang terjadi di lingkungan sekitar</t>
  </si>
  <si>
    <t>Memiliki kemampuan membedakan fungsi sosial, struktur teks, dan unsur kebahasaan beberapa teks khusus dalam bentuk iklan dengan memberi dan meminta informasi terkait kegiatan (event), sesuai dengan konteks penggunaannya, namun perlu peningkatan membedakan fungsi sosial, struktur teks, dan unsur kebahasaan beberapa teks report lisan dan tulis dengan memberi dan meminta informasi terkait teknologi yang tercakup dalam mata pelajaran lain di Kelas X sesuai dengan konteks penggunaannya</t>
  </si>
  <si>
    <t>Memiliki keterampilan menyusun teks interaksi transaksional lisan dan tulis yang melibatkan tindakan memberi dan meminta informasi terkait kecukupan untuk dapat/tidak dapat melakukan/menjadi sesuatu, dengan memperhatikan fungsi sosial, struktur teks, dan unsur kebahasaan yang benar dan sesuai konteks penggunaannya</t>
  </si>
  <si>
    <t>Memiliki kemampuan membedakan fungsi sosial, struktur teks, dan unsur kebahasaan beberapa teks khusus dalam bentuk iklan dengan memberi dan meminta informasi terkait kegiatan (event), sesuai dengan konteks penggunaannya, namun perlu peningkatan menafsirkan fungsi sosial dan unsur kebahasaan lirik lagu terkait kehidupan remaja SMA/MA</t>
  </si>
  <si>
    <t>Memiliki kemampuan menafsirkan fungsi sosial dan unsur kebahasaan lirik lagu terkait kehidupan remaja SMA/MA, namun perlu peningkatan membedakan fungsi sosial, struktur teks, dan unsur kebahasaan beberapa teks khusus dalam bentuk iklan dengan memberi dan meminta informasi terkait kegiatan (event), sesuai dengan konteks penggunaannya</t>
  </si>
  <si>
    <t>Memiliki keterampilan menangkap makna secara kontekstual terkait fungsi sosial, struktur teks dan unsur kebahasaan teks khusus dalam bentuk iklan kegiatan (event)</t>
  </si>
  <si>
    <t>Memiliki kemampuan menerapkan fungsi sosial, struktur teks, dan unsur kebahasaan teks interaksi transaksional lisan dan tulis yang melibatkan tindakan memberi dan meminta informasi terkait kecukupan untuk dapat/tidak dapat melakukan/menjadi sesuatu, sesuai dengan konteks penggunaannya, namun perlu peningkatan menafsirkan fungsi sosial dan unsur kebahasaan lirik lagu terkait kehidupan remaja SMA/MA</t>
  </si>
  <si>
    <t>Memiliki kemampuan menafsirkan fungsi sosial dan unsur kebahasaan lirik lagu terkait kehidupan remaja SMA/MA, namun perlu peningkatan membedakan fungsi sosial, struktur teks, dan unsur kebahasaan beberapa teks report lisan dan tulis dengan memberi dan meminta informasi terkait teknologi yang tercakup dalam mata pelajaran lain di Kelas X sesuai dengan konteks penggunaannya</t>
  </si>
  <si>
    <t>Memiliki keterampilan menangkap makna secara kontekstual terkait fungsi sosial dan unsur kebahasaan lirik lagu terkait kehidupan remaja SMA/MA</t>
  </si>
  <si>
    <t>Memiliki kemampuan membedakan fungsi sosial, struktur teks, dan unsur kebahasaan beberapa teks khusus dalam bentuk iklan dengan memberi dan meminta informasi terkait kegiatan (event), sesuai dengan konteks penggunaannya, namun perlu peningkatan menerapkan fungsi sosial, struktur teks, dan unsur kebahasaan teks interaksi transaksional lisan dan tulis yang melibatkan tindakan memberi dan meminta informasi terkait kecukupan untuk dapat/tidak dapat melakukan/menjadi sesuatu, sesuai dengan konteks penggunaannya</t>
  </si>
  <si>
    <t>Memiliki keterampilan menangkap makna secara kontekstual terkait fungsi sosial, struktur teks, dan unsur kebahasaan teks report lisan dan tulis, terkait teknologi yang tercakup dalam mata pelajaran lain di Kelas X</t>
  </si>
  <si>
    <t>Memiliki kemampuan membedakan fungsi sosial, struktur teks, dan unsur kebahasaan beberapa teks report lisan dan tulis dengan memberi dan meminta informasi terkait teknologi yang tercakup dalam mata pelajaran lain di Kelas X sesuai dengan konteks penggunaannya, namun perlu peningkatan menerapkan fungsi sosial, struktur teks, dan unsur kebahasaan teks interaksi transaksional lisan dan tulis yang melibatkan tindakan memberi dan meminta informasi terkait kecukupan untuk dapat/tidak dapat melakukan/menjadi sesuatu, sesuai dengan konteks penggunaannya</t>
  </si>
  <si>
    <t>Memiliki kemampuan menafsirkan fungsi sosial dan unsur kebahasaan lirik lagu terkait kehidupan remaja SMA/MA, namun perlu peningkatan menerapkan fungsi sosial, struktur teks, dan unsur kebahasaan teks interaksi transaksional lisan dan tulis yang melibatkan tindakan memberi dan meminta informasi terkait kecukupan untuk dapat/tidak dapat melakukan/menjadi sesuatu, sesuai dengan konteks penggunaannya</t>
  </si>
  <si>
    <t>Memiliki kemampuan menerapkan fungsi sosial, struktur teks, dan unsur kebahasaan teks interaksi transaksional lisan dan tulis yang melibatkan tindakan memberi dan meminta informasi terkait kecukupan untuk dapat/tidak dapat melakukan/menjadi sesuatu, sesuai dengan konteks penggunaannya, namun perlu peningkatan membedakan fungsi sosial, struktur teks, dan unsur kebahasaan beberapa teks report lisan dan tulis dengan memberi dan meminta informasi terkait teknologi yang tercakup dalam mata pelajaran lain di Kelas X sesuai dengan konteks penggunaannya</t>
  </si>
  <si>
    <t>Memiliki kemampuan memahami dan menganalisis materi fi'il madhi, namun perlu peningkatan memahami dan menganalisis materi fi'il mudhari'</t>
  </si>
  <si>
    <t>Memiliki keterampilan mengaplikasikan fi'il madhi dalam pembuatan kalimat</t>
  </si>
  <si>
    <t>Memiliki kemampuan memahami dan menganalisis materi fi'il mudhari', namun perlu peningkatan memahami dan menganalisis materi fi'il madhi</t>
  </si>
  <si>
    <t>Memiliki kemampuan memahami dan menganalisis materi fi'il amr, namun perlu peningkatan memahami dan menganalisis materi fi'il madhi</t>
  </si>
  <si>
    <t>Memiliki keterampilan mengaplikasikan fi'il mudhari' dalam pembuatan kalimat</t>
  </si>
  <si>
    <t>Memiliki kemampuan memahami dan menganalisis materi fi'il amr, namun perlu peningkatan memahami dan menganalisis materi fi'il mudhari'</t>
  </si>
  <si>
    <t>Peserta didik mampu menjelaskan tentang sejarah kepramukaan dan implementasi materi kepemimpinan dalam kehidupan sehari-hari</t>
  </si>
  <si>
    <t>Berpartisipasi dengan baik dalam kegiatan keagamaan di sekolah.</t>
  </si>
  <si>
    <t>Siswa dinyatakan naik ke kelas XI</t>
  </si>
  <si>
    <t>Memiliki kemampuan kolaborasi yang baik dalam kelompok tetapi inisiatif individu masih perlu ditingkatkan</t>
  </si>
  <si>
    <t>Memiliki kemampuan membedakan fungsi sosial,struktur teks, dan unsur kebahasaan beberapa teks khusus dalam bentuk announcement, namun perlu peningkatan menerapkan fungsi sosial, struktur teks, dan unsur kebahasaan teks interaksi transaksional lisan dan tulis yang melibatkan tindakan memberi dan meminta informasi terkait kejadian yang dilakukan di waktu lampau (unsur kebahasaan simple past tense vs present perfect tense)</t>
  </si>
  <si>
    <t>Memiliki keterampilan menyusun teks khusus dalam bentuk announcement, lisan dan tulis, pendek dan sederhana</t>
  </si>
  <si>
    <t>Memiliki kemampuan membedakan fungsi sosial,struktur teks, dan unsur kebahasaan beberapa teks khusus dalam bentuk announcement, namun perlu peningkatan membedakan fungsi sosial, struktur teks, dan unsur kebahasaan beberapa teks naratif lisan dan tulis dengan memberi dan meminta informasi terkait legenda rakyat</t>
  </si>
  <si>
    <t>Memiliki kemampuan menerapkan fungsi sosial, struktur teks, dan unsur kebahasaan teks interaksi transaksional lisan dan tulis yang melibatkan tindakan memberi dan meminta informasi terkait kejadian yang dilakukan di waktu lampau (unsur kebahasaan simple past tense vs present perfect tense), namun perlu peningkatan membedakan fungsi sosial, struktur teks, dan unsur kebahasaan beberapa teks naratif lisan dan tulis dengan memberi dan meminta informasi terkait legenda rakyat</t>
  </si>
  <si>
    <t>Memiliki kemampuan membedakan fungsi sosial,struktur teks, dan unsur kebahasaan beberapa teks khusus dalam bentuk announcement, namun perlu peningkatan membedakan fungsi sosial, struktur teks, dan unsur kebahasaan beberapa teks recount lisan dan tulis yang berhubungan dengan peristiwa bersejarah</t>
  </si>
  <si>
    <t>Memiliki kemampuan membedakan fungsi sosial, struktur teks, dan unsur kebahasaan beberapa teks recount lisan dan tulis yang berhubungan dengan peristiwa bersejarah, namun perlu peningkatan membedakan fungsi sosial, struktur teks, dan unsur kebahasaan beberapa teks naratif lisan dan tulis dengan memberi dan meminta informasi terkait legenda rakyat</t>
  </si>
  <si>
    <t>Memiliki kemampuan membedakan fungsi sosial, struktur teks, dan unsur kebahasaan beberapa teks naratif lisan dan tulis dengan memberi dan meminta informasi terkait legenda rakyat, namun perlu peningkatan membedakan fungsi sosial, struktur teks, dan unsur kebahasaan beberapa teks recount lisan dan tulis yang berhubungan dengan peristiwa bersejarah</t>
  </si>
  <si>
    <t>Memiliki kemampuan memahami konsep dan prinsip pergaulan yang sehat antar remaja dan menjaga diri dari kehamilan pada usia sekolah , namun perlu peningkatan menganalisis berbagai peraturan perundangan serta konsekuensi hukum bagi para pengguna dan pengedar narkotika, psikotropika,  zat-zat aditif (NAPZA) dan obat berbahaya lainnya</t>
  </si>
  <si>
    <t>Memiliki keterampilan mempresentasikan konsep dan prinsip pergaulan yang sehat antar remaja dan menjaga diri dari kehamilan pada usia sekolah</t>
  </si>
  <si>
    <t xml:space="preserve">Memiliki kemampuan memahami konsep dan prinsip pergaulan yang sehat antar remaja dan menjaga diri dari kehamilan pada usia sekolah , namun perlu peningkatan memahami konsep dan prinsip pergaulan yang sehat antar remaja dan menjaga diri dari kehamilan pada usia sekolah </t>
  </si>
  <si>
    <t xml:space="preserve">Memiliki kemampuan menganalisis berbagai peraturan perundangan serta konsekuensi hukum bagi para pengguna dan pengedar narkotika, psikotropika,  zat-zat aditif (NAPZA) dan obat berbahaya lainnya, namun perlu peningkatan memahami konsep dan prinsip pergaulan yang sehat antar remaja dan menjaga diri dari kehamilan pada usia sekolah </t>
  </si>
  <si>
    <t>Memiliki kemampuan memahami perhitungan harga pokok produksi produk transportasi dan logistik, namun perlu peningkatan memahami cara menentukan pemasaran produk transportasi dan logistik secara langsung</t>
  </si>
  <si>
    <t>Memiliki kemampuan memahami cara menentukan pemasaran produk transportasi dan logistik secara langsung, namun perlu peningkatan memahami perhitungan harga pokok produksi produk transportasi dan logistik</t>
  </si>
  <si>
    <t>Memiliki kemampuan menelaah teks Serat Wedhatama pupuh Sinom, namun perlu peningkatan menelaah teks Serat Wedhatama pupuh Sinom</t>
  </si>
  <si>
    <t xml:space="preserve">Memiliki keterampilan menanggagpi isi Serat Wedhatama pupuh Sinom </t>
  </si>
  <si>
    <t>Memiliki kemampuan menelaah teks Serat Wedhatama pupuh Sinom, namun perlu peningkatan memahami isi teks crita Mahabharata (Bima Bungkus).</t>
  </si>
  <si>
    <t>Memiliki kemampuan memahami isi teks crita Mahabharata (Bima Bungkus)., namun perlu peningkatan menelaah teks Serat Wedhatama pupuh Sinom</t>
  </si>
  <si>
    <t>Memiliki kemampuan mendeskripsikan dan menentukan penyelesaian fungsi eksponensial dan fungsi logaritma menggunakan masalah kontekstual, serta keberkaitanannya, namun perlu peningkatan menjelaskan  vektor,  operasi  vektor, panjang  vektor,  sudut  antarvektor dalam ruang berdimensi dua (bidang) dan berdimensi tiga</t>
  </si>
  <si>
    <t>Memiliki kemampuan menjelaskan  vektor,  operasi  vektor, panjang  vektor,  sudut  antarvektor dalam ruang berdimensi dua (bidang) dan berdimensi tiga, namun perlu peningkatan mendeskripsikan dan menentukan penyelesaian fungsi eksponensial dan fungsi logaritma menggunakan masalah kontekstual, serta keberkaitanannya</t>
  </si>
  <si>
    <t>Memiliki keterampilan menyelesaikan masalah yang berkaitan  dengan vektor, operasi vektor,  panjang vektor, sudut antar vektor dalam ruang berdimensi dua (bidang) dan berdimensi tiga</t>
  </si>
  <si>
    <t>Baik</t>
  </si>
  <si>
    <t>Amat Baik</t>
  </si>
  <si>
    <t>Aria Fenha Apri Buma</t>
  </si>
  <si>
    <t>Kelvin Oktabrian Ramadhan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</si>
</sst>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Rp&quot;* #,##0_-;\-&quot;Rp&quot;* #,##0_-;_-&quot;Rp&quot;* &quot;-&quot;_-;_-@_-"/>
    <numFmt numFmtId="164" formatCode="_(&quot;Rp&quot;* #,##0_);_(&quot;Rp&quot;* \(#,##0\);_(&quot;Rp&quot;* &quot;-&quot;_);_(@_)"/>
  </numFmts>
  <fonts count="3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12"/>
      <name val="Arial"/>
      <family val="2"/>
    </font>
    <font>
      <sz val="11"/>
      <color theme="1"/>
      <name val="Arial"/>
      <family val="2"/>
      <charset val="1"/>
    </font>
    <font>
      <sz val="11"/>
      <color theme="1"/>
      <name val="Calibri"/>
      <family val="2"/>
      <charset val="1"/>
      <scheme val="minor"/>
    </font>
    <font>
      <sz val="11"/>
      <color theme="1"/>
      <name val="Arial"/>
      <family val="2"/>
    </font>
    <font>
      <b/>
      <sz val="12"/>
      <color indexed="8"/>
      <name val="Arial"/>
      <family val="2"/>
    </font>
    <font>
      <sz val="12"/>
      <color theme="1"/>
      <name val="Arial"/>
      <family val="2"/>
    </font>
    <font>
      <sz val="12"/>
      <color indexed="8"/>
      <name val="Arial"/>
      <family val="2"/>
    </font>
    <font>
      <b/>
      <sz val="12"/>
      <color theme="1"/>
      <name val="Arial"/>
      <family val="2"/>
    </font>
    <font>
      <i/>
      <sz val="12"/>
      <color theme="1"/>
      <name val="Arial"/>
      <family val="2"/>
    </font>
    <font>
      <b/>
      <sz val="11"/>
      <color theme="0"/>
      <name val="Calibri"/>
      <family val="2"/>
      <scheme val="minor"/>
    </font>
    <font>
      <b/>
      <sz val="20"/>
      <color theme="1"/>
      <name val="Calibri"/>
      <family val="2"/>
      <scheme val="minor"/>
    </font>
    <font>
      <b/>
      <sz val="14"/>
      <color theme="0"/>
      <name val="Calibri"/>
      <family val="2"/>
      <scheme val="minor"/>
    </font>
    <font>
      <b/>
      <sz val="16"/>
      <color theme="1"/>
      <name val="Calibri"/>
      <family val="2"/>
      <scheme val="minor"/>
    </font>
    <font>
      <sz val="12"/>
      <color theme="1"/>
      <name val="Calibri"/>
      <family val="2"/>
      <scheme val="minor"/>
    </font>
    <font>
      <sz val="16"/>
      <color theme="1"/>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sz val="10.5"/>
      <color theme="1"/>
      <name val="Arial"/>
      <family val="2"/>
    </font>
    <font>
      <i/>
      <sz val="11"/>
      <color indexed="8"/>
      <name val="Arial"/>
      <family val="2"/>
    </font>
    <font>
      <sz val="12"/>
      <color theme="5" tint="-0.249977111117893"/>
      <name val="Arial Rounded MT Bold"/>
      <family val="2"/>
    </font>
    <font>
      <i/>
      <sz val="10"/>
      <color theme="1"/>
      <name val="Arial"/>
      <family val="2"/>
    </font>
    <font>
      <b/>
      <sz val="28"/>
      <color theme="0" tint="-0.34998626667073579"/>
      <name val="Arial Black"/>
      <family val="2"/>
    </font>
    <font>
      <sz val="10"/>
      <color theme="1"/>
      <name val="Arial"/>
      <family val="2"/>
    </font>
    <font>
      <sz val="12"/>
      <color theme="1"/>
      <name val="Calibri"/>
      <charset val="134"/>
      <scheme val="minor"/>
    </font>
    <font>
      <sz val="10"/>
      <color rgb="FF000000"/>
      <name val="Arial"/>
      <family val="2"/>
    </font>
  </fonts>
  <fills count="2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1"/>
        <bgColor indexed="64"/>
      </patternFill>
    </fill>
    <fill>
      <patternFill patternType="solid">
        <fgColor rgb="FF0070C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66"/>
        <bgColor indexed="64"/>
      </patternFill>
    </fill>
    <fill>
      <patternFill patternType="solid">
        <fgColor theme="4" tint="0.59999389629810485"/>
        <bgColor indexed="64"/>
      </patternFill>
    </fill>
    <fill>
      <patternFill patternType="solid">
        <fgColor rgb="FFCC99FF"/>
        <bgColor indexed="64"/>
      </patternFill>
    </fill>
    <fill>
      <patternFill patternType="solid">
        <fgColor rgb="FF00B050"/>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18">
    <xf numFmtId="0" fontId="0" fillId="0" borderId="0"/>
    <xf numFmtId="0" fontId="1" fillId="0" borderId="0"/>
    <xf numFmtId="0" fontId="4" fillId="0" borderId="0"/>
    <xf numFmtId="164" fontId="6" fillId="0" borderId="0" applyFont="0" applyFill="0" applyBorder="0" applyAlignment="0" applyProtection="0"/>
    <xf numFmtId="0" fontId="4" fillId="0" borderId="0"/>
    <xf numFmtId="0" fontId="4" fillId="0" borderId="0"/>
    <xf numFmtId="0" fontId="4" fillId="0" borderId="0"/>
    <xf numFmtId="0" fontId="7" fillId="0" borderId="0"/>
    <xf numFmtId="9" fontId="4" fillId="0" borderId="0" applyFont="0" applyFill="0" applyBorder="0" applyAlignment="0" applyProtection="0"/>
    <xf numFmtId="0" fontId="8" fillId="0" borderId="0"/>
    <xf numFmtId="0" fontId="4" fillId="0" borderId="0"/>
    <xf numFmtId="42" fontId="6" fillId="0" borderId="0" applyFont="0" applyFill="0" applyBorder="0" applyAlignment="0" applyProtection="0"/>
    <xf numFmtId="42" fontId="6" fillId="0" borderId="0" applyFont="0" applyFill="0" applyBorder="0" applyAlignment="0" applyProtection="0"/>
    <xf numFmtId="0" fontId="4" fillId="0" borderId="0"/>
    <xf numFmtId="0" fontId="1" fillId="0" borderId="0"/>
    <xf numFmtId="0" fontId="7" fillId="0" borderId="0"/>
    <xf numFmtId="0" fontId="30" fillId="0" borderId="0"/>
    <xf numFmtId="0" fontId="1" fillId="0" borderId="0"/>
  </cellStyleXfs>
  <cellXfs count="314">
    <xf numFmtId="0" fontId="0" fillId="0" borderId="0" xfId="0"/>
    <xf numFmtId="0" fontId="0" fillId="0" borderId="0" xfId="0" applyAlignment="1">
      <alignment horizontal="center" vertical="center"/>
    </xf>
    <xf numFmtId="0" fontId="0" fillId="0" borderId="0" xfId="0" applyFont="1"/>
    <xf numFmtId="0" fontId="2" fillId="0" borderId="0" xfId="0" applyFont="1"/>
    <xf numFmtId="0" fontId="0" fillId="0" borderId="0" xfId="0" applyAlignment="1">
      <alignment horizontal="left"/>
    </xf>
    <xf numFmtId="0" fontId="2" fillId="9"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1" xfId="0" applyBorder="1" applyAlignment="1">
      <alignment horizontal="center" vertical="center"/>
    </xf>
    <xf numFmtId="0" fontId="0" fillId="0" borderId="0" xfId="0"/>
    <xf numFmtId="0" fontId="0" fillId="0" borderId="0" xfId="0" applyAlignment="1">
      <alignment horizontal="center"/>
    </xf>
    <xf numFmtId="0" fontId="10" fillId="0" borderId="0" xfId="0" applyFont="1"/>
    <xf numFmtId="0" fontId="10" fillId="0" borderId="0" xfId="0" applyFont="1" applyBorder="1"/>
    <xf numFmtId="0" fontId="0" fillId="6" borderId="5" xfId="0" applyFill="1" applyBorder="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2" fillId="6" borderId="1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0" fillId="0" borderId="1" xfId="0" applyFill="1" applyBorder="1" applyAlignment="1">
      <alignment horizontal="left"/>
    </xf>
    <xf numFmtId="0" fontId="0" fillId="12" borderId="0" xfId="0" applyFill="1" applyProtection="1"/>
    <xf numFmtId="0" fontId="14" fillId="13" borderId="10" xfId="0" applyFont="1" applyFill="1" applyBorder="1" applyAlignment="1" applyProtection="1">
      <alignment vertical="center"/>
    </xf>
    <xf numFmtId="0" fontId="15" fillId="0" borderId="0" xfId="0" applyFont="1"/>
    <xf numFmtId="0" fontId="0" fillId="0" borderId="0" xfId="0" applyFill="1" applyBorder="1"/>
    <xf numFmtId="0" fontId="0" fillId="0" borderId="1" xfId="0" applyFill="1" applyBorder="1" applyAlignment="1">
      <alignment horizontal="center"/>
    </xf>
    <xf numFmtId="0" fontId="14" fillId="14" borderId="10" xfId="0" applyFont="1" applyFill="1" applyBorder="1" applyAlignment="1" applyProtection="1">
      <alignment vertical="center"/>
    </xf>
    <xf numFmtId="0" fontId="14" fillId="14" borderId="4" xfId="0" applyFont="1" applyFill="1" applyBorder="1" applyAlignment="1" applyProtection="1">
      <alignment vertical="center"/>
      <protection locked="0"/>
    </xf>
    <xf numFmtId="0" fontId="14" fillId="15" borderId="10" xfId="0" applyFont="1" applyFill="1" applyBorder="1" applyAlignment="1" applyProtection="1">
      <alignment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 xfId="0" applyFont="1" applyFill="1" applyBorder="1" applyAlignment="1">
      <alignment horizontal="left" vertical="center" wrapText="1"/>
    </xf>
    <xf numFmtId="0" fontId="0" fillId="17" borderId="1" xfId="0" applyFont="1" applyFill="1" applyBorder="1" applyAlignment="1">
      <alignment horizontal="center" vertical="center"/>
    </xf>
    <xf numFmtId="0" fontId="0" fillId="17" borderId="1" xfId="0" applyFont="1" applyFill="1" applyBorder="1" applyAlignment="1">
      <alignment vertical="center" wrapText="1"/>
    </xf>
    <xf numFmtId="0" fontId="0" fillId="10" borderId="1" xfId="0" applyFont="1" applyFill="1" applyBorder="1" applyAlignment="1">
      <alignment vertical="center" wrapText="1"/>
    </xf>
    <xf numFmtId="0" fontId="0" fillId="18" borderId="1" xfId="0" applyFont="1" applyFill="1" applyBorder="1" applyAlignment="1">
      <alignment horizontal="center" vertical="center"/>
    </xf>
    <xf numFmtId="0" fontId="0" fillId="18" borderId="1" xfId="0" applyFont="1" applyFill="1" applyBorder="1" applyAlignment="1">
      <alignment vertical="center" wrapText="1"/>
    </xf>
    <xf numFmtId="0" fontId="2" fillId="8" borderId="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0" fillId="0" borderId="1" xfId="0" applyFill="1" applyBorder="1" applyAlignment="1">
      <alignment horizontal="left" vertical="center"/>
    </xf>
    <xf numFmtId="0" fontId="17" fillId="0" borderId="0" xfId="0" applyFont="1"/>
    <xf numFmtId="0" fontId="19" fillId="0" borderId="0" xfId="0" applyFont="1"/>
    <xf numFmtId="0" fontId="19" fillId="0" borderId="0" xfId="0" applyFont="1" applyAlignment="1">
      <alignment horizontal="center" vertical="center"/>
    </xf>
    <xf numFmtId="2" fontId="0" fillId="2" borderId="1" xfId="0" applyNumberFormat="1"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2" fontId="0" fillId="19" borderId="1" xfId="0" applyNumberFormat="1" applyFill="1" applyBorder="1" applyAlignment="1" applyProtection="1">
      <alignment horizontal="center" vertical="center"/>
      <protection locked="0"/>
    </xf>
    <xf numFmtId="0" fontId="18" fillId="0" borderId="0" xfId="0" applyFont="1" applyAlignment="1">
      <alignment vertical="center"/>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wrapText="1"/>
      <protection locked="0"/>
    </xf>
    <xf numFmtId="0" fontId="0" fillId="2" borderId="1" xfId="0" applyFill="1" applyBorder="1" applyAlignment="1" applyProtection="1">
      <alignment horizontal="left"/>
      <protection locked="0"/>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2" borderId="1" xfId="0" applyFill="1" applyBorder="1" applyAlignment="1" applyProtection="1">
      <alignment horizontal="left" vertical="top"/>
      <protection locked="0"/>
    </xf>
    <xf numFmtId="0" fontId="20" fillId="0" borderId="0" xfId="0" applyFont="1" applyAlignment="1">
      <alignment horizontal="left" vertical="center"/>
    </xf>
    <xf numFmtId="0" fontId="14" fillId="15" borderId="5" xfId="0" applyFont="1" applyFill="1" applyBorder="1" applyAlignment="1" applyProtection="1">
      <alignment vertical="center"/>
    </xf>
    <xf numFmtId="0" fontId="0" fillId="0" borderId="0" xfId="0" applyProtection="1"/>
    <xf numFmtId="0" fontId="14" fillId="13" borderId="5" xfId="0" applyFont="1" applyFill="1" applyBorder="1" applyAlignment="1" applyProtection="1">
      <alignment vertical="center"/>
    </xf>
    <xf numFmtId="0" fontId="14" fillId="14" borderId="5" xfId="0" applyFont="1" applyFill="1" applyBorder="1" applyAlignment="1" applyProtection="1">
      <alignment vertical="center"/>
    </xf>
    <xf numFmtId="0" fontId="2" fillId="9" borderId="4" xfId="0" applyFont="1" applyFill="1" applyBorder="1" applyAlignment="1">
      <alignment horizontal="center" vertical="center" textRotation="90" wrapText="1"/>
    </xf>
    <xf numFmtId="0" fontId="2" fillId="9" borderId="1" xfId="0" applyFont="1" applyFill="1" applyBorder="1" applyAlignment="1">
      <alignment horizontal="center" vertical="center" textRotation="90" wrapText="1"/>
    </xf>
    <xf numFmtId="0" fontId="3" fillId="9" borderId="1" xfId="0" applyFont="1" applyFill="1" applyBorder="1" applyAlignment="1">
      <alignment horizontal="center" vertical="center" textRotation="90" wrapText="1"/>
    </xf>
    <xf numFmtId="0" fontId="2" fillId="5" borderId="5" xfId="0" applyFont="1" applyFill="1" applyBorder="1" applyAlignment="1">
      <alignment horizontal="center" vertical="center" textRotation="90" wrapText="1"/>
    </xf>
    <xf numFmtId="0" fontId="2" fillId="5" borderId="1" xfId="0" applyFont="1" applyFill="1" applyBorder="1" applyAlignment="1">
      <alignment horizontal="center" vertical="center" textRotation="90" wrapText="1"/>
    </xf>
    <xf numFmtId="0" fontId="2" fillId="9" borderId="5" xfId="0" applyFont="1" applyFill="1" applyBorder="1" applyAlignment="1">
      <alignment horizontal="center" vertical="center" textRotation="90" wrapText="1"/>
    </xf>
    <xf numFmtId="0" fontId="2" fillId="10" borderId="1" xfId="0" applyFont="1" applyFill="1" applyBorder="1" applyAlignment="1">
      <alignment horizontal="center" vertical="center" textRotation="90" wrapText="1"/>
    </xf>
    <xf numFmtId="0" fontId="0" fillId="0" borderId="1" xfId="0" applyBorder="1" applyAlignment="1">
      <alignment horizontal="center"/>
    </xf>
    <xf numFmtId="0" fontId="17" fillId="0" borderId="0" xfId="0" applyFont="1" applyAlignment="1" applyProtection="1"/>
    <xf numFmtId="0" fontId="0" fillId="0" borderId="0" xfId="0" applyFont="1" applyProtection="1"/>
    <xf numFmtId="0" fontId="21" fillId="0" borderId="0" xfId="0" applyFont="1" applyProtection="1"/>
    <xf numFmtId="0" fontId="2"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0" fillId="0" borderId="0" xfId="0" applyAlignment="1" applyProtection="1">
      <alignment horizontal="left"/>
    </xf>
    <xf numFmtId="0" fontId="0" fillId="0" borderId="0" xfId="0" applyAlignment="1" applyProtection="1">
      <alignment horizontal="center"/>
    </xf>
    <xf numFmtId="0" fontId="2" fillId="0" borderId="0" xfId="0" applyFont="1" applyAlignment="1" applyProtection="1">
      <alignment horizontal="left"/>
    </xf>
    <xf numFmtId="0" fontId="22" fillId="0" borderId="0" xfId="0" applyFont="1" applyProtection="1"/>
    <xf numFmtId="0" fontId="2" fillId="0" borderId="0" xfId="0" applyFont="1" applyBorder="1"/>
    <xf numFmtId="0" fontId="0" fillId="0" borderId="0" xfId="0" applyFont="1" applyAlignment="1">
      <alignment horizontal="center"/>
    </xf>
    <xf numFmtId="0" fontId="0" fillId="2" borderId="1" xfId="0" applyFont="1" applyFill="1" applyBorder="1" applyAlignment="1" applyProtection="1">
      <alignment horizontal="center" vertical="center" wrapText="1"/>
      <protection locked="0"/>
    </xf>
    <xf numFmtId="0" fontId="9" fillId="3" borderId="0" xfId="0" applyFont="1" applyFill="1" applyBorder="1" applyAlignment="1" applyProtection="1">
      <alignment horizontal="right" vertical="center" wrapText="1"/>
    </xf>
    <xf numFmtId="0" fontId="9" fillId="3" borderId="0" xfId="0" applyFont="1" applyFill="1" applyBorder="1" applyAlignment="1" applyProtection="1">
      <alignment vertical="center" wrapText="1"/>
    </xf>
    <xf numFmtId="0" fontId="10" fillId="3" borderId="0" xfId="1" applyFont="1" applyFill="1"/>
    <xf numFmtId="0" fontId="11" fillId="3" borderId="0" xfId="0" applyFont="1" applyFill="1" applyAlignment="1" applyProtection="1">
      <alignment horizontal="left" vertical="center"/>
    </xf>
    <xf numFmtId="0" fontId="9" fillId="3" borderId="0" xfId="0" applyFont="1" applyFill="1" applyBorder="1" applyAlignment="1" applyProtection="1">
      <alignment vertical="center"/>
    </xf>
    <xf numFmtId="0" fontId="12" fillId="0" borderId="0" xfId="0" applyFont="1" applyBorder="1" applyAlignment="1">
      <alignment horizontal="left" vertical="top"/>
    </xf>
    <xf numFmtId="0" fontId="9" fillId="3" borderId="0" xfId="0" applyFont="1" applyFill="1" applyProtection="1"/>
    <xf numFmtId="0" fontId="11" fillId="3" borderId="0" xfId="1" applyFont="1" applyFill="1" applyAlignment="1" applyProtection="1">
      <alignment horizontal="left" vertical="center"/>
    </xf>
    <xf numFmtId="0" fontId="10" fillId="3" borderId="0" xfId="1" applyFont="1" applyFill="1" applyAlignment="1">
      <alignment vertical="top"/>
    </xf>
    <xf numFmtId="0" fontId="9" fillId="3" borderId="0" xfId="0" applyFont="1" applyFill="1" applyBorder="1" applyAlignment="1" applyProtection="1">
      <alignment vertical="top"/>
    </xf>
    <xf numFmtId="0" fontId="10" fillId="0" borderId="0" xfId="0" applyFont="1" applyAlignment="1">
      <alignment vertical="top"/>
    </xf>
    <xf numFmtId="1" fontId="0" fillId="0" borderId="1" xfId="0" applyNumberFormat="1" applyFill="1" applyBorder="1" applyAlignment="1">
      <alignment horizontal="center" vertical="center"/>
    </xf>
    <xf numFmtId="0" fontId="18" fillId="20" borderId="1" xfId="0" applyFont="1" applyFill="1" applyBorder="1" applyProtection="1">
      <protection locked="0"/>
    </xf>
    <xf numFmtId="0" fontId="18" fillId="20" borderId="1" xfId="0" applyFont="1" applyFill="1" applyBorder="1" applyAlignment="1" applyProtection="1">
      <alignment horizontal="center"/>
      <protection locked="0"/>
    </xf>
    <xf numFmtId="0" fontId="0" fillId="15" borderId="0" xfId="0" applyFill="1" applyProtection="1"/>
    <xf numFmtId="0" fontId="9" fillId="0" borderId="0" xfId="0" applyFont="1" applyFill="1" applyProtection="1">
      <protection locked="0"/>
    </xf>
    <xf numFmtId="0" fontId="10" fillId="0" borderId="0" xfId="0" applyFont="1" applyFill="1" applyProtection="1">
      <protection locked="0"/>
    </xf>
    <xf numFmtId="0" fontId="11" fillId="0" borderId="0" xfId="0" applyFont="1" applyFill="1" applyAlignment="1" applyProtection="1">
      <alignment horizontal="left" vertical="center"/>
      <protection locked="0"/>
    </xf>
    <xf numFmtId="0" fontId="9" fillId="0" borderId="0" xfId="0" applyFont="1" applyFill="1" applyAlignment="1" applyProtection="1">
      <alignment horizontal="right"/>
      <protection locked="0"/>
    </xf>
    <xf numFmtId="0" fontId="10" fillId="0" borderId="0" xfId="0" applyFont="1" applyProtection="1">
      <protection locked="0"/>
    </xf>
    <xf numFmtId="0" fontId="9" fillId="0" borderId="0" xfId="0" applyFont="1" applyFill="1" applyAlignment="1" applyProtection="1">
      <alignment horizontal="left"/>
      <protection locked="0"/>
    </xf>
    <xf numFmtId="0" fontId="10" fillId="0" borderId="0" xfId="0" applyFont="1" applyFill="1" applyAlignment="1" applyProtection="1">
      <alignment horizontal="left" vertical="center"/>
      <protection locked="0"/>
    </xf>
    <xf numFmtId="0" fontId="10" fillId="0" borderId="0" xfId="1" applyFont="1" applyFill="1" applyAlignment="1" applyProtection="1">
      <protection locked="0"/>
    </xf>
    <xf numFmtId="0" fontId="9" fillId="0" borderId="0" xfId="0" applyFont="1" applyFill="1" applyAlignment="1" applyProtection="1">
      <alignment horizontal="left" vertical="top"/>
      <protection locked="0"/>
    </xf>
    <xf numFmtId="0" fontId="11" fillId="0" borderId="0" xfId="0" applyNumberFormat="1" applyFont="1" applyFill="1" applyBorder="1" applyAlignment="1" applyProtection="1">
      <alignment horizontal="left" vertical="center"/>
      <protection locked="0"/>
    </xf>
    <xf numFmtId="0" fontId="9" fillId="0" borderId="19" xfId="0" applyFont="1" applyFill="1" applyBorder="1" applyAlignment="1" applyProtection="1">
      <alignment horizontal="left" vertical="top"/>
      <protection locked="0"/>
    </xf>
    <xf numFmtId="0" fontId="10" fillId="0" borderId="19" xfId="0" applyFont="1" applyFill="1" applyBorder="1" applyAlignment="1" applyProtection="1">
      <alignment vertical="top"/>
      <protection locked="0"/>
    </xf>
    <xf numFmtId="0" fontId="10" fillId="0" borderId="19" xfId="0" applyFont="1" applyBorder="1" applyAlignment="1" applyProtection="1">
      <alignment vertical="top"/>
      <protection locked="0"/>
    </xf>
    <xf numFmtId="0" fontId="9" fillId="0" borderId="19" xfId="0" applyFont="1" applyFill="1" applyBorder="1" applyAlignment="1" applyProtection="1">
      <alignment horizontal="right" vertical="top"/>
      <protection locked="0"/>
    </xf>
    <xf numFmtId="0" fontId="11" fillId="0" borderId="19" xfId="0" applyNumberFormat="1" applyFont="1" applyFill="1" applyBorder="1" applyAlignment="1" applyProtection="1">
      <alignment horizontal="left" vertical="top"/>
      <protection locked="0"/>
    </xf>
    <xf numFmtId="0" fontId="11" fillId="0" borderId="19" xfId="0" applyFont="1" applyFill="1" applyBorder="1" applyAlignment="1" applyProtection="1">
      <alignment horizontal="left" vertical="top"/>
      <protection locked="0"/>
    </xf>
    <xf numFmtId="0" fontId="12" fillId="0" borderId="0" xfId="0" applyFont="1" applyFill="1" applyProtection="1">
      <protection locked="0"/>
    </xf>
    <xf numFmtId="0" fontId="12" fillId="0" borderId="0" xfId="0" applyFont="1" applyProtection="1">
      <protection locked="0"/>
    </xf>
    <xf numFmtId="0" fontId="12" fillId="0" borderId="3" xfId="0" applyFont="1" applyBorder="1" applyProtection="1">
      <protection locked="0"/>
    </xf>
    <xf numFmtId="0" fontId="10" fillId="0" borderId="18" xfId="0" applyFont="1" applyBorder="1" applyProtection="1">
      <protection locked="0"/>
    </xf>
    <xf numFmtId="0" fontId="10" fillId="0" borderId="6" xfId="0" applyFont="1" applyBorder="1" applyProtection="1">
      <protection locked="0"/>
    </xf>
    <xf numFmtId="0" fontId="10" fillId="0" borderId="7" xfId="0" applyFont="1" applyBorder="1" applyProtection="1">
      <protection locked="0"/>
    </xf>
    <xf numFmtId="0" fontId="10" fillId="0" borderId="17" xfId="0" applyFont="1" applyBorder="1" applyProtection="1">
      <protection locked="0"/>
    </xf>
    <xf numFmtId="0" fontId="10" fillId="0" borderId="8" xfId="0" applyFont="1" applyBorder="1" applyProtection="1">
      <protection locked="0"/>
    </xf>
    <xf numFmtId="0" fontId="10" fillId="0" borderId="0" xfId="0" applyFont="1" applyBorder="1" applyAlignment="1" applyProtection="1">
      <alignment horizontal="center"/>
      <protection locked="0"/>
    </xf>
    <xf numFmtId="0" fontId="12" fillId="0" borderId="1"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0" fillId="0" borderId="1" xfId="0" applyFont="1" applyBorder="1" applyAlignment="1" applyProtection="1">
      <alignment horizontal="center" vertical="center"/>
      <protection locked="0"/>
    </xf>
    <xf numFmtId="1" fontId="10" fillId="0" borderId="1" xfId="0" applyNumberFormat="1" applyFont="1" applyBorder="1" applyAlignment="1" applyProtection="1">
      <alignment horizontal="center" vertical="center"/>
      <protection locked="0"/>
    </xf>
    <xf numFmtId="1" fontId="10" fillId="0" borderId="4" xfId="0" applyNumberFormat="1" applyFont="1" applyBorder="1" applyAlignment="1" applyProtection="1">
      <alignment horizontal="center" vertical="center"/>
      <protection locked="0"/>
    </xf>
    <xf numFmtId="0" fontId="10" fillId="0" borderId="1" xfId="0" applyFont="1" applyBorder="1" applyAlignment="1" applyProtection="1">
      <alignment vertical="center"/>
      <protection locked="0"/>
    </xf>
    <xf numFmtId="0" fontId="9" fillId="0" borderId="0" xfId="0" applyFont="1" applyFill="1" applyBorder="1" applyProtection="1">
      <protection locked="0"/>
    </xf>
    <xf numFmtId="0" fontId="10" fillId="0" borderId="0" xfId="0" applyFont="1" applyFill="1" applyBorder="1" applyProtection="1">
      <protection locked="0"/>
    </xf>
    <xf numFmtId="0" fontId="9" fillId="0" borderId="0" xfId="0" applyFont="1" applyFill="1" applyBorder="1" applyAlignment="1" applyProtection="1">
      <alignment horizontal="left"/>
      <protection locked="0"/>
    </xf>
    <xf numFmtId="0" fontId="10" fillId="0" borderId="0" xfId="0" applyFont="1" applyFill="1" applyBorder="1" applyAlignment="1" applyProtection="1">
      <alignment horizontal="left" vertical="center"/>
      <protection locked="0"/>
    </xf>
    <xf numFmtId="0" fontId="10" fillId="0" borderId="0" xfId="0" applyFont="1" applyBorder="1" applyProtection="1">
      <protection locked="0"/>
    </xf>
    <xf numFmtId="0" fontId="10" fillId="0" borderId="0" xfId="1" applyFont="1" applyFill="1" applyBorder="1" applyAlignment="1" applyProtection="1">
      <protection locked="0"/>
    </xf>
    <xf numFmtId="0" fontId="9" fillId="0" borderId="0" xfId="0" applyFont="1" applyFill="1" applyBorder="1" applyAlignment="1" applyProtection="1">
      <alignment horizontal="left" vertical="top"/>
      <protection locked="0"/>
    </xf>
    <xf numFmtId="0" fontId="11"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right"/>
      <protection locked="0"/>
    </xf>
    <xf numFmtId="0" fontId="10" fillId="0" borderId="0" xfId="0" applyFont="1" applyBorder="1" applyAlignment="1" applyProtection="1">
      <alignment horizontal="center" vertical="center"/>
      <protection locked="0"/>
    </xf>
    <xf numFmtId="0" fontId="10" fillId="0" borderId="0" xfId="0" applyFont="1" applyBorder="1" applyAlignment="1" applyProtection="1">
      <alignment horizontal="left" vertical="center" wrapText="1"/>
      <protection locked="0"/>
    </xf>
    <xf numFmtId="0" fontId="10" fillId="0" borderId="0" xfId="0" applyFont="1" applyBorder="1" applyAlignment="1" applyProtection="1">
      <alignment vertical="center"/>
      <protection locked="0"/>
    </xf>
    <xf numFmtId="0" fontId="10" fillId="0" borderId="0" xfId="0" applyFont="1" applyBorder="1" applyAlignment="1" applyProtection="1">
      <alignment horizontal="left" vertical="top" wrapText="1"/>
      <protection locked="0"/>
    </xf>
    <xf numFmtId="2" fontId="10" fillId="0" borderId="0" xfId="0" applyNumberFormat="1" applyFont="1" applyBorder="1" applyAlignment="1" applyProtection="1">
      <alignment vertical="center"/>
      <protection locked="0"/>
    </xf>
    <xf numFmtId="0" fontId="12" fillId="0" borderId="1" xfId="0" applyFont="1" applyBorder="1" applyAlignment="1" applyProtection="1">
      <alignment horizontal="center" vertical="center" wrapText="1"/>
      <protection locked="0"/>
    </xf>
    <xf numFmtId="0" fontId="10" fillId="0" borderId="0" xfId="0"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12" fillId="0" borderId="1" xfId="0" applyFont="1" applyBorder="1" applyAlignment="1" applyProtection="1">
      <protection locked="0"/>
    </xf>
    <xf numFmtId="0" fontId="10" fillId="0" borderId="10" xfId="0" applyFont="1" applyBorder="1" applyAlignment="1" applyProtection="1">
      <alignment horizontal="center" vertical="center"/>
      <protection locked="0"/>
    </xf>
    <xf numFmtId="0" fontId="10" fillId="0" borderId="10" xfId="0" applyFont="1" applyBorder="1" applyAlignment="1" applyProtection="1">
      <alignment horizontal="left" vertical="center"/>
      <protection locked="0"/>
    </xf>
    <xf numFmtId="0" fontId="10" fillId="0" borderId="4" xfId="0" applyFont="1" applyBorder="1" applyAlignment="1" applyProtection="1">
      <alignment vertical="center"/>
      <protection locked="0"/>
    </xf>
    <xf numFmtId="0" fontId="10" fillId="0" borderId="0" xfId="0" applyFont="1" applyBorder="1" applyAlignment="1" applyProtection="1">
      <protection locked="0"/>
    </xf>
    <xf numFmtId="0" fontId="12" fillId="0" borderId="0" xfId="0" applyFont="1" applyBorder="1" applyAlignment="1" applyProtection="1">
      <protection locked="0"/>
    </xf>
    <xf numFmtId="1" fontId="10" fillId="0" borderId="0" xfId="0" applyNumberFormat="1" applyFont="1" applyBorder="1" applyAlignment="1" applyProtection="1">
      <alignment horizontal="center" vertical="center"/>
      <protection locked="0"/>
    </xf>
    <xf numFmtId="0" fontId="10" fillId="0" borderId="0" xfId="0" applyFont="1" applyBorder="1" applyAlignment="1" applyProtection="1">
      <alignment horizontal="left" vertical="center"/>
      <protection locked="0"/>
    </xf>
    <xf numFmtId="0" fontId="26" fillId="0" borderId="0" xfId="0" applyFont="1" applyBorder="1" applyAlignment="1" applyProtection="1">
      <alignment horizontal="left" vertical="center"/>
      <protection locked="0"/>
    </xf>
    <xf numFmtId="0" fontId="2" fillId="0" borderId="1" xfId="0" applyFont="1" applyBorder="1" applyAlignment="1">
      <alignment horizontal="center"/>
    </xf>
    <xf numFmtId="0" fontId="27" fillId="2" borderId="0" xfId="0" applyFont="1" applyFill="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0" fillId="0" borderId="1" xfId="0" applyBorder="1" applyAlignment="1">
      <alignment horizontal="center"/>
    </xf>
    <xf numFmtId="1" fontId="0" fillId="16" borderId="1" xfId="0" applyNumberFormat="1" applyFill="1" applyBorder="1" applyAlignment="1" applyProtection="1">
      <alignment horizontal="center"/>
      <protection locked="0"/>
    </xf>
    <xf numFmtId="0" fontId="0" fillId="16" borderId="1" xfId="0" applyFill="1" applyBorder="1" applyAlignment="1" applyProtection="1">
      <alignment horizontal="center"/>
      <protection locked="0"/>
    </xf>
    <xf numFmtId="0" fontId="0" fillId="16" borderId="1" xfId="0" applyFill="1" applyBorder="1" applyAlignment="1" applyProtection="1">
      <alignment horizontal="left"/>
      <protection locked="0"/>
    </xf>
    <xf numFmtId="0" fontId="0" fillId="16" borderId="1" xfId="0" applyFill="1" applyBorder="1" applyProtection="1">
      <protection locked="0"/>
    </xf>
    <xf numFmtId="0" fontId="0" fillId="22" borderId="0" xfId="0" applyFill="1"/>
    <xf numFmtId="0" fontId="0" fillId="23" borderId="0" xfId="0" applyFill="1"/>
    <xf numFmtId="0" fontId="0" fillId="2" borderId="0" xfId="0" applyFill="1"/>
    <xf numFmtId="0" fontId="2" fillId="6" borderId="7" xfId="0" applyFont="1" applyFill="1" applyBorder="1" applyAlignment="1">
      <alignment horizontal="center" vertical="center" wrapText="1"/>
    </xf>
    <xf numFmtId="0" fontId="29" fillId="20" borderId="1" xfId="0" applyFont="1" applyFill="1" applyBorder="1" applyProtection="1">
      <protection locked="0"/>
    </xf>
    <xf numFmtId="49" fontId="29" fillId="20" borderId="1" xfId="5" applyNumberFormat="1" applyFont="1" applyFill="1" applyBorder="1" applyAlignment="1" applyProtection="1">
      <alignment horizontal="center" vertical="center"/>
      <protection locked="0"/>
    </xf>
    <xf numFmtId="49" fontId="29" fillId="20" borderId="1" xfId="5" quotePrefix="1" applyNumberFormat="1" applyFont="1" applyFill="1" applyBorder="1" applyAlignment="1" applyProtection="1">
      <alignment horizontal="center" vertical="center"/>
      <protection locked="0"/>
    </xf>
    <xf numFmtId="0" fontId="29" fillId="20" borderId="1" xfId="0" applyFont="1" applyFill="1" applyBorder="1" applyAlignment="1" applyProtection="1">
      <alignment horizontal="center"/>
      <protection locked="0"/>
    </xf>
    <xf numFmtId="0" fontId="29" fillId="20" borderId="1" xfId="0" quotePrefix="1" applyFont="1" applyFill="1" applyBorder="1" applyAlignment="1" applyProtection="1">
      <alignment horizontal="center"/>
      <protection locked="0"/>
    </xf>
    <xf numFmtId="0" fontId="0" fillId="16" borderId="1" xfId="0" applyFill="1" applyBorder="1" applyAlignment="1" applyProtection="1">
      <alignment horizontal="center"/>
      <protection locked="0"/>
    </xf>
    <xf numFmtId="0" fontId="0" fillId="16" borderId="1" xfId="0" applyFill="1" applyBorder="1" applyAlignment="1" applyProtection="1">
      <alignment horizontal="left"/>
      <protection locked="0"/>
    </xf>
    <xf numFmtId="0" fontId="0" fillId="16" borderId="1" xfId="0" applyFill="1" applyBorder="1" applyProtection="1">
      <protection locked="0"/>
    </xf>
    <xf numFmtId="1" fontId="0" fillId="16" borderId="1" xfId="0" applyNumberFormat="1" applyFill="1" applyBorder="1" applyAlignment="1" applyProtection="1">
      <alignment horizontal="center"/>
      <protection locked="0"/>
    </xf>
    <xf numFmtId="0" fontId="11" fillId="0" borderId="10" xfId="0" applyFont="1" applyFill="1" applyBorder="1" applyAlignment="1" applyProtection="1">
      <alignment vertical="center"/>
      <protection locked="0"/>
    </xf>
    <xf numFmtId="0" fontId="11" fillId="0" borderId="4" xfId="0" applyFont="1" applyFill="1" applyBorder="1" applyAlignment="1" applyProtection="1">
      <alignment vertical="center"/>
      <protection locked="0"/>
    </xf>
    <xf numFmtId="0" fontId="25" fillId="21" borderId="0" xfId="0" applyFont="1" applyFill="1" applyAlignment="1" applyProtection="1">
      <alignment horizontal="center"/>
    </xf>
    <xf numFmtId="0" fontId="2" fillId="6" borderId="1" xfId="0" applyFont="1" applyFill="1" applyBorder="1" applyAlignment="1">
      <alignment horizontal="center" vertical="center" textRotation="90" wrapText="1"/>
    </xf>
    <xf numFmtId="0" fontId="2" fillId="6" borderId="3"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4" fillId="15" borderId="18" xfId="0" applyFont="1" applyFill="1" applyBorder="1" applyAlignment="1" applyProtection="1">
      <alignment horizontal="left" vertical="center" wrapText="1"/>
      <protection locked="0"/>
    </xf>
    <xf numFmtId="0" fontId="14" fillId="15" borderId="0" xfId="0" applyFont="1" applyFill="1" applyBorder="1" applyAlignment="1" applyProtection="1">
      <alignment horizontal="left" vertical="center" wrapText="1"/>
      <protection locked="0"/>
    </xf>
    <xf numFmtId="0" fontId="14" fillId="15" borderId="17" xfId="0" applyFont="1" applyFill="1" applyBorder="1" applyAlignment="1" applyProtection="1">
      <alignment horizontal="left" vertical="center" wrapText="1"/>
      <protection locked="0"/>
    </xf>
    <xf numFmtId="0" fontId="16" fillId="11" borderId="0" xfId="0" applyFont="1" applyFill="1" applyAlignment="1">
      <alignment horizontal="center"/>
    </xf>
    <xf numFmtId="0" fontId="14" fillId="15" borderId="10" xfId="0" applyFont="1" applyFill="1" applyBorder="1" applyAlignment="1" applyProtection="1">
      <alignment horizontal="left" vertical="center"/>
      <protection locked="0"/>
    </xf>
    <xf numFmtId="0" fontId="14" fillId="15" borderId="4" xfId="0" applyFont="1" applyFill="1" applyBorder="1" applyAlignment="1" applyProtection="1">
      <alignment horizontal="left" vertical="center"/>
      <protection locked="0"/>
    </xf>
    <xf numFmtId="0" fontId="14" fillId="14" borderId="10" xfId="0" applyFont="1" applyFill="1" applyBorder="1" applyAlignment="1" applyProtection="1">
      <alignment horizontal="left" vertical="center"/>
      <protection locked="0"/>
    </xf>
    <xf numFmtId="0" fontId="14" fillId="14" borderId="4" xfId="0" applyFont="1" applyFill="1" applyBorder="1" applyAlignment="1" applyProtection="1">
      <alignment horizontal="left" vertical="center"/>
      <protection locked="0"/>
    </xf>
    <xf numFmtId="0" fontId="14" fillId="14" borderId="5" xfId="0" applyFont="1" applyFill="1" applyBorder="1" applyAlignment="1" applyProtection="1">
      <alignment horizontal="left" vertical="center"/>
      <protection locked="0"/>
    </xf>
    <xf numFmtId="15" fontId="14" fillId="14" borderId="10" xfId="0" quotePrefix="1" applyNumberFormat="1" applyFont="1" applyFill="1" applyBorder="1" applyAlignment="1" applyProtection="1">
      <alignment horizontal="left" vertical="center"/>
      <protection locked="0"/>
    </xf>
    <xf numFmtId="0" fontId="14" fillId="13" borderId="10" xfId="0" applyFont="1" applyFill="1" applyBorder="1" applyAlignment="1" applyProtection="1">
      <alignment horizontal="left" vertical="center"/>
      <protection locked="0"/>
    </xf>
    <xf numFmtId="0" fontId="14" fillId="13" borderId="4" xfId="0" applyFont="1" applyFill="1" applyBorder="1" applyAlignment="1" applyProtection="1">
      <alignment horizontal="left" vertical="center"/>
      <protection locked="0"/>
    </xf>
    <xf numFmtId="0" fontId="9" fillId="0" borderId="0" xfId="0" applyFont="1" applyFill="1" applyAlignment="1" applyProtection="1">
      <alignment horizontal="left" vertical="top" wrapText="1"/>
      <protection locked="0"/>
    </xf>
    <xf numFmtId="0" fontId="12" fillId="0" borderId="1" xfId="0" applyFont="1" applyBorder="1" applyAlignment="1" applyProtection="1">
      <alignment horizontal="left"/>
      <protection locked="0"/>
    </xf>
    <xf numFmtId="0" fontId="10" fillId="0" borderId="2"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0" borderId="3" xfId="0" applyFont="1" applyBorder="1" applyAlignment="1" applyProtection="1">
      <alignment horizontal="left" vertical="center" wrapText="1"/>
      <protection locked="0"/>
    </xf>
    <xf numFmtId="0" fontId="10" fillId="0" borderId="18" xfId="0"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10" fillId="0" borderId="17" xfId="0" applyFont="1" applyBorder="1" applyAlignment="1" applyProtection="1">
      <alignment horizontal="left" vertical="center" wrapText="1"/>
      <protection locked="0"/>
    </xf>
    <xf numFmtId="0" fontId="23" fillId="0" borderId="5" xfId="0" applyFont="1" applyBorder="1" applyAlignment="1" applyProtection="1">
      <alignment horizontal="left" vertical="top" wrapText="1"/>
      <protection locked="0"/>
    </xf>
    <xf numFmtId="0" fontId="23" fillId="0" borderId="10" xfId="0" applyFont="1" applyBorder="1" applyAlignment="1" applyProtection="1">
      <alignment horizontal="left" vertical="top" wrapText="1"/>
      <protection locked="0"/>
    </xf>
    <xf numFmtId="0" fontId="23" fillId="0" borderId="4" xfId="0" applyFont="1" applyBorder="1" applyAlignment="1" applyProtection="1">
      <alignment horizontal="left" vertical="top" wrapText="1"/>
      <protection locked="0"/>
    </xf>
    <xf numFmtId="0" fontId="23" fillId="0" borderId="5" xfId="0" applyFont="1" applyBorder="1" applyAlignment="1" applyProtection="1">
      <alignment horizontal="left" vertical="center" wrapText="1"/>
      <protection locked="0"/>
    </xf>
    <xf numFmtId="0" fontId="23" fillId="0" borderId="10" xfId="0" applyFont="1" applyBorder="1" applyAlignment="1" applyProtection="1">
      <alignment horizontal="left" vertical="center" wrapText="1"/>
      <protection locked="0"/>
    </xf>
    <xf numFmtId="0" fontId="23" fillId="0" borderId="4" xfId="0" applyFont="1" applyBorder="1" applyAlignment="1" applyProtection="1">
      <alignment horizontal="left" vertical="center" wrapText="1"/>
      <protection locked="0"/>
    </xf>
    <xf numFmtId="0" fontId="12" fillId="0" borderId="5" xfId="0" applyFont="1" applyBorder="1" applyAlignment="1" applyProtection="1">
      <alignment horizontal="left"/>
      <protection locked="0"/>
    </xf>
    <xf numFmtId="0" fontId="12" fillId="0" borderId="10" xfId="0" applyFont="1" applyBorder="1" applyAlignment="1" applyProtection="1">
      <alignment horizontal="left"/>
      <protection locked="0"/>
    </xf>
    <xf numFmtId="0" fontId="10" fillId="0" borderId="1" xfId="0" applyFont="1" applyBorder="1" applyAlignment="1" applyProtection="1">
      <alignment horizontal="left" vertical="center" wrapText="1"/>
      <protection locked="0"/>
    </xf>
    <xf numFmtId="0" fontId="12" fillId="0" borderId="1" xfId="0" applyFont="1" applyBorder="1" applyAlignment="1" applyProtection="1">
      <alignment horizontal="center" vertical="center" wrapText="1"/>
      <protection locked="0"/>
    </xf>
    <xf numFmtId="0" fontId="12" fillId="0" borderId="5" xfId="0" applyFont="1" applyBorder="1" applyAlignment="1" applyProtection="1">
      <alignment horizontal="left" vertical="center"/>
      <protection locked="0"/>
    </xf>
    <xf numFmtId="0" fontId="12" fillId="0" borderId="10" xfId="0" applyFont="1" applyBorder="1" applyAlignment="1" applyProtection="1">
      <alignment horizontal="left" vertical="center"/>
      <protection locked="0"/>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24" fillId="0" borderId="5" xfId="0" applyFont="1" applyFill="1" applyBorder="1" applyAlignment="1" applyProtection="1">
      <alignment horizontal="center" vertical="center" wrapText="1"/>
      <protection locked="0"/>
    </xf>
    <xf numFmtId="0" fontId="24" fillId="0" borderId="10" xfId="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protection locked="0"/>
    </xf>
    <xf numFmtId="0" fontId="9" fillId="3" borderId="0" xfId="0" applyFont="1" applyFill="1" applyBorder="1" applyAlignment="1" applyProtection="1">
      <alignment horizontal="center" vertical="center"/>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0" xfId="0" applyFont="1" applyBorder="1" applyAlignment="1">
      <alignment horizontal="left" vertical="center" wrapText="1"/>
    </xf>
    <xf numFmtId="0" fontId="10" fillId="0" borderId="15" xfId="0" applyFont="1" applyBorder="1" applyAlignment="1">
      <alignment horizontal="left" vertical="center" wrapText="1"/>
    </xf>
    <xf numFmtId="0" fontId="8" fillId="0" borderId="5" xfId="0" applyFont="1" applyBorder="1" applyAlignment="1" applyProtection="1">
      <alignment horizontal="left" vertical="center" wrapText="1"/>
      <protection locked="0"/>
    </xf>
    <xf numFmtId="0" fontId="8" fillId="0" borderId="10" xfId="0" applyFont="1" applyBorder="1" applyAlignment="1" applyProtection="1">
      <alignment horizontal="left" vertical="center" wrapText="1"/>
      <protection locked="0"/>
    </xf>
    <xf numFmtId="0" fontId="8" fillId="0" borderId="4" xfId="0" applyFont="1" applyBorder="1" applyAlignment="1" applyProtection="1">
      <alignment horizontal="left" vertical="center" wrapText="1"/>
      <protection locked="0"/>
    </xf>
    <xf numFmtId="0" fontId="11" fillId="0" borderId="5" xfId="0" applyFont="1" applyFill="1" applyBorder="1" applyAlignment="1" applyProtection="1">
      <alignment horizontal="left" vertical="top" wrapText="1"/>
      <protection locked="0"/>
    </xf>
    <xf numFmtId="0" fontId="11" fillId="0" borderId="10" xfId="0" applyFont="1" applyFill="1" applyBorder="1" applyAlignment="1" applyProtection="1">
      <alignment horizontal="left" vertical="top" wrapText="1"/>
      <protection locked="0"/>
    </xf>
    <xf numFmtId="0" fontId="11" fillId="0" borderId="4" xfId="0" applyFont="1" applyFill="1" applyBorder="1" applyAlignment="1" applyProtection="1">
      <alignment horizontal="left" vertical="top" wrapText="1"/>
      <protection locked="0"/>
    </xf>
    <xf numFmtId="0" fontId="12" fillId="0" borderId="4" xfId="0" applyFont="1" applyBorder="1" applyAlignment="1" applyProtection="1">
      <alignment horizontal="left"/>
      <protection locked="0"/>
    </xf>
    <xf numFmtId="0" fontId="10" fillId="0" borderId="1" xfId="0" applyFont="1" applyBorder="1" applyAlignment="1" applyProtection="1">
      <alignment horizontal="left" vertical="center"/>
      <protection locked="0"/>
    </xf>
    <xf numFmtId="0" fontId="10"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9" fillId="0" borderId="0" xfId="0" applyFont="1" applyFill="1" applyBorder="1" applyAlignment="1" applyProtection="1">
      <alignment horizontal="left" vertical="top" wrapText="1"/>
      <protection locked="0"/>
    </xf>
    <xf numFmtId="0" fontId="13" fillId="0" borderId="5" xfId="0" applyFont="1" applyBorder="1" applyAlignment="1" applyProtection="1">
      <alignment horizontal="center" vertical="center" wrapText="1"/>
      <protection locked="0"/>
    </xf>
    <xf numFmtId="0" fontId="13" fillId="0" borderId="10" xfId="0" applyFont="1" applyBorder="1" applyAlignment="1" applyProtection="1">
      <alignment horizontal="center" vertical="center" wrapText="1"/>
      <protection locked="0"/>
    </xf>
    <xf numFmtId="0" fontId="13" fillId="0" borderId="5"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4" xfId="0" applyFont="1" applyBorder="1" applyAlignment="1" applyProtection="1">
      <alignment horizontal="left" vertical="center" wrapText="1"/>
      <protection locked="0"/>
    </xf>
    <xf numFmtId="0" fontId="12" fillId="0" borderId="1" xfId="0" applyFont="1" applyBorder="1" applyAlignment="1" applyProtection="1">
      <alignment horizontal="center"/>
      <protection locked="0"/>
    </xf>
    <xf numFmtId="0" fontId="11" fillId="0" borderId="0" xfId="0" applyFont="1" applyFill="1" applyAlignment="1" applyProtection="1">
      <alignment horizontal="left" wrapText="1"/>
      <protection locked="0"/>
    </xf>
    <xf numFmtId="0" fontId="11" fillId="0" borderId="0" xfId="0" applyFont="1" applyFill="1" applyBorder="1" applyAlignment="1" applyProtection="1">
      <alignment horizontal="left" wrapText="1"/>
      <protection locked="0"/>
    </xf>
    <xf numFmtId="0" fontId="10" fillId="0" borderId="1" xfId="0" applyFont="1" applyBorder="1" applyAlignment="1" applyProtection="1">
      <alignment horizontal="center" vertical="center"/>
      <protection locked="0"/>
    </xf>
    <xf numFmtId="0" fontId="5" fillId="0" borderId="5"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0" xfId="0" applyFont="1" applyBorder="1" applyAlignment="1" applyProtection="1">
      <alignment horizontal="center" vertical="center" wrapText="1"/>
      <protection locked="0"/>
    </xf>
    <xf numFmtId="0" fontId="12" fillId="0" borderId="0"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0" applyFont="1" applyFill="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protection locked="0"/>
    </xf>
    <xf numFmtId="0" fontId="28" fillId="0" borderId="0" xfId="0" applyFont="1" applyFill="1" applyBorder="1" applyAlignment="1" applyProtection="1">
      <alignment horizontal="center"/>
      <protection locked="0"/>
    </xf>
    <xf numFmtId="0" fontId="28" fillId="0" borderId="0" xfId="0" applyFont="1" applyBorder="1" applyAlignment="1" applyProtection="1">
      <alignment horizontal="center"/>
      <protection locked="0"/>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9" borderId="5"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10" xfId="0" applyFont="1" applyFill="1" applyBorder="1" applyAlignment="1">
      <alignment horizontal="center" vertical="center"/>
    </xf>
    <xf numFmtId="0" fontId="2" fillId="10"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8"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9" borderId="10" xfId="0" applyFont="1" applyFill="1" applyBorder="1" applyAlignment="1">
      <alignment horizontal="center"/>
    </xf>
    <xf numFmtId="0" fontId="2" fillId="5" borderId="1" xfId="0" applyFont="1" applyFill="1" applyBorder="1" applyAlignment="1">
      <alignment horizontal="center"/>
    </xf>
    <xf numFmtId="0" fontId="2" fillId="9" borderId="5" xfId="0" applyFont="1" applyFill="1" applyBorder="1" applyAlignment="1">
      <alignment horizontal="center"/>
    </xf>
    <xf numFmtId="0" fontId="2" fillId="10" borderId="1" xfId="0" applyFont="1" applyFill="1" applyBorder="1" applyAlignment="1">
      <alignment horizont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7" fillId="0" borderId="0" xfId="0" applyFont="1" applyAlignment="1" applyProtection="1">
      <alignment horizontal="center"/>
    </xf>
    <xf numFmtId="0" fontId="0" fillId="7" borderId="1" xfId="0"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cellXfs>
  <cellStyles count="18">
    <cellStyle name="Currency [0] 2" xfId="3"/>
    <cellStyle name="Currency [0] 2 2" xfId="12"/>
    <cellStyle name="Currency [0] 2 3" xfId="11"/>
    <cellStyle name="Normal" xfId="0" builtinId="0"/>
    <cellStyle name="Normal 2" xfId="1"/>
    <cellStyle name="Normal 2 2" xfId="5"/>
    <cellStyle name="Normal 2 2 2" xfId="13"/>
    <cellStyle name="Normal 2 3" xfId="10"/>
    <cellStyle name="Normal 2 3 2" xfId="17"/>
    <cellStyle name="Normal 2 3 3" xfId="14"/>
    <cellStyle name="Normal 2 4" xfId="9"/>
    <cellStyle name="Normal 2 4 2" xfId="16"/>
    <cellStyle name="Normal 3" xfId="4"/>
    <cellStyle name="Normal 3 2" xfId="15"/>
    <cellStyle name="Normal 4" xfId="2"/>
    <cellStyle name="Normal 4 2" xfId="6"/>
    <cellStyle name="Normal 5" xfId="7"/>
    <cellStyle name="Percent 2" xfId="8"/>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numFmt numFmtId="0" formatCode="General"/>
      <fill>
        <patternFill>
          <bgColor theme="0"/>
        </patternFill>
      </fill>
    </dxf>
    <dxf>
      <font>
        <color theme="0"/>
      </font>
      <numFmt numFmtId="0" formatCode="General"/>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FF00"/>
      <color rgb="FF23ECF1"/>
      <color rgb="FF808080"/>
      <color rgb="FFE923DB"/>
      <color rgb="FF8A19E7"/>
      <color rgb="FFFDFD2F"/>
      <color rgb="FFF39125"/>
      <color rgb="FFE92323"/>
      <color rgb="FFE719CE"/>
      <color rgb="FF6B2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Lines="40" dropStyle="combo" dx="16" fmlaLink="$J$1" fmlaRange="Legger!$B$9:$B$48" sel="16" val="2"/>
</file>

<file path=xl/drawings/_rels/drawing1.xml.rels><?xml version="1.0" encoding="UTF-8" standalone="yes"?>
<Relationships xmlns="http://schemas.openxmlformats.org/package/2006/relationships"><Relationship Id="rId8" Type="http://schemas.openxmlformats.org/officeDocument/2006/relationships/hyperlink" Target="#'Catatan Sikap'!A1"/><Relationship Id="rId3" Type="http://schemas.openxmlformats.org/officeDocument/2006/relationships/hyperlink" Target="#'Input Ekstra'!A1"/><Relationship Id="rId7" Type="http://schemas.openxmlformats.org/officeDocument/2006/relationships/hyperlink" Target="#Legger!A1"/><Relationship Id="rId12" Type="http://schemas.openxmlformats.org/officeDocument/2006/relationships/image" Target="../media/image3.jpeg"/><Relationship Id="rId2" Type="http://schemas.openxmlformats.org/officeDocument/2006/relationships/image" Target="../media/image2.tiff"/><Relationship Id="rId1" Type="http://schemas.openxmlformats.org/officeDocument/2006/relationships/image" Target="../media/image1.jpeg"/><Relationship Id="rId6" Type="http://schemas.openxmlformats.org/officeDocument/2006/relationships/hyperlink" Target="#'Input Prestasi'!A1"/><Relationship Id="rId11" Type="http://schemas.openxmlformats.org/officeDocument/2006/relationships/hyperlink" Target="#'Legger Dinas'!A1"/><Relationship Id="rId5" Type="http://schemas.openxmlformats.org/officeDocument/2006/relationships/hyperlink" Target="#'Input Kehadiran'!A1"/><Relationship Id="rId10" Type="http://schemas.openxmlformats.org/officeDocument/2006/relationships/hyperlink" Target="#Raport!A1"/><Relationship Id="rId4" Type="http://schemas.openxmlformats.org/officeDocument/2006/relationships/hyperlink" Target="#'Input Nilai Sikap dan Catatan'!A1"/><Relationship Id="rId9" Type="http://schemas.openxmlformats.org/officeDocument/2006/relationships/hyperlink" Target="#Setting!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Legger!A1"/></Relationships>
</file>

<file path=xl/drawings/_rels/drawing6.xml.rels><?xml version="1.0" encoding="UTF-8" standalone="yes"?>
<Relationships xmlns="http://schemas.openxmlformats.org/package/2006/relationships"><Relationship Id="rId8" Type="http://schemas.openxmlformats.org/officeDocument/2006/relationships/hyperlink" Target="#Legger!AT9"/><Relationship Id="rId13" Type="http://schemas.openxmlformats.org/officeDocument/2006/relationships/hyperlink" Target="#Legger!BX9"/><Relationship Id="rId18" Type="http://schemas.openxmlformats.org/officeDocument/2006/relationships/hyperlink" Target="#Home!A1"/><Relationship Id="rId3" Type="http://schemas.openxmlformats.org/officeDocument/2006/relationships/hyperlink" Target="#Legger!P9"/><Relationship Id="rId7" Type="http://schemas.openxmlformats.org/officeDocument/2006/relationships/hyperlink" Target="#Legger!AN9"/><Relationship Id="rId12" Type="http://schemas.openxmlformats.org/officeDocument/2006/relationships/hyperlink" Target="#Legger!BR9"/><Relationship Id="rId17" Type="http://schemas.openxmlformats.org/officeDocument/2006/relationships/hyperlink" Target="#Legger!CV9"/><Relationship Id="rId2" Type="http://schemas.openxmlformats.org/officeDocument/2006/relationships/hyperlink" Target="#Legger!J9"/><Relationship Id="rId16" Type="http://schemas.openxmlformats.org/officeDocument/2006/relationships/hyperlink" Target="#Legger!CP9"/><Relationship Id="rId1" Type="http://schemas.openxmlformats.org/officeDocument/2006/relationships/hyperlink" Target="#raport!A1"/><Relationship Id="rId6" Type="http://schemas.openxmlformats.org/officeDocument/2006/relationships/hyperlink" Target="#Legger!AH9"/><Relationship Id="rId11" Type="http://schemas.openxmlformats.org/officeDocument/2006/relationships/hyperlink" Target="#Legger!BL9"/><Relationship Id="rId5" Type="http://schemas.openxmlformats.org/officeDocument/2006/relationships/hyperlink" Target="#Legger!AB9"/><Relationship Id="rId15" Type="http://schemas.openxmlformats.org/officeDocument/2006/relationships/hyperlink" Target="#Legger!CJ9"/><Relationship Id="rId10" Type="http://schemas.openxmlformats.org/officeDocument/2006/relationships/hyperlink" Target="#Legger!BF9"/><Relationship Id="rId4" Type="http://schemas.openxmlformats.org/officeDocument/2006/relationships/hyperlink" Target="#Legger!V9"/><Relationship Id="rId9" Type="http://schemas.openxmlformats.org/officeDocument/2006/relationships/hyperlink" Target="#Legger!AZ9"/><Relationship Id="rId14" Type="http://schemas.openxmlformats.org/officeDocument/2006/relationships/hyperlink" Target="#Legger!CD9"/></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211668</xdr:colOff>
      <xdr:row>0</xdr:row>
      <xdr:rowOff>178594</xdr:rowOff>
    </xdr:from>
    <xdr:to>
      <xdr:col>7</xdr:col>
      <xdr:colOff>428627</xdr:colOff>
      <xdr:row>25</xdr:row>
      <xdr:rowOff>0</xdr:rowOff>
    </xdr:to>
    <xdr:sp macro="" textlink="">
      <xdr:nvSpPr>
        <xdr:cNvPr id="52" name="Rounded Rectangle 51">
          <a:extLst>
            <a:ext uri="{FF2B5EF4-FFF2-40B4-BE49-F238E27FC236}">
              <a16:creationId xmlns:a16="http://schemas.microsoft.com/office/drawing/2014/main" id="{00000000-0008-0000-0000-000034000000}"/>
            </a:ext>
          </a:extLst>
        </xdr:cNvPr>
        <xdr:cNvSpPr/>
      </xdr:nvSpPr>
      <xdr:spPr>
        <a:xfrm>
          <a:off x="1439335" y="369094"/>
          <a:ext cx="3254375" cy="4583906"/>
        </a:xfrm>
        <a:prstGeom prst="roundRect">
          <a:avLst/>
        </a:prstGeom>
        <a:blipFill>
          <a:blip xmlns:r="http://schemas.openxmlformats.org/officeDocument/2006/relationships" r:embed="rId1"/>
          <a:tile tx="0" ty="0" sx="100000" sy="100000" flip="none" algn="tl"/>
        </a:blip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id-ID" sz="1100">
            <a:ln>
              <a:solidFill>
                <a:schemeClr val="tx1"/>
              </a:solidFill>
              <a:prstDash val="solid"/>
            </a:ln>
          </a:endParaRPr>
        </a:p>
      </xdr:txBody>
    </xdr:sp>
    <xdr:clientData/>
  </xdr:twoCellAnchor>
  <xdr:twoCellAnchor>
    <xdr:from>
      <xdr:col>2</xdr:col>
      <xdr:colOff>331258</xdr:colOff>
      <xdr:row>14</xdr:row>
      <xdr:rowOff>116417</xdr:rowOff>
    </xdr:from>
    <xdr:to>
      <xdr:col>7</xdr:col>
      <xdr:colOff>331258</xdr:colOff>
      <xdr:row>20</xdr:row>
      <xdr:rowOff>0</xdr:rowOff>
    </xdr:to>
    <xdr:sp macro="" textlink="">
      <xdr:nvSpPr>
        <xdr:cNvPr id="53" name="Rectangle 52">
          <a:extLst>
            <a:ext uri="{FF2B5EF4-FFF2-40B4-BE49-F238E27FC236}">
              <a16:creationId xmlns:a16="http://schemas.microsoft.com/office/drawing/2014/main" id="{00000000-0008-0000-0000-000035000000}"/>
            </a:ext>
          </a:extLst>
        </xdr:cNvPr>
        <xdr:cNvSpPr/>
      </xdr:nvSpPr>
      <xdr:spPr>
        <a:xfrm>
          <a:off x="1558925" y="2973917"/>
          <a:ext cx="3037416" cy="1026583"/>
        </a:xfrm>
        <a:prstGeom prst="rect">
          <a:avLst/>
        </a:prstGeom>
        <a:noFill/>
        <a:effectLst>
          <a:outerShdw blurRad="50800" dist="38100" dir="5400000" algn="t" rotWithShape="0">
            <a:prstClr val="black">
              <a:alpha val="40000"/>
            </a:prstClr>
          </a:outerShdw>
        </a:effectLst>
      </xdr:spPr>
      <xdr:txBody>
        <a:bodyPr wrap="none" lIns="91440" tIns="45720" rIns="91440" bIns="45720" anchor="ctr">
          <a:noAutofit/>
        </a:bodyPr>
        <a:lstStyle/>
        <a:p>
          <a:pPr algn="ctr"/>
          <a:r>
            <a:rPr lang="en-US" sz="28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Legger </a:t>
          </a:r>
          <a:r>
            <a:rPr lang="en-US"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Rapor</a:t>
          </a:r>
          <a:endParaRPr lang="id-ID"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ndParaRPr>
        </a:p>
        <a:p>
          <a:pPr algn="ctr"/>
          <a:r>
            <a:rPr lang="en-US"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Wali Kelas</a:t>
          </a:r>
          <a:endParaRPr lang="en-US" sz="28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ndParaRPr>
        </a:p>
      </xdr:txBody>
    </xdr:sp>
    <xdr:clientData/>
  </xdr:twoCellAnchor>
  <xdr:twoCellAnchor>
    <xdr:from>
      <xdr:col>3</xdr:col>
      <xdr:colOff>190552</xdr:colOff>
      <xdr:row>2</xdr:row>
      <xdr:rowOff>164043</xdr:rowOff>
    </xdr:from>
    <xdr:to>
      <xdr:col>6</xdr:col>
      <xdr:colOff>464524</xdr:colOff>
      <xdr:row>13</xdr:row>
      <xdr:rowOff>58209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2208" y="545043"/>
          <a:ext cx="2071816" cy="1989666"/>
        </a:xfrm>
        <a:prstGeom prst="rect">
          <a:avLst/>
        </a:prstGeom>
        <a:noFill/>
        <a:ln>
          <a:noFill/>
        </a:ln>
        <a:effectLst>
          <a:outerShdw blurRad="190500" dist="38100" sx="103000" sy="103000" algn="l" rotWithShape="0">
            <a:schemeClr val="tx1"/>
          </a:outerShdw>
        </a:effectLst>
      </xdr:spPr>
    </xdr:pic>
    <xdr:clientData/>
  </xdr:twoCellAnchor>
  <xdr:twoCellAnchor>
    <xdr:from>
      <xdr:col>2</xdr:col>
      <xdr:colOff>332846</xdr:colOff>
      <xdr:row>20</xdr:row>
      <xdr:rowOff>71677</xdr:rowOff>
    </xdr:from>
    <xdr:to>
      <xdr:col>7</xdr:col>
      <xdr:colOff>332846</xdr:colOff>
      <xdr:row>23</xdr:row>
      <xdr:rowOff>21167</xdr:rowOff>
    </xdr:to>
    <xdr:sp macro="" textlink="">
      <xdr:nvSpPr>
        <xdr:cNvPr id="82" name="Rectangle 81">
          <a:extLst>
            <a:ext uri="{FF2B5EF4-FFF2-40B4-BE49-F238E27FC236}">
              <a16:creationId xmlns:a16="http://schemas.microsoft.com/office/drawing/2014/main" id="{00000000-0008-0000-0000-000052000000}"/>
            </a:ext>
          </a:extLst>
        </xdr:cNvPr>
        <xdr:cNvSpPr/>
      </xdr:nvSpPr>
      <xdr:spPr>
        <a:xfrm>
          <a:off x="1560513" y="4072177"/>
          <a:ext cx="3037416" cy="520990"/>
        </a:xfrm>
        <a:prstGeom prst="rect">
          <a:avLst/>
        </a:prstGeom>
        <a:noFill/>
        <a:effectLst>
          <a:outerShdw blurRad="50800" dist="38100" dir="5400000" algn="t" rotWithShape="0">
            <a:prstClr val="black">
              <a:alpha val="40000"/>
            </a:prstClr>
          </a:outerShdw>
        </a:effectLst>
      </xdr:spPr>
      <xdr:txBody>
        <a:bodyPr wrap="none" lIns="91440" tIns="45720" rIns="91440" bIns="45720" anchor="ctr">
          <a:noAutofit/>
        </a:bodyPr>
        <a:lstStyle/>
        <a:p>
          <a:pPr marL="0" indent="0" algn="ctr"/>
          <a:r>
            <a:rPr lang="en-US" sz="20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a typeface="+mn-ea"/>
              <a:cs typeface="+mn-cs"/>
            </a:rPr>
            <a:t>SMA ABBS Surakarta</a:t>
          </a:r>
        </a:p>
      </xdr:txBody>
    </xdr:sp>
    <xdr:clientData/>
  </xdr:twoCellAnchor>
  <xdr:twoCellAnchor>
    <xdr:from>
      <xdr:col>8</xdr:col>
      <xdr:colOff>190491</xdr:colOff>
      <xdr:row>18</xdr:row>
      <xdr:rowOff>169335</xdr:rowOff>
    </xdr:from>
    <xdr:to>
      <xdr:col>17</xdr:col>
      <xdr:colOff>547688</xdr:colOff>
      <xdr:row>29</xdr:row>
      <xdr:rowOff>197721</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5024429" y="3598335"/>
          <a:ext cx="6250790" cy="2159605"/>
          <a:chOff x="5079991" y="3503084"/>
          <a:chExt cx="6295000" cy="2155620"/>
        </a:xfrm>
      </xdr:grpSpPr>
      <xdr:sp macro="" textlink="">
        <xdr:nvSpPr>
          <xdr:cNvPr id="60" name="Hexagon 59">
            <a:hlinkClick xmlns:r="http://schemas.openxmlformats.org/officeDocument/2006/relationships" r:id="rId3"/>
            <a:extLst>
              <a:ext uri="{FF2B5EF4-FFF2-40B4-BE49-F238E27FC236}">
                <a16:creationId xmlns:a16="http://schemas.microsoft.com/office/drawing/2014/main" id="{00000000-0008-0000-0000-00003C000000}"/>
              </a:ext>
            </a:extLst>
          </xdr:cNvPr>
          <xdr:cNvSpPr/>
        </xdr:nvSpPr>
        <xdr:spPr>
          <a:xfrm>
            <a:off x="8800046" y="4265086"/>
            <a:ext cx="1280160" cy="640080"/>
          </a:xfrm>
          <a:prstGeom prst="hexagon">
            <a:avLst/>
          </a:prstGeom>
          <a:gradFill flip="none" rotWithShape="1">
            <a:gsLst>
              <a:gs pos="51000">
                <a:srgbClr val="00FF00"/>
              </a:gs>
              <a:gs pos="0">
                <a:srgbClr val="FDFD2F"/>
              </a:gs>
              <a:gs pos="100000">
                <a:schemeClr val="accent1">
                  <a:shade val="100000"/>
                  <a:satMod val="115000"/>
                </a:schemeClr>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Nilai</a:t>
            </a:r>
            <a:r>
              <a:rPr lang="en-US" sz="1200" b="1" baseline="0">
                <a:solidFill>
                  <a:schemeClr val="bg1"/>
                </a:solidFill>
              </a:rPr>
              <a:t> Ekstra</a:t>
            </a:r>
            <a:endParaRPr lang="en-US" sz="1200" b="1">
              <a:solidFill>
                <a:schemeClr val="bg1"/>
              </a:solidFill>
            </a:endParaRPr>
          </a:p>
        </xdr:txBody>
      </xdr:sp>
      <xdr:sp macro="" textlink="">
        <xdr:nvSpPr>
          <xdr:cNvPr id="62" name="Hexagon 61">
            <a:hlinkClick xmlns:r="http://schemas.openxmlformats.org/officeDocument/2006/relationships" r:id="rId4"/>
            <a:extLst>
              <a:ext uri="{FF2B5EF4-FFF2-40B4-BE49-F238E27FC236}">
                <a16:creationId xmlns:a16="http://schemas.microsoft.com/office/drawing/2014/main" id="{00000000-0008-0000-0000-00003E000000}"/>
              </a:ext>
            </a:extLst>
          </xdr:cNvPr>
          <xdr:cNvSpPr/>
        </xdr:nvSpPr>
        <xdr:spPr>
          <a:xfrm>
            <a:off x="6360583" y="5003431"/>
            <a:ext cx="1280160" cy="640080"/>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Catatan</a:t>
            </a:r>
            <a:r>
              <a:rPr lang="en-US" sz="1200" b="1" baseline="0">
                <a:solidFill>
                  <a:schemeClr val="bg1"/>
                </a:solidFill>
              </a:rPr>
              <a:t> Walas</a:t>
            </a:r>
            <a:endParaRPr lang="en-US" sz="1200" b="1">
              <a:solidFill>
                <a:schemeClr val="bg1"/>
              </a:solidFill>
            </a:endParaRPr>
          </a:p>
        </xdr:txBody>
      </xdr:sp>
      <xdr:sp macro="" textlink="">
        <xdr:nvSpPr>
          <xdr:cNvPr id="19" name="Hexagon 18">
            <a:hlinkClick xmlns:r="http://schemas.openxmlformats.org/officeDocument/2006/relationships" r:id="rId5"/>
            <a:extLst>
              <a:ext uri="{FF2B5EF4-FFF2-40B4-BE49-F238E27FC236}">
                <a16:creationId xmlns:a16="http://schemas.microsoft.com/office/drawing/2014/main" id="{00000000-0008-0000-0000-000013000000}"/>
              </a:ext>
            </a:extLst>
          </xdr:cNvPr>
          <xdr:cNvSpPr/>
        </xdr:nvSpPr>
        <xdr:spPr>
          <a:xfrm>
            <a:off x="7577672" y="3878265"/>
            <a:ext cx="1280160" cy="640080"/>
          </a:xfrm>
          <a:prstGeom prst="hexagon">
            <a:avLst/>
          </a:prstGeom>
          <a:gradFill>
            <a:gsLst>
              <a:gs pos="100000">
                <a:srgbClr val="FDFD2F"/>
              </a:gs>
              <a:gs pos="0">
                <a:srgbClr val="F39125"/>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Kehadiran</a:t>
            </a:r>
          </a:p>
        </xdr:txBody>
      </xdr:sp>
      <xdr:sp macro="" textlink="">
        <xdr:nvSpPr>
          <xdr:cNvPr id="20" name="Hexagon 19">
            <a:hlinkClick xmlns:r="http://schemas.openxmlformats.org/officeDocument/2006/relationships" r:id="rId6"/>
            <a:extLst>
              <a:ext uri="{FF2B5EF4-FFF2-40B4-BE49-F238E27FC236}">
                <a16:creationId xmlns:a16="http://schemas.microsoft.com/office/drawing/2014/main" id="{00000000-0008-0000-0000-000014000000}"/>
              </a:ext>
            </a:extLst>
          </xdr:cNvPr>
          <xdr:cNvSpPr/>
        </xdr:nvSpPr>
        <xdr:spPr>
          <a:xfrm>
            <a:off x="8796604" y="3503084"/>
            <a:ext cx="1280160" cy="640080"/>
          </a:xfrm>
          <a:prstGeom prst="hexagon">
            <a:avLst/>
          </a:prstGeom>
          <a:gradFill flip="none" rotWithShape="1">
            <a:gsLst>
              <a:gs pos="51000">
                <a:srgbClr val="00FF00"/>
              </a:gs>
              <a:gs pos="0">
                <a:srgbClr val="FDFD2F"/>
              </a:gs>
              <a:gs pos="100000">
                <a:schemeClr val="accent1">
                  <a:shade val="100000"/>
                  <a:satMod val="115000"/>
                </a:schemeClr>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Prestasi</a:t>
            </a:r>
          </a:p>
        </xdr:txBody>
      </xdr:sp>
      <xdr:sp macro="" textlink="">
        <xdr:nvSpPr>
          <xdr:cNvPr id="22" name="Hexagon 21">
            <a:hlinkClick xmlns:r="http://schemas.openxmlformats.org/officeDocument/2006/relationships" r:id="rId7"/>
            <a:extLst>
              <a:ext uri="{FF2B5EF4-FFF2-40B4-BE49-F238E27FC236}">
                <a16:creationId xmlns:a16="http://schemas.microsoft.com/office/drawing/2014/main" id="{00000000-0008-0000-0000-000016000000}"/>
              </a:ext>
            </a:extLst>
          </xdr:cNvPr>
          <xdr:cNvSpPr/>
        </xdr:nvSpPr>
        <xdr:spPr>
          <a:xfrm>
            <a:off x="7577668" y="4628354"/>
            <a:ext cx="1280160" cy="640080"/>
          </a:xfrm>
          <a:prstGeom prst="hexagon">
            <a:avLst/>
          </a:prstGeom>
          <a:gradFill>
            <a:gsLst>
              <a:gs pos="100000">
                <a:srgbClr val="FDFD2F"/>
              </a:gs>
              <a:gs pos="0">
                <a:srgbClr val="F39125"/>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Nilai Mapel</a:t>
            </a:r>
          </a:p>
        </xdr:txBody>
      </xdr:sp>
      <xdr:sp macro="" textlink="">
        <xdr:nvSpPr>
          <xdr:cNvPr id="18" name="Hexagon 17">
            <a:hlinkClick xmlns:r="http://schemas.openxmlformats.org/officeDocument/2006/relationships" r:id="rId8"/>
            <a:extLst>
              <a:ext uri="{FF2B5EF4-FFF2-40B4-BE49-F238E27FC236}">
                <a16:creationId xmlns:a16="http://schemas.microsoft.com/office/drawing/2014/main" id="{00000000-0008-0000-0000-000012000000}"/>
              </a:ext>
            </a:extLst>
          </xdr:cNvPr>
          <xdr:cNvSpPr/>
        </xdr:nvSpPr>
        <xdr:spPr>
          <a:xfrm>
            <a:off x="6360586" y="4265082"/>
            <a:ext cx="1280160" cy="640080"/>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Catatan Sikap</a:t>
            </a:r>
          </a:p>
        </xdr:txBody>
      </xdr:sp>
      <xdr:sp macro="" textlink="">
        <xdr:nvSpPr>
          <xdr:cNvPr id="78" name="Rounded Rectangle 77">
            <a:extLst>
              <a:ext uri="{FF2B5EF4-FFF2-40B4-BE49-F238E27FC236}">
                <a16:creationId xmlns:a16="http://schemas.microsoft.com/office/drawing/2014/main" id="{00000000-0008-0000-0000-00004E000000}"/>
              </a:ext>
            </a:extLst>
          </xdr:cNvPr>
          <xdr:cNvSpPr/>
        </xdr:nvSpPr>
        <xdr:spPr>
          <a:xfrm>
            <a:off x="5079991" y="4844517"/>
            <a:ext cx="1097280" cy="393216"/>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Output</a:t>
            </a:r>
          </a:p>
        </xdr:txBody>
      </xdr:sp>
      <xdr:sp macro="" textlink="">
        <xdr:nvSpPr>
          <xdr:cNvPr id="83" name="Rounded Rectangle 82">
            <a:extLst>
              <a:ext uri="{FF2B5EF4-FFF2-40B4-BE49-F238E27FC236}">
                <a16:creationId xmlns:a16="http://schemas.microsoft.com/office/drawing/2014/main" id="{00000000-0008-0000-0000-000053000000}"/>
              </a:ext>
            </a:extLst>
          </xdr:cNvPr>
          <xdr:cNvSpPr/>
        </xdr:nvSpPr>
        <xdr:spPr>
          <a:xfrm>
            <a:off x="5079992" y="3958160"/>
            <a:ext cx="1097280" cy="402167"/>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Setting</a:t>
            </a:r>
          </a:p>
        </xdr:txBody>
      </xdr:sp>
      <xdr:sp macro="" textlink="">
        <xdr:nvSpPr>
          <xdr:cNvPr id="21" name="Rounded Rectangle 20">
            <a:extLst>
              <a:ext uri="{FF2B5EF4-FFF2-40B4-BE49-F238E27FC236}">
                <a16:creationId xmlns:a16="http://schemas.microsoft.com/office/drawing/2014/main" id="{00000000-0008-0000-0000-000015000000}"/>
              </a:ext>
            </a:extLst>
          </xdr:cNvPr>
          <xdr:cNvSpPr/>
        </xdr:nvSpPr>
        <xdr:spPr>
          <a:xfrm>
            <a:off x="5082638" y="4409539"/>
            <a:ext cx="1097280" cy="383385"/>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Input</a:t>
            </a:r>
            <a:r>
              <a:rPr lang="en-US" sz="1600" b="1" baseline="0">
                <a:solidFill>
                  <a:schemeClr val="tx1">
                    <a:lumMod val="85000"/>
                    <a:lumOff val="15000"/>
                  </a:schemeClr>
                </a:solidFill>
              </a:rPr>
              <a:t> Data</a:t>
            </a:r>
            <a:endParaRPr lang="en-US" sz="1600" b="1">
              <a:solidFill>
                <a:schemeClr val="tx1">
                  <a:lumMod val="85000"/>
                  <a:lumOff val="15000"/>
                </a:schemeClr>
              </a:solidFill>
            </a:endParaRPr>
          </a:p>
        </xdr:txBody>
      </xdr:sp>
      <xdr:sp macro="" textlink="">
        <xdr:nvSpPr>
          <xdr:cNvPr id="26" name="Hexagon 25">
            <a:hlinkClick xmlns:r="http://schemas.openxmlformats.org/officeDocument/2006/relationships" r:id="rId9"/>
            <a:extLst>
              <a:ext uri="{FF2B5EF4-FFF2-40B4-BE49-F238E27FC236}">
                <a16:creationId xmlns:a16="http://schemas.microsoft.com/office/drawing/2014/main" id="{00000000-0008-0000-0000-00001A000000}"/>
              </a:ext>
            </a:extLst>
          </xdr:cNvPr>
          <xdr:cNvSpPr/>
        </xdr:nvSpPr>
        <xdr:spPr>
          <a:xfrm>
            <a:off x="6360586" y="3513664"/>
            <a:ext cx="1280160" cy="640080"/>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Setting</a:t>
            </a:r>
          </a:p>
          <a:p>
            <a:pPr algn="ctr"/>
            <a:r>
              <a:rPr lang="en-US" sz="1200" b="1" baseline="0">
                <a:solidFill>
                  <a:schemeClr val="bg1"/>
                </a:solidFill>
              </a:rPr>
              <a:t>Rapor</a:t>
            </a:r>
            <a:endParaRPr lang="en-US" sz="1200" b="1">
              <a:solidFill>
                <a:schemeClr val="bg1"/>
              </a:solidFill>
            </a:endParaRPr>
          </a:p>
        </xdr:txBody>
      </xdr:sp>
      <xdr:sp macro="" textlink="">
        <xdr:nvSpPr>
          <xdr:cNvPr id="28" name="Hexagon 27">
            <a:hlinkClick xmlns:r="http://schemas.openxmlformats.org/officeDocument/2006/relationships" r:id="rId10"/>
            <a:extLst>
              <a:ext uri="{FF2B5EF4-FFF2-40B4-BE49-F238E27FC236}">
                <a16:creationId xmlns:a16="http://schemas.microsoft.com/office/drawing/2014/main" id="{00000000-0008-0000-0000-00001C000000}"/>
              </a:ext>
            </a:extLst>
          </xdr:cNvPr>
          <xdr:cNvSpPr/>
        </xdr:nvSpPr>
        <xdr:spPr>
          <a:xfrm>
            <a:off x="10028057" y="3887238"/>
            <a:ext cx="1280160" cy="640080"/>
          </a:xfrm>
          <a:prstGeom prst="hexagon">
            <a:avLst/>
          </a:prstGeom>
          <a:gradFill>
            <a:gsLst>
              <a:gs pos="51000">
                <a:srgbClr val="8A19E7"/>
              </a:gs>
              <a:gs pos="0">
                <a:srgbClr val="0070C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Cetak Rapor</a:t>
            </a:r>
          </a:p>
        </xdr:txBody>
      </xdr:sp>
      <xdr:sp macro="" textlink="">
        <xdr:nvSpPr>
          <xdr:cNvPr id="29" name="Hexagon 28">
            <a:hlinkClick xmlns:r="http://schemas.openxmlformats.org/officeDocument/2006/relationships" r:id="rId11"/>
            <a:extLst>
              <a:ext uri="{FF2B5EF4-FFF2-40B4-BE49-F238E27FC236}">
                <a16:creationId xmlns:a16="http://schemas.microsoft.com/office/drawing/2014/main" id="{00000000-0008-0000-0000-00001D000000}"/>
              </a:ext>
            </a:extLst>
          </xdr:cNvPr>
          <xdr:cNvSpPr/>
        </xdr:nvSpPr>
        <xdr:spPr>
          <a:xfrm>
            <a:off x="8781054" y="5018624"/>
            <a:ext cx="2593937" cy="640080"/>
          </a:xfrm>
          <a:prstGeom prst="hexagon">
            <a:avLst/>
          </a:prstGeom>
          <a:gradFill>
            <a:gsLst>
              <a:gs pos="63686">
                <a:srgbClr val="0070C0"/>
              </a:gs>
              <a:gs pos="33000">
                <a:srgbClr val="00FF00"/>
              </a:gs>
              <a:gs pos="0">
                <a:srgbClr val="FFFF0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Data</a:t>
            </a:r>
            <a:r>
              <a:rPr lang="en-US" sz="1200" b="1" baseline="0">
                <a:solidFill>
                  <a:schemeClr val="bg1"/>
                </a:solidFill>
              </a:rPr>
              <a:t> Dikpora</a:t>
            </a:r>
            <a:r>
              <a:rPr lang="id-ID" sz="1200" b="1" baseline="0">
                <a:solidFill>
                  <a:schemeClr val="bg1"/>
                </a:solidFill>
              </a:rPr>
              <a:t> dan Peringkat Kelas</a:t>
            </a:r>
            <a:endParaRPr lang="en-US" sz="1200" b="1">
              <a:solidFill>
                <a:schemeClr val="bg1"/>
              </a:solidFill>
            </a:endParaRPr>
          </a:p>
        </xdr:txBody>
      </xdr:sp>
    </xdr:grpSp>
    <xdr:clientData/>
  </xdr:twoCellAnchor>
  <xdr:twoCellAnchor editAs="oneCell">
    <xdr:from>
      <xdr:col>8</xdr:col>
      <xdr:colOff>187688</xdr:colOff>
      <xdr:row>1</xdr:row>
      <xdr:rowOff>0</xdr:rowOff>
    </xdr:from>
    <xdr:to>
      <xdr:col>17</xdr:col>
      <xdr:colOff>535782</xdr:colOff>
      <xdr:row>17</xdr:row>
      <xdr:rowOff>135374</xdr:rowOff>
    </xdr:to>
    <xdr:pic>
      <xdr:nvPicPr>
        <xdr:cNvPr id="23" name="Picture 22" descr="guru.jpg">
          <a:extLst>
            <a:ext uri="{FF2B5EF4-FFF2-40B4-BE49-F238E27FC236}">
              <a16:creationId xmlns:a16="http://schemas.microsoft.com/office/drawing/2014/main" id="{00000000-0008-0000-0000-000017000000}"/>
            </a:ext>
          </a:extLst>
        </xdr:cNvPr>
        <xdr:cNvPicPr>
          <a:picLocks noChangeAspect="1"/>
        </xdr:cNvPicPr>
      </xdr:nvPicPr>
      <xdr:blipFill rotWithShape="1">
        <a:blip xmlns:r="http://schemas.openxmlformats.org/officeDocument/2006/relationships" r:embed="rId12"/>
        <a:srcRect t="32681"/>
        <a:stretch/>
      </xdr:blipFill>
      <xdr:spPr>
        <a:xfrm>
          <a:off x="5021626" y="190500"/>
          <a:ext cx="6241687" cy="3183374"/>
        </a:xfrm>
        <a:prstGeom prst="rect">
          <a:avLst/>
        </a:prstGeom>
        <a:ln w="76200">
          <a:solidFill>
            <a:schemeClr val="bg1"/>
          </a:solidFill>
        </a:ln>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57150</xdr:colOff>
      <xdr:row>0</xdr:row>
      <xdr:rowOff>38100</xdr:rowOff>
    </xdr:from>
    <xdr:ext cx="895350"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57150" y="38100"/>
          <a:ext cx="895350"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81642</xdr:rowOff>
    </xdr:from>
    <xdr:ext cx="993320" cy="394608"/>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0" y="81642"/>
          <a:ext cx="993320" cy="3946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523874</xdr:colOff>
      <xdr:row>1</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B00-000002000000}"/>
            </a:ext>
          </a:extLst>
        </xdr:cNvPr>
        <xdr:cNvSpPr txBox="1"/>
      </xdr:nvSpPr>
      <xdr:spPr>
        <a:xfrm>
          <a:off x="0" y="0"/>
          <a:ext cx="523874" cy="323850"/>
        </a:xfrm>
        <a:prstGeom prst="rect">
          <a:avLst/>
        </a:prstGeom>
        <a:solidFill>
          <a:srgbClr val="FF0000"/>
        </a:solidFill>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lang="en-US" sz="1100" b="0" cap="none" spc="0">
              <a:ln w="0"/>
              <a:solidFill>
                <a:schemeClr val="tx1"/>
              </a:solidFill>
              <a:effectLst>
                <a:outerShdw blurRad="38100" dist="19050" dir="2700000" algn="tl" rotWithShape="0">
                  <a:schemeClr val="dk1">
                    <a:alpha val="40000"/>
                  </a:schemeClr>
                </a:outerShdw>
              </a:effectLst>
            </a:rPr>
            <a:t>BACK</a:t>
          </a:r>
          <a:endParaRPr lang="en-US" sz="8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111124</xdr:colOff>
      <xdr:row>0</xdr:row>
      <xdr:rowOff>142875</xdr:rowOff>
    </xdr:from>
    <xdr:ext cx="2111375"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317624" y="142875"/>
          <a:ext cx="2111375"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127000</xdr:colOff>
      <xdr:row>0</xdr:row>
      <xdr:rowOff>158750</xdr:rowOff>
    </xdr:from>
    <xdr:ext cx="1349376"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55625" y="158750"/>
          <a:ext cx="1349376"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0</xdr:row>
      <xdr:rowOff>66675</xdr:rowOff>
    </xdr:from>
    <xdr:ext cx="1162050"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619125" y="66675"/>
          <a:ext cx="1162050"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19050</xdr:colOff>
      <xdr:row>0</xdr:row>
      <xdr:rowOff>0</xdr:rowOff>
    </xdr:from>
    <xdr:to>
      <xdr:col>4</xdr:col>
      <xdr:colOff>990600</xdr:colOff>
      <xdr:row>0</xdr:row>
      <xdr:rowOff>581024</xdr:rowOff>
    </xdr:to>
    <xdr:sp macro="" textlink="">
      <xdr:nvSpPr>
        <xdr:cNvPr id="4" name="Bevel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1647825" y="0"/>
          <a:ext cx="971550" cy="581024"/>
        </a:xfrm>
        <a:prstGeom prst="bevel">
          <a:avLst/>
        </a:prstGeom>
        <a:solidFill>
          <a:schemeClr val="tx2"/>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id-ID" sz="1200" b="1">
              <a:latin typeface="Aharoni" panose="02010803020104030203" pitchFamily="2" charset="-79"/>
              <a:cs typeface="Aharoni" panose="02010803020104030203" pitchFamily="2" charset="-79"/>
            </a:rPr>
            <a:t>CEK </a:t>
          </a:r>
          <a:r>
            <a:rPr lang="en-US" sz="1200" b="1">
              <a:latin typeface="Aharoni" panose="02010803020104030203" pitchFamily="2" charset="-79"/>
              <a:cs typeface="Aharoni" panose="02010803020104030203" pitchFamily="2" charset="-79"/>
            </a:rPr>
            <a:t>LEGGER</a:t>
          </a:r>
        </a:p>
      </xdr:txBody>
    </xdr:sp>
    <xdr:clientData/>
  </xdr:twoCellAnchor>
  <xdr:oneCellAnchor>
    <xdr:from>
      <xdr:col>2</xdr:col>
      <xdr:colOff>57150</xdr:colOff>
      <xdr:row>0</xdr:row>
      <xdr:rowOff>0</xdr:rowOff>
    </xdr:from>
    <xdr:ext cx="1103539" cy="581025"/>
    <xdr:sp macro="" textlink="">
      <xdr:nvSpPr>
        <xdr:cNvPr id="5" name="Rectangle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466725" y="0"/>
          <a:ext cx="1103539" cy="581025"/>
        </a:xfrm>
        <a:prstGeom prst="rect">
          <a:avLst/>
        </a:prstGeom>
        <a:solidFill>
          <a:schemeClr val="accent2">
            <a:lumMod val="75000"/>
          </a:schemeClr>
        </a:solidFill>
        <a:scene3d>
          <a:camera prst="orthographicFront"/>
          <a:lightRig rig="threePt" dir="t"/>
        </a:scene3d>
        <a:sp3d>
          <a:bevelT prst="angle"/>
        </a:sp3d>
      </xdr:spPr>
      <xdr:style>
        <a:lnRef idx="1">
          <a:schemeClr val="accent1"/>
        </a:lnRef>
        <a:fillRef idx="3">
          <a:schemeClr val="accent1"/>
        </a:fillRef>
        <a:effectRef idx="2">
          <a:schemeClr val="accent1"/>
        </a:effectRef>
        <a:fontRef idx="minor">
          <a:schemeClr val="lt1"/>
        </a:fontRef>
      </xdr:style>
      <xdr:txBody>
        <a:bodyPr wrap="square" lIns="91440" tIns="45720" rIns="91440" bIns="45720" anchor="ctr">
          <a:noAutofit/>
        </a:bodyPr>
        <a:lstStyle/>
        <a:p>
          <a:pPr algn="ctr"/>
          <a:r>
            <a:rPr lang="en-US" sz="1600" b="0" cap="none" spc="0">
              <a:ln>
                <a:noFill/>
              </a:ln>
              <a:solidFill>
                <a:schemeClr val="bg1"/>
              </a:solidFill>
              <a:effectLst/>
              <a:latin typeface="Aharoni" panose="02010803020104030203" pitchFamily="2" charset="-79"/>
              <a:cs typeface="Aharoni" panose="02010803020104030203" pitchFamily="2" charset="-79"/>
            </a:rPr>
            <a:t>HOME</a:t>
          </a:r>
        </a:p>
      </xdr:txBody>
    </xdr:sp>
    <xdr:clientData/>
  </xdr:oneCellAnchor>
  <mc:AlternateContent xmlns:mc="http://schemas.openxmlformats.org/markup-compatibility/2006">
    <mc:Choice xmlns:a14="http://schemas.microsoft.com/office/drawing/2010/main" Requires="a14">
      <xdr:twoCellAnchor editAs="oneCell">
        <xdr:from>
          <xdr:col>6</xdr:col>
          <xdr:colOff>485775</xdr:colOff>
          <xdr:row>0</xdr:row>
          <xdr:rowOff>266700</xdr:rowOff>
        </xdr:from>
        <xdr:to>
          <xdr:col>8</xdr:col>
          <xdr:colOff>733425</xdr:colOff>
          <xdr:row>0</xdr:row>
          <xdr:rowOff>590550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285750</xdr:colOff>
      <xdr:row>0</xdr:row>
      <xdr:rowOff>238124</xdr:rowOff>
    </xdr:from>
    <xdr:to>
      <xdr:col>4</xdr:col>
      <xdr:colOff>1381126</xdr:colOff>
      <xdr:row>0</xdr:row>
      <xdr:rowOff>1015999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5984875" y="238124"/>
          <a:ext cx="1095376" cy="777875"/>
        </a:xfrm>
        <a:prstGeom prst="bevel">
          <a:avLst/>
        </a:prstGeom>
        <a:solidFill>
          <a:schemeClr val="tx2"/>
        </a:solidFill>
      </xdr:spPr>
      <xdr:style>
        <a:lnRef idx="0">
          <a:schemeClr val="accent6"/>
        </a:lnRef>
        <a:fillRef idx="3">
          <a:schemeClr val="accent6"/>
        </a:fillRef>
        <a:effectRef idx="3">
          <a:schemeClr val="accent6"/>
        </a:effectRef>
        <a:fontRef idx="minor">
          <a:schemeClr val="lt1"/>
        </a:fontRef>
      </xdr:style>
      <xdr:txBody>
        <a:bodyPr vertOverflow="clip" horzOverflow="clip" lIns="0" tIns="0" rIns="0" bIns="0" rtlCol="0" anchor="ctr"/>
        <a:lstStyle/>
        <a:p>
          <a:pPr algn="ctr"/>
          <a:r>
            <a:rPr lang="id-ID" sz="1400" b="1"/>
            <a:t>CETAK  RAPORT</a:t>
          </a:r>
        </a:p>
      </xdr:txBody>
    </xdr:sp>
    <xdr:clientData/>
  </xdr:twoCellAnchor>
  <xdr:twoCellAnchor>
    <xdr:from>
      <xdr:col>1</xdr:col>
      <xdr:colOff>127000</xdr:colOff>
      <xdr:row>0</xdr:row>
      <xdr:rowOff>63501</xdr:rowOff>
    </xdr:from>
    <xdr:to>
      <xdr:col>1</xdr:col>
      <xdr:colOff>1158875</xdr:colOff>
      <xdr:row>0</xdr:row>
      <xdr:rowOff>317500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00000000-0008-0000-0500-000003000000}"/>
            </a:ext>
          </a:extLst>
        </xdr:cNvPr>
        <xdr:cNvSpPr txBox="1"/>
      </xdr:nvSpPr>
      <xdr:spPr>
        <a:xfrm>
          <a:off x="1333500" y="63501"/>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PAI</a:t>
          </a:r>
        </a:p>
      </xdr:txBody>
    </xdr:sp>
    <xdr:clientData/>
  </xdr:twoCellAnchor>
  <xdr:twoCellAnchor>
    <xdr:from>
      <xdr:col>1</xdr:col>
      <xdr:colOff>120650</xdr:colOff>
      <xdr:row>0</xdr:row>
      <xdr:rowOff>342901</xdr:rowOff>
    </xdr:from>
    <xdr:to>
      <xdr:col>1</xdr:col>
      <xdr:colOff>1152525</xdr:colOff>
      <xdr:row>0</xdr:row>
      <xdr:rowOff>596900</xdr:rowOff>
    </xdr:to>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500-000004000000}"/>
            </a:ext>
          </a:extLst>
        </xdr:cNvPr>
        <xdr:cNvSpPr txBox="1"/>
      </xdr:nvSpPr>
      <xdr:spPr>
        <a:xfrm>
          <a:off x="1327150" y="342901"/>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PKn</a:t>
          </a:r>
        </a:p>
      </xdr:txBody>
    </xdr:sp>
    <xdr:clientData/>
  </xdr:twoCellAnchor>
  <xdr:twoCellAnchor>
    <xdr:from>
      <xdr:col>1</xdr:col>
      <xdr:colOff>130175</xdr:colOff>
      <xdr:row>0</xdr:row>
      <xdr:rowOff>638176</xdr:rowOff>
    </xdr:from>
    <xdr:to>
      <xdr:col>1</xdr:col>
      <xdr:colOff>1162050</xdr:colOff>
      <xdr:row>0</xdr:row>
      <xdr:rowOff>892175</xdr:rowOff>
    </xdr:to>
    <xdr:sp macro="" textlink="">
      <xdr:nvSpPr>
        <xdr:cNvPr id="5" name="TextBox 4">
          <a:hlinkClick xmlns:r="http://schemas.openxmlformats.org/officeDocument/2006/relationships" r:id="rId4"/>
          <a:extLst>
            <a:ext uri="{FF2B5EF4-FFF2-40B4-BE49-F238E27FC236}">
              <a16:creationId xmlns:a16="http://schemas.microsoft.com/office/drawing/2014/main" id="{00000000-0008-0000-0500-000005000000}"/>
            </a:ext>
          </a:extLst>
        </xdr:cNvPr>
        <xdr:cNvSpPr txBox="1"/>
      </xdr:nvSpPr>
      <xdr:spPr>
        <a:xfrm>
          <a:off x="1336675" y="63817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Indo</a:t>
          </a:r>
          <a:endParaRPr lang="en-US" sz="1200" b="1"/>
        </a:p>
      </xdr:txBody>
    </xdr:sp>
    <xdr:clientData/>
  </xdr:twoCellAnchor>
  <xdr:twoCellAnchor>
    <xdr:from>
      <xdr:col>1</xdr:col>
      <xdr:colOff>123825</xdr:colOff>
      <xdr:row>0</xdr:row>
      <xdr:rowOff>917576</xdr:rowOff>
    </xdr:from>
    <xdr:to>
      <xdr:col>1</xdr:col>
      <xdr:colOff>1155700</xdr:colOff>
      <xdr:row>0</xdr:row>
      <xdr:rowOff>1171575</xdr:rowOff>
    </xdr:to>
    <xdr:sp macro="" textlink="">
      <xdr:nvSpPr>
        <xdr:cNvPr id="6" name="TextBox 5">
          <a:hlinkClick xmlns:r="http://schemas.openxmlformats.org/officeDocument/2006/relationships" r:id="rId5"/>
          <a:extLst>
            <a:ext uri="{FF2B5EF4-FFF2-40B4-BE49-F238E27FC236}">
              <a16:creationId xmlns:a16="http://schemas.microsoft.com/office/drawing/2014/main" id="{00000000-0008-0000-0500-000006000000}"/>
            </a:ext>
          </a:extLst>
        </xdr:cNvPr>
        <xdr:cNvSpPr txBox="1"/>
      </xdr:nvSpPr>
      <xdr:spPr>
        <a:xfrm>
          <a:off x="1330325" y="91757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Mat</a:t>
          </a:r>
          <a:r>
            <a:rPr lang="en-US" sz="1200" b="1" baseline="0"/>
            <a:t> (W)</a:t>
          </a:r>
          <a:endParaRPr lang="en-US" sz="1200" b="1"/>
        </a:p>
      </xdr:txBody>
    </xdr:sp>
    <xdr:clientData/>
  </xdr:twoCellAnchor>
  <xdr:twoCellAnchor>
    <xdr:from>
      <xdr:col>1</xdr:col>
      <xdr:colOff>1200150</xdr:colOff>
      <xdr:row>0</xdr:row>
      <xdr:rowOff>73026</xdr:rowOff>
    </xdr:from>
    <xdr:to>
      <xdr:col>1</xdr:col>
      <xdr:colOff>2232025</xdr:colOff>
      <xdr:row>0</xdr:row>
      <xdr:rowOff>327025</xdr:rowOff>
    </xdr:to>
    <xdr:sp macro="" textlink="">
      <xdr:nvSpPr>
        <xdr:cNvPr id="7" name="TextBox 6">
          <a:hlinkClick xmlns:r="http://schemas.openxmlformats.org/officeDocument/2006/relationships" r:id="rId6"/>
          <a:extLst>
            <a:ext uri="{FF2B5EF4-FFF2-40B4-BE49-F238E27FC236}">
              <a16:creationId xmlns:a16="http://schemas.microsoft.com/office/drawing/2014/main" id="{00000000-0008-0000-0500-000007000000}"/>
            </a:ext>
          </a:extLst>
        </xdr:cNvPr>
        <xdr:cNvSpPr txBox="1"/>
      </xdr:nvSpPr>
      <xdr:spPr>
        <a:xfrm>
          <a:off x="2406650" y="7302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Sejarah</a:t>
          </a:r>
        </a:p>
      </xdr:txBody>
    </xdr:sp>
    <xdr:clientData/>
  </xdr:twoCellAnchor>
  <xdr:twoCellAnchor>
    <xdr:from>
      <xdr:col>1</xdr:col>
      <xdr:colOff>1209675</xdr:colOff>
      <xdr:row>0</xdr:row>
      <xdr:rowOff>352426</xdr:rowOff>
    </xdr:from>
    <xdr:to>
      <xdr:col>1</xdr:col>
      <xdr:colOff>2241550</xdr:colOff>
      <xdr:row>0</xdr:row>
      <xdr:rowOff>606425</xdr:rowOff>
    </xdr:to>
    <xdr:sp macro="" textlink="">
      <xdr:nvSpPr>
        <xdr:cNvPr id="8" name="TextBox 7">
          <a:hlinkClick xmlns:r="http://schemas.openxmlformats.org/officeDocument/2006/relationships" r:id="rId7"/>
          <a:extLst>
            <a:ext uri="{FF2B5EF4-FFF2-40B4-BE49-F238E27FC236}">
              <a16:creationId xmlns:a16="http://schemas.microsoft.com/office/drawing/2014/main" id="{00000000-0008-0000-0500-000008000000}"/>
            </a:ext>
          </a:extLst>
        </xdr:cNvPr>
        <xdr:cNvSpPr txBox="1"/>
      </xdr:nvSpPr>
      <xdr:spPr>
        <a:xfrm>
          <a:off x="2416175" y="35242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 Ingg (W)</a:t>
          </a:r>
        </a:p>
      </xdr:txBody>
    </xdr:sp>
    <xdr:clientData/>
  </xdr:twoCellAnchor>
  <xdr:twoCellAnchor>
    <xdr:from>
      <xdr:col>1</xdr:col>
      <xdr:colOff>1203325</xdr:colOff>
      <xdr:row>0</xdr:row>
      <xdr:rowOff>647701</xdr:rowOff>
    </xdr:from>
    <xdr:to>
      <xdr:col>1</xdr:col>
      <xdr:colOff>2235200</xdr:colOff>
      <xdr:row>0</xdr:row>
      <xdr:rowOff>901700</xdr:rowOff>
    </xdr:to>
    <xdr:sp macro="" textlink="">
      <xdr:nvSpPr>
        <xdr:cNvPr id="9" name="TextBox 8">
          <a:hlinkClick xmlns:r="http://schemas.openxmlformats.org/officeDocument/2006/relationships" r:id="rId8"/>
          <a:extLst>
            <a:ext uri="{FF2B5EF4-FFF2-40B4-BE49-F238E27FC236}">
              <a16:creationId xmlns:a16="http://schemas.microsoft.com/office/drawing/2014/main" id="{00000000-0008-0000-0500-000009000000}"/>
            </a:ext>
          </a:extLst>
        </xdr:cNvPr>
        <xdr:cNvSpPr txBox="1"/>
      </xdr:nvSpPr>
      <xdr:spPr>
        <a:xfrm>
          <a:off x="2409825" y="64770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SBK</a:t>
          </a:r>
        </a:p>
      </xdr:txBody>
    </xdr:sp>
    <xdr:clientData/>
  </xdr:twoCellAnchor>
  <xdr:twoCellAnchor>
    <xdr:from>
      <xdr:col>1</xdr:col>
      <xdr:colOff>1212850</xdr:colOff>
      <xdr:row>0</xdr:row>
      <xdr:rowOff>927101</xdr:rowOff>
    </xdr:from>
    <xdr:to>
      <xdr:col>1</xdr:col>
      <xdr:colOff>2244725</xdr:colOff>
      <xdr:row>0</xdr:row>
      <xdr:rowOff>1181100</xdr:rowOff>
    </xdr:to>
    <xdr:sp macro="" textlink="">
      <xdr:nvSpPr>
        <xdr:cNvPr id="10" name="TextBox 9">
          <a:hlinkClick xmlns:r="http://schemas.openxmlformats.org/officeDocument/2006/relationships" r:id="rId9"/>
          <a:extLst>
            <a:ext uri="{FF2B5EF4-FFF2-40B4-BE49-F238E27FC236}">
              <a16:creationId xmlns:a16="http://schemas.microsoft.com/office/drawing/2014/main" id="{00000000-0008-0000-0500-00000A000000}"/>
            </a:ext>
          </a:extLst>
        </xdr:cNvPr>
        <xdr:cNvSpPr txBox="1"/>
      </xdr:nvSpPr>
      <xdr:spPr>
        <a:xfrm>
          <a:off x="2419350" y="92710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Penjasorkes</a:t>
          </a:r>
        </a:p>
      </xdr:txBody>
    </xdr:sp>
    <xdr:clientData/>
  </xdr:twoCellAnchor>
  <xdr:twoCellAnchor>
    <xdr:from>
      <xdr:col>1</xdr:col>
      <xdr:colOff>2289175</xdr:colOff>
      <xdr:row>0</xdr:row>
      <xdr:rowOff>82551</xdr:rowOff>
    </xdr:from>
    <xdr:to>
      <xdr:col>3</xdr:col>
      <xdr:colOff>415925</xdr:colOff>
      <xdr:row>0</xdr:row>
      <xdr:rowOff>336550</xdr:rowOff>
    </xdr:to>
    <xdr:sp macro="" textlink="">
      <xdr:nvSpPr>
        <xdr:cNvPr id="11" name="TextBox 10">
          <a:hlinkClick xmlns:r="http://schemas.openxmlformats.org/officeDocument/2006/relationships" r:id="rId10"/>
          <a:extLst>
            <a:ext uri="{FF2B5EF4-FFF2-40B4-BE49-F238E27FC236}">
              <a16:creationId xmlns:a16="http://schemas.microsoft.com/office/drawing/2014/main" id="{00000000-0008-0000-0500-00000B000000}"/>
            </a:ext>
          </a:extLst>
        </xdr:cNvPr>
        <xdr:cNvSpPr txBox="1"/>
      </xdr:nvSpPr>
      <xdr:spPr>
        <a:xfrm>
          <a:off x="3495675" y="8255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TKJ</a:t>
          </a:r>
        </a:p>
      </xdr:txBody>
    </xdr:sp>
    <xdr:clientData/>
  </xdr:twoCellAnchor>
  <xdr:twoCellAnchor>
    <xdr:from>
      <xdr:col>1</xdr:col>
      <xdr:colOff>2282825</xdr:colOff>
      <xdr:row>0</xdr:row>
      <xdr:rowOff>361951</xdr:rowOff>
    </xdr:from>
    <xdr:to>
      <xdr:col>3</xdr:col>
      <xdr:colOff>409575</xdr:colOff>
      <xdr:row>0</xdr:row>
      <xdr:rowOff>615950</xdr:rowOff>
    </xdr:to>
    <xdr:sp macro="" textlink="">
      <xdr:nvSpPr>
        <xdr:cNvPr id="12" name="TextBox 11">
          <a:hlinkClick xmlns:r="http://schemas.openxmlformats.org/officeDocument/2006/relationships" r:id="rId11"/>
          <a:extLst>
            <a:ext uri="{FF2B5EF4-FFF2-40B4-BE49-F238E27FC236}">
              <a16:creationId xmlns:a16="http://schemas.microsoft.com/office/drawing/2014/main" id="{00000000-0008-0000-0500-00000C000000}"/>
            </a:ext>
          </a:extLst>
        </xdr:cNvPr>
        <xdr:cNvSpPr txBox="1"/>
      </xdr:nvSpPr>
      <xdr:spPr>
        <a:xfrm>
          <a:off x="3489325" y="36195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Jawa</a:t>
          </a:r>
          <a:endParaRPr lang="en-US" sz="1200" b="1"/>
        </a:p>
      </xdr:txBody>
    </xdr:sp>
    <xdr:clientData/>
  </xdr:twoCellAnchor>
  <xdr:twoCellAnchor>
    <xdr:from>
      <xdr:col>1</xdr:col>
      <xdr:colOff>2292350</xdr:colOff>
      <xdr:row>0</xdr:row>
      <xdr:rowOff>657226</xdr:rowOff>
    </xdr:from>
    <xdr:to>
      <xdr:col>3</xdr:col>
      <xdr:colOff>419100</xdr:colOff>
      <xdr:row>0</xdr:row>
      <xdr:rowOff>911225</xdr:rowOff>
    </xdr:to>
    <xdr:sp macro="" textlink="">
      <xdr:nvSpPr>
        <xdr:cNvPr id="13" name="TextBox 12">
          <a:hlinkClick xmlns:r="http://schemas.openxmlformats.org/officeDocument/2006/relationships" r:id="rId12"/>
          <a:extLst>
            <a:ext uri="{FF2B5EF4-FFF2-40B4-BE49-F238E27FC236}">
              <a16:creationId xmlns:a16="http://schemas.microsoft.com/office/drawing/2014/main" id="{00000000-0008-0000-0500-00000D000000}"/>
            </a:ext>
          </a:extLst>
        </xdr:cNvPr>
        <xdr:cNvSpPr txBox="1"/>
      </xdr:nvSpPr>
      <xdr:spPr>
        <a:xfrm>
          <a:off x="3498850" y="65722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Mat (P)</a:t>
          </a:r>
        </a:p>
      </xdr:txBody>
    </xdr:sp>
    <xdr:clientData/>
  </xdr:twoCellAnchor>
  <xdr:twoCellAnchor>
    <xdr:from>
      <xdr:col>1</xdr:col>
      <xdr:colOff>2286000</xdr:colOff>
      <xdr:row>0</xdr:row>
      <xdr:rowOff>936626</xdr:rowOff>
    </xdr:from>
    <xdr:to>
      <xdr:col>3</xdr:col>
      <xdr:colOff>412750</xdr:colOff>
      <xdr:row>0</xdr:row>
      <xdr:rowOff>1190625</xdr:rowOff>
    </xdr:to>
    <xdr:sp macro="" textlink="">
      <xdr:nvSpPr>
        <xdr:cNvPr id="14" name="TextBox 13">
          <a:hlinkClick xmlns:r="http://schemas.openxmlformats.org/officeDocument/2006/relationships" r:id="rId13"/>
          <a:extLst>
            <a:ext uri="{FF2B5EF4-FFF2-40B4-BE49-F238E27FC236}">
              <a16:creationId xmlns:a16="http://schemas.microsoft.com/office/drawing/2014/main" id="{00000000-0008-0000-0500-00000E000000}"/>
            </a:ext>
          </a:extLst>
        </xdr:cNvPr>
        <xdr:cNvSpPr txBox="1"/>
      </xdr:nvSpPr>
      <xdr:spPr>
        <a:xfrm>
          <a:off x="3492500" y="93662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Fisika</a:t>
          </a:r>
        </a:p>
      </xdr:txBody>
    </xdr:sp>
    <xdr:clientData/>
  </xdr:twoCellAnchor>
  <xdr:twoCellAnchor>
    <xdr:from>
      <xdr:col>3</xdr:col>
      <xdr:colOff>444500</xdr:colOff>
      <xdr:row>0</xdr:row>
      <xdr:rowOff>79376</xdr:rowOff>
    </xdr:from>
    <xdr:to>
      <xdr:col>3</xdr:col>
      <xdr:colOff>1476375</xdr:colOff>
      <xdr:row>0</xdr:row>
      <xdr:rowOff>333375</xdr:rowOff>
    </xdr:to>
    <xdr:sp macro="" textlink="">
      <xdr:nvSpPr>
        <xdr:cNvPr id="15" name="TextBox 14">
          <a:hlinkClick xmlns:r="http://schemas.openxmlformats.org/officeDocument/2006/relationships" r:id="rId14"/>
          <a:extLst>
            <a:ext uri="{FF2B5EF4-FFF2-40B4-BE49-F238E27FC236}">
              <a16:creationId xmlns:a16="http://schemas.microsoft.com/office/drawing/2014/main" id="{00000000-0008-0000-0500-00000F000000}"/>
            </a:ext>
          </a:extLst>
        </xdr:cNvPr>
        <xdr:cNvSpPr txBox="1"/>
      </xdr:nvSpPr>
      <xdr:spPr>
        <a:xfrm>
          <a:off x="4556125" y="7937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Kimia</a:t>
          </a:r>
        </a:p>
      </xdr:txBody>
    </xdr:sp>
    <xdr:clientData/>
  </xdr:twoCellAnchor>
  <xdr:twoCellAnchor>
    <xdr:from>
      <xdr:col>3</xdr:col>
      <xdr:colOff>438150</xdr:colOff>
      <xdr:row>0</xdr:row>
      <xdr:rowOff>358776</xdr:rowOff>
    </xdr:from>
    <xdr:to>
      <xdr:col>3</xdr:col>
      <xdr:colOff>1470025</xdr:colOff>
      <xdr:row>0</xdr:row>
      <xdr:rowOff>612775</xdr:rowOff>
    </xdr:to>
    <xdr:sp macro="" textlink="">
      <xdr:nvSpPr>
        <xdr:cNvPr id="16" name="TextBox 15">
          <a:hlinkClick xmlns:r="http://schemas.openxmlformats.org/officeDocument/2006/relationships" r:id="rId15"/>
          <a:extLst>
            <a:ext uri="{FF2B5EF4-FFF2-40B4-BE49-F238E27FC236}">
              <a16:creationId xmlns:a16="http://schemas.microsoft.com/office/drawing/2014/main" id="{00000000-0008-0000-0500-000010000000}"/>
            </a:ext>
          </a:extLst>
        </xdr:cNvPr>
        <xdr:cNvSpPr txBox="1"/>
      </xdr:nvSpPr>
      <xdr:spPr>
        <a:xfrm>
          <a:off x="4549775" y="35877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Biologi</a:t>
          </a:r>
        </a:p>
      </xdr:txBody>
    </xdr:sp>
    <xdr:clientData/>
  </xdr:twoCellAnchor>
  <xdr:twoCellAnchor>
    <xdr:from>
      <xdr:col>3</xdr:col>
      <xdr:colOff>438150</xdr:colOff>
      <xdr:row>0</xdr:row>
      <xdr:rowOff>644526</xdr:rowOff>
    </xdr:from>
    <xdr:to>
      <xdr:col>3</xdr:col>
      <xdr:colOff>1470025</xdr:colOff>
      <xdr:row>0</xdr:row>
      <xdr:rowOff>898525</xdr:rowOff>
    </xdr:to>
    <xdr:sp macro="" textlink="">
      <xdr:nvSpPr>
        <xdr:cNvPr id="17" name="TextBox 16">
          <a:hlinkClick xmlns:r="http://schemas.openxmlformats.org/officeDocument/2006/relationships" r:id="rId16"/>
          <a:extLst>
            <a:ext uri="{FF2B5EF4-FFF2-40B4-BE49-F238E27FC236}">
              <a16:creationId xmlns:a16="http://schemas.microsoft.com/office/drawing/2014/main" id="{00000000-0008-0000-0500-000011000000}"/>
            </a:ext>
          </a:extLst>
        </xdr:cNvPr>
        <xdr:cNvSpPr txBox="1"/>
      </xdr:nvSpPr>
      <xdr:spPr>
        <a:xfrm>
          <a:off x="4549775" y="644526"/>
          <a:ext cx="1031875" cy="253999"/>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 Ing (P)</a:t>
          </a:r>
        </a:p>
      </xdr:txBody>
    </xdr:sp>
    <xdr:clientData/>
  </xdr:twoCellAnchor>
  <xdr:twoCellAnchor>
    <xdr:from>
      <xdr:col>3</xdr:col>
      <xdr:colOff>447675</xdr:colOff>
      <xdr:row>0</xdr:row>
      <xdr:rowOff>923926</xdr:rowOff>
    </xdr:from>
    <xdr:to>
      <xdr:col>3</xdr:col>
      <xdr:colOff>1479550</xdr:colOff>
      <xdr:row>0</xdr:row>
      <xdr:rowOff>1177925</xdr:rowOff>
    </xdr:to>
    <xdr:sp macro="" textlink="">
      <xdr:nvSpPr>
        <xdr:cNvPr id="18" name="TextBox 17">
          <a:hlinkClick xmlns:r="http://schemas.openxmlformats.org/officeDocument/2006/relationships" r:id="rId17"/>
          <a:extLst>
            <a:ext uri="{FF2B5EF4-FFF2-40B4-BE49-F238E27FC236}">
              <a16:creationId xmlns:a16="http://schemas.microsoft.com/office/drawing/2014/main" id="{00000000-0008-0000-0500-000012000000}"/>
            </a:ext>
          </a:extLst>
        </xdr:cNvPr>
        <xdr:cNvSpPr txBox="1"/>
      </xdr:nvSpPr>
      <xdr:spPr>
        <a:xfrm>
          <a:off x="4559300" y="923926"/>
          <a:ext cx="1031875" cy="253999"/>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Arab</a:t>
          </a:r>
          <a:endParaRPr lang="en-US" sz="1200" b="1"/>
        </a:p>
      </xdr:txBody>
    </xdr:sp>
    <xdr:clientData/>
  </xdr:twoCellAnchor>
  <xdr:oneCellAnchor>
    <xdr:from>
      <xdr:col>0</xdr:col>
      <xdr:colOff>142875</xdr:colOff>
      <xdr:row>0</xdr:row>
      <xdr:rowOff>444500</xdr:rowOff>
    </xdr:from>
    <xdr:ext cx="884464" cy="381708"/>
    <xdr:sp macro="" textlink="">
      <xdr:nvSpPr>
        <xdr:cNvPr id="19" name="Rectangle 18">
          <a:hlinkClick xmlns:r="http://schemas.openxmlformats.org/officeDocument/2006/relationships" r:id="rId18"/>
          <a:extLst>
            <a:ext uri="{FF2B5EF4-FFF2-40B4-BE49-F238E27FC236}">
              <a16:creationId xmlns:a16="http://schemas.microsoft.com/office/drawing/2014/main" id="{00000000-0008-0000-0500-000013000000}"/>
            </a:ext>
          </a:extLst>
        </xdr:cNvPr>
        <xdr:cNvSpPr/>
      </xdr:nvSpPr>
      <xdr:spPr>
        <a:xfrm>
          <a:off x="142875" y="444500"/>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66675</xdr:colOff>
      <xdr:row>0</xdr:row>
      <xdr:rowOff>142875</xdr:rowOff>
    </xdr:from>
    <xdr:ext cx="884464" cy="381708"/>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6675" y="142875"/>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95250</xdr:colOff>
      <xdr:row>0</xdr:row>
      <xdr:rowOff>63500</xdr:rowOff>
    </xdr:from>
    <xdr:ext cx="884464"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95250" y="63500"/>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57150</xdr:colOff>
      <xdr:row>0</xdr:row>
      <xdr:rowOff>19050</xdr:rowOff>
    </xdr:from>
    <xdr:ext cx="884464" cy="381708"/>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7150" y="19050"/>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A%20ABBS/KURIKULUM/2015%20-%202016/Legger%20Per%20Desember%202015/Legger%20Semester%202%202015-2016/LEGGER%20SMT%202_2015-2016_KELAS_MAP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ata Siswa"/>
      <sheetName val="Data KD"/>
      <sheetName val="Legger Pengetahuan"/>
      <sheetName val="Legger Keterampilan"/>
      <sheetName val="Cover Cetak"/>
      <sheetName val="Pengetahuan Cetak"/>
      <sheetName val="Keterampilan Cetak"/>
      <sheetName val="Sikap Cetak"/>
      <sheetName val="Nilai Raport"/>
      <sheetName val="Data Siswa X"/>
      <sheetName val="Data Siswa XI"/>
      <sheetName val="Data Siswa XII"/>
    </sheetNames>
    <sheetDataSet>
      <sheetData sheetId="0" refreshError="1">
        <row r="5">
          <cell r="L5" t="str">
            <v>Achrudin, S.Pd.</v>
          </cell>
        </row>
        <row r="7">
          <cell r="L7" t="str">
            <v>2014 09 3 163</v>
          </cell>
        </row>
        <row r="9">
          <cell r="L9" t="str">
            <v>Imam Samodra, S.Si</v>
          </cell>
        </row>
        <row r="11">
          <cell r="L11" t="str">
            <v>2014 10 3 172</v>
          </cell>
        </row>
        <row r="15">
          <cell r="L15" t="str">
            <v>XII.MIPA Khawarizmi</v>
          </cell>
        </row>
        <row r="17">
          <cell r="L17" t="str">
            <v>2015/2016</v>
          </cell>
        </row>
        <row r="19">
          <cell r="M19" t="str">
            <v>GENAP</v>
          </cell>
        </row>
        <row r="21">
          <cell r="L21" t="str">
            <v>22 Januari 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1:S31"/>
  <sheetViews>
    <sheetView topLeftCell="A6" zoomScale="80" zoomScaleNormal="80" workbookViewId="0">
      <selection activeCell="V14" sqref="V14"/>
    </sheetView>
  </sheetViews>
  <sheetFormatPr defaultColWidth="9.140625" defaultRowHeight="15"/>
  <cols>
    <col min="1" max="3" width="9.140625" style="24"/>
    <col min="4" max="4" width="8.7109375" style="24" customWidth="1"/>
    <col min="5" max="5" width="9.140625" style="24"/>
    <col min="6" max="7" width="9.140625" style="24" customWidth="1"/>
    <col min="8" max="9" width="9.140625" style="24"/>
    <col min="10" max="10" width="14.28515625" style="24" customWidth="1"/>
    <col min="11" max="11" width="9.140625" style="24"/>
    <col min="12" max="12" width="10.28515625" style="24" customWidth="1"/>
    <col min="13" max="18" width="9.140625" style="24"/>
    <col min="19" max="19" width="2.85546875" style="24" customWidth="1"/>
    <col min="20" max="16384" width="9.140625" style="24"/>
  </cols>
  <sheetData>
    <row r="1" spans="3:19">
      <c r="C1" s="104"/>
      <c r="D1" s="104"/>
      <c r="E1" s="104"/>
      <c r="F1" s="104"/>
      <c r="G1" s="104"/>
      <c r="H1" s="104"/>
      <c r="I1" s="104"/>
      <c r="J1" s="104"/>
      <c r="K1" s="104"/>
      <c r="L1" s="104"/>
      <c r="M1" s="104"/>
      <c r="N1" s="104"/>
      <c r="O1" s="104"/>
      <c r="P1" s="104"/>
      <c r="Q1" s="104"/>
      <c r="R1" s="104"/>
      <c r="S1" s="104"/>
    </row>
    <row r="2" spans="3:19">
      <c r="C2" s="104"/>
      <c r="D2" s="104"/>
      <c r="E2" s="104"/>
      <c r="F2" s="104"/>
      <c r="G2" s="104"/>
      <c r="H2" s="104"/>
      <c r="I2" s="104"/>
      <c r="J2" s="104"/>
      <c r="K2" s="104"/>
      <c r="L2" s="104"/>
      <c r="M2" s="104"/>
      <c r="N2" s="104"/>
      <c r="O2" s="104"/>
      <c r="P2" s="104"/>
      <c r="Q2" s="104"/>
      <c r="R2" s="104"/>
      <c r="S2" s="104"/>
    </row>
    <row r="3" spans="3:19">
      <c r="C3" s="104"/>
      <c r="D3" s="104"/>
      <c r="E3" s="104"/>
      <c r="F3" s="104"/>
      <c r="G3" s="104"/>
      <c r="H3" s="104"/>
      <c r="I3" s="104"/>
      <c r="J3" s="104"/>
      <c r="K3" s="104"/>
      <c r="L3" s="104"/>
      <c r="M3" s="104"/>
      <c r="N3" s="104"/>
      <c r="O3" s="104"/>
      <c r="P3" s="104"/>
      <c r="Q3" s="104"/>
      <c r="R3" s="104"/>
      <c r="S3" s="104"/>
    </row>
    <row r="4" spans="3:19">
      <c r="C4" s="104"/>
      <c r="D4" s="104"/>
      <c r="E4" s="104"/>
      <c r="F4" s="104"/>
      <c r="G4" s="104"/>
      <c r="H4" s="104"/>
      <c r="I4" s="104"/>
      <c r="J4" s="104"/>
      <c r="K4" s="104"/>
      <c r="L4" s="104"/>
      <c r="M4" s="104"/>
      <c r="N4" s="104"/>
      <c r="O4" s="104"/>
      <c r="P4" s="104"/>
      <c r="Q4" s="104"/>
      <c r="R4" s="104"/>
      <c r="S4" s="104"/>
    </row>
    <row r="5" spans="3:19">
      <c r="C5" s="104"/>
      <c r="D5" s="104"/>
      <c r="E5" s="104"/>
      <c r="F5" s="104"/>
      <c r="G5" s="104"/>
      <c r="H5" s="104"/>
      <c r="I5" s="104"/>
      <c r="J5" s="104"/>
      <c r="K5" s="104"/>
      <c r="L5" s="104"/>
      <c r="M5" s="104"/>
      <c r="N5" s="104"/>
      <c r="O5" s="104"/>
      <c r="P5" s="104"/>
      <c r="Q5" s="104"/>
      <c r="R5" s="104"/>
      <c r="S5" s="104"/>
    </row>
    <row r="6" spans="3:19">
      <c r="C6" s="104"/>
      <c r="D6" s="104"/>
      <c r="E6" s="104"/>
      <c r="F6" s="104"/>
      <c r="G6" s="104"/>
      <c r="H6" s="104"/>
      <c r="I6" s="104"/>
      <c r="J6" s="104"/>
      <c r="K6" s="104"/>
      <c r="L6" s="104"/>
      <c r="M6" s="104"/>
      <c r="N6" s="104"/>
      <c r="O6" s="104"/>
      <c r="P6" s="104"/>
      <c r="Q6" s="104"/>
      <c r="R6" s="104"/>
      <c r="S6" s="104"/>
    </row>
    <row r="7" spans="3:19">
      <c r="C7" s="104"/>
      <c r="D7" s="104"/>
      <c r="E7" s="104"/>
      <c r="F7" s="104"/>
      <c r="G7" s="104"/>
      <c r="H7" s="104"/>
      <c r="I7" s="104"/>
      <c r="J7" s="104"/>
      <c r="K7" s="104"/>
      <c r="L7" s="104"/>
      <c r="M7" s="104"/>
      <c r="N7" s="104"/>
      <c r="O7" s="104"/>
      <c r="P7" s="104"/>
      <c r="Q7" s="104"/>
      <c r="R7" s="104"/>
      <c r="S7" s="104"/>
    </row>
    <row r="8" spans="3:19">
      <c r="C8" s="104"/>
      <c r="D8" s="104"/>
      <c r="E8" s="104"/>
      <c r="F8" s="104"/>
      <c r="G8" s="104"/>
      <c r="H8" s="104"/>
      <c r="I8" s="104"/>
      <c r="J8" s="104"/>
      <c r="K8" s="104"/>
      <c r="L8" s="104"/>
      <c r="M8" s="104"/>
      <c r="N8" s="104"/>
      <c r="O8" s="104"/>
      <c r="P8" s="104"/>
      <c r="Q8" s="104"/>
      <c r="R8" s="104"/>
      <c r="S8" s="104"/>
    </row>
    <row r="9" spans="3:19">
      <c r="C9" s="104"/>
      <c r="D9" s="104"/>
      <c r="E9" s="104"/>
      <c r="F9" s="104"/>
      <c r="G9" s="104"/>
      <c r="H9" s="104"/>
      <c r="I9" s="104"/>
      <c r="J9" s="104"/>
      <c r="K9" s="104"/>
      <c r="L9" s="104"/>
      <c r="M9" s="104"/>
      <c r="N9" s="104"/>
      <c r="O9" s="104"/>
      <c r="P9" s="104"/>
      <c r="Q9" s="104"/>
      <c r="R9" s="104"/>
      <c r="S9" s="104"/>
    </row>
    <row r="10" spans="3:19">
      <c r="C10" s="104"/>
      <c r="D10" s="104"/>
      <c r="E10" s="104"/>
      <c r="F10" s="104"/>
      <c r="G10" s="104"/>
      <c r="H10" s="104"/>
      <c r="I10" s="104"/>
      <c r="J10" s="104"/>
      <c r="K10" s="104"/>
      <c r="L10" s="104"/>
      <c r="M10" s="104"/>
      <c r="N10" s="104"/>
      <c r="O10" s="104"/>
      <c r="P10" s="104"/>
      <c r="Q10" s="104"/>
      <c r="R10" s="104"/>
      <c r="S10" s="104"/>
    </row>
    <row r="11" spans="3:19">
      <c r="C11" s="104"/>
      <c r="D11" s="104"/>
      <c r="E11" s="104"/>
      <c r="F11" s="104"/>
      <c r="G11" s="104"/>
      <c r="H11" s="104"/>
      <c r="I11" s="104"/>
      <c r="J11" s="104"/>
      <c r="K11" s="104"/>
      <c r="L11" s="104"/>
      <c r="M11" s="104"/>
      <c r="N11" s="104"/>
      <c r="O11" s="104"/>
      <c r="P11" s="104"/>
      <c r="Q11" s="104"/>
      <c r="R11" s="104"/>
      <c r="S11" s="104"/>
    </row>
    <row r="12" spans="3:19">
      <c r="C12" s="104"/>
      <c r="D12" s="104"/>
      <c r="E12" s="104"/>
      <c r="F12" s="104"/>
      <c r="G12" s="104"/>
      <c r="H12" s="104"/>
      <c r="I12" s="104"/>
      <c r="J12" s="104"/>
      <c r="K12" s="104"/>
      <c r="L12" s="104"/>
      <c r="M12" s="104"/>
      <c r="N12" s="104"/>
      <c r="O12" s="104"/>
      <c r="P12" s="104"/>
      <c r="Q12" s="104"/>
      <c r="R12" s="104"/>
      <c r="S12" s="104"/>
    </row>
    <row r="13" spans="3:19">
      <c r="C13" s="104"/>
      <c r="D13" s="104"/>
      <c r="E13" s="104"/>
      <c r="F13" s="104"/>
      <c r="G13" s="104"/>
      <c r="H13" s="104"/>
      <c r="I13" s="104"/>
      <c r="J13" s="104"/>
      <c r="K13" s="104"/>
      <c r="L13" s="104"/>
      <c r="M13" s="104"/>
      <c r="N13" s="104"/>
      <c r="O13" s="104"/>
      <c r="P13" s="104"/>
      <c r="Q13" s="104"/>
      <c r="R13" s="104"/>
      <c r="S13" s="104"/>
    </row>
    <row r="14" spans="3:19">
      <c r="C14" s="104"/>
      <c r="D14" s="104"/>
      <c r="E14" s="104"/>
      <c r="F14" s="104"/>
      <c r="G14" s="104"/>
      <c r="H14" s="104"/>
      <c r="I14" s="104"/>
      <c r="J14" s="104"/>
      <c r="K14" s="104"/>
      <c r="L14" s="104"/>
      <c r="M14" s="104"/>
      <c r="N14" s="104"/>
      <c r="O14" s="104"/>
      <c r="P14" s="104"/>
      <c r="Q14" s="104"/>
      <c r="R14" s="104"/>
      <c r="S14" s="104"/>
    </row>
    <row r="15" spans="3:19">
      <c r="C15" s="104"/>
      <c r="D15" s="104"/>
      <c r="E15" s="104"/>
      <c r="F15" s="104"/>
      <c r="G15" s="104"/>
      <c r="H15" s="104"/>
      <c r="I15" s="104"/>
      <c r="J15" s="104"/>
      <c r="K15" s="104"/>
      <c r="L15" s="104"/>
      <c r="M15" s="104"/>
      <c r="N15" s="104"/>
      <c r="O15" s="104"/>
      <c r="P15" s="104"/>
      <c r="Q15" s="104"/>
      <c r="R15" s="104"/>
      <c r="S15" s="104"/>
    </row>
    <row r="16" spans="3:19">
      <c r="C16" s="104"/>
      <c r="D16" s="104"/>
      <c r="E16" s="104"/>
      <c r="F16" s="104"/>
      <c r="G16" s="104"/>
      <c r="H16" s="104"/>
      <c r="I16" s="104"/>
      <c r="J16" s="104"/>
      <c r="K16" s="104"/>
      <c r="L16" s="104"/>
      <c r="M16" s="104"/>
      <c r="N16" s="104"/>
      <c r="O16" s="104"/>
      <c r="P16" s="104"/>
      <c r="Q16" s="104"/>
      <c r="R16" s="104"/>
      <c r="S16" s="104"/>
    </row>
    <row r="17" spans="3:19">
      <c r="C17" s="104"/>
      <c r="D17" s="104"/>
      <c r="E17" s="104"/>
      <c r="F17" s="104"/>
      <c r="G17" s="104"/>
      <c r="H17" s="104"/>
      <c r="I17" s="104"/>
      <c r="J17" s="104"/>
      <c r="K17" s="104"/>
      <c r="L17" s="104"/>
      <c r="M17" s="104"/>
      <c r="N17" s="104"/>
      <c r="O17" s="104"/>
      <c r="P17" s="104"/>
      <c r="Q17" s="104"/>
      <c r="R17" s="104"/>
      <c r="S17" s="104"/>
    </row>
    <row r="18" spans="3:19">
      <c r="C18" s="104"/>
      <c r="D18" s="104"/>
      <c r="E18" s="104"/>
      <c r="F18" s="104"/>
      <c r="G18" s="104"/>
      <c r="H18" s="104"/>
      <c r="I18" s="104"/>
      <c r="J18" s="104"/>
      <c r="K18" s="104"/>
      <c r="L18" s="104"/>
      <c r="M18" s="104"/>
      <c r="N18" s="104"/>
      <c r="O18" s="104"/>
      <c r="P18" s="104"/>
      <c r="Q18" s="104"/>
      <c r="R18" s="104"/>
      <c r="S18" s="104"/>
    </row>
    <row r="19" spans="3:19">
      <c r="C19" s="104"/>
      <c r="D19" s="104"/>
      <c r="E19" s="104"/>
      <c r="F19" s="104"/>
      <c r="G19" s="104"/>
      <c r="H19" s="104"/>
      <c r="I19" s="104"/>
      <c r="J19" s="104"/>
      <c r="K19" s="104"/>
      <c r="L19" s="104"/>
      <c r="M19" s="104"/>
      <c r="N19" s="104"/>
      <c r="O19" s="104"/>
      <c r="P19" s="104"/>
      <c r="Q19" s="104"/>
      <c r="R19" s="104"/>
      <c r="S19" s="104"/>
    </row>
    <row r="20" spans="3:19">
      <c r="C20" s="104"/>
      <c r="D20" s="104"/>
      <c r="E20" s="104"/>
      <c r="F20" s="104"/>
      <c r="G20" s="104"/>
      <c r="H20" s="104"/>
      <c r="I20" s="104"/>
      <c r="J20" s="104"/>
      <c r="K20" s="104"/>
      <c r="L20" s="104"/>
      <c r="M20" s="104"/>
      <c r="N20" s="104"/>
      <c r="O20" s="104"/>
      <c r="P20" s="104"/>
      <c r="Q20" s="104"/>
      <c r="R20" s="104"/>
      <c r="S20" s="104"/>
    </row>
    <row r="21" spans="3:19">
      <c r="C21" s="104"/>
      <c r="D21" s="104"/>
      <c r="E21" s="104"/>
      <c r="F21" s="104"/>
      <c r="G21" s="104"/>
      <c r="H21" s="104"/>
      <c r="I21" s="104"/>
      <c r="J21" s="104"/>
      <c r="K21" s="104"/>
      <c r="L21" s="104"/>
      <c r="M21" s="104"/>
      <c r="N21" s="104"/>
      <c r="O21" s="104"/>
      <c r="P21" s="104"/>
      <c r="Q21" s="104"/>
      <c r="R21" s="104"/>
      <c r="S21" s="104"/>
    </row>
    <row r="22" spans="3:19">
      <c r="C22" s="104"/>
      <c r="D22" s="104"/>
      <c r="E22" s="104"/>
      <c r="F22" s="104"/>
      <c r="G22" s="104"/>
      <c r="H22" s="104"/>
      <c r="I22" s="104"/>
      <c r="J22" s="104"/>
      <c r="K22" s="104"/>
      <c r="L22" s="104"/>
      <c r="M22" s="104"/>
      <c r="N22" s="104"/>
      <c r="O22" s="104"/>
      <c r="P22" s="104"/>
      <c r="Q22" s="104"/>
      <c r="R22" s="104"/>
      <c r="S22" s="104"/>
    </row>
    <row r="23" spans="3:19">
      <c r="C23" s="104"/>
      <c r="D23" s="104"/>
      <c r="E23" s="104"/>
      <c r="F23" s="104"/>
      <c r="G23" s="104"/>
      <c r="H23" s="104"/>
      <c r="I23" s="104"/>
      <c r="J23" s="104"/>
      <c r="K23" s="104"/>
      <c r="L23" s="104"/>
      <c r="M23" s="104"/>
      <c r="N23" s="104"/>
      <c r="O23" s="104"/>
      <c r="P23" s="104"/>
      <c r="Q23" s="104"/>
      <c r="R23" s="104"/>
      <c r="S23" s="104"/>
    </row>
    <row r="24" spans="3:19">
      <c r="C24" s="104"/>
      <c r="D24" s="104"/>
      <c r="E24" s="104"/>
      <c r="F24" s="104"/>
      <c r="G24" s="104"/>
      <c r="H24" s="104"/>
      <c r="I24" s="104"/>
      <c r="J24" s="104"/>
      <c r="K24" s="104"/>
      <c r="L24" s="104"/>
      <c r="M24" s="104"/>
      <c r="N24" s="104"/>
      <c r="O24" s="104"/>
      <c r="P24" s="104"/>
      <c r="Q24" s="104"/>
      <c r="R24" s="104"/>
      <c r="S24" s="104"/>
    </row>
    <row r="25" spans="3:19">
      <c r="C25" s="104"/>
      <c r="D25" s="104"/>
      <c r="E25" s="104"/>
      <c r="F25" s="104"/>
      <c r="G25" s="104"/>
      <c r="H25" s="104"/>
      <c r="I25" s="104"/>
      <c r="J25" s="104"/>
      <c r="K25" s="104"/>
      <c r="L25" s="104"/>
      <c r="M25" s="104"/>
      <c r="N25" s="104"/>
      <c r="O25" s="104"/>
      <c r="P25" s="104"/>
      <c r="Q25" s="104"/>
      <c r="R25" s="104"/>
      <c r="S25" s="104"/>
    </row>
    <row r="26" spans="3:19">
      <c r="C26" s="104"/>
      <c r="D26" s="104"/>
      <c r="E26" s="104"/>
      <c r="F26" s="104"/>
      <c r="G26" s="104"/>
      <c r="H26" s="104"/>
      <c r="I26" s="104"/>
      <c r="J26" s="104"/>
      <c r="K26" s="104"/>
      <c r="L26" s="104"/>
      <c r="M26" s="104"/>
      <c r="N26" s="104"/>
      <c r="O26" s="104"/>
      <c r="P26" s="104"/>
      <c r="Q26" s="104"/>
      <c r="R26" s="104"/>
      <c r="S26" s="104"/>
    </row>
    <row r="27" spans="3:19" ht="15.75">
      <c r="C27" s="104"/>
      <c r="D27" s="185" t="str">
        <f>Setting!E5</f>
        <v>SMA ABBS Surakarta</v>
      </c>
      <c r="E27" s="185"/>
      <c r="F27" s="185"/>
      <c r="G27" s="185"/>
      <c r="H27" s="104"/>
      <c r="I27" s="104"/>
      <c r="J27" s="104"/>
      <c r="K27" s="104"/>
      <c r="L27" s="104"/>
      <c r="M27" s="104"/>
      <c r="N27" s="104"/>
      <c r="O27" s="104"/>
      <c r="P27" s="104"/>
      <c r="Q27" s="104"/>
      <c r="R27" s="104"/>
      <c r="S27" s="104"/>
    </row>
    <row r="28" spans="3:19" ht="15.75">
      <c r="C28" s="104"/>
      <c r="D28" s="185" t="str">
        <f>Setting!E14</f>
        <v>2020/2021</v>
      </c>
      <c r="E28" s="185"/>
      <c r="F28" s="185"/>
      <c r="G28" s="185"/>
      <c r="H28" s="104"/>
      <c r="I28" s="104"/>
      <c r="J28" s="104"/>
      <c r="K28" s="104"/>
      <c r="L28" s="104"/>
      <c r="M28" s="104"/>
      <c r="N28" s="104"/>
      <c r="O28" s="104"/>
      <c r="P28" s="104"/>
      <c r="Q28" s="104"/>
      <c r="R28" s="104"/>
      <c r="S28" s="104"/>
    </row>
    <row r="29" spans="3:19" ht="15.75">
      <c r="C29" s="104"/>
      <c r="D29" s="185" t="str">
        <f>"Semester "&amp;Setting!E15&amp;""</f>
        <v>Semester II</v>
      </c>
      <c r="E29" s="185"/>
      <c r="F29" s="185"/>
      <c r="G29" s="185"/>
      <c r="H29" s="104"/>
      <c r="I29" s="104"/>
      <c r="J29" s="104"/>
      <c r="K29" s="104"/>
      <c r="L29" s="104"/>
      <c r="M29" s="104"/>
      <c r="N29" s="104"/>
      <c r="O29" s="104"/>
      <c r="P29" s="104"/>
      <c r="Q29" s="104"/>
      <c r="R29" s="104"/>
      <c r="S29" s="104"/>
    </row>
    <row r="30" spans="3:19" ht="15.75">
      <c r="C30" s="104"/>
      <c r="D30" s="185" t="str">
        <f>Setting!E11</f>
        <v>X.MIPA 4</v>
      </c>
      <c r="E30" s="185"/>
      <c r="F30" s="185"/>
      <c r="G30" s="185"/>
      <c r="H30" s="104"/>
      <c r="I30" s="104"/>
      <c r="J30" s="104"/>
      <c r="K30" s="104"/>
      <c r="L30" s="104"/>
      <c r="M30" s="104"/>
      <c r="N30" s="104"/>
      <c r="O30" s="104"/>
      <c r="P30" s="104"/>
      <c r="Q30" s="104"/>
      <c r="R30" s="104"/>
      <c r="S30" s="104"/>
    </row>
    <row r="31" spans="3:19">
      <c r="C31" s="104"/>
      <c r="D31" s="104"/>
      <c r="E31" s="104"/>
      <c r="F31" s="104"/>
      <c r="G31" s="104"/>
      <c r="H31" s="104"/>
      <c r="I31" s="104"/>
      <c r="J31" s="104"/>
      <c r="K31" s="104"/>
      <c r="L31" s="104"/>
      <c r="M31" s="104"/>
      <c r="N31" s="104"/>
      <c r="O31" s="104"/>
      <c r="P31" s="104"/>
      <c r="Q31" s="104"/>
      <c r="R31" s="104"/>
      <c r="S31" s="104"/>
    </row>
  </sheetData>
  <sheetProtection algorithmName="SHA-512" hashValue="86mPZFo6XeCdn/05HeSaTL/xc/MHgGJ3/EBThhnS6vBB48yaoLN0iVuNicuAe36EKJWK4cq7G+xOj2IXfDBnng==" saltValue="cRULy5qnNAYCXMqDDBpZgQ==" spinCount="100000" sheet="1" objects="1" scenarios="1" selectLockedCells="1" selectUnlockedCells="1"/>
  <mergeCells count="4">
    <mergeCell ref="D27:G27"/>
    <mergeCell ref="D30:G30"/>
    <mergeCell ref="D28:G28"/>
    <mergeCell ref="D29:G29"/>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4"/>
  <sheetViews>
    <sheetView topLeftCell="B1" workbookViewId="0">
      <pane xSplit="3" ySplit="4" topLeftCell="E5" activePane="bottomRight" state="frozenSplit"/>
      <selection activeCell="B1" sqref="B1"/>
      <selection pane="topRight" activeCell="E1" sqref="E1"/>
      <selection pane="bottomLeft" activeCell="B5" sqref="B5"/>
      <selection pane="bottomRight" activeCell="E5" sqref="E5:F36"/>
    </sheetView>
  </sheetViews>
  <sheetFormatPr defaultColWidth="9.140625" defaultRowHeight="15"/>
  <cols>
    <col min="1" max="1" width="0" style="8" hidden="1" customWidth="1"/>
    <col min="2" max="2" width="14.85546875" style="8" customWidth="1"/>
    <col min="3" max="3" width="25.85546875" style="8" customWidth="1"/>
    <col min="4" max="4" width="10.42578125" style="1" customWidth="1"/>
    <col min="5" max="7" width="17.28515625" style="8" customWidth="1"/>
    <col min="8" max="16384" width="9.140625" style="8"/>
  </cols>
  <sheetData>
    <row r="1" spans="2:7" s="50" customFormat="1" ht="21">
      <c r="C1" s="49" t="str">
        <f>"Input Data Kehadiran Siswa Kelas "&amp;Setting!E11&amp;" Tahun "&amp;Setting!E14&amp;" Semester "&amp;Setting!E15&amp;""</f>
        <v>Input Data Kehadiran Siswa Kelas X.MIPA 4 Tahun 2020/2021 Semester II</v>
      </c>
      <c r="D1" s="51"/>
    </row>
    <row r="3" spans="2:7" s="3" customFormat="1">
      <c r="B3" s="309" t="s">
        <v>43</v>
      </c>
      <c r="C3" s="309" t="s">
        <v>42</v>
      </c>
      <c r="D3" s="309" t="s">
        <v>45</v>
      </c>
      <c r="E3" s="310" t="s">
        <v>25</v>
      </c>
      <c r="F3" s="310"/>
      <c r="G3" s="310"/>
    </row>
    <row r="4" spans="2:7" s="3" customFormat="1">
      <c r="B4" s="309"/>
      <c r="C4" s="309"/>
      <c r="D4" s="309"/>
      <c r="E4" s="47" t="s">
        <v>26</v>
      </c>
      <c r="F4" s="47" t="s">
        <v>28</v>
      </c>
      <c r="G4" s="47" t="s">
        <v>29</v>
      </c>
    </row>
    <row r="5" spans="2:7">
      <c r="B5" s="7">
        <v>1</v>
      </c>
      <c r="C5" s="48" t="str">
        <f>IF(Setting!J6="","",Setting!J6)</f>
        <v>Abdul Fattah Irfan Al Mubaroq</v>
      </c>
      <c r="D5" s="15">
        <f>IF(Setting!K6="","",Setting!K6)</f>
        <v>2008004</v>
      </c>
      <c r="E5" s="53">
        <v>0</v>
      </c>
      <c r="F5" s="53">
        <v>5</v>
      </c>
      <c r="G5" s="53" t="s">
        <v>929</v>
      </c>
    </row>
    <row r="6" spans="2:7">
      <c r="B6" s="7">
        <v>2</v>
      </c>
      <c r="C6" s="48" t="str">
        <f>IF(Setting!J7="","",Setting!J7)</f>
        <v>Adam Zidane Danata Pranugroho</v>
      </c>
      <c r="D6" s="15">
        <f>IF(Setting!K7="","",Setting!K7)</f>
        <v>2008009</v>
      </c>
      <c r="E6" s="53">
        <v>1</v>
      </c>
      <c r="F6" s="53">
        <v>3</v>
      </c>
      <c r="G6" s="53" t="s">
        <v>929</v>
      </c>
    </row>
    <row r="7" spans="2:7">
      <c r="B7" s="7">
        <v>3</v>
      </c>
      <c r="C7" s="48" t="str">
        <f>IF(Setting!J8="","",Setting!J8)</f>
        <v>Ahmad Fikry</v>
      </c>
      <c r="D7" s="15">
        <f>IF(Setting!K8="","",Setting!K8)</f>
        <v>2008021</v>
      </c>
      <c r="E7" s="53">
        <v>0</v>
      </c>
      <c r="F7" s="53">
        <v>3</v>
      </c>
      <c r="G7" s="53" t="s">
        <v>929</v>
      </c>
    </row>
    <row r="8" spans="2:7">
      <c r="B8" s="7">
        <v>4</v>
      </c>
      <c r="C8" s="48" t="str">
        <f>IF(Setting!J9="","",Setting!J9)</f>
        <v>Akhmad Rifki Assegaf</v>
      </c>
      <c r="D8" s="15">
        <f>IF(Setting!K9="","",Setting!K9)</f>
        <v>2008029</v>
      </c>
      <c r="E8" s="53">
        <v>0</v>
      </c>
      <c r="F8" s="53">
        <v>5</v>
      </c>
      <c r="G8" s="53"/>
    </row>
    <row r="9" spans="2:7">
      <c r="B9" s="7">
        <v>5</v>
      </c>
      <c r="C9" s="48" t="str">
        <f>IF(Setting!J10="","",Setting!J10)</f>
        <v>Almas Sabih Wahindra</v>
      </c>
      <c r="D9" s="15">
        <f>IF(Setting!K10="","",Setting!K10)</f>
        <v>2008034</v>
      </c>
      <c r="E9" s="53">
        <v>0</v>
      </c>
      <c r="F9" s="53">
        <v>5</v>
      </c>
      <c r="G9" s="53" t="s">
        <v>929</v>
      </c>
    </row>
    <row r="10" spans="2:7">
      <c r="B10" s="7">
        <v>6</v>
      </c>
      <c r="C10" s="48" t="str">
        <f>IF(Setting!J11="","",Setting!J11)</f>
        <v>Aria Fenha Apri Buma</v>
      </c>
      <c r="D10" s="15">
        <f>IF(Setting!K11="","",Setting!K11)</f>
        <v>2008054</v>
      </c>
      <c r="E10" s="53">
        <v>1</v>
      </c>
      <c r="F10" s="53">
        <v>2</v>
      </c>
      <c r="G10" s="53" t="s">
        <v>929</v>
      </c>
    </row>
    <row r="11" spans="2:7">
      <c r="B11" s="7">
        <v>7</v>
      </c>
      <c r="C11" s="48" t="str">
        <f>IF(Setting!J12="","",Setting!J12)</f>
        <v>Baharuddin Barkah Pratama</v>
      </c>
      <c r="D11" s="15">
        <f>IF(Setting!K12="","",Setting!K12)</f>
        <v>2008075</v>
      </c>
      <c r="E11" s="53">
        <v>0</v>
      </c>
      <c r="F11" s="53">
        <v>5</v>
      </c>
      <c r="G11" s="53" t="s">
        <v>929</v>
      </c>
    </row>
    <row r="12" spans="2:7">
      <c r="B12" s="7">
        <v>8</v>
      </c>
      <c r="C12" s="48" t="str">
        <f>IF(Setting!J13="","",Setting!J13)</f>
        <v>Daffa Arya Pudyastungkara</v>
      </c>
      <c r="D12" s="15">
        <f>IF(Setting!K13="","",Setting!K13)</f>
        <v>2008089</v>
      </c>
      <c r="E12" s="53">
        <v>0</v>
      </c>
      <c r="F12" s="53">
        <v>1</v>
      </c>
      <c r="G12" s="53" t="s">
        <v>929</v>
      </c>
    </row>
    <row r="13" spans="2:7">
      <c r="B13" s="7">
        <v>9</v>
      </c>
      <c r="C13" s="48" t="str">
        <f>IF(Setting!J14="","",Setting!J14)</f>
        <v>Dody Muhammad Pasha</v>
      </c>
      <c r="D13" s="15">
        <f>IF(Setting!K14="","",Setting!K14)</f>
        <v>2008095</v>
      </c>
      <c r="E13" s="53">
        <v>0</v>
      </c>
      <c r="F13" s="53">
        <v>1</v>
      </c>
      <c r="G13" s="53" t="s">
        <v>929</v>
      </c>
    </row>
    <row r="14" spans="2:7">
      <c r="B14" s="7">
        <v>10</v>
      </c>
      <c r="C14" s="48" t="str">
        <f>IF(Setting!J15="","",Setting!J15)</f>
        <v>Elga Perdana</v>
      </c>
      <c r="D14" s="15">
        <f>IF(Setting!K15="","",Setting!K15)</f>
        <v>2008099</v>
      </c>
      <c r="E14" s="53">
        <v>0</v>
      </c>
      <c r="F14" s="53">
        <v>5</v>
      </c>
      <c r="G14" s="53" t="s">
        <v>929</v>
      </c>
    </row>
    <row r="15" spans="2:7">
      <c r="B15" s="7">
        <v>11</v>
      </c>
      <c r="C15" s="48" t="str">
        <f>IF(Setting!J16="","",Setting!J16)</f>
        <v>Fathoni Daniswara</v>
      </c>
      <c r="D15" s="15">
        <f>IF(Setting!K16="","",Setting!K16)</f>
        <v>2008118</v>
      </c>
      <c r="E15" s="53">
        <v>0</v>
      </c>
      <c r="F15" s="53">
        <v>0</v>
      </c>
      <c r="G15" s="53" t="s">
        <v>929</v>
      </c>
    </row>
    <row r="16" spans="2:7">
      <c r="B16" s="7">
        <v>12</v>
      </c>
      <c r="C16" s="48" t="str">
        <f>IF(Setting!J17="","",Setting!J17)</f>
        <v>Gading Setyo Manunggal</v>
      </c>
      <c r="D16" s="15">
        <f>IF(Setting!K17="","",Setting!K17)</f>
        <v>2008127</v>
      </c>
      <c r="E16" s="53">
        <v>1</v>
      </c>
      <c r="F16" s="53">
        <v>3</v>
      </c>
      <c r="G16" s="53" t="s">
        <v>929</v>
      </c>
    </row>
    <row r="17" spans="2:7">
      <c r="B17" s="7">
        <v>13</v>
      </c>
      <c r="C17" s="48" t="str">
        <f>IF(Setting!J18="","",Setting!J18)</f>
        <v>Ghifari Mabrur Al Burhani</v>
      </c>
      <c r="D17" s="15">
        <f>IF(Setting!K18="","",Setting!K18)</f>
        <v>2008128</v>
      </c>
      <c r="E17" s="53">
        <v>0</v>
      </c>
      <c r="F17" s="53">
        <v>5</v>
      </c>
      <c r="G17" s="53" t="s">
        <v>929</v>
      </c>
    </row>
    <row r="18" spans="2:7">
      <c r="B18" s="7">
        <v>14</v>
      </c>
      <c r="C18" s="48" t="str">
        <f>IF(Setting!J19="","",Setting!J19)</f>
        <v>Hafid Mahreza Ilham</v>
      </c>
      <c r="D18" s="15">
        <f>IF(Setting!K19="","",Setting!K19)</f>
        <v>2008131</v>
      </c>
      <c r="E18" s="53">
        <v>0</v>
      </c>
      <c r="F18" s="53">
        <v>5</v>
      </c>
      <c r="G18" s="53" t="s">
        <v>929</v>
      </c>
    </row>
    <row r="19" spans="2:7">
      <c r="B19" s="7">
        <v>15</v>
      </c>
      <c r="C19" s="48" t="str">
        <f>IF(Setting!J20="","",Setting!J20)</f>
        <v>Haidar Rafif Hibatulloh</v>
      </c>
      <c r="D19" s="15">
        <f>IF(Setting!K20="","",Setting!K20)</f>
        <v>2008132</v>
      </c>
      <c r="E19" s="53">
        <v>0</v>
      </c>
      <c r="F19" s="53">
        <v>5</v>
      </c>
      <c r="G19" s="53" t="s">
        <v>929</v>
      </c>
    </row>
    <row r="20" spans="2:7">
      <c r="B20" s="7">
        <v>16</v>
      </c>
      <c r="C20" s="48" t="str">
        <f>IF(Setting!J21="","",Setting!J21)</f>
        <v>Kelvin Oktabrian Ramadhan</v>
      </c>
      <c r="D20" s="15">
        <f>IF(Setting!K21="","",Setting!K21)</f>
        <v>2008169</v>
      </c>
      <c r="E20" s="53">
        <v>0</v>
      </c>
      <c r="F20" s="53">
        <v>1</v>
      </c>
      <c r="G20" s="53" t="s">
        <v>929</v>
      </c>
    </row>
    <row r="21" spans="2:7">
      <c r="B21" s="7">
        <v>17</v>
      </c>
      <c r="C21" s="48" t="str">
        <f>IF(Setting!J22="","",Setting!J22)</f>
        <v>Mohamad Khoiril Afwa</v>
      </c>
      <c r="D21" s="15">
        <f>IF(Setting!K22="","",Setting!K22)</f>
        <v>2008197</v>
      </c>
      <c r="E21" s="53">
        <v>1</v>
      </c>
      <c r="F21" s="53">
        <v>5</v>
      </c>
      <c r="G21" s="53" t="s">
        <v>929</v>
      </c>
    </row>
    <row r="22" spans="2:7">
      <c r="B22" s="7">
        <v>18</v>
      </c>
      <c r="C22" s="48" t="str">
        <f>IF(Setting!J23="","",Setting!J23)</f>
        <v>Muhammad Hanif Pearlyaradja</v>
      </c>
      <c r="D22" s="15">
        <f>IF(Setting!K23="","",Setting!K23)</f>
        <v>2008214</v>
      </c>
      <c r="E22" s="53">
        <v>0</v>
      </c>
      <c r="F22" s="53">
        <v>2</v>
      </c>
      <c r="G22" s="53" t="s">
        <v>929</v>
      </c>
    </row>
    <row r="23" spans="2:7">
      <c r="B23" s="7">
        <v>19</v>
      </c>
      <c r="C23" s="48" t="str">
        <f>IF(Setting!J24="","",Setting!J24)</f>
        <v>Muhammad Maurel Han</v>
      </c>
      <c r="D23" s="15">
        <f>IF(Setting!K24="","",Setting!K24)</f>
        <v>2008218</v>
      </c>
      <c r="E23" s="53">
        <v>0</v>
      </c>
      <c r="F23" s="53">
        <v>5</v>
      </c>
      <c r="G23" s="53" t="s">
        <v>929</v>
      </c>
    </row>
    <row r="24" spans="2:7">
      <c r="B24" s="7">
        <v>20</v>
      </c>
      <c r="C24" s="48" t="str">
        <f>IF(Setting!J25="","",Setting!J25)</f>
        <v>Muhammad Niam Masykuri</v>
      </c>
      <c r="D24" s="15">
        <f>IF(Setting!K25="","",Setting!K25)</f>
        <v>2008220</v>
      </c>
      <c r="E24" s="53">
        <v>0</v>
      </c>
      <c r="F24" s="53">
        <v>5</v>
      </c>
      <c r="G24" s="53" t="s">
        <v>929</v>
      </c>
    </row>
    <row r="25" spans="2:7">
      <c r="B25" s="7">
        <v>21</v>
      </c>
      <c r="C25" s="48" t="str">
        <f>IF(Setting!J26="","",Setting!J26)</f>
        <v>Muhammad Nur Arzhian Kusuma</v>
      </c>
      <c r="D25" s="15">
        <f>IF(Setting!K26="","",Setting!K26)</f>
        <v>2008221</v>
      </c>
      <c r="E25" s="53">
        <v>0</v>
      </c>
      <c r="F25" s="53">
        <v>1</v>
      </c>
      <c r="G25" s="53" t="s">
        <v>929</v>
      </c>
    </row>
    <row r="26" spans="2:7">
      <c r="B26" s="7">
        <v>22</v>
      </c>
      <c r="C26" s="48" t="str">
        <f>IF(Setting!J27="","",Setting!J27)</f>
        <v>Muhammad Rafif Rizqullah</v>
      </c>
      <c r="D26" s="15">
        <f>IF(Setting!K27="","",Setting!K27)</f>
        <v>2008222</v>
      </c>
      <c r="E26" s="53">
        <v>0</v>
      </c>
      <c r="F26" s="53">
        <v>3</v>
      </c>
      <c r="G26" s="53" t="s">
        <v>929</v>
      </c>
    </row>
    <row r="27" spans="2:7">
      <c r="B27" s="7">
        <v>23</v>
      </c>
      <c r="C27" s="48" t="str">
        <f>IF(Setting!J28="","",Setting!J28)</f>
        <v>Muhammad Raihan Al Faridzi</v>
      </c>
      <c r="D27" s="15">
        <f>IF(Setting!K28="","",Setting!K28)</f>
        <v>2008223</v>
      </c>
      <c r="E27" s="53">
        <v>0</v>
      </c>
      <c r="F27" s="53">
        <v>5</v>
      </c>
      <c r="G27" s="53" t="s">
        <v>929</v>
      </c>
    </row>
    <row r="28" spans="2:7">
      <c r="B28" s="7">
        <v>24</v>
      </c>
      <c r="C28" s="48" t="str">
        <f>IF(Setting!J29="","",Setting!J29)</f>
        <v>Muhammad Rakan Hafidh Al Ghalib</v>
      </c>
      <c r="D28" s="15">
        <f>IF(Setting!K29="","",Setting!K29)</f>
        <v>2008224</v>
      </c>
      <c r="E28" s="53">
        <v>0</v>
      </c>
      <c r="F28" s="53">
        <v>1</v>
      </c>
      <c r="G28" s="53" t="s">
        <v>929</v>
      </c>
    </row>
    <row r="29" spans="2:7">
      <c r="B29" s="7">
        <v>25</v>
      </c>
      <c r="C29" s="48" t="str">
        <f>IF(Setting!J30="","",Setting!J30)</f>
        <v>Muhammad Syamu Naufal</v>
      </c>
      <c r="D29" s="15">
        <f>IF(Setting!K30="","",Setting!K30)</f>
        <v>2008230</v>
      </c>
      <c r="E29" s="53">
        <v>1</v>
      </c>
      <c r="F29" s="53">
        <v>3</v>
      </c>
      <c r="G29" s="53" t="s">
        <v>929</v>
      </c>
    </row>
    <row r="30" spans="2:7">
      <c r="B30" s="7">
        <v>26</v>
      </c>
      <c r="C30" s="48" t="str">
        <f>IF(Setting!J31="","",Setting!J31)</f>
        <v>Naufal Muhammad Iqbal</v>
      </c>
      <c r="D30" s="15">
        <f>IF(Setting!K31="","",Setting!K31)</f>
        <v>2008251</v>
      </c>
      <c r="E30" s="53">
        <v>0</v>
      </c>
      <c r="F30" s="53">
        <v>3</v>
      </c>
      <c r="G30" s="53" t="s">
        <v>929</v>
      </c>
    </row>
    <row r="31" spans="2:7">
      <c r="B31" s="7">
        <v>27</v>
      </c>
      <c r="C31" s="48" t="str">
        <f>IF(Setting!J32="","",Setting!J32)</f>
        <v>Nauval Nur Mustafa</v>
      </c>
      <c r="D31" s="15">
        <f>IF(Setting!K32="","",Setting!K32)</f>
        <v>2008253</v>
      </c>
      <c r="E31" s="53">
        <v>0</v>
      </c>
      <c r="F31" s="53">
        <v>5</v>
      </c>
      <c r="G31" s="53" t="s">
        <v>929</v>
      </c>
    </row>
    <row r="32" spans="2:7">
      <c r="B32" s="7">
        <v>28</v>
      </c>
      <c r="C32" s="48" t="str">
        <f>IF(Setting!J33="","",Setting!J33)</f>
        <v>Oriegano Kanahaya  Siagian</v>
      </c>
      <c r="D32" s="15">
        <f>IF(Setting!K33="","",Setting!K33)</f>
        <v>2008272</v>
      </c>
      <c r="E32" s="53">
        <v>0</v>
      </c>
      <c r="F32" s="53">
        <v>5</v>
      </c>
      <c r="G32" s="53" t="s">
        <v>929</v>
      </c>
    </row>
    <row r="33" spans="2:7">
      <c r="B33" s="7">
        <v>29</v>
      </c>
      <c r="C33" s="48" t="str">
        <f>IF(Setting!J34="","",Setting!J34)</f>
        <v>Rafif Mahatma Indrastata</v>
      </c>
      <c r="D33" s="15">
        <f>IF(Setting!K34="","",Setting!K34)</f>
        <v>2008282</v>
      </c>
      <c r="E33" s="53">
        <v>0</v>
      </c>
      <c r="F33" s="53">
        <v>0</v>
      </c>
      <c r="G33" s="53" t="s">
        <v>929</v>
      </c>
    </row>
    <row r="34" spans="2:7">
      <c r="B34" s="7">
        <v>30</v>
      </c>
      <c r="C34" s="48" t="str">
        <f>IF(Setting!J35="","",Setting!J35)</f>
        <v>Rayhan Yoga Edy Pratama</v>
      </c>
      <c r="D34" s="15">
        <f>IF(Setting!K35="","",Setting!K35)</f>
        <v>2008296</v>
      </c>
      <c r="E34" s="53">
        <v>0</v>
      </c>
      <c r="F34" s="53">
        <v>5</v>
      </c>
      <c r="G34" s="53" t="s">
        <v>929</v>
      </c>
    </row>
    <row r="35" spans="2:7">
      <c r="B35" s="7">
        <v>31</v>
      </c>
      <c r="C35" s="48" t="str">
        <f>IF(Setting!J36="","",Setting!J36)</f>
        <v>Rusianto Munif</v>
      </c>
      <c r="D35" s="15">
        <f>IF(Setting!K36="","",Setting!K36)</f>
        <v>2008307</v>
      </c>
      <c r="E35" s="58">
        <v>0</v>
      </c>
      <c r="F35" s="58">
        <v>5</v>
      </c>
      <c r="G35" s="53" t="s">
        <v>929</v>
      </c>
    </row>
    <row r="36" spans="2:7">
      <c r="B36" s="7">
        <v>32</v>
      </c>
      <c r="C36" s="48" t="str">
        <f>IF(Setting!J37="","",Setting!J37)</f>
        <v>Zaidan Mu'afy Althaf</v>
      </c>
      <c r="D36" s="15">
        <f>IF(Setting!K37="","",Setting!K37)</f>
        <v>2008347</v>
      </c>
      <c r="E36" s="58">
        <v>0</v>
      </c>
      <c r="F36" s="58">
        <v>5</v>
      </c>
      <c r="G36" s="53" t="s">
        <v>929</v>
      </c>
    </row>
    <row r="37" spans="2:7">
      <c r="B37" s="7">
        <v>33</v>
      </c>
      <c r="C37" s="48" t="str">
        <f>IF(Setting!J38="","",Setting!J38)</f>
        <v/>
      </c>
      <c r="D37" s="15" t="str">
        <f>IF(Setting!K38="","",Setting!K38)</f>
        <v/>
      </c>
      <c r="E37" s="58"/>
      <c r="F37" s="58"/>
      <c r="G37" s="58"/>
    </row>
    <row r="38" spans="2:7">
      <c r="B38" s="7">
        <v>34</v>
      </c>
      <c r="C38" s="48" t="str">
        <f>IF(Setting!J39="","",Setting!J39)</f>
        <v/>
      </c>
      <c r="D38" s="15" t="str">
        <f>IF(Setting!K39="","",Setting!K39)</f>
        <v/>
      </c>
      <c r="E38" s="58"/>
      <c r="F38" s="58"/>
      <c r="G38" s="58"/>
    </row>
    <row r="39" spans="2:7">
      <c r="B39" s="7">
        <v>35</v>
      </c>
      <c r="C39" s="48" t="str">
        <f>IF(Setting!J40="","",Setting!J40)</f>
        <v/>
      </c>
      <c r="D39" s="15" t="str">
        <f>IF(Setting!K40="","",Setting!K40)</f>
        <v/>
      </c>
      <c r="E39" s="58"/>
      <c r="F39" s="58"/>
      <c r="G39" s="58"/>
    </row>
    <row r="40" spans="2:7">
      <c r="B40" s="7">
        <v>36</v>
      </c>
      <c r="C40" s="48" t="str">
        <f>IF(Setting!J41="","",Setting!J41)</f>
        <v/>
      </c>
      <c r="D40" s="15" t="str">
        <f>IF(Setting!K41="","",Setting!K41)</f>
        <v/>
      </c>
      <c r="E40" s="58"/>
      <c r="F40" s="58"/>
      <c r="G40" s="58"/>
    </row>
    <row r="41" spans="2:7">
      <c r="B41" s="7">
        <v>37</v>
      </c>
      <c r="C41" s="48" t="str">
        <f>IF(Setting!J42="","",Setting!J42)</f>
        <v/>
      </c>
      <c r="D41" s="15" t="str">
        <f>IF(Setting!K42="","",Setting!K42)</f>
        <v/>
      </c>
      <c r="E41" s="58"/>
      <c r="F41" s="58"/>
      <c r="G41" s="58"/>
    </row>
    <row r="42" spans="2:7">
      <c r="B42" s="7">
        <v>38</v>
      </c>
      <c r="C42" s="48" t="str">
        <f>IF(Setting!J43="","",Setting!J43)</f>
        <v/>
      </c>
      <c r="D42" s="15" t="str">
        <f>IF(Setting!K43="","",Setting!K43)</f>
        <v/>
      </c>
      <c r="E42" s="58"/>
      <c r="F42" s="58"/>
      <c r="G42" s="58"/>
    </row>
    <row r="43" spans="2:7">
      <c r="B43" s="7">
        <v>39</v>
      </c>
      <c r="C43" s="48" t="str">
        <f>IF(Setting!J44="","",Setting!J44)</f>
        <v/>
      </c>
      <c r="D43" s="15" t="str">
        <f>IF(Setting!K44="","",Setting!K44)</f>
        <v/>
      </c>
      <c r="E43" s="58"/>
      <c r="F43" s="58"/>
      <c r="G43" s="58"/>
    </row>
    <row r="44" spans="2:7">
      <c r="B44" s="7">
        <v>40</v>
      </c>
      <c r="C44" s="48" t="str">
        <f>IF(Setting!J45="","",Setting!J45)</f>
        <v/>
      </c>
      <c r="D44" s="15" t="str">
        <f>IF(Setting!K45="","",Setting!K45)</f>
        <v/>
      </c>
      <c r="E44" s="58"/>
      <c r="F44" s="58"/>
      <c r="G44" s="58"/>
    </row>
  </sheetData>
  <sheetProtection algorithmName="SHA-512" hashValue="1a8Gq66tu5GthCt6UUZnYYrE3kdCfBUL24ALdUPoeGr6SPojKKppsyOt6RXYbaASf8Bh3Q5j1M8OrrMIbnWPuA==" saltValue="mUc6EJr9kYuOaOKY4niaCQ==" spinCount="100000" sheet="1" objects="1" scenarios="1" selectLockedCells="1"/>
  <mergeCells count="4">
    <mergeCell ref="B3:B4"/>
    <mergeCell ref="C3:C4"/>
    <mergeCell ref="D3:D4"/>
    <mergeCell ref="E3:G3"/>
  </mergeCells>
  <pageMargins left="0.7" right="0.7" top="0.75" bottom="0.75" header="0.3" footer="0.3"/>
  <pageSetup paperSize="30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70" zoomScaleNormal="70" workbookViewId="0">
      <pane xSplit="3" ySplit="5" topLeftCell="D6" activePane="bottomRight" state="frozenSplit"/>
      <selection pane="topRight" activeCell="D1" sqref="D1"/>
      <selection pane="bottomLeft" activeCell="A6" sqref="A6"/>
      <selection pane="bottomRight" activeCell="F14" sqref="F14"/>
    </sheetView>
  </sheetViews>
  <sheetFormatPr defaultRowHeight="15"/>
  <cols>
    <col min="1" max="1" width="16.140625" customWidth="1"/>
    <col min="2" max="2" width="28" customWidth="1"/>
    <col min="3" max="3" width="11.85546875" style="9" customWidth="1"/>
    <col min="4" max="11" width="33" customWidth="1"/>
  </cols>
  <sheetData>
    <row r="1" spans="1:11" ht="30" customHeight="1">
      <c r="B1" s="26" t="str">
        <f>"Input Data Prestasi Siswa Kelas "&amp;Setting!E11&amp;" Tahun "&amp;Setting!E14&amp;" Semester "&amp;Setting!E15&amp;""</f>
        <v>Input Data Prestasi Siswa Kelas X.MIPA 4 Tahun 2020/2021 Semester II</v>
      </c>
    </row>
    <row r="3" spans="1:11">
      <c r="A3" s="308" t="s">
        <v>43</v>
      </c>
      <c r="B3" s="308" t="s">
        <v>42</v>
      </c>
      <c r="C3" s="308" t="s">
        <v>45</v>
      </c>
      <c r="D3" s="310" t="s">
        <v>63</v>
      </c>
      <c r="E3" s="310"/>
      <c r="F3" s="310"/>
      <c r="G3" s="310"/>
      <c r="H3" s="310" t="s">
        <v>76</v>
      </c>
      <c r="I3" s="310"/>
      <c r="J3" s="310"/>
      <c r="K3" s="310"/>
    </row>
    <row r="4" spans="1:11">
      <c r="A4" s="308"/>
      <c r="B4" s="308"/>
      <c r="C4" s="308"/>
      <c r="D4" s="309" t="s">
        <v>72</v>
      </c>
      <c r="E4" s="309" t="s">
        <v>73</v>
      </c>
      <c r="F4" s="309" t="s">
        <v>74</v>
      </c>
      <c r="G4" s="309" t="s">
        <v>75</v>
      </c>
      <c r="H4" s="309">
        <v>1</v>
      </c>
      <c r="I4" s="309">
        <v>2</v>
      </c>
      <c r="J4" s="309">
        <v>3</v>
      </c>
      <c r="K4" s="309">
        <v>4</v>
      </c>
    </row>
    <row r="5" spans="1:11">
      <c r="A5" s="308"/>
      <c r="B5" s="308"/>
      <c r="C5" s="308"/>
      <c r="D5" s="309"/>
      <c r="E5" s="309"/>
      <c r="F5" s="309"/>
      <c r="G5" s="309"/>
      <c r="H5" s="309"/>
      <c r="I5" s="309"/>
      <c r="J5" s="309"/>
      <c r="K5" s="309"/>
    </row>
    <row r="6" spans="1:11" ht="29.25" customHeight="1">
      <c r="A6" s="7">
        <v>1</v>
      </c>
      <c r="B6" s="48" t="str">
        <f>IF(Setting!J6="","",Setting!J6)</f>
        <v>Abdul Fattah Irfan Al Mubaroq</v>
      </c>
      <c r="C6" s="15">
        <f>IF(Setting!K6="","",Setting!K6)</f>
        <v>2008004</v>
      </c>
      <c r="D6" s="56"/>
      <c r="E6" s="56"/>
      <c r="F6" s="56"/>
      <c r="G6" s="56"/>
      <c r="H6" s="56"/>
      <c r="I6" s="56"/>
      <c r="J6" s="56"/>
      <c r="K6" s="56"/>
    </row>
    <row r="7" spans="1:11" ht="29.25" customHeight="1">
      <c r="A7" s="7">
        <v>2</v>
      </c>
      <c r="B7" s="48" t="str">
        <f>IF(Setting!J7="","",Setting!J7)</f>
        <v>Adam Zidane Danata Pranugroho</v>
      </c>
      <c r="C7" s="15">
        <f>IF(Setting!K7="","",Setting!K7)</f>
        <v>2008009</v>
      </c>
      <c r="D7" s="56"/>
      <c r="E7" s="56"/>
      <c r="F7" s="56"/>
      <c r="G7" s="56"/>
      <c r="H7" s="56"/>
      <c r="I7" s="56"/>
      <c r="J7" s="56"/>
      <c r="K7" s="56"/>
    </row>
    <row r="8" spans="1:11" ht="29.25" customHeight="1">
      <c r="A8" s="7">
        <v>3</v>
      </c>
      <c r="B8" s="48" t="str">
        <f>IF(Setting!J8="","",Setting!J8)</f>
        <v>Ahmad Fikry</v>
      </c>
      <c r="C8" s="15">
        <f>IF(Setting!K8="","",Setting!K8)</f>
        <v>2008021</v>
      </c>
      <c r="D8" s="56"/>
      <c r="E8" s="56"/>
      <c r="F8" s="56"/>
      <c r="G8" s="56"/>
      <c r="H8" s="56"/>
      <c r="I8" s="56"/>
      <c r="J8" s="56"/>
      <c r="K8" s="56"/>
    </row>
    <row r="9" spans="1:11" ht="29.25" customHeight="1">
      <c r="A9" s="7">
        <v>4</v>
      </c>
      <c r="B9" s="48" t="str">
        <f>IF(Setting!J9="","",Setting!J9)</f>
        <v>Akhmad Rifki Assegaf</v>
      </c>
      <c r="C9" s="15">
        <f>IF(Setting!K9="","",Setting!K9)</f>
        <v>2008029</v>
      </c>
      <c r="D9" s="56"/>
      <c r="E9" s="56"/>
      <c r="F9" s="56"/>
      <c r="G9" s="56"/>
      <c r="H9" s="56"/>
      <c r="I9" s="56"/>
      <c r="J9" s="56"/>
      <c r="K9" s="56"/>
    </row>
    <row r="10" spans="1:11" ht="29.25" customHeight="1">
      <c r="A10" s="7">
        <v>5</v>
      </c>
      <c r="B10" s="48" t="str">
        <f>IF(Setting!J10="","",Setting!J10)</f>
        <v>Almas Sabih Wahindra</v>
      </c>
      <c r="C10" s="15">
        <f>IF(Setting!K10="","",Setting!K10)</f>
        <v>2008034</v>
      </c>
      <c r="D10" s="56"/>
      <c r="E10" s="56"/>
      <c r="F10" s="56"/>
      <c r="G10" s="56"/>
      <c r="H10" s="56"/>
      <c r="I10" s="56"/>
      <c r="J10" s="56"/>
      <c r="K10" s="56"/>
    </row>
    <row r="11" spans="1:11" ht="29.25" customHeight="1">
      <c r="A11" s="7">
        <v>6</v>
      </c>
      <c r="B11" s="48" t="str">
        <f>IF(Setting!J11="","",Setting!J11)</f>
        <v>Aria Fenha Apri Buma</v>
      </c>
      <c r="C11" s="15">
        <f>IF(Setting!K11="","",Setting!K11)</f>
        <v>2008054</v>
      </c>
      <c r="D11" s="56"/>
      <c r="E11" s="56"/>
      <c r="F11" s="56"/>
      <c r="G11" s="56"/>
      <c r="H11" s="56"/>
      <c r="I11" s="56"/>
      <c r="J11" s="56"/>
      <c r="K11" s="56"/>
    </row>
    <row r="12" spans="1:11" ht="29.25" customHeight="1">
      <c r="A12" s="7">
        <v>7</v>
      </c>
      <c r="B12" s="48" t="str">
        <f>IF(Setting!J12="","",Setting!J12)</f>
        <v>Baharuddin Barkah Pratama</v>
      </c>
      <c r="C12" s="15">
        <f>IF(Setting!K12="","",Setting!K12)</f>
        <v>2008075</v>
      </c>
      <c r="D12" s="56"/>
      <c r="E12" s="56"/>
      <c r="F12" s="56"/>
      <c r="G12" s="56"/>
      <c r="H12" s="56"/>
      <c r="I12" s="56"/>
      <c r="J12" s="56"/>
      <c r="K12" s="56"/>
    </row>
    <row r="13" spans="1:11" ht="29.25" customHeight="1">
      <c r="A13" s="7">
        <v>8</v>
      </c>
      <c r="B13" s="48" t="str">
        <f>IF(Setting!J13="","",Setting!J13)</f>
        <v>Daffa Arya Pudyastungkara</v>
      </c>
      <c r="C13" s="15">
        <f>IF(Setting!K13="","",Setting!K13)</f>
        <v>2008089</v>
      </c>
      <c r="D13" s="56"/>
      <c r="E13" s="56"/>
      <c r="F13" s="56"/>
      <c r="G13" s="56"/>
      <c r="H13" s="56"/>
      <c r="I13" s="56"/>
      <c r="J13" s="56"/>
      <c r="K13" s="56"/>
    </row>
    <row r="14" spans="1:11" ht="29.25" customHeight="1">
      <c r="A14" s="7">
        <v>9</v>
      </c>
      <c r="B14" s="48" t="str">
        <f>IF(Setting!J14="","",Setting!J14)</f>
        <v>Dody Muhammad Pasha</v>
      </c>
      <c r="C14" s="15">
        <f>IF(Setting!K14="","",Setting!K14)</f>
        <v>2008095</v>
      </c>
      <c r="D14" s="56"/>
      <c r="E14" s="56"/>
      <c r="F14" s="56"/>
      <c r="G14" s="56"/>
      <c r="H14" s="56"/>
      <c r="I14" s="56"/>
      <c r="J14" s="56"/>
      <c r="K14" s="56"/>
    </row>
    <row r="15" spans="1:11" ht="29.25" customHeight="1">
      <c r="A15" s="7">
        <v>10</v>
      </c>
      <c r="B15" s="48" t="str">
        <f>IF(Setting!J15="","",Setting!J15)</f>
        <v>Elga Perdana</v>
      </c>
      <c r="C15" s="15">
        <f>IF(Setting!K15="","",Setting!K15)</f>
        <v>2008099</v>
      </c>
      <c r="D15" s="56"/>
      <c r="E15" s="56"/>
      <c r="F15" s="56"/>
      <c r="G15" s="56"/>
      <c r="H15" s="56"/>
      <c r="I15" s="56"/>
      <c r="J15" s="56"/>
      <c r="K15" s="56"/>
    </row>
    <row r="16" spans="1:11" ht="29.25" customHeight="1">
      <c r="A16" s="7">
        <v>11</v>
      </c>
      <c r="B16" s="48" t="str">
        <f>IF(Setting!J16="","",Setting!J16)</f>
        <v>Fathoni Daniswara</v>
      </c>
      <c r="C16" s="15">
        <f>IF(Setting!K16="","",Setting!K16)</f>
        <v>2008118</v>
      </c>
      <c r="D16" s="56"/>
      <c r="E16" s="56"/>
      <c r="F16" s="56"/>
      <c r="G16" s="56"/>
      <c r="H16" s="56"/>
      <c r="I16" s="56"/>
      <c r="J16" s="56"/>
      <c r="K16" s="56"/>
    </row>
    <row r="17" spans="1:11" ht="29.25" customHeight="1">
      <c r="A17" s="7">
        <v>12</v>
      </c>
      <c r="B17" s="48" t="str">
        <f>IF(Setting!J17="","",Setting!J17)</f>
        <v>Gading Setyo Manunggal</v>
      </c>
      <c r="C17" s="15">
        <f>IF(Setting!K17="","",Setting!K17)</f>
        <v>2008127</v>
      </c>
      <c r="D17" s="56"/>
      <c r="E17" s="56"/>
      <c r="F17" s="56"/>
      <c r="G17" s="56"/>
      <c r="H17" s="56"/>
      <c r="I17" s="56"/>
      <c r="J17" s="56"/>
      <c r="K17" s="56"/>
    </row>
    <row r="18" spans="1:11" ht="29.25" customHeight="1">
      <c r="A18" s="7">
        <v>13</v>
      </c>
      <c r="B18" s="48" t="str">
        <f>IF(Setting!J18="","",Setting!J18)</f>
        <v>Ghifari Mabrur Al Burhani</v>
      </c>
      <c r="C18" s="15">
        <f>IF(Setting!K18="","",Setting!K18)</f>
        <v>2008128</v>
      </c>
      <c r="D18" s="56"/>
      <c r="E18" s="56"/>
      <c r="F18" s="56"/>
      <c r="G18" s="56"/>
      <c r="H18" s="56"/>
      <c r="I18" s="56"/>
      <c r="J18" s="56"/>
      <c r="K18" s="56"/>
    </row>
    <row r="19" spans="1:11" ht="29.25" customHeight="1">
      <c r="A19" s="7">
        <v>14</v>
      </c>
      <c r="B19" s="48" t="str">
        <f>IF(Setting!J19="","",Setting!J19)</f>
        <v>Hafid Mahreza Ilham</v>
      </c>
      <c r="C19" s="15">
        <f>IF(Setting!K19="","",Setting!K19)</f>
        <v>2008131</v>
      </c>
      <c r="D19" s="56"/>
      <c r="E19" s="56"/>
      <c r="F19" s="56"/>
      <c r="G19" s="56"/>
      <c r="H19" s="56"/>
      <c r="I19" s="56"/>
      <c r="J19" s="56"/>
      <c r="K19" s="56"/>
    </row>
    <row r="20" spans="1:11" ht="29.25" customHeight="1">
      <c r="A20" s="7">
        <v>15</v>
      </c>
      <c r="B20" s="48" t="str">
        <f>IF(Setting!J20="","",Setting!J20)</f>
        <v>Haidar Rafif Hibatulloh</v>
      </c>
      <c r="C20" s="15">
        <f>IF(Setting!K20="","",Setting!K20)</f>
        <v>2008132</v>
      </c>
      <c r="D20" s="56"/>
      <c r="E20" s="56"/>
      <c r="F20" s="56"/>
      <c r="G20" s="56"/>
      <c r="H20" s="56"/>
      <c r="I20" s="56"/>
      <c r="J20" s="56"/>
      <c r="K20" s="56"/>
    </row>
    <row r="21" spans="1:11" ht="29.25" customHeight="1">
      <c r="A21" s="7">
        <v>16</v>
      </c>
      <c r="B21" s="48" t="str">
        <f>IF(Setting!J21="","",Setting!J21)</f>
        <v>Kelvin Oktabrian Ramadhan</v>
      </c>
      <c r="C21" s="15">
        <f>IF(Setting!K21="","",Setting!K21)</f>
        <v>2008169</v>
      </c>
      <c r="D21" s="56"/>
      <c r="E21" s="56"/>
      <c r="F21" s="56"/>
      <c r="G21" s="56"/>
      <c r="H21" s="56"/>
      <c r="I21" s="56"/>
      <c r="J21" s="56"/>
      <c r="K21" s="56"/>
    </row>
    <row r="22" spans="1:11" ht="29.25" customHeight="1">
      <c r="A22" s="7">
        <v>17</v>
      </c>
      <c r="B22" s="48" t="str">
        <f>IF(Setting!J22="","",Setting!J22)</f>
        <v>Mohamad Khoiril Afwa</v>
      </c>
      <c r="C22" s="15">
        <f>IF(Setting!K22="","",Setting!K22)</f>
        <v>2008197</v>
      </c>
      <c r="D22" s="56"/>
      <c r="E22" s="56"/>
      <c r="F22" s="56"/>
      <c r="G22" s="56"/>
      <c r="H22" s="56"/>
      <c r="I22" s="56"/>
      <c r="J22" s="56"/>
      <c r="K22" s="56"/>
    </row>
    <row r="23" spans="1:11" ht="29.25" customHeight="1">
      <c r="A23" s="7">
        <v>18</v>
      </c>
      <c r="B23" s="48" t="str">
        <f>IF(Setting!J23="","",Setting!J23)</f>
        <v>Muhammad Hanif Pearlyaradja</v>
      </c>
      <c r="C23" s="15">
        <f>IF(Setting!K23="","",Setting!K23)</f>
        <v>2008214</v>
      </c>
      <c r="D23" s="56"/>
      <c r="E23" s="56"/>
      <c r="F23" s="56"/>
      <c r="G23" s="56"/>
      <c r="H23" s="56"/>
      <c r="I23" s="56"/>
      <c r="J23" s="56"/>
      <c r="K23" s="56"/>
    </row>
    <row r="24" spans="1:11" ht="29.25" customHeight="1">
      <c r="A24" s="7">
        <v>19</v>
      </c>
      <c r="B24" s="48" t="str">
        <f>IF(Setting!J24="","",Setting!J24)</f>
        <v>Muhammad Maurel Han</v>
      </c>
      <c r="C24" s="15">
        <f>IF(Setting!K24="","",Setting!K24)</f>
        <v>2008218</v>
      </c>
      <c r="D24" s="56"/>
      <c r="E24" s="56"/>
      <c r="F24" s="56"/>
      <c r="G24" s="56"/>
      <c r="H24" s="56"/>
      <c r="I24" s="56"/>
      <c r="J24" s="56"/>
      <c r="K24" s="56"/>
    </row>
    <row r="25" spans="1:11" ht="29.25" customHeight="1">
      <c r="A25" s="7">
        <v>20</v>
      </c>
      <c r="B25" s="48" t="str">
        <f>IF(Setting!J25="","",Setting!J25)</f>
        <v>Muhammad Niam Masykuri</v>
      </c>
      <c r="C25" s="15">
        <f>IF(Setting!K25="","",Setting!K25)</f>
        <v>2008220</v>
      </c>
      <c r="D25" s="56"/>
      <c r="E25" s="56"/>
      <c r="F25" s="56"/>
      <c r="G25" s="56"/>
      <c r="H25" s="56"/>
      <c r="I25" s="56"/>
      <c r="J25" s="56"/>
      <c r="K25" s="56"/>
    </row>
    <row r="26" spans="1:11" ht="29.25" customHeight="1">
      <c r="A26" s="7">
        <v>21</v>
      </c>
      <c r="B26" s="48" t="str">
        <f>IF(Setting!J26="","",Setting!J26)</f>
        <v>Muhammad Nur Arzhian Kusuma</v>
      </c>
      <c r="C26" s="15">
        <f>IF(Setting!K26="","",Setting!K26)</f>
        <v>2008221</v>
      </c>
      <c r="D26" s="56"/>
      <c r="E26" s="56"/>
      <c r="F26" s="56"/>
      <c r="G26" s="56"/>
      <c r="H26" s="56"/>
      <c r="I26" s="56"/>
      <c r="J26" s="56"/>
      <c r="K26" s="56"/>
    </row>
    <row r="27" spans="1:11" ht="29.25" customHeight="1">
      <c r="A27" s="7">
        <v>22</v>
      </c>
      <c r="B27" s="48" t="str">
        <f>IF(Setting!J27="","",Setting!J27)</f>
        <v>Muhammad Rafif Rizqullah</v>
      </c>
      <c r="C27" s="15">
        <f>IF(Setting!K27="","",Setting!K27)</f>
        <v>2008222</v>
      </c>
      <c r="D27" s="56"/>
      <c r="E27" s="56"/>
      <c r="F27" s="56"/>
      <c r="G27" s="56"/>
      <c r="H27" s="56"/>
      <c r="I27" s="56"/>
      <c r="J27" s="56"/>
      <c r="K27" s="56"/>
    </row>
    <row r="28" spans="1:11" ht="29.25" customHeight="1">
      <c r="A28" s="7">
        <v>23</v>
      </c>
      <c r="B28" s="48" t="str">
        <f>IF(Setting!J28="","",Setting!J28)</f>
        <v>Muhammad Raihan Al Faridzi</v>
      </c>
      <c r="C28" s="15">
        <f>IF(Setting!K28="","",Setting!K28)</f>
        <v>2008223</v>
      </c>
      <c r="D28" s="56"/>
      <c r="E28" s="56"/>
      <c r="F28" s="56"/>
      <c r="G28" s="56"/>
      <c r="H28" s="56"/>
      <c r="I28" s="56"/>
      <c r="J28" s="56"/>
      <c r="K28" s="56"/>
    </row>
    <row r="29" spans="1:11" ht="29.25" customHeight="1">
      <c r="A29" s="7">
        <v>24</v>
      </c>
      <c r="B29" s="48" t="str">
        <f>IF(Setting!J29="","",Setting!J29)</f>
        <v>Muhammad Rakan Hafidh Al Ghalib</v>
      </c>
      <c r="C29" s="15">
        <f>IF(Setting!K29="","",Setting!K29)</f>
        <v>2008224</v>
      </c>
      <c r="D29" s="56"/>
      <c r="E29" s="56"/>
      <c r="F29" s="56"/>
      <c r="G29" s="56"/>
      <c r="H29" s="56"/>
      <c r="I29" s="56"/>
      <c r="J29" s="56"/>
      <c r="K29" s="56"/>
    </row>
    <row r="30" spans="1:11" ht="29.25" customHeight="1">
      <c r="A30" s="7">
        <v>25</v>
      </c>
      <c r="B30" s="48" t="str">
        <f>IF(Setting!J30="","",Setting!J30)</f>
        <v>Muhammad Syamu Naufal</v>
      </c>
      <c r="C30" s="15">
        <f>IF(Setting!K30="","",Setting!K30)</f>
        <v>2008230</v>
      </c>
      <c r="D30" s="56"/>
      <c r="E30" s="56"/>
      <c r="F30" s="56"/>
      <c r="G30" s="56"/>
      <c r="H30" s="56"/>
      <c r="I30" s="56"/>
      <c r="J30" s="56"/>
      <c r="K30" s="56"/>
    </row>
    <row r="31" spans="1:11" ht="29.25" customHeight="1">
      <c r="A31" s="7">
        <v>26</v>
      </c>
      <c r="B31" s="48" t="str">
        <f>IF(Setting!J31="","",Setting!J31)</f>
        <v>Naufal Muhammad Iqbal</v>
      </c>
      <c r="C31" s="15">
        <f>IF(Setting!K31="","",Setting!K31)</f>
        <v>2008251</v>
      </c>
      <c r="D31" s="56"/>
      <c r="E31" s="56"/>
      <c r="F31" s="56"/>
      <c r="G31" s="56"/>
      <c r="H31" s="56"/>
      <c r="I31" s="56"/>
      <c r="J31" s="56"/>
      <c r="K31" s="56"/>
    </row>
    <row r="32" spans="1:11" ht="29.25" customHeight="1">
      <c r="A32" s="7">
        <v>27</v>
      </c>
      <c r="B32" s="48" t="str">
        <f>IF(Setting!J32="","",Setting!J32)</f>
        <v>Nauval Nur Mustafa</v>
      </c>
      <c r="C32" s="15">
        <f>IF(Setting!K32="","",Setting!K32)</f>
        <v>2008253</v>
      </c>
      <c r="D32" s="56"/>
      <c r="E32" s="56"/>
      <c r="F32" s="56"/>
      <c r="G32" s="56"/>
      <c r="H32" s="56"/>
      <c r="I32" s="56"/>
      <c r="J32" s="56"/>
      <c r="K32" s="56"/>
    </row>
    <row r="33" spans="1:11" ht="29.25" customHeight="1">
      <c r="A33" s="7">
        <v>28</v>
      </c>
      <c r="B33" s="48" t="str">
        <f>IF(Setting!J33="","",Setting!J33)</f>
        <v>Oriegano Kanahaya  Siagian</v>
      </c>
      <c r="C33" s="15">
        <f>IF(Setting!K33="","",Setting!K33)</f>
        <v>2008272</v>
      </c>
      <c r="D33" s="56"/>
      <c r="E33" s="56"/>
      <c r="F33" s="56"/>
      <c r="G33" s="56"/>
      <c r="H33" s="56"/>
      <c r="I33" s="56"/>
      <c r="J33" s="56"/>
      <c r="K33" s="56"/>
    </row>
    <row r="34" spans="1:11" ht="29.25" customHeight="1">
      <c r="A34" s="7">
        <v>29</v>
      </c>
      <c r="B34" s="48" t="str">
        <f>IF(Setting!J34="","",Setting!J34)</f>
        <v>Rafif Mahatma Indrastata</v>
      </c>
      <c r="C34" s="15">
        <f>IF(Setting!K34="","",Setting!K34)</f>
        <v>2008282</v>
      </c>
      <c r="D34" s="56"/>
      <c r="E34" s="56"/>
      <c r="F34" s="56"/>
      <c r="G34" s="56"/>
      <c r="H34" s="56"/>
      <c r="I34" s="56"/>
      <c r="J34" s="56"/>
      <c r="K34" s="56"/>
    </row>
    <row r="35" spans="1:11" ht="29.25" customHeight="1">
      <c r="A35" s="7">
        <v>30</v>
      </c>
      <c r="B35" s="48" t="str">
        <f>IF(Setting!J35="","",Setting!J35)</f>
        <v>Rayhan Yoga Edy Pratama</v>
      </c>
      <c r="C35" s="15">
        <f>IF(Setting!K35="","",Setting!K35)</f>
        <v>2008296</v>
      </c>
      <c r="D35" s="56"/>
      <c r="E35" s="56"/>
      <c r="F35" s="56"/>
      <c r="G35" s="56"/>
      <c r="H35" s="56"/>
      <c r="I35" s="56"/>
      <c r="J35" s="56"/>
      <c r="K35" s="56"/>
    </row>
    <row r="36" spans="1:11" ht="29.25" customHeight="1">
      <c r="A36" s="7">
        <v>31</v>
      </c>
      <c r="B36" s="48" t="str">
        <f>IF(Setting!J36="","",Setting!J36)</f>
        <v>Rusianto Munif</v>
      </c>
      <c r="C36" s="15">
        <f>IF(Setting!K36="","",Setting!K36)</f>
        <v>2008307</v>
      </c>
      <c r="D36" s="57"/>
      <c r="E36" s="57"/>
      <c r="F36" s="57"/>
      <c r="G36" s="57"/>
      <c r="H36" s="57"/>
      <c r="I36" s="57"/>
      <c r="J36" s="57"/>
      <c r="K36" s="57"/>
    </row>
    <row r="37" spans="1:11" ht="29.25" customHeight="1">
      <c r="A37" s="7">
        <v>32</v>
      </c>
      <c r="B37" s="48" t="str">
        <f>IF(Setting!J37="","",Setting!J37)</f>
        <v>Zaidan Mu'afy Althaf</v>
      </c>
      <c r="C37" s="15">
        <f>IF(Setting!K37="","",Setting!K37)</f>
        <v>2008347</v>
      </c>
      <c r="D37" s="57"/>
      <c r="E37" s="57"/>
      <c r="F37" s="57"/>
      <c r="G37" s="57"/>
      <c r="H37" s="57"/>
      <c r="I37" s="57"/>
      <c r="J37" s="57"/>
      <c r="K37" s="57"/>
    </row>
    <row r="38" spans="1:11" ht="29.25" customHeight="1">
      <c r="A38" s="7">
        <v>33</v>
      </c>
      <c r="B38" s="48" t="str">
        <f>IF(Setting!J38="","",Setting!J38)</f>
        <v/>
      </c>
      <c r="C38" s="15" t="str">
        <f>IF(Setting!K38="","",Setting!K38)</f>
        <v/>
      </c>
      <c r="D38" s="57"/>
      <c r="E38" s="57"/>
      <c r="F38" s="57"/>
      <c r="G38" s="57"/>
      <c r="H38" s="57"/>
      <c r="I38" s="57"/>
      <c r="J38" s="57"/>
      <c r="K38" s="57"/>
    </row>
    <row r="39" spans="1:11" ht="29.25" customHeight="1">
      <c r="A39" s="7">
        <v>34</v>
      </c>
      <c r="B39" s="48" t="str">
        <f>IF(Setting!J39="","",Setting!J39)</f>
        <v/>
      </c>
      <c r="C39" s="15" t="str">
        <f>IF(Setting!K39="","",Setting!K39)</f>
        <v/>
      </c>
      <c r="D39" s="57"/>
      <c r="E39" s="57"/>
      <c r="F39" s="57"/>
      <c r="G39" s="57"/>
      <c r="H39" s="57"/>
      <c r="I39" s="57"/>
      <c r="J39" s="57"/>
      <c r="K39" s="57"/>
    </row>
    <row r="40" spans="1:11" ht="29.25" customHeight="1">
      <c r="A40" s="7">
        <v>35</v>
      </c>
      <c r="B40" s="48" t="str">
        <f>IF(Setting!J40="","",Setting!J40)</f>
        <v/>
      </c>
      <c r="C40" s="15" t="str">
        <f>IF(Setting!K40="","",Setting!K40)</f>
        <v/>
      </c>
      <c r="D40" s="57"/>
      <c r="E40" s="57"/>
      <c r="F40" s="57"/>
      <c r="G40" s="57"/>
      <c r="H40" s="57"/>
      <c r="I40" s="57"/>
      <c r="J40" s="57"/>
      <c r="K40" s="57"/>
    </row>
    <row r="41" spans="1:11" ht="29.25" customHeight="1">
      <c r="A41" s="7">
        <v>36</v>
      </c>
      <c r="B41" s="48" t="str">
        <f>IF(Setting!J41="","",Setting!J41)</f>
        <v/>
      </c>
      <c r="C41" s="15" t="str">
        <f>IF(Setting!K41="","",Setting!K41)</f>
        <v/>
      </c>
      <c r="D41" s="57"/>
      <c r="E41" s="57"/>
      <c r="F41" s="57"/>
      <c r="G41" s="57"/>
      <c r="H41" s="57"/>
      <c r="I41" s="57"/>
      <c r="J41" s="57"/>
      <c r="K41" s="57"/>
    </row>
    <row r="42" spans="1:11" ht="29.25" customHeight="1">
      <c r="A42" s="7">
        <v>37</v>
      </c>
      <c r="B42" s="48" t="str">
        <f>IF(Setting!J42="","",Setting!J42)</f>
        <v/>
      </c>
      <c r="C42" s="15" t="str">
        <f>IF(Setting!K42="","",Setting!K42)</f>
        <v/>
      </c>
      <c r="D42" s="57"/>
      <c r="E42" s="57"/>
      <c r="F42" s="57"/>
      <c r="G42" s="57"/>
      <c r="H42" s="57"/>
      <c r="I42" s="57"/>
      <c r="J42" s="57"/>
      <c r="K42" s="57"/>
    </row>
    <row r="43" spans="1:11" ht="29.25" customHeight="1">
      <c r="A43" s="7">
        <v>38</v>
      </c>
      <c r="B43" s="48" t="str">
        <f>IF(Setting!J43="","",Setting!J43)</f>
        <v/>
      </c>
      <c r="C43" s="15" t="str">
        <f>IF(Setting!K43="","",Setting!K43)</f>
        <v/>
      </c>
      <c r="D43" s="57"/>
      <c r="E43" s="57"/>
      <c r="F43" s="57"/>
      <c r="G43" s="57"/>
      <c r="H43" s="57"/>
      <c r="I43" s="57"/>
      <c r="J43" s="57"/>
      <c r="K43" s="57"/>
    </row>
    <row r="44" spans="1:11" ht="29.25" customHeight="1">
      <c r="A44" s="7">
        <v>39</v>
      </c>
      <c r="B44" s="48" t="str">
        <f>IF(Setting!J44="","",Setting!J44)</f>
        <v/>
      </c>
      <c r="C44" s="15" t="str">
        <f>IF(Setting!K44="","",Setting!K44)</f>
        <v/>
      </c>
      <c r="D44" s="57"/>
      <c r="E44" s="57"/>
      <c r="F44" s="57"/>
      <c r="G44" s="57"/>
      <c r="H44" s="57"/>
      <c r="I44" s="57"/>
      <c r="J44" s="57"/>
      <c r="K44" s="57"/>
    </row>
    <row r="45" spans="1:11" ht="29.25" customHeight="1">
      <c r="A45" s="7">
        <v>40</v>
      </c>
      <c r="B45" s="48" t="str">
        <f>IF(Setting!J45="","",Setting!J45)</f>
        <v/>
      </c>
      <c r="C45" s="15" t="str">
        <f>IF(Setting!K45="","",Setting!K45)</f>
        <v/>
      </c>
      <c r="D45" s="57"/>
      <c r="E45" s="57"/>
      <c r="F45" s="57"/>
      <c r="G45" s="57"/>
      <c r="H45" s="57"/>
      <c r="I45" s="57"/>
      <c r="J45" s="57"/>
      <c r="K45" s="57"/>
    </row>
    <row r="46" spans="1:11">
      <c r="B46" s="8"/>
      <c r="C46" s="8"/>
      <c r="D46" s="8"/>
      <c r="E46" s="8"/>
    </row>
  </sheetData>
  <sheetProtection algorithmName="SHA-512" hashValue="xniykW8ZuUR3C5H+7MKGYXaAHPZeOBEmbtvrpSqaLg2C7aI+z3BGei67zaVasiFPi1EDfvn+J1aji3Na+Jbp2Q==" saltValue="d8HqgmUKVtbkvftbxjaeRw==" spinCount="100000" sheet="1" objects="1" scenarios="1" selectLockedCells="1"/>
  <mergeCells count="13">
    <mergeCell ref="H3:K3"/>
    <mergeCell ref="H4:H5"/>
    <mergeCell ref="I4:I5"/>
    <mergeCell ref="J4:J5"/>
    <mergeCell ref="K4:K5"/>
    <mergeCell ref="A3:A5"/>
    <mergeCell ref="B3:B5"/>
    <mergeCell ref="C3:C5"/>
    <mergeCell ref="D3:G3"/>
    <mergeCell ref="D4:D5"/>
    <mergeCell ref="E4:E5"/>
    <mergeCell ref="F4:F5"/>
    <mergeCell ref="G4:G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0"/>
  <sheetViews>
    <sheetView workbookViewId="0"/>
  </sheetViews>
  <sheetFormatPr defaultRowHeight="15"/>
  <sheetData>
    <row r="1" spans="1:67">
      <c r="A1" s="8" t="s">
        <v>36</v>
      </c>
      <c r="B1" s="311" t="s">
        <v>185</v>
      </c>
      <c r="C1" s="312"/>
      <c r="D1" s="170" t="s">
        <v>186</v>
      </c>
      <c r="E1" s="170"/>
      <c r="F1" s="313" t="s">
        <v>187</v>
      </c>
      <c r="G1" s="313"/>
      <c r="H1" s="171" t="s">
        <v>188</v>
      </c>
      <c r="I1" s="171"/>
      <c r="J1" s="170" t="s">
        <v>189</v>
      </c>
      <c r="K1" s="170"/>
      <c r="L1" s="171" t="s">
        <v>190</v>
      </c>
      <c r="M1" s="171"/>
      <c r="N1" s="170" t="s">
        <v>191</v>
      </c>
      <c r="O1" s="170"/>
      <c r="P1" s="171" t="s">
        <v>192</v>
      </c>
      <c r="Q1" s="171"/>
      <c r="R1" s="170" t="s">
        <v>193</v>
      </c>
      <c r="S1" s="170"/>
      <c r="T1" s="171" t="s">
        <v>194</v>
      </c>
      <c r="U1" s="171"/>
      <c r="V1" s="170" t="s">
        <v>195</v>
      </c>
      <c r="W1" s="170"/>
      <c r="X1" s="171" t="s">
        <v>196</v>
      </c>
      <c r="Y1" s="171"/>
      <c r="Z1" s="170" t="s">
        <v>197</v>
      </c>
      <c r="AA1" s="170"/>
      <c r="AB1" s="171" t="s">
        <v>198</v>
      </c>
      <c r="AC1" s="171"/>
      <c r="AD1" s="170" t="s">
        <v>199</v>
      </c>
      <c r="AE1" s="170"/>
      <c r="AF1" s="171" t="s">
        <v>200</v>
      </c>
      <c r="AG1" s="171"/>
      <c r="AH1" s="170" t="s">
        <v>201</v>
      </c>
      <c r="AI1" s="170"/>
      <c r="AJ1" s="171" t="s">
        <v>202</v>
      </c>
      <c r="AK1" s="171"/>
      <c r="AL1" s="170" t="s">
        <v>203</v>
      </c>
      <c r="AM1" s="170"/>
      <c r="AN1" s="171" t="s">
        <v>204</v>
      </c>
      <c r="AO1" s="171"/>
      <c r="AP1" s="170" t="s">
        <v>205</v>
      </c>
      <c r="AQ1" s="170"/>
      <c r="AR1" s="171" t="s">
        <v>206</v>
      </c>
      <c r="AS1" s="171"/>
      <c r="AT1" s="170" t="s">
        <v>207</v>
      </c>
      <c r="AU1" s="170"/>
      <c r="AV1" s="171" t="s">
        <v>208</v>
      </c>
      <c r="AW1" s="171"/>
      <c r="AX1" s="170" t="s">
        <v>209</v>
      </c>
      <c r="AY1" s="170"/>
      <c r="AZ1" s="171" t="s">
        <v>210</v>
      </c>
      <c r="BA1" s="171"/>
      <c r="BB1" s="170" t="s">
        <v>211</v>
      </c>
      <c r="BC1" s="170"/>
      <c r="BD1" s="171" t="s">
        <v>212</v>
      </c>
      <c r="BE1" s="171"/>
      <c r="BF1" s="8"/>
      <c r="BG1" s="8"/>
      <c r="BH1" s="8"/>
      <c r="BI1" s="8"/>
      <c r="BJ1" s="8"/>
      <c r="BK1" s="8"/>
      <c r="BL1" s="8"/>
      <c r="BM1" s="8"/>
      <c r="BN1" s="8"/>
      <c r="BO1" s="8"/>
    </row>
    <row r="2" spans="1:67">
      <c r="A2" s="8"/>
      <c r="B2" s="172" t="s">
        <v>42</v>
      </c>
      <c r="C2" s="172" t="s">
        <v>45</v>
      </c>
      <c r="D2" s="8" t="s">
        <v>42</v>
      </c>
      <c r="E2" s="8" t="s">
        <v>45</v>
      </c>
      <c r="F2" s="172" t="s">
        <v>42</v>
      </c>
      <c r="G2" s="172" t="s">
        <v>45</v>
      </c>
      <c r="H2" s="171" t="s">
        <v>42</v>
      </c>
      <c r="I2" s="171" t="s">
        <v>45</v>
      </c>
      <c r="J2" s="8" t="s">
        <v>42</v>
      </c>
      <c r="K2" s="8" t="s">
        <v>45</v>
      </c>
      <c r="L2" s="171" t="s">
        <v>42</v>
      </c>
      <c r="M2" s="171" t="s">
        <v>45</v>
      </c>
      <c r="N2" s="8" t="s">
        <v>42</v>
      </c>
      <c r="O2" s="8" t="s">
        <v>45</v>
      </c>
      <c r="P2" s="171" t="s">
        <v>42</v>
      </c>
      <c r="Q2" s="171" t="s">
        <v>45</v>
      </c>
      <c r="R2" s="8" t="s">
        <v>42</v>
      </c>
      <c r="S2" s="8" t="s">
        <v>45</v>
      </c>
      <c r="T2" s="171" t="s">
        <v>42</v>
      </c>
      <c r="U2" s="171" t="s">
        <v>45</v>
      </c>
      <c r="V2" s="8" t="s">
        <v>42</v>
      </c>
      <c r="W2" s="8" t="s">
        <v>45</v>
      </c>
      <c r="X2" s="171" t="s">
        <v>42</v>
      </c>
      <c r="Y2" s="171" t="s">
        <v>45</v>
      </c>
      <c r="Z2" s="8" t="s">
        <v>42</v>
      </c>
      <c r="AA2" s="8" t="s">
        <v>45</v>
      </c>
      <c r="AB2" s="171" t="s">
        <v>42</v>
      </c>
      <c r="AC2" s="171" t="s">
        <v>45</v>
      </c>
      <c r="AD2" s="8" t="s">
        <v>42</v>
      </c>
      <c r="AE2" s="8" t="s">
        <v>45</v>
      </c>
      <c r="AF2" s="171" t="s">
        <v>42</v>
      </c>
      <c r="AG2" s="171" t="s">
        <v>45</v>
      </c>
      <c r="AH2" s="8" t="s">
        <v>42</v>
      </c>
      <c r="AI2" s="8" t="s">
        <v>45</v>
      </c>
      <c r="AJ2" s="171" t="s">
        <v>42</v>
      </c>
      <c r="AK2" s="171" t="s">
        <v>45</v>
      </c>
      <c r="AL2" s="8" t="s">
        <v>42</v>
      </c>
      <c r="AM2" s="8" t="s">
        <v>45</v>
      </c>
      <c r="AN2" s="171" t="s">
        <v>42</v>
      </c>
      <c r="AO2" s="171" t="s">
        <v>45</v>
      </c>
      <c r="AP2" s="8" t="s">
        <v>42</v>
      </c>
      <c r="AQ2" s="8" t="s">
        <v>45</v>
      </c>
      <c r="AR2" s="171" t="s">
        <v>42</v>
      </c>
      <c r="AS2" s="171" t="s">
        <v>45</v>
      </c>
      <c r="AT2" s="8" t="s">
        <v>42</v>
      </c>
      <c r="AU2" s="8" t="s">
        <v>45</v>
      </c>
      <c r="AV2" s="171" t="s">
        <v>42</v>
      </c>
      <c r="AW2" s="171" t="s">
        <v>45</v>
      </c>
      <c r="AX2" s="8" t="s">
        <v>42</v>
      </c>
      <c r="AY2" s="8" t="s">
        <v>45</v>
      </c>
      <c r="AZ2" s="171" t="s">
        <v>42</v>
      </c>
      <c r="BA2" s="171" t="s">
        <v>45</v>
      </c>
      <c r="BB2" s="8" t="s">
        <v>42</v>
      </c>
      <c r="BC2" s="8" t="s">
        <v>45</v>
      </c>
      <c r="BD2" s="171" t="s">
        <v>42</v>
      </c>
      <c r="BE2" s="171" t="s">
        <v>45</v>
      </c>
      <c r="BF2" s="8" t="s">
        <v>42</v>
      </c>
      <c r="BG2" s="8" t="s">
        <v>45</v>
      </c>
      <c r="BH2" s="8" t="s">
        <v>42</v>
      </c>
      <c r="BI2" s="8" t="s">
        <v>45</v>
      </c>
      <c r="BJ2" s="8" t="s">
        <v>42</v>
      </c>
      <c r="BK2" s="8" t="s">
        <v>45</v>
      </c>
      <c r="BL2" s="8" t="s">
        <v>42</v>
      </c>
      <c r="BM2" s="8" t="s">
        <v>45</v>
      </c>
      <c r="BN2" s="8" t="s">
        <v>42</v>
      </c>
      <c r="BO2" s="8" t="s">
        <v>45</v>
      </c>
    </row>
    <row r="3" spans="1:67">
      <c r="A3" s="8">
        <v>1</v>
      </c>
      <c r="B3" s="172" t="s">
        <v>213</v>
      </c>
      <c r="C3" s="172">
        <v>19071001</v>
      </c>
      <c r="D3" s="8" t="s">
        <v>214</v>
      </c>
      <c r="E3" s="8">
        <v>19071006</v>
      </c>
      <c r="F3" s="172" t="s">
        <v>215</v>
      </c>
      <c r="G3" s="172">
        <v>19071002</v>
      </c>
      <c r="H3" s="171" t="s">
        <v>216</v>
      </c>
      <c r="I3" s="171">
        <v>19071003</v>
      </c>
      <c r="J3" s="8" t="s">
        <v>217</v>
      </c>
      <c r="K3" s="8">
        <v>19071004</v>
      </c>
      <c r="L3" s="171" t="s">
        <v>218</v>
      </c>
      <c r="M3" s="171">
        <v>19072131</v>
      </c>
      <c r="N3" s="8" t="s">
        <v>219</v>
      </c>
      <c r="O3" s="8">
        <v>19072140</v>
      </c>
      <c r="P3" s="171" t="s">
        <v>220</v>
      </c>
      <c r="Q3" s="171">
        <v>19072133</v>
      </c>
      <c r="R3" s="8" t="s">
        <v>221</v>
      </c>
      <c r="S3" s="8">
        <v>19072137</v>
      </c>
      <c r="T3" s="171" t="s">
        <v>222</v>
      </c>
      <c r="U3" s="171">
        <v>19072130</v>
      </c>
      <c r="V3" s="8" t="s">
        <v>223</v>
      </c>
      <c r="W3" s="8">
        <v>19072143</v>
      </c>
      <c r="X3" s="171" t="s">
        <v>224</v>
      </c>
      <c r="Y3" s="171">
        <v>19072136</v>
      </c>
      <c r="Z3" s="8" t="s">
        <v>225</v>
      </c>
      <c r="AA3" s="8">
        <v>18061001</v>
      </c>
      <c r="AB3" s="171" t="s">
        <v>226</v>
      </c>
      <c r="AC3" s="171">
        <v>18061002</v>
      </c>
      <c r="AD3" s="8" t="s">
        <v>227</v>
      </c>
      <c r="AE3" s="8">
        <v>18061017</v>
      </c>
      <c r="AF3" s="171" t="s">
        <v>228</v>
      </c>
      <c r="AG3" s="171">
        <v>18061012</v>
      </c>
      <c r="AH3" s="8" t="s">
        <v>229</v>
      </c>
      <c r="AI3" s="8">
        <v>18062122</v>
      </c>
      <c r="AJ3" s="171" t="s">
        <v>230</v>
      </c>
      <c r="AK3" s="171">
        <v>18062121</v>
      </c>
      <c r="AL3" s="8" t="s">
        <v>231</v>
      </c>
      <c r="AM3" s="8">
        <v>18062124</v>
      </c>
      <c r="AN3" s="171" t="s">
        <v>232</v>
      </c>
      <c r="AO3" s="171">
        <v>18062123</v>
      </c>
      <c r="AP3" s="8" t="s">
        <v>233</v>
      </c>
      <c r="AQ3" s="8">
        <v>18062127</v>
      </c>
      <c r="AR3" s="171" t="s">
        <v>234</v>
      </c>
      <c r="AS3" s="171">
        <v>1705006</v>
      </c>
      <c r="AT3" s="8" t="s">
        <v>235</v>
      </c>
      <c r="AU3" s="8">
        <v>1705002</v>
      </c>
      <c r="AV3" s="171" t="s">
        <v>236</v>
      </c>
      <c r="AW3" s="171">
        <v>1705008</v>
      </c>
      <c r="AX3" s="8" t="s">
        <v>237</v>
      </c>
      <c r="AY3" s="8">
        <v>1705009</v>
      </c>
      <c r="AZ3" s="171" t="s">
        <v>238</v>
      </c>
      <c r="BA3" s="171">
        <v>1705015</v>
      </c>
      <c r="BB3" s="8" t="s">
        <v>239</v>
      </c>
      <c r="BC3" s="8">
        <v>1705024</v>
      </c>
      <c r="BD3" s="171" t="s">
        <v>240</v>
      </c>
      <c r="BE3" s="171">
        <v>1705001</v>
      </c>
      <c r="BF3" s="8"/>
      <c r="BG3" s="8"/>
      <c r="BH3" s="8"/>
      <c r="BI3" s="8"/>
      <c r="BJ3" s="8"/>
      <c r="BK3" s="8"/>
      <c r="BL3" s="8"/>
      <c r="BM3" s="8"/>
      <c r="BN3" s="8"/>
      <c r="BO3" s="8"/>
    </row>
    <row r="4" spans="1:67">
      <c r="A4" s="8">
        <v>2</v>
      </c>
      <c r="B4" s="172" t="s">
        <v>241</v>
      </c>
      <c r="C4" s="172">
        <v>19071009</v>
      </c>
      <c r="D4" s="8" t="s">
        <v>242</v>
      </c>
      <c r="E4" s="8">
        <v>19071010</v>
      </c>
      <c r="F4" s="172" t="s">
        <v>243</v>
      </c>
      <c r="G4" s="172">
        <v>19071007</v>
      </c>
      <c r="H4" s="171" t="s">
        <v>244</v>
      </c>
      <c r="I4" s="171">
        <v>19071005</v>
      </c>
      <c r="J4" s="8" t="s">
        <v>245</v>
      </c>
      <c r="K4" s="8">
        <v>19071014</v>
      </c>
      <c r="L4" s="171" t="s">
        <v>246</v>
      </c>
      <c r="M4" s="171">
        <v>19072138</v>
      </c>
      <c r="N4" s="8" t="s">
        <v>247</v>
      </c>
      <c r="O4" s="8">
        <v>19072182</v>
      </c>
      <c r="P4" s="171" t="s">
        <v>248</v>
      </c>
      <c r="Q4" s="171">
        <v>19072134</v>
      </c>
      <c r="R4" s="8" t="s">
        <v>249</v>
      </c>
      <c r="S4" s="8">
        <v>19072139</v>
      </c>
      <c r="T4" s="171" t="s">
        <v>250</v>
      </c>
      <c r="U4" s="171">
        <v>19072132</v>
      </c>
      <c r="V4" s="8" t="s">
        <v>251</v>
      </c>
      <c r="W4" s="8">
        <v>19072167</v>
      </c>
      <c r="X4" s="171" t="s">
        <v>252</v>
      </c>
      <c r="Y4" s="171">
        <v>19072141</v>
      </c>
      <c r="Z4" s="8" t="s">
        <v>253</v>
      </c>
      <c r="AA4" s="8">
        <v>18061014</v>
      </c>
      <c r="AB4" s="171" t="s">
        <v>254</v>
      </c>
      <c r="AC4" s="171">
        <v>18061004</v>
      </c>
      <c r="AD4" s="8" t="s">
        <v>255</v>
      </c>
      <c r="AE4" s="8">
        <v>18061021</v>
      </c>
      <c r="AF4" s="171" t="s">
        <v>256</v>
      </c>
      <c r="AG4" s="171">
        <v>18061013</v>
      </c>
      <c r="AH4" s="8" t="s">
        <v>257</v>
      </c>
      <c r="AI4" s="8">
        <v>18062130</v>
      </c>
      <c r="AJ4" s="171" t="s">
        <v>258</v>
      </c>
      <c r="AK4" s="171">
        <v>18062132</v>
      </c>
      <c r="AL4" s="8" t="s">
        <v>259</v>
      </c>
      <c r="AM4" s="8">
        <v>18062126</v>
      </c>
      <c r="AN4" s="171" t="s">
        <v>260</v>
      </c>
      <c r="AO4" s="171">
        <v>18062128</v>
      </c>
      <c r="AP4" s="8" t="s">
        <v>261</v>
      </c>
      <c r="AQ4" s="8">
        <v>18062138</v>
      </c>
      <c r="AR4" s="171" t="s">
        <v>262</v>
      </c>
      <c r="AS4" s="171">
        <v>1705021</v>
      </c>
      <c r="AT4" s="8" t="s">
        <v>263</v>
      </c>
      <c r="AU4" s="8">
        <v>1705003</v>
      </c>
      <c r="AV4" s="171" t="s">
        <v>264</v>
      </c>
      <c r="AW4" s="171">
        <v>1705010</v>
      </c>
      <c r="AX4" s="8" t="s">
        <v>265</v>
      </c>
      <c r="AY4" s="8">
        <v>1705017</v>
      </c>
      <c r="AZ4" s="171" t="s">
        <v>266</v>
      </c>
      <c r="BA4" s="171">
        <v>1705018</v>
      </c>
      <c r="BB4" s="8" t="s">
        <v>267</v>
      </c>
      <c r="BC4" s="8">
        <v>1705031</v>
      </c>
      <c r="BD4" s="171" t="s">
        <v>268</v>
      </c>
      <c r="BE4" s="171">
        <v>1705007</v>
      </c>
      <c r="BF4" s="8"/>
      <c r="BG4" s="8"/>
      <c r="BH4" s="8"/>
      <c r="BI4" s="8"/>
      <c r="BJ4" s="8"/>
      <c r="BK4" s="8"/>
      <c r="BL4" s="8"/>
      <c r="BM4" s="8"/>
      <c r="BN4" s="8"/>
      <c r="BO4" s="8"/>
    </row>
    <row r="5" spans="1:67">
      <c r="A5" s="8">
        <v>3</v>
      </c>
      <c r="B5" s="172" t="s">
        <v>269</v>
      </c>
      <c r="C5" s="172">
        <v>19071011</v>
      </c>
      <c r="D5" s="8" t="s">
        <v>270</v>
      </c>
      <c r="E5" s="8">
        <v>19071015</v>
      </c>
      <c r="F5" s="172" t="s">
        <v>271</v>
      </c>
      <c r="G5" s="172">
        <v>19071008</v>
      </c>
      <c r="H5" s="171" t="s">
        <v>272</v>
      </c>
      <c r="I5" s="171">
        <v>19071017</v>
      </c>
      <c r="J5" s="8" t="s">
        <v>273</v>
      </c>
      <c r="K5" s="8">
        <v>19071021</v>
      </c>
      <c r="L5" s="171" t="s">
        <v>274</v>
      </c>
      <c r="M5" s="171">
        <v>19072144</v>
      </c>
      <c r="N5" s="8" t="s">
        <v>275</v>
      </c>
      <c r="O5" s="8">
        <v>19072193</v>
      </c>
      <c r="P5" s="171" t="s">
        <v>276</v>
      </c>
      <c r="Q5" s="171">
        <v>19072152</v>
      </c>
      <c r="R5" s="8" t="s">
        <v>277</v>
      </c>
      <c r="S5" s="8">
        <v>19072159</v>
      </c>
      <c r="T5" s="171" t="s">
        <v>278</v>
      </c>
      <c r="U5" s="171">
        <v>19072135</v>
      </c>
      <c r="V5" s="8" t="s">
        <v>279</v>
      </c>
      <c r="W5" s="8">
        <v>19072173</v>
      </c>
      <c r="X5" s="171" t="s">
        <v>280</v>
      </c>
      <c r="Y5" s="171">
        <v>19072142</v>
      </c>
      <c r="Z5" s="8" t="s">
        <v>281</v>
      </c>
      <c r="AA5" s="8">
        <v>18061023</v>
      </c>
      <c r="AB5" s="171" t="s">
        <v>282</v>
      </c>
      <c r="AC5" s="171">
        <v>18061005</v>
      </c>
      <c r="AD5" s="8" t="s">
        <v>283</v>
      </c>
      <c r="AE5" s="8">
        <v>18061024</v>
      </c>
      <c r="AF5" s="171" t="s">
        <v>284</v>
      </c>
      <c r="AG5" s="171">
        <v>18061016</v>
      </c>
      <c r="AH5" s="8" t="s">
        <v>285</v>
      </c>
      <c r="AI5" s="8">
        <v>18062143</v>
      </c>
      <c r="AJ5" s="171" t="s">
        <v>286</v>
      </c>
      <c r="AK5" s="171">
        <v>18062139</v>
      </c>
      <c r="AL5" s="8" t="s">
        <v>287</v>
      </c>
      <c r="AM5" s="8">
        <v>18062129</v>
      </c>
      <c r="AN5" s="171" t="s">
        <v>288</v>
      </c>
      <c r="AO5" s="171">
        <v>18062133</v>
      </c>
      <c r="AP5" s="8" t="s">
        <v>289</v>
      </c>
      <c r="AQ5" s="8">
        <v>18062141</v>
      </c>
      <c r="AR5" s="171" t="s">
        <v>290</v>
      </c>
      <c r="AS5" s="171">
        <v>1705028</v>
      </c>
      <c r="AT5" s="8" t="s">
        <v>291</v>
      </c>
      <c r="AU5" s="8">
        <v>1705005</v>
      </c>
      <c r="AV5" s="171" t="s">
        <v>292</v>
      </c>
      <c r="AW5" s="171">
        <v>1705011</v>
      </c>
      <c r="AX5" s="8" t="s">
        <v>293</v>
      </c>
      <c r="AY5" s="8">
        <v>1705022</v>
      </c>
      <c r="AZ5" s="171" t="s">
        <v>294</v>
      </c>
      <c r="BA5" s="171">
        <v>1705035</v>
      </c>
      <c r="BB5" s="8" t="s">
        <v>295</v>
      </c>
      <c r="BC5" s="8">
        <v>1705045</v>
      </c>
      <c r="BD5" s="171" t="s">
        <v>296</v>
      </c>
      <c r="BE5" s="171">
        <v>1705016</v>
      </c>
      <c r="BF5" s="8"/>
      <c r="BG5" s="8"/>
      <c r="BH5" s="8"/>
      <c r="BI5" s="8"/>
      <c r="BJ5" s="8"/>
      <c r="BK5" s="8"/>
      <c r="BL5" s="8"/>
      <c r="BM5" s="8"/>
      <c r="BN5" s="8"/>
      <c r="BO5" s="8"/>
    </row>
    <row r="6" spans="1:67">
      <c r="A6" s="8">
        <v>4</v>
      </c>
      <c r="B6" s="172" t="s">
        <v>297</v>
      </c>
      <c r="C6" s="172">
        <v>19071016</v>
      </c>
      <c r="D6" s="8" t="s">
        <v>298</v>
      </c>
      <c r="E6" s="8">
        <v>19071019</v>
      </c>
      <c r="F6" s="172" t="s">
        <v>299</v>
      </c>
      <c r="G6" s="172">
        <v>19071012</v>
      </c>
      <c r="H6" s="171" t="s">
        <v>300</v>
      </c>
      <c r="I6" s="171">
        <v>19071023</v>
      </c>
      <c r="J6" s="8" t="s">
        <v>301</v>
      </c>
      <c r="K6" s="8">
        <v>19071024</v>
      </c>
      <c r="L6" s="171" t="s">
        <v>302</v>
      </c>
      <c r="M6" s="171">
        <v>19072150</v>
      </c>
      <c r="N6" s="8" t="s">
        <v>303</v>
      </c>
      <c r="O6" s="8">
        <v>19072206</v>
      </c>
      <c r="P6" s="171" t="s">
        <v>304</v>
      </c>
      <c r="Q6" s="171">
        <v>19072158</v>
      </c>
      <c r="R6" s="8" t="s">
        <v>305</v>
      </c>
      <c r="S6" s="8">
        <v>19072164</v>
      </c>
      <c r="T6" s="171" t="s">
        <v>306</v>
      </c>
      <c r="U6" s="171">
        <v>19072148</v>
      </c>
      <c r="V6" s="8" t="s">
        <v>307</v>
      </c>
      <c r="W6" s="8">
        <v>19072184</v>
      </c>
      <c r="X6" s="171" t="s">
        <v>308</v>
      </c>
      <c r="Y6" s="171">
        <v>19072145</v>
      </c>
      <c r="Z6" s="8" t="s">
        <v>309</v>
      </c>
      <c r="AA6" s="8">
        <v>18061028</v>
      </c>
      <c r="AB6" s="171" t="s">
        <v>310</v>
      </c>
      <c r="AC6" s="171">
        <v>18061006</v>
      </c>
      <c r="AD6" s="8" t="s">
        <v>311</v>
      </c>
      <c r="AE6" s="8">
        <v>18061027</v>
      </c>
      <c r="AF6" s="171" t="s">
        <v>312</v>
      </c>
      <c r="AG6" s="171">
        <v>18061019</v>
      </c>
      <c r="AH6" s="8" t="s">
        <v>313</v>
      </c>
      <c r="AI6" s="8">
        <v>18062147</v>
      </c>
      <c r="AJ6" s="171" t="s">
        <v>314</v>
      </c>
      <c r="AK6" s="171">
        <v>18062144</v>
      </c>
      <c r="AL6" s="8" t="s">
        <v>315</v>
      </c>
      <c r="AM6" s="8">
        <v>18062131</v>
      </c>
      <c r="AN6" s="171" t="s">
        <v>316</v>
      </c>
      <c r="AO6" s="171">
        <v>18062136</v>
      </c>
      <c r="AP6" s="8" t="s">
        <v>317</v>
      </c>
      <c r="AQ6" s="8">
        <v>18062142</v>
      </c>
      <c r="AR6" s="171" t="s">
        <v>318</v>
      </c>
      <c r="AS6" s="171">
        <v>1705052</v>
      </c>
      <c r="AT6" s="8" t="s">
        <v>157</v>
      </c>
      <c r="AU6" s="8">
        <v>1705019</v>
      </c>
      <c r="AV6" s="171" t="s">
        <v>155</v>
      </c>
      <c r="AW6" s="171">
        <v>1705012</v>
      </c>
      <c r="AX6" s="8" t="s">
        <v>319</v>
      </c>
      <c r="AY6" s="8">
        <v>1705025</v>
      </c>
      <c r="AZ6" s="171" t="s">
        <v>320</v>
      </c>
      <c r="BA6" s="171">
        <v>1705038</v>
      </c>
      <c r="BB6" s="8" t="s">
        <v>321</v>
      </c>
      <c r="BC6" s="8">
        <v>1705050</v>
      </c>
      <c r="BD6" s="171" t="s">
        <v>322</v>
      </c>
      <c r="BE6" s="171">
        <v>1705023</v>
      </c>
      <c r="BF6" s="8"/>
      <c r="BG6" s="8"/>
      <c r="BH6" s="8"/>
      <c r="BI6" s="8"/>
      <c r="BJ6" s="8"/>
      <c r="BK6" s="8"/>
      <c r="BL6" s="8"/>
      <c r="BM6" s="8"/>
      <c r="BN6" s="8"/>
      <c r="BO6" s="8"/>
    </row>
    <row r="7" spans="1:67">
      <c r="A7" s="8">
        <v>5</v>
      </c>
      <c r="B7" s="172" t="s">
        <v>323</v>
      </c>
      <c r="C7" s="172">
        <v>19071038</v>
      </c>
      <c r="D7" s="8" t="s">
        <v>324</v>
      </c>
      <c r="E7" s="8">
        <v>19071030</v>
      </c>
      <c r="F7" s="172" t="s">
        <v>325</v>
      </c>
      <c r="G7" s="172">
        <v>19071013</v>
      </c>
      <c r="H7" s="171" t="s">
        <v>326</v>
      </c>
      <c r="I7" s="171">
        <v>19071026</v>
      </c>
      <c r="J7" s="8" t="s">
        <v>327</v>
      </c>
      <c r="K7" s="8">
        <v>19071028</v>
      </c>
      <c r="L7" s="171" t="s">
        <v>328</v>
      </c>
      <c r="M7" s="171">
        <v>19072155</v>
      </c>
      <c r="N7" s="8" t="s">
        <v>329</v>
      </c>
      <c r="O7" s="8">
        <v>19072209</v>
      </c>
      <c r="P7" s="171" t="s">
        <v>330</v>
      </c>
      <c r="Q7" s="171">
        <v>19072163</v>
      </c>
      <c r="R7" s="8" t="s">
        <v>331</v>
      </c>
      <c r="S7" s="8">
        <v>19072165</v>
      </c>
      <c r="T7" s="171" t="s">
        <v>332</v>
      </c>
      <c r="U7" s="171">
        <v>19072151</v>
      </c>
      <c r="V7" s="8" t="s">
        <v>333</v>
      </c>
      <c r="W7" s="8">
        <v>19072191</v>
      </c>
      <c r="X7" s="171" t="s">
        <v>334</v>
      </c>
      <c r="Y7" s="171">
        <v>19072146</v>
      </c>
      <c r="Z7" s="8" t="s">
        <v>335</v>
      </c>
      <c r="AA7" s="8">
        <v>18061033</v>
      </c>
      <c r="AB7" s="171" t="s">
        <v>336</v>
      </c>
      <c r="AC7" s="171">
        <v>18061007</v>
      </c>
      <c r="AD7" s="8" t="s">
        <v>337</v>
      </c>
      <c r="AE7" s="8">
        <v>18061035</v>
      </c>
      <c r="AF7" s="171" t="s">
        <v>338</v>
      </c>
      <c r="AG7" s="171">
        <v>18061020</v>
      </c>
      <c r="AH7" s="8" t="s">
        <v>339</v>
      </c>
      <c r="AI7" s="8">
        <v>18062148</v>
      </c>
      <c r="AJ7" s="171" t="s">
        <v>340</v>
      </c>
      <c r="AK7" s="171">
        <v>18062146</v>
      </c>
      <c r="AL7" s="8" t="s">
        <v>341</v>
      </c>
      <c r="AM7" s="8">
        <v>18062134</v>
      </c>
      <c r="AN7" s="171" t="s">
        <v>342</v>
      </c>
      <c r="AO7" s="171">
        <v>18062137</v>
      </c>
      <c r="AP7" s="8" t="s">
        <v>343</v>
      </c>
      <c r="AQ7" s="8">
        <v>18062155</v>
      </c>
      <c r="AR7" s="171" t="s">
        <v>161</v>
      </c>
      <c r="AS7" s="171">
        <v>1705070</v>
      </c>
      <c r="AT7" s="8" t="s">
        <v>344</v>
      </c>
      <c r="AU7" s="8">
        <v>1705030</v>
      </c>
      <c r="AV7" s="171" t="s">
        <v>345</v>
      </c>
      <c r="AW7" s="171">
        <v>1705013</v>
      </c>
      <c r="AX7" s="8" t="s">
        <v>346</v>
      </c>
      <c r="AY7" s="8">
        <v>1705026</v>
      </c>
      <c r="AZ7" s="171" t="s">
        <v>347</v>
      </c>
      <c r="BA7" s="171">
        <v>1705041</v>
      </c>
      <c r="BB7" s="8" t="s">
        <v>348</v>
      </c>
      <c r="BC7" s="8">
        <v>1705054</v>
      </c>
      <c r="BD7" s="171" t="s">
        <v>349</v>
      </c>
      <c r="BE7" s="171">
        <v>1705037</v>
      </c>
      <c r="BF7" s="8"/>
      <c r="BG7" s="8"/>
      <c r="BH7" s="8"/>
      <c r="BI7" s="8"/>
      <c r="BJ7" s="8"/>
      <c r="BK7" s="8"/>
      <c r="BL7" s="8"/>
      <c r="BM7" s="8"/>
      <c r="BN7" s="8"/>
      <c r="BO7" s="8"/>
    </row>
    <row r="8" spans="1:67">
      <c r="A8" s="8">
        <v>6</v>
      </c>
      <c r="B8" s="172" t="s">
        <v>350</v>
      </c>
      <c r="C8" s="172">
        <v>19071039</v>
      </c>
      <c r="D8" s="8" t="s">
        <v>351</v>
      </c>
      <c r="E8" s="8">
        <v>19071032</v>
      </c>
      <c r="F8" s="172" t="s">
        <v>352</v>
      </c>
      <c r="G8" s="172">
        <v>19071018</v>
      </c>
      <c r="H8" s="171" t="s">
        <v>353</v>
      </c>
      <c r="I8" s="171">
        <v>19071029</v>
      </c>
      <c r="J8" s="8" t="s">
        <v>354</v>
      </c>
      <c r="K8" s="8">
        <v>19071031</v>
      </c>
      <c r="L8" s="171" t="s">
        <v>355</v>
      </c>
      <c r="M8" s="171">
        <v>19072160</v>
      </c>
      <c r="N8" s="8" t="s">
        <v>356</v>
      </c>
      <c r="O8" s="8">
        <v>19072210</v>
      </c>
      <c r="P8" s="171" t="s">
        <v>357</v>
      </c>
      <c r="Q8" s="171">
        <v>19072166</v>
      </c>
      <c r="R8" s="8" t="s">
        <v>358</v>
      </c>
      <c r="S8" s="8">
        <v>19072177</v>
      </c>
      <c r="T8" s="171" t="s">
        <v>359</v>
      </c>
      <c r="U8" s="171">
        <v>19072153</v>
      </c>
      <c r="V8" s="8" t="s">
        <v>360</v>
      </c>
      <c r="W8" s="8">
        <v>19072195</v>
      </c>
      <c r="X8" s="171" t="s">
        <v>361</v>
      </c>
      <c r="Y8" s="171">
        <v>19072147</v>
      </c>
      <c r="Z8" s="8" t="s">
        <v>362</v>
      </c>
      <c r="AA8" s="8">
        <v>18061037</v>
      </c>
      <c r="AB8" s="171" t="s">
        <v>363</v>
      </c>
      <c r="AC8" s="171">
        <v>18061008</v>
      </c>
      <c r="AD8" s="8" t="s">
        <v>364</v>
      </c>
      <c r="AE8" s="8">
        <v>18061041</v>
      </c>
      <c r="AF8" s="171" t="s">
        <v>365</v>
      </c>
      <c r="AG8" s="171">
        <v>18061022</v>
      </c>
      <c r="AH8" s="8" t="s">
        <v>366</v>
      </c>
      <c r="AI8" s="8">
        <v>18062154</v>
      </c>
      <c r="AJ8" s="171" t="s">
        <v>367</v>
      </c>
      <c r="AK8" s="171">
        <v>18062156</v>
      </c>
      <c r="AL8" s="8" t="s">
        <v>368</v>
      </c>
      <c r="AM8" s="8">
        <v>18062135</v>
      </c>
      <c r="AN8" s="171" t="s">
        <v>369</v>
      </c>
      <c r="AO8" s="171">
        <v>18062140</v>
      </c>
      <c r="AP8" s="8" t="s">
        <v>370</v>
      </c>
      <c r="AQ8" s="8">
        <v>18062157</v>
      </c>
      <c r="AR8" s="171" t="s">
        <v>371</v>
      </c>
      <c r="AS8" s="171">
        <v>1705207</v>
      </c>
      <c r="AT8" s="8" t="s">
        <v>372</v>
      </c>
      <c r="AU8" s="8">
        <v>1705040</v>
      </c>
      <c r="AV8" s="171" t="s">
        <v>156</v>
      </c>
      <c r="AW8" s="171">
        <v>1705014</v>
      </c>
      <c r="AX8" s="8" t="s">
        <v>373</v>
      </c>
      <c r="AY8" s="8">
        <v>1705032</v>
      </c>
      <c r="AZ8" s="171" t="s">
        <v>374</v>
      </c>
      <c r="BA8" s="171">
        <v>1705042</v>
      </c>
      <c r="BB8" s="8" t="s">
        <v>375</v>
      </c>
      <c r="BC8" s="8">
        <v>1705055</v>
      </c>
      <c r="BD8" s="171" t="s">
        <v>376</v>
      </c>
      <c r="BE8" s="171">
        <v>1705044</v>
      </c>
      <c r="BF8" s="8"/>
      <c r="BG8" s="8"/>
      <c r="BH8" s="8"/>
      <c r="BI8" s="8"/>
      <c r="BJ8" s="8"/>
      <c r="BK8" s="8"/>
      <c r="BL8" s="8"/>
      <c r="BM8" s="8"/>
      <c r="BN8" s="8"/>
      <c r="BO8" s="8"/>
    </row>
    <row r="9" spans="1:67">
      <c r="A9" s="8">
        <v>7</v>
      </c>
      <c r="B9" s="172" t="s">
        <v>377</v>
      </c>
      <c r="C9" s="172">
        <v>19071041</v>
      </c>
      <c r="D9" s="8" t="s">
        <v>378</v>
      </c>
      <c r="E9" s="8">
        <v>19071045</v>
      </c>
      <c r="F9" s="172" t="s">
        <v>379</v>
      </c>
      <c r="G9" s="172">
        <v>19071020</v>
      </c>
      <c r="H9" s="171" t="s">
        <v>380</v>
      </c>
      <c r="I9" s="171">
        <v>19071033</v>
      </c>
      <c r="J9" s="8" t="s">
        <v>381</v>
      </c>
      <c r="K9" s="8">
        <v>19071035</v>
      </c>
      <c r="L9" s="171" t="s">
        <v>382</v>
      </c>
      <c r="M9" s="171">
        <v>19072170</v>
      </c>
      <c r="N9" s="8" t="s">
        <v>383</v>
      </c>
      <c r="O9" s="8">
        <v>19072223</v>
      </c>
      <c r="P9" s="171" t="s">
        <v>384</v>
      </c>
      <c r="Q9" s="171">
        <v>19072168</v>
      </c>
      <c r="R9" s="8" t="s">
        <v>385</v>
      </c>
      <c r="S9" s="8">
        <v>19072181</v>
      </c>
      <c r="T9" s="171" t="s">
        <v>386</v>
      </c>
      <c r="U9" s="171">
        <v>19072154</v>
      </c>
      <c r="V9" s="8" t="s">
        <v>387</v>
      </c>
      <c r="W9" s="8">
        <v>19072197</v>
      </c>
      <c r="X9" s="171" t="s">
        <v>388</v>
      </c>
      <c r="Y9" s="171">
        <v>19072149</v>
      </c>
      <c r="Z9" s="8" t="s">
        <v>389</v>
      </c>
      <c r="AA9" s="8">
        <v>18061038</v>
      </c>
      <c r="AB9" s="171" t="s">
        <v>390</v>
      </c>
      <c r="AC9" s="171">
        <v>18061010</v>
      </c>
      <c r="AD9" s="8" t="s">
        <v>391</v>
      </c>
      <c r="AE9" s="8">
        <v>18061054</v>
      </c>
      <c r="AF9" s="171" t="s">
        <v>392</v>
      </c>
      <c r="AG9" s="171">
        <v>18061025</v>
      </c>
      <c r="AH9" s="8" t="s">
        <v>393</v>
      </c>
      <c r="AI9" s="8">
        <v>18062164</v>
      </c>
      <c r="AJ9" s="171" t="s">
        <v>394</v>
      </c>
      <c r="AK9" s="171">
        <v>18062158</v>
      </c>
      <c r="AL9" s="8" t="s">
        <v>395</v>
      </c>
      <c r="AM9" s="8">
        <v>18062145</v>
      </c>
      <c r="AN9" s="171" t="s">
        <v>396</v>
      </c>
      <c r="AO9" s="171">
        <v>18062151</v>
      </c>
      <c r="AP9" s="8" t="s">
        <v>397</v>
      </c>
      <c r="AQ9" s="8">
        <v>18062162</v>
      </c>
      <c r="AR9" s="171" t="s">
        <v>398</v>
      </c>
      <c r="AS9" s="171">
        <v>1705076</v>
      </c>
      <c r="AT9" s="8" t="s">
        <v>399</v>
      </c>
      <c r="AU9" s="8">
        <v>1705060</v>
      </c>
      <c r="AV9" s="171" t="s">
        <v>400</v>
      </c>
      <c r="AW9" s="171">
        <v>1705020</v>
      </c>
      <c r="AX9" s="8" t="s">
        <v>401</v>
      </c>
      <c r="AY9" s="8">
        <v>1705033</v>
      </c>
      <c r="AZ9" s="171" t="s">
        <v>402</v>
      </c>
      <c r="BA9" s="171">
        <v>1705043</v>
      </c>
      <c r="BB9" s="8" t="s">
        <v>403</v>
      </c>
      <c r="BC9" s="8">
        <v>1705072</v>
      </c>
      <c r="BD9" s="171" t="s">
        <v>404</v>
      </c>
      <c r="BE9" s="171">
        <v>1705049</v>
      </c>
      <c r="BF9" s="8"/>
      <c r="BG9" s="8"/>
      <c r="BH9" s="8"/>
      <c r="BI9" s="8"/>
      <c r="BJ9" s="8"/>
      <c r="BK9" s="8"/>
      <c r="BL9" s="8"/>
      <c r="BM9" s="8"/>
      <c r="BN9" s="8"/>
      <c r="BO9" s="8"/>
    </row>
    <row r="10" spans="1:67">
      <c r="A10" s="8">
        <v>8</v>
      </c>
      <c r="B10" s="172" t="s">
        <v>405</v>
      </c>
      <c r="C10" s="172">
        <v>19071057</v>
      </c>
      <c r="D10" s="8" t="s">
        <v>406</v>
      </c>
      <c r="E10" s="8">
        <v>19071046</v>
      </c>
      <c r="F10" s="172" t="s">
        <v>407</v>
      </c>
      <c r="G10" s="172">
        <v>19071022</v>
      </c>
      <c r="H10" s="171" t="s">
        <v>408</v>
      </c>
      <c r="I10" s="171">
        <v>19071037</v>
      </c>
      <c r="J10" s="8" t="s">
        <v>409</v>
      </c>
      <c r="K10" s="8">
        <v>19071040</v>
      </c>
      <c r="L10" s="171" t="s">
        <v>410</v>
      </c>
      <c r="M10" s="171">
        <v>19072172</v>
      </c>
      <c r="N10" s="8" t="s">
        <v>411</v>
      </c>
      <c r="O10" s="8">
        <v>19072226</v>
      </c>
      <c r="P10" s="171" t="s">
        <v>412</v>
      </c>
      <c r="Q10" s="171">
        <v>19072183</v>
      </c>
      <c r="R10" s="8" t="s">
        <v>413</v>
      </c>
      <c r="S10" s="8">
        <v>19072186</v>
      </c>
      <c r="T10" s="171" t="s">
        <v>414</v>
      </c>
      <c r="U10" s="171">
        <v>19072156</v>
      </c>
      <c r="V10" s="8" t="s">
        <v>415</v>
      </c>
      <c r="W10" s="8">
        <v>19072204</v>
      </c>
      <c r="X10" s="171" t="s">
        <v>416</v>
      </c>
      <c r="Y10" s="171">
        <v>19072157</v>
      </c>
      <c r="Z10" s="8" t="s">
        <v>417</v>
      </c>
      <c r="AA10" s="8">
        <v>18061039</v>
      </c>
      <c r="AB10" s="171" t="s">
        <v>418</v>
      </c>
      <c r="AC10" s="171">
        <v>18061015</v>
      </c>
      <c r="AD10" s="8" t="s">
        <v>419</v>
      </c>
      <c r="AE10" s="8">
        <v>18061057</v>
      </c>
      <c r="AF10" s="171" t="s">
        <v>420</v>
      </c>
      <c r="AG10" s="171">
        <v>18061036</v>
      </c>
      <c r="AH10" s="8" t="s">
        <v>421</v>
      </c>
      <c r="AI10" s="8">
        <v>18062170</v>
      </c>
      <c r="AJ10" s="171" t="s">
        <v>422</v>
      </c>
      <c r="AK10" s="171">
        <v>18062160</v>
      </c>
      <c r="AL10" s="8" t="s">
        <v>423</v>
      </c>
      <c r="AM10" s="8">
        <v>18062149</v>
      </c>
      <c r="AN10" s="171" t="s">
        <v>424</v>
      </c>
      <c r="AO10" s="171">
        <v>18062153</v>
      </c>
      <c r="AP10" s="8" t="s">
        <v>425</v>
      </c>
      <c r="AQ10" s="8">
        <v>18062169</v>
      </c>
      <c r="AR10" s="171" t="s">
        <v>163</v>
      </c>
      <c r="AS10" s="171">
        <v>1705080</v>
      </c>
      <c r="AT10" s="8" t="s">
        <v>159</v>
      </c>
      <c r="AU10" s="8">
        <v>1705064</v>
      </c>
      <c r="AV10" s="171" t="s">
        <v>426</v>
      </c>
      <c r="AW10" s="171">
        <v>1705057</v>
      </c>
      <c r="AX10" s="8" t="s">
        <v>427</v>
      </c>
      <c r="AY10" s="8">
        <v>1705034</v>
      </c>
      <c r="AZ10" s="171" t="s">
        <v>428</v>
      </c>
      <c r="BA10" s="171">
        <v>1705051</v>
      </c>
      <c r="BB10" s="8" t="s">
        <v>429</v>
      </c>
      <c r="BC10" s="8">
        <v>1705074</v>
      </c>
      <c r="BD10" s="171" t="s">
        <v>430</v>
      </c>
      <c r="BE10" s="171">
        <v>1705053</v>
      </c>
      <c r="BF10" s="8"/>
      <c r="BG10" s="8"/>
      <c r="BH10" s="8"/>
      <c r="BI10" s="8"/>
      <c r="BJ10" s="8"/>
      <c r="BK10" s="8"/>
      <c r="BL10" s="8"/>
      <c r="BM10" s="8"/>
      <c r="BN10" s="8"/>
      <c r="BO10" s="8"/>
    </row>
    <row r="11" spans="1:67">
      <c r="A11" s="8">
        <v>9</v>
      </c>
      <c r="B11" s="172" t="s">
        <v>431</v>
      </c>
      <c r="C11" s="172">
        <v>19071061</v>
      </c>
      <c r="D11" s="8" t="s">
        <v>432</v>
      </c>
      <c r="E11" s="8">
        <v>19071055</v>
      </c>
      <c r="F11" s="172" t="s">
        <v>433</v>
      </c>
      <c r="G11" s="172">
        <v>19071025</v>
      </c>
      <c r="H11" s="171" t="s">
        <v>434</v>
      </c>
      <c r="I11" s="171">
        <v>19071042</v>
      </c>
      <c r="J11" s="8" t="s">
        <v>435</v>
      </c>
      <c r="K11" s="8">
        <v>19071044</v>
      </c>
      <c r="L11" s="171" t="s">
        <v>436</v>
      </c>
      <c r="M11" s="171">
        <v>19072176</v>
      </c>
      <c r="N11" s="8" t="s">
        <v>437</v>
      </c>
      <c r="O11" s="8">
        <v>19072232</v>
      </c>
      <c r="P11" s="171" t="s">
        <v>438</v>
      </c>
      <c r="Q11" s="171">
        <v>19072185</v>
      </c>
      <c r="R11" s="8" t="s">
        <v>439</v>
      </c>
      <c r="S11" s="8">
        <v>19072202</v>
      </c>
      <c r="T11" s="171" t="s">
        <v>440</v>
      </c>
      <c r="U11" s="171">
        <v>19072161</v>
      </c>
      <c r="V11" s="8" t="s">
        <v>441</v>
      </c>
      <c r="W11" s="8">
        <v>19072228</v>
      </c>
      <c r="X11" s="171" t="s">
        <v>442</v>
      </c>
      <c r="Y11" s="171">
        <v>19072162</v>
      </c>
      <c r="Z11" s="8" t="s">
        <v>443</v>
      </c>
      <c r="AA11" s="8">
        <v>18061040</v>
      </c>
      <c r="AB11" s="171" t="s">
        <v>444</v>
      </c>
      <c r="AC11" s="171">
        <v>18061026</v>
      </c>
      <c r="AD11" s="8" t="s">
        <v>445</v>
      </c>
      <c r="AE11" s="8">
        <v>18061059</v>
      </c>
      <c r="AF11" s="171" t="s">
        <v>446</v>
      </c>
      <c r="AG11" s="171">
        <v>18061048</v>
      </c>
      <c r="AH11" s="8" t="s">
        <v>447</v>
      </c>
      <c r="AI11" s="8">
        <v>18062178</v>
      </c>
      <c r="AJ11" s="171" t="s">
        <v>448</v>
      </c>
      <c r="AK11" s="171">
        <v>18062163</v>
      </c>
      <c r="AL11" s="8" t="s">
        <v>449</v>
      </c>
      <c r="AM11" s="8">
        <v>18062152</v>
      </c>
      <c r="AN11" s="171" t="s">
        <v>450</v>
      </c>
      <c r="AO11" s="171">
        <v>18062159</v>
      </c>
      <c r="AP11" s="8" t="s">
        <v>451</v>
      </c>
      <c r="AQ11" s="8">
        <v>18062179</v>
      </c>
      <c r="AR11" s="171" t="s">
        <v>165</v>
      </c>
      <c r="AS11" s="171">
        <v>1705085</v>
      </c>
      <c r="AT11" s="8" t="s">
        <v>162</v>
      </c>
      <c r="AU11" s="8">
        <v>1705075</v>
      </c>
      <c r="AV11" s="171" t="s">
        <v>158</v>
      </c>
      <c r="AW11" s="171">
        <v>1705059</v>
      </c>
      <c r="AX11" s="8" t="s">
        <v>452</v>
      </c>
      <c r="AY11" s="8">
        <v>1705039</v>
      </c>
      <c r="AZ11" s="171" t="s">
        <v>453</v>
      </c>
      <c r="BA11" s="171">
        <v>1705056</v>
      </c>
      <c r="BB11" s="8" t="s">
        <v>454</v>
      </c>
      <c r="BC11" s="8">
        <v>1705094</v>
      </c>
      <c r="BD11" s="171" t="s">
        <v>455</v>
      </c>
      <c r="BE11" s="171">
        <v>1705066</v>
      </c>
      <c r="BF11" s="8"/>
      <c r="BG11" s="8"/>
      <c r="BH11" s="8"/>
      <c r="BI11" s="8"/>
      <c r="BJ11" s="8"/>
      <c r="BK11" s="8"/>
      <c r="BL11" s="8"/>
      <c r="BM11" s="8"/>
      <c r="BN11" s="8"/>
      <c r="BO11" s="8"/>
    </row>
    <row r="12" spans="1:67">
      <c r="A12" s="8">
        <v>10</v>
      </c>
      <c r="B12" s="172" t="s">
        <v>456</v>
      </c>
      <c r="C12" s="172">
        <v>19071062</v>
      </c>
      <c r="D12" s="8" t="s">
        <v>457</v>
      </c>
      <c r="E12" s="8">
        <v>19071056</v>
      </c>
      <c r="F12" s="172" t="s">
        <v>458</v>
      </c>
      <c r="G12" s="172">
        <v>19071027</v>
      </c>
      <c r="H12" s="171" t="s">
        <v>459</v>
      </c>
      <c r="I12" s="171">
        <v>19071052</v>
      </c>
      <c r="J12" s="8" t="s">
        <v>460</v>
      </c>
      <c r="K12" s="8">
        <v>19071048</v>
      </c>
      <c r="L12" s="171" t="s">
        <v>461</v>
      </c>
      <c r="M12" s="171">
        <v>19072180</v>
      </c>
      <c r="N12" s="8" t="s">
        <v>462</v>
      </c>
      <c r="O12" s="8">
        <v>19072235</v>
      </c>
      <c r="P12" s="171" t="s">
        <v>463</v>
      </c>
      <c r="Q12" s="171">
        <v>19072190</v>
      </c>
      <c r="R12" s="8" t="s">
        <v>464</v>
      </c>
      <c r="S12" s="8">
        <v>19072216</v>
      </c>
      <c r="T12" s="171" t="s">
        <v>465</v>
      </c>
      <c r="U12" s="171">
        <v>19072169</v>
      </c>
      <c r="V12" s="8" t="s">
        <v>466</v>
      </c>
      <c r="W12" s="8">
        <v>19072229</v>
      </c>
      <c r="X12" s="171" t="s">
        <v>467</v>
      </c>
      <c r="Y12" s="171">
        <v>19072171</v>
      </c>
      <c r="Z12" s="8" t="s">
        <v>468</v>
      </c>
      <c r="AA12" s="8">
        <v>18061045</v>
      </c>
      <c r="AB12" s="171" t="s">
        <v>469</v>
      </c>
      <c r="AC12" s="171">
        <v>18061029</v>
      </c>
      <c r="AD12" s="8" t="s">
        <v>470</v>
      </c>
      <c r="AE12" s="8">
        <v>18061065</v>
      </c>
      <c r="AF12" s="171" t="s">
        <v>471</v>
      </c>
      <c r="AG12" s="171">
        <v>18061056</v>
      </c>
      <c r="AH12" s="8" t="s">
        <v>472</v>
      </c>
      <c r="AI12" s="8">
        <v>18062187</v>
      </c>
      <c r="AJ12" s="171" t="s">
        <v>473</v>
      </c>
      <c r="AK12" s="171">
        <v>18062167</v>
      </c>
      <c r="AL12" s="8" t="s">
        <v>474</v>
      </c>
      <c r="AM12" s="8">
        <v>18062161</v>
      </c>
      <c r="AN12" s="171" t="s">
        <v>475</v>
      </c>
      <c r="AO12" s="171">
        <v>18062174</v>
      </c>
      <c r="AP12" s="8" t="s">
        <v>476</v>
      </c>
      <c r="AQ12" s="8">
        <v>18062279</v>
      </c>
      <c r="AR12" s="171" t="s">
        <v>477</v>
      </c>
      <c r="AS12" s="171">
        <v>1705099</v>
      </c>
      <c r="AT12" s="8" t="s">
        <v>478</v>
      </c>
      <c r="AU12" s="8">
        <v>1705091</v>
      </c>
      <c r="AV12" s="171" t="s">
        <v>160</v>
      </c>
      <c r="AW12" s="171">
        <v>1705069</v>
      </c>
      <c r="AX12" s="8" t="s">
        <v>479</v>
      </c>
      <c r="AY12" s="8">
        <v>1705048</v>
      </c>
      <c r="AZ12" s="171" t="s">
        <v>480</v>
      </c>
      <c r="BA12" s="171">
        <v>1705062</v>
      </c>
      <c r="BB12" s="8" t="s">
        <v>481</v>
      </c>
      <c r="BC12" s="8">
        <v>1705105</v>
      </c>
      <c r="BD12" s="171" t="s">
        <v>482</v>
      </c>
      <c r="BE12" s="171">
        <v>1705077</v>
      </c>
      <c r="BF12" s="8"/>
      <c r="BG12" s="8"/>
      <c r="BH12" s="8"/>
      <c r="BI12" s="8"/>
      <c r="BJ12" s="8"/>
      <c r="BK12" s="8"/>
      <c r="BL12" s="8"/>
      <c r="BM12" s="8"/>
      <c r="BN12" s="8"/>
      <c r="BO12" s="8"/>
    </row>
    <row r="13" spans="1:67">
      <c r="A13" s="8">
        <v>11</v>
      </c>
      <c r="B13" s="172" t="s">
        <v>483</v>
      </c>
      <c r="C13" s="172">
        <v>19071066</v>
      </c>
      <c r="D13" s="8" t="s">
        <v>484</v>
      </c>
      <c r="E13" s="8">
        <v>19071058</v>
      </c>
      <c r="F13" s="172" t="s">
        <v>485</v>
      </c>
      <c r="G13" s="172">
        <v>19071034</v>
      </c>
      <c r="H13" s="171" t="s">
        <v>486</v>
      </c>
      <c r="I13" s="171">
        <v>19071059</v>
      </c>
      <c r="J13" s="8" t="s">
        <v>487</v>
      </c>
      <c r="K13" s="8">
        <v>19071051</v>
      </c>
      <c r="L13" s="171" t="s">
        <v>488</v>
      </c>
      <c r="M13" s="171">
        <v>19072187</v>
      </c>
      <c r="N13" s="8" t="s">
        <v>489</v>
      </c>
      <c r="O13" s="8">
        <v>19072244</v>
      </c>
      <c r="P13" s="171" t="s">
        <v>490</v>
      </c>
      <c r="Q13" s="171">
        <v>19072192</v>
      </c>
      <c r="R13" s="8" t="s">
        <v>491</v>
      </c>
      <c r="S13" s="8">
        <v>19072217</v>
      </c>
      <c r="T13" s="171" t="s">
        <v>492</v>
      </c>
      <c r="U13" s="171">
        <v>19072318</v>
      </c>
      <c r="V13" s="8" t="s">
        <v>493</v>
      </c>
      <c r="W13" s="8">
        <v>19072233</v>
      </c>
      <c r="X13" s="171" t="s">
        <v>494</v>
      </c>
      <c r="Y13" s="171">
        <v>19072175</v>
      </c>
      <c r="Z13" s="8" t="s">
        <v>495</v>
      </c>
      <c r="AA13" s="8">
        <v>18061050</v>
      </c>
      <c r="AB13" s="171" t="s">
        <v>496</v>
      </c>
      <c r="AC13" s="171">
        <v>18061031</v>
      </c>
      <c r="AD13" s="8" t="s">
        <v>497</v>
      </c>
      <c r="AE13" s="8">
        <v>18061069</v>
      </c>
      <c r="AF13" s="171" t="s">
        <v>498</v>
      </c>
      <c r="AG13" s="171">
        <v>18061058</v>
      </c>
      <c r="AH13" s="8" t="s">
        <v>499</v>
      </c>
      <c r="AI13" s="8">
        <v>18062189</v>
      </c>
      <c r="AJ13" s="171" t="s">
        <v>500</v>
      </c>
      <c r="AK13" s="171">
        <v>18062171</v>
      </c>
      <c r="AL13" s="8" t="s">
        <v>501</v>
      </c>
      <c r="AM13" s="8">
        <v>18062165</v>
      </c>
      <c r="AN13" s="171" t="s">
        <v>502</v>
      </c>
      <c r="AO13" s="171">
        <v>18062183</v>
      </c>
      <c r="AP13" s="8" t="s">
        <v>503</v>
      </c>
      <c r="AQ13" s="8">
        <v>18062182</v>
      </c>
      <c r="AR13" s="171" t="s">
        <v>504</v>
      </c>
      <c r="AS13" s="171">
        <v>1705111</v>
      </c>
      <c r="AT13" s="8" t="s">
        <v>505</v>
      </c>
      <c r="AU13" s="8">
        <v>1705095</v>
      </c>
      <c r="AV13" s="171" t="s">
        <v>164</v>
      </c>
      <c r="AW13" s="171">
        <v>1705084</v>
      </c>
      <c r="AX13" s="8" t="s">
        <v>506</v>
      </c>
      <c r="AY13" s="8">
        <v>1705068</v>
      </c>
      <c r="AZ13" s="171" t="s">
        <v>507</v>
      </c>
      <c r="BA13" s="171">
        <v>1705073</v>
      </c>
      <c r="BB13" s="8" t="s">
        <v>508</v>
      </c>
      <c r="BC13" s="8">
        <v>1705106</v>
      </c>
      <c r="BD13" s="171" t="s">
        <v>509</v>
      </c>
      <c r="BE13" s="171">
        <v>1705078</v>
      </c>
      <c r="BF13" s="8"/>
      <c r="BG13" s="8"/>
      <c r="BH13" s="8"/>
      <c r="BI13" s="8"/>
      <c r="BJ13" s="8"/>
      <c r="BK13" s="8"/>
      <c r="BL13" s="8"/>
      <c r="BM13" s="8"/>
      <c r="BN13" s="8"/>
      <c r="BO13" s="8"/>
    </row>
    <row r="14" spans="1:67">
      <c r="A14" s="8">
        <v>12</v>
      </c>
      <c r="B14" s="172" t="s">
        <v>510</v>
      </c>
      <c r="C14" s="172">
        <v>19071069</v>
      </c>
      <c r="D14" s="8" t="s">
        <v>511</v>
      </c>
      <c r="E14" s="8">
        <v>19071060</v>
      </c>
      <c r="F14" s="172" t="s">
        <v>512</v>
      </c>
      <c r="G14" s="172">
        <v>19071036</v>
      </c>
      <c r="H14" s="171" t="s">
        <v>513</v>
      </c>
      <c r="I14" s="171">
        <v>19071068</v>
      </c>
      <c r="J14" s="8" t="s">
        <v>514</v>
      </c>
      <c r="K14" s="8">
        <v>19071054</v>
      </c>
      <c r="L14" s="171" t="s">
        <v>515</v>
      </c>
      <c r="M14" s="171">
        <v>19072188</v>
      </c>
      <c r="N14" s="8" t="s">
        <v>516</v>
      </c>
      <c r="O14" s="8">
        <v>19072245</v>
      </c>
      <c r="P14" s="171" t="s">
        <v>517</v>
      </c>
      <c r="Q14" s="171">
        <v>19072199</v>
      </c>
      <c r="R14" s="8" t="s">
        <v>518</v>
      </c>
      <c r="S14" s="8">
        <v>19072219</v>
      </c>
      <c r="T14" s="171" t="s">
        <v>519</v>
      </c>
      <c r="U14" s="171">
        <v>19072174</v>
      </c>
      <c r="V14" s="8" t="s">
        <v>520</v>
      </c>
      <c r="W14" s="8">
        <v>19072234</v>
      </c>
      <c r="X14" s="171" t="s">
        <v>521</v>
      </c>
      <c r="Y14" s="171">
        <v>19072189</v>
      </c>
      <c r="Z14" s="8" t="s">
        <v>522</v>
      </c>
      <c r="AA14" s="8">
        <v>18061051</v>
      </c>
      <c r="AB14" s="171" t="s">
        <v>523</v>
      </c>
      <c r="AC14" s="171">
        <v>18061043</v>
      </c>
      <c r="AD14" s="8" t="s">
        <v>524</v>
      </c>
      <c r="AE14" s="8">
        <v>18061070</v>
      </c>
      <c r="AF14" s="171" t="s">
        <v>525</v>
      </c>
      <c r="AG14" s="171">
        <v>18061063</v>
      </c>
      <c r="AH14" s="8" t="s">
        <v>526</v>
      </c>
      <c r="AI14" s="8">
        <v>18062190</v>
      </c>
      <c r="AJ14" s="171" t="s">
        <v>527</v>
      </c>
      <c r="AK14" s="171">
        <v>18062196</v>
      </c>
      <c r="AL14" s="8" t="s">
        <v>528</v>
      </c>
      <c r="AM14" s="8">
        <v>18062166</v>
      </c>
      <c r="AN14" s="171" t="s">
        <v>529</v>
      </c>
      <c r="AO14" s="171">
        <v>18062188</v>
      </c>
      <c r="AP14" s="8" t="s">
        <v>530</v>
      </c>
      <c r="AQ14" s="8">
        <v>18062191</v>
      </c>
      <c r="AR14" s="171" t="s">
        <v>168</v>
      </c>
      <c r="AS14" s="171">
        <v>1705139</v>
      </c>
      <c r="AT14" s="8" t="s">
        <v>531</v>
      </c>
      <c r="AU14" s="8">
        <v>1705107</v>
      </c>
      <c r="AV14" s="171" t="s">
        <v>532</v>
      </c>
      <c r="AW14" s="171">
        <v>1705088</v>
      </c>
      <c r="AX14" s="8" t="s">
        <v>533</v>
      </c>
      <c r="AY14" s="8">
        <v>1705071</v>
      </c>
      <c r="AZ14" s="171" t="s">
        <v>534</v>
      </c>
      <c r="BA14" s="171">
        <v>1705081</v>
      </c>
      <c r="BB14" s="8" t="s">
        <v>535</v>
      </c>
      <c r="BC14" s="8">
        <v>1705109</v>
      </c>
      <c r="BD14" s="171" t="s">
        <v>500</v>
      </c>
      <c r="BE14" s="171">
        <v>1705079</v>
      </c>
      <c r="BF14" s="8"/>
      <c r="BG14" s="8"/>
      <c r="BH14" s="8"/>
      <c r="BI14" s="8"/>
      <c r="BJ14" s="8"/>
      <c r="BK14" s="8"/>
      <c r="BL14" s="8"/>
      <c r="BM14" s="8"/>
      <c r="BN14" s="8"/>
      <c r="BO14" s="8"/>
    </row>
    <row r="15" spans="1:67">
      <c r="A15" s="8">
        <v>13</v>
      </c>
      <c r="B15" s="172" t="s">
        <v>536</v>
      </c>
      <c r="C15" s="172">
        <v>19071074</v>
      </c>
      <c r="D15" s="8" t="s">
        <v>537</v>
      </c>
      <c r="E15" s="8">
        <v>19071064</v>
      </c>
      <c r="F15" s="172" t="s">
        <v>538</v>
      </c>
      <c r="G15" s="172">
        <v>19071043</v>
      </c>
      <c r="H15" s="171" t="s">
        <v>539</v>
      </c>
      <c r="I15" s="171">
        <v>19071071</v>
      </c>
      <c r="J15" s="8" t="s">
        <v>540</v>
      </c>
      <c r="K15" s="8">
        <v>19071063</v>
      </c>
      <c r="L15" s="171" t="s">
        <v>541</v>
      </c>
      <c r="M15" s="171">
        <v>19072196</v>
      </c>
      <c r="N15" s="8" t="s">
        <v>542</v>
      </c>
      <c r="O15" s="8">
        <v>19072247</v>
      </c>
      <c r="P15" s="171" t="s">
        <v>543</v>
      </c>
      <c r="Q15" s="171">
        <v>19072207</v>
      </c>
      <c r="R15" s="8" t="s">
        <v>544</v>
      </c>
      <c r="S15" s="8">
        <v>19072222</v>
      </c>
      <c r="T15" s="171" t="s">
        <v>545</v>
      </c>
      <c r="U15" s="171">
        <v>19072178</v>
      </c>
      <c r="V15" s="8" t="s">
        <v>546</v>
      </c>
      <c r="W15" s="8">
        <v>19072236</v>
      </c>
      <c r="X15" s="171" t="s">
        <v>547</v>
      </c>
      <c r="Y15" s="171">
        <v>19072194</v>
      </c>
      <c r="Z15" s="8" t="s">
        <v>548</v>
      </c>
      <c r="AA15" s="8">
        <v>18061062</v>
      </c>
      <c r="AB15" s="171" t="s">
        <v>549</v>
      </c>
      <c r="AC15" s="171">
        <v>18061044</v>
      </c>
      <c r="AD15" s="8" t="s">
        <v>550</v>
      </c>
      <c r="AE15" s="8">
        <v>18061073</v>
      </c>
      <c r="AF15" s="171" t="s">
        <v>551</v>
      </c>
      <c r="AG15" s="171">
        <v>18061064</v>
      </c>
      <c r="AH15" s="8" t="s">
        <v>552</v>
      </c>
      <c r="AI15" s="8">
        <v>18062198</v>
      </c>
      <c r="AJ15" s="171" t="s">
        <v>553</v>
      </c>
      <c r="AK15" s="171">
        <v>18062200</v>
      </c>
      <c r="AL15" s="8" t="s">
        <v>554</v>
      </c>
      <c r="AM15" s="8">
        <v>18062172</v>
      </c>
      <c r="AN15" s="171" t="s">
        <v>555</v>
      </c>
      <c r="AO15" s="171">
        <v>18062194</v>
      </c>
      <c r="AP15" s="8" t="s">
        <v>556</v>
      </c>
      <c r="AQ15" s="8">
        <v>18062192</v>
      </c>
      <c r="AR15" s="171" t="s">
        <v>557</v>
      </c>
      <c r="AS15" s="171">
        <v>1705122</v>
      </c>
      <c r="AT15" s="8" t="s">
        <v>558</v>
      </c>
      <c r="AU15" s="8">
        <v>1705110</v>
      </c>
      <c r="AV15" s="171" t="s">
        <v>559</v>
      </c>
      <c r="AW15" s="171">
        <v>1705089</v>
      </c>
      <c r="AX15" s="8" t="s">
        <v>560</v>
      </c>
      <c r="AY15" s="8">
        <v>1705092</v>
      </c>
      <c r="AZ15" s="171" t="s">
        <v>561</v>
      </c>
      <c r="BA15" s="171">
        <v>1705082</v>
      </c>
      <c r="BB15" s="8" t="s">
        <v>562</v>
      </c>
      <c r="BC15" s="8">
        <v>1705119</v>
      </c>
      <c r="BD15" s="171" t="s">
        <v>563</v>
      </c>
      <c r="BE15" s="171">
        <v>1705087</v>
      </c>
      <c r="BF15" s="8"/>
      <c r="BG15" s="8"/>
      <c r="BH15" s="8"/>
      <c r="BI15" s="8"/>
      <c r="BJ15" s="8"/>
      <c r="BK15" s="8"/>
      <c r="BL15" s="8"/>
      <c r="BM15" s="8"/>
      <c r="BN15" s="8"/>
      <c r="BO15" s="8"/>
    </row>
    <row r="16" spans="1:67">
      <c r="A16" s="8">
        <v>14</v>
      </c>
      <c r="B16" s="172" t="s">
        <v>564</v>
      </c>
      <c r="C16" s="172">
        <v>19071078</v>
      </c>
      <c r="D16" s="8" t="s">
        <v>565</v>
      </c>
      <c r="E16" s="8">
        <v>19071067</v>
      </c>
      <c r="F16" s="172" t="s">
        <v>566</v>
      </c>
      <c r="G16" s="172">
        <v>19071047</v>
      </c>
      <c r="H16" s="171" t="s">
        <v>567</v>
      </c>
      <c r="I16" s="171">
        <v>19071075</v>
      </c>
      <c r="J16" s="8" t="s">
        <v>568</v>
      </c>
      <c r="K16" s="8">
        <v>19071070</v>
      </c>
      <c r="L16" s="171" t="s">
        <v>569</v>
      </c>
      <c r="M16" s="171">
        <v>19072203</v>
      </c>
      <c r="N16" s="8" t="s">
        <v>570</v>
      </c>
      <c r="O16" s="8">
        <v>19072254</v>
      </c>
      <c r="P16" s="171" t="s">
        <v>571</v>
      </c>
      <c r="Q16" s="171">
        <v>19072208</v>
      </c>
      <c r="R16" s="8" t="s">
        <v>572</v>
      </c>
      <c r="S16" s="8">
        <v>19072231</v>
      </c>
      <c r="T16" s="171" t="s">
        <v>573</v>
      </c>
      <c r="U16" s="171">
        <v>19072179</v>
      </c>
      <c r="V16" s="8" t="s">
        <v>574</v>
      </c>
      <c r="W16" s="8">
        <v>19072242</v>
      </c>
      <c r="X16" s="171" t="s">
        <v>575</v>
      </c>
      <c r="Y16" s="171">
        <v>19072201</v>
      </c>
      <c r="Z16" s="8" t="s">
        <v>576</v>
      </c>
      <c r="AA16" s="8">
        <v>18061093</v>
      </c>
      <c r="AB16" s="171" t="s">
        <v>577</v>
      </c>
      <c r="AC16" s="171">
        <v>18061049</v>
      </c>
      <c r="AD16" s="8" t="s">
        <v>578</v>
      </c>
      <c r="AE16" s="8">
        <v>18061079</v>
      </c>
      <c r="AF16" s="171" t="s">
        <v>579</v>
      </c>
      <c r="AG16" s="171">
        <v>18061066</v>
      </c>
      <c r="AH16" s="8" t="s">
        <v>580</v>
      </c>
      <c r="AI16" s="8">
        <v>18062202</v>
      </c>
      <c r="AJ16" s="171" t="s">
        <v>581</v>
      </c>
      <c r="AK16" s="171">
        <v>18062201</v>
      </c>
      <c r="AL16" s="8" t="s">
        <v>582</v>
      </c>
      <c r="AM16" s="8">
        <v>18062173</v>
      </c>
      <c r="AN16" s="171" t="s">
        <v>583</v>
      </c>
      <c r="AO16" s="171">
        <v>18062206</v>
      </c>
      <c r="AP16" s="8" t="s">
        <v>584</v>
      </c>
      <c r="AQ16" s="8">
        <v>18062195</v>
      </c>
      <c r="AR16" s="171" t="s">
        <v>585</v>
      </c>
      <c r="AS16" s="171">
        <v>1705127</v>
      </c>
      <c r="AT16" s="8" t="s">
        <v>586</v>
      </c>
      <c r="AU16" s="8">
        <v>1705118</v>
      </c>
      <c r="AV16" s="171" t="s">
        <v>166</v>
      </c>
      <c r="AW16" s="171">
        <v>1705090</v>
      </c>
      <c r="AX16" s="8" t="s">
        <v>587</v>
      </c>
      <c r="AY16" s="8">
        <v>1705093</v>
      </c>
      <c r="AZ16" s="171" t="s">
        <v>588</v>
      </c>
      <c r="BA16" s="171">
        <v>1705083</v>
      </c>
      <c r="BB16" s="8" t="s">
        <v>589</v>
      </c>
      <c r="BC16" s="8">
        <v>1705123</v>
      </c>
      <c r="BD16" s="171" t="s">
        <v>590</v>
      </c>
      <c r="BE16" s="171">
        <v>1705102</v>
      </c>
      <c r="BF16" s="8"/>
      <c r="BG16" s="8"/>
      <c r="BH16" s="8"/>
      <c r="BI16" s="8"/>
      <c r="BJ16" s="8"/>
      <c r="BK16" s="8"/>
      <c r="BL16" s="8"/>
      <c r="BM16" s="8"/>
      <c r="BN16" s="8"/>
      <c r="BO16" s="8"/>
    </row>
    <row r="17" spans="1:67">
      <c r="A17" s="8">
        <v>15</v>
      </c>
      <c r="B17" s="172" t="s">
        <v>591</v>
      </c>
      <c r="C17" s="172">
        <v>19071085</v>
      </c>
      <c r="D17" s="8" t="s">
        <v>592</v>
      </c>
      <c r="E17" s="8">
        <v>19071072</v>
      </c>
      <c r="F17" s="172" t="s">
        <v>593</v>
      </c>
      <c r="G17" s="172">
        <v>19071049</v>
      </c>
      <c r="H17" s="171" t="s">
        <v>594</v>
      </c>
      <c r="I17" s="171">
        <v>19071082</v>
      </c>
      <c r="J17" s="8" t="s">
        <v>595</v>
      </c>
      <c r="K17" s="8">
        <v>19071073</v>
      </c>
      <c r="L17" s="171" t="s">
        <v>596</v>
      </c>
      <c r="M17" s="171">
        <v>19072205</v>
      </c>
      <c r="N17" s="8" t="s">
        <v>597</v>
      </c>
      <c r="O17" s="8">
        <v>19072259</v>
      </c>
      <c r="P17" s="171" t="s">
        <v>598</v>
      </c>
      <c r="Q17" s="171">
        <v>19072211</v>
      </c>
      <c r="R17" s="8" t="s">
        <v>599</v>
      </c>
      <c r="S17" s="8">
        <v>19072241</v>
      </c>
      <c r="T17" s="171" t="s">
        <v>600</v>
      </c>
      <c r="U17" s="171">
        <v>19072198</v>
      </c>
      <c r="V17" s="8" t="s">
        <v>601</v>
      </c>
      <c r="W17" s="8">
        <v>19072251</v>
      </c>
      <c r="X17" s="171" t="s">
        <v>602</v>
      </c>
      <c r="Y17" s="171">
        <v>19072212</v>
      </c>
      <c r="Z17" s="8" t="s">
        <v>603</v>
      </c>
      <c r="AA17" s="8">
        <v>18061094</v>
      </c>
      <c r="AB17" s="171" t="s">
        <v>604</v>
      </c>
      <c r="AC17" s="171">
        <v>18061052</v>
      </c>
      <c r="AD17" s="8" t="s">
        <v>605</v>
      </c>
      <c r="AE17" s="8">
        <v>18061080</v>
      </c>
      <c r="AF17" s="171" t="s">
        <v>606</v>
      </c>
      <c r="AG17" s="171">
        <v>18061067</v>
      </c>
      <c r="AH17" s="8" t="s">
        <v>607</v>
      </c>
      <c r="AI17" s="8">
        <v>18062211</v>
      </c>
      <c r="AJ17" s="171" t="s">
        <v>608</v>
      </c>
      <c r="AK17" s="171">
        <v>18062203</v>
      </c>
      <c r="AL17" s="8" t="s">
        <v>609</v>
      </c>
      <c r="AM17" s="8">
        <v>18062175</v>
      </c>
      <c r="AN17" s="171" t="s">
        <v>610</v>
      </c>
      <c r="AO17" s="171">
        <v>18062208</v>
      </c>
      <c r="AP17" s="8" t="s">
        <v>611</v>
      </c>
      <c r="AQ17" s="8">
        <v>18062197</v>
      </c>
      <c r="AR17" s="171" t="s">
        <v>612</v>
      </c>
      <c r="AS17" s="171">
        <v>1705131</v>
      </c>
      <c r="AT17" s="8" t="s">
        <v>613</v>
      </c>
      <c r="AU17" s="8">
        <v>1705128</v>
      </c>
      <c r="AV17" s="171" t="s">
        <v>614</v>
      </c>
      <c r="AW17" s="171">
        <v>1705100</v>
      </c>
      <c r="AX17" s="8" t="s">
        <v>615</v>
      </c>
      <c r="AY17" s="8">
        <v>1705097</v>
      </c>
      <c r="AZ17" s="171" t="s">
        <v>616</v>
      </c>
      <c r="BA17" s="171">
        <v>1705098</v>
      </c>
      <c r="BB17" s="8" t="s">
        <v>617</v>
      </c>
      <c r="BC17" s="8">
        <v>1705153</v>
      </c>
      <c r="BD17" s="171" t="s">
        <v>618</v>
      </c>
      <c r="BE17" s="171">
        <v>1705103</v>
      </c>
      <c r="BF17" s="8"/>
      <c r="BG17" s="8"/>
      <c r="BH17" s="8"/>
      <c r="BI17" s="8"/>
      <c r="BJ17" s="8"/>
      <c r="BK17" s="8"/>
      <c r="BL17" s="8"/>
      <c r="BM17" s="8"/>
      <c r="BN17" s="8"/>
      <c r="BO17" s="8"/>
    </row>
    <row r="18" spans="1:67">
      <c r="A18" s="8">
        <v>16</v>
      </c>
      <c r="B18" s="172" t="s">
        <v>619</v>
      </c>
      <c r="C18" s="172">
        <v>19071092</v>
      </c>
      <c r="D18" s="8" t="s">
        <v>620</v>
      </c>
      <c r="E18" s="8">
        <v>19071081</v>
      </c>
      <c r="F18" s="172" t="s">
        <v>621</v>
      </c>
      <c r="G18" s="172">
        <v>19071050</v>
      </c>
      <c r="H18" s="171" t="s">
        <v>622</v>
      </c>
      <c r="I18" s="171">
        <v>19071084</v>
      </c>
      <c r="J18" s="8" t="s">
        <v>623</v>
      </c>
      <c r="K18" s="8">
        <v>19071080</v>
      </c>
      <c r="L18" s="171" t="s">
        <v>624</v>
      </c>
      <c r="M18" s="171">
        <v>19072224</v>
      </c>
      <c r="N18" s="8" t="s">
        <v>625</v>
      </c>
      <c r="O18" s="8">
        <v>19072266</v>
      </c>
      <c r="P18" s="171" t="s">
        <v>626</v>
      </c>
      <c r="Q18" s="171">
        <v>19072213</v>
      </c>
      <c r="R18" s="8" t="s">
        <v>627</v>
      </c>
      <c r="S18" s="8">
        <v>19072255</v>
      </c>
      <c r="T18" s="171" t="s">
        <v>628</v>
      </c>
      <c r="U18" s="171">
        <v>19072200</v>
      </c>
      <c r="V18" s="8" t="s">
        <v>629</v>
      </c>
      <c r="W18" s="8">
        <v>19072253</v>
      </c>
      <c r="X18" s="171" t="s">
        <v>630</v>
      </c>
      <c r="Y18" s="171">
        <v>19072214</v>
      </c>
      <c r="Z18" s="8" t="s">
        <v>631</v>
      </c>
      <c r="AA18" s="8">
        <v>18061096</v>
      </c>
      <c r="AB18" s="171" t="s">
        <v>632</v>
      </c>
      <c r="AC18" s="171">
        <v>18061053</v>
      </c>
      <c r="AD18" s="8" t="s">
        <v>633</v>
      </c>
      <c r="AE18" s="8">
        <v>18061081</v>
      </c>
      <c r="AF18" s="171" t="s">
        <v>634</v>
      </c>
      <c r="AG18" s="171">
        <v>18061068</v>
      </c>
      <c r="AH18" s="8" t="s">
        <v>635</v>
      </c>
      <c r="AI18" s="8">
        <v>18062216</v>
      </c>
      <c r="AJ18" s="171" t="s">
        <v>636</v>
      </c>
      <c r="AK18" s="171">
        <v>18062207</v>
      </c>
      <c r="AL18" s="8" t="s">
        <v>637</v>
      </c>
      <c r="AM18" s="8">
        <v>18062176</v>
      </c>
      <c r="AN18" s="171" t="s">
        <v>638</v>
      </c>
      <c r="AO18" s="171">
        <v>18062210</v>
      </c>
      <c r="AP18" s="8" t="s">
        <v>639</v>
      </c>
      <c r="AQ18" s="8">
        <v>18062199</v>
      </c>
      <c r="AR18" s="171" t="s">
        <v>640</v>
      </c>
      <c r="AS18" s="171">
        <v>1705132</v>
      </c>
      <c r="AT18" s="8" t="s">
        <v>171</v>
      </c>
      <c r="AU18" s="8">
        <v>1705129</v>
      </c>
      <c r="AV18" s="171" t="s">
        <v>167</v>
      </c>
      <c r="AW18" s="171">
        <v>1705101</v>
      </c>
      <c r="AX18" s="8" t="s">
        <v>641</v>
      </c>
      <c r="AY18" s="8">
        <v>1705104</v>
      </c>
      <c r="AZ18" s="171" t="s">
        <v>642</v>
      </c>
      <c r="BA18" s="171">
        <v>1705113</v>
      </c>
      <c r="BB18" s="8" t="s">
        <v>643</v>
      </c>
      <c r="BC18" s="8">
        <v>1705155</v>
      </c>
      <c r="BD18" s="171" t="s">
        <v>644</v>
      </c>
      <c r="BE18" s="171">
        <v>1705108</v>
      </c>
      <c r="BF18" s="8"/>
      <c r="BG18" s="8"/>
      <c r="BH18" s="8"/>
      <c r="BI18" s="8"/>
      <c r="BJ18" s="8"/>
      <c r="BK18" s="8"/>
      <c r="BL18" s="8"/>
      <c r="BM18" s="8"/>
      <c r="BN18" s="8"/>
      <c r="BO18" s="8"/>
    </row>
    <row r="19" spans="1:67">
      <c r="A19" s="8">
        <v>17</v>
      </c>
      <c r="B19" s="172" t="s">
        <v>645</v>
      </c>
      <c r="C19" s="172">
        <v>19071094</v>
      </c>
      <c r="D19" s="8" t="s">
        <v>646</v>
      </c>
      <c r="E19" s="8">
        <v>19071087</v>
      </c>
      <c r="F19" s="172" t="s">
        <v>647</v>
      </c>
      <c r="G19" s="172">
        <v>19071065</v>
      </c>
      <c r="H19" s="171" t="s">
        <v>648</v>
      </c>
      <c r="I19" s="171">
        <v>19071100</v>
      </c>
      <c r="J19" s="8" t="s">
        <v>649</v>
      </c>
      <c r="K19" s="8">
        <v>19071083</v>
      </c>
      <c r="L19" s="171" t="s">
        <v>650</v>
      </c>
      <c r="M19" s="171">
        <v>19072237</v>
      </c>
      <c r="N19" s="8" t="s">
        <v>651</v>
      </c>
      <c r="O19" s="8">
        <v>19072268</v>
      </c>
      <c r="P19" s="171" t="s">
        <v>652</v>
      </c>
      <c r="Q19" s="171">
        <v>19072238</v>
      </c>
      <c r="R19" s="8" t="s">
        <v>653</v>
      </c>
      <c r="S19" s="8">
        <v>19072257</v>
      </c>
      <c r="T19" s="171" t="s">
        <v>654</v>
      </c>
      <c r="U19" s="171">
        <v>19072221</v>
      </c>
      <c r="V19" s="8" t="s">
        <v>655</v>
      </c>
      <c r="W19" s="8">
        <v>19072261</v>
      </c>
      <c r="X19" s="171" t="s">
        <v>656</v>
      </c>
      <c r="Y19" s="171">
        <v>19072215</v>
      </c>
      <c r="Z19" s="8" t="s">
        <v>657</v>
      </c>
      <c r="AA19" s="8">
        <v>18061102</v>
      </c>
      <c r="AB19" s="171" t="s">
        <v>658</v>
      </c>
      <c r="AC19" s="171">
        <v>18061055</v>
      </c>
      <c r="AD19" s="8" t="s">
        <v>659</v>
      </c>
      <c r="AE19" s="8">
        <v>18061082</v>
      </c>
      <c r="AF19" s="171" t="s">
        <v>660</v>
      </c>
      <c r="AG19" s="171">
        <v>18061071</v>
      </c>
      <c r="AH19" s="8" t="s">
        <v>661</v>
      </c>
      <c r="AI19" s="8">
        <v>18062219</v>
      </c>
      <c r="AJ19" s="171" t="s">
        <v>662</v>
      </c>
      <c r="AK19" s="171">
        <v>18062220</v>
      </c>
      <c r="AL19" s="8" t="s">
        <v>663</v>
      </c>
      <c r="AM19" s="8">
        <v>18062177</v>
      </c>
      <c r="AN19" s="171" t="s">
        <v>664</v>
      </c>
      <c r="AO19" s="171">
        <v>18062212</v>
      </c>
      <c r="AP19" s="8" t="s">
        <v>665</v>
      </c>
      <c r="AQ19" s="8">
        <v>18062205</v>
      </c>
      <c r="AR19" s="171" t="s">
        <v>666</v>
      </c>
      <c r="AS19" s="171">
        <v>1705138</v>
      </c>
      <c r="AT19" s="8" t="s">
        <v>172</v>
      </c>
      <c r="AU19" s="8">
        <v>1705130</v>
      </c>
      <c r="AV19" s="171" t="s">
        <v>169</v>
      </c>
      <c r="AW19" s="171">
        <v>1705121</v>
      </c>
      <c r="AX19" s="8" t="s">
        <v>667</v>
      </c>
      <c r="AY19" s="8">
        <v>1705115</v>
      </c>
      <c r="AZ19" s="171" t="s">
        <v>668</v>
      </c>
      <c r="BA19" s="171">
        <v>1705114</v>
      </c>
      <c r="BB19" s="8" t="s">
        <v>669</v>
      </c>
      <c r="BC19" s="8">
        <v>1705164</v>
      </c>
      <c r="BD19" s="171" t="s">
        <v>670</v>
      </c>
      <c r="BE19" s="171">
        <v>1705112</v>
      </c>
      <c r="BF19" s="8"/>
      <c r="BG19" s="8"/>
      <c r="BH19" s="8"/>
      <c r="BI19" s="8"/>
      <c r="BJ19" s="8"/>
      <c r="BK19" s="8"/>
      <c r="BL19" s="8"/>
      <c r="BM19" s="8"/>
      <c r="BN19" s="8"/>
      <c r="BO19" s="8"/>
    </row>
    <row r="20" spans="1:67">
      <c r="A20" s="8">
        <v>18</v>
      </c>
      <c r="B20" s="172" t="s">
        <v>671</v>
      </c>
      <c r="C20" s="172">
        <v>19071096</v>
      </c>
      <c r="D20" s="8" t="s">
        <v>672</v>
      </c>
      <c r="E20" s="8">
        <v>19071088</v>
      </c>
      <c r="F20" s="172" t="s">
        <v>673</v>
      </c>
      <c r="G20" s="172">
        <v>19071076</v>
      </c>
      <c r="H20" s="171" t="s">
        <v>674</v>
      </c>
      <c r="I20" s="171">
        <v>19071103</v>
      </c>
      <c r="J20" s="8" t="s">
        <v>675</v>
      </c>
      <c r="K20" s="8">
        <v>19071086</v>
      </c>
      <c r="L20" s="171" t="s">
        <v>676</v>
      </c>
      <c r="M20" s="171">
        <v>19072246</v>
      </c>
      <c r="N20" s="8" t="s">
        <v>677</v>
      </c>
      <c r="O20" s="8">
        <v>19072276</v>
      </c>
      <c r="P20" s="171" t="s">
        <v>678</v>
      </c>
      <c r="Q20" s="171">
        <v>19072249</v>
      </c>
      <c r="R20" s="8" t="s">
        <v>679</v>
      </c>
      <c r="S20" s="8">
        <v>19072281</v>
      </c>
      <c r="T20" s="171" t="s">
        <v>680</v>
      </c>
      <c r="U20" s="171">
        <v>19072230</v>
      </c>
      <c r="V20" s="8" t="s">
        <v>681</v>
      </c>
      <c r="W20" s="8">
        <v>19072267</v>
      </c>
      <c r="X20" s="171" t="s">
        <v>682</v>
      </c>
      <c r="Y20" s="171">
        <v>19072218</v>
      </c>
      <c r="Z20" s="8" t="s">
        <v>683</v>
      </c>
      <c r="AA20" s="8">
        <v>18061103</v>
      </c>
      <c r="AB20" s="171" t="s">
        <v>684</v>
      </c>
      <c r="AC20" s="171">
        <v>18061060</v>
      </c>
      <c r="AD20" s="8" t="s">
        <v>685</v>
      </c>
      <c r="AE20" s="8">
        <v>18061087</v>
      </c>
      <c r="AF20" s="171" t="s">
        <v>686</v>
      </c>
      <c r="AG20" s="171">
        <v>18061074</v>
      </c>
      <c r="AH20" s="8" t="s">
        <v>687</v>
      </c>
      <c r="AI20" s="8">
        <v>18062221</v>
      </c>
      <c r="AJ20" s="171" t="s">
        <v>688</v>
      </c>
      <c r="AK20" s="171">
        <v>18062224</v>
      </c>
      <c r="AL20" s="8" t="s">
        <v>689</v>
      </c>
      <c r="AM20" s="8">
        <v>18062185</v>
      </c>
      <c r="AN20" s="171" t="s">
        <v>690</v>
      </c>
      <c r="AO20" s="171">
        <v>18062215</v>
      </c>
      <c r="AP20" s="8" t="s">
        <v>691</v>
      </c>
      <c r="AQ20" s="8">
        <v>18062217</v>
      </c>
      <c r="AR20" s="171" t="s">
        <v>173</v>
      </c>
      <c r="AS20" s="171">
        <v>1705140</v>
      </c>
      <c r="AT20" s="8" t="s">
        <v>692</v>
      </c>
      <c r="AU20" s="8">
        <v>1705133</v>
      </c>
      <c r="AV20" s="171" t="s">
        <v>170</v>
      </c>
      <c r="AW20" s="171">
        <v>1705124</v>
      </c>
      <c r="AX20" s="8" t="s">
        <v>693</v>
      </c>
      <c r="AY20" s="8">
        <v>1705120</v>
      </c>
      <c r="AZ20" s="171" t="s">
        <v>694</v>
      </c>
      <c r="BA20" s="171">
        <v>1705116</v>
      </c>
      <c r="BB20" s="8" t="s">
        <v>695</v>
      </c>
      <c r="BC20" s="8">
        <v>1705166</v>
      </c>
      <c r="BD20" s="171" t="s">
        <v>696</v>
      </c>
      <c r="BE20" s="171">
        <v>1705168</v>
      </c>
      <c r="BF20" s="8"/>
      <c r="BG20" s="8"/>
      <c r="BH20" s="8"/>
      <c r="BI20" s="8"/>
      <c r="BJ20" s="8"/>
      <c r="BK20" s="8"/>
      <c r="BL20" s="8"/>
      <c r="BM20" s="8"/>
      <c r="BN20" s="8"/>
      <c r="BO20" s="8"/>
    </row>
    <row r="21" spans="1:67">
      <c r="A21" s="8">
        <v>19</v>
      </c>
      <c r="B21" s="172" t="s">
        <v>697</v>
      </c>
      <c r="C21" s="172">
        <v>19071105</v>
      </c>
      <c r="D21" s="8" t="s">
        <v>698</v>
      </c>
      <c r="E21" s="8">
        <v>19071089</v>
      </c>
      <c r="F21" s="172" t="s">
        <v>699</v>
      </c>
      <c r="G21" s="172">
        <v>19071077</v>
      </c>
      <c r="H21" s="171" t="s">
        <v>700</v>
      </c>
      <c r="I21" s="171">
        <v>19071109</v>
      </c>
      <c r="J21" s="8" t="s">
        <v>701</v>
      </c>
      <c r="K21" s="8">
        <v>19071101</v>
      </c>
      <c r="L21" s="171" t="s">
        <v>702</v>
      </c>
      <c r="M21" s="171">
        <v>19072252</v>
      </c>
      <c r="N21" s="8" t="s">
        <v>703</v>
      </c>
      <c r="O21" s="8">
        <v>19072287</v>
      </c>
      <c r="P21" s="171" t="s">
        <v>704</v>
      </c>
      <c r="Q21" s="171">
        <v>19072250</v>
      </c>
      <c r="R21" s="8" t="s">
        <v>705</v>
      </c>
      <c r="S21" s="8">
        <v>19072288</v>
      </c>
      <c r="T21" s="171" t="s">
        <v>706</v>
      </c>
      <c r="U21" s="171">
        <v>19072239</v>
      </c>
      <c r="V21" s="8" t="s">
        <v>707</v>
      </c>
      <c r="W21" s="8">
        <v>19072275</v>
      </c>
      <c r="X21" s="171" t="s">
        <v>708</v>
      </c>
      <c r="Y21" s="171">
        <v>19072220</v>
      </c>
      <c r="Z21" s="8" t="s">
        <v>709</v>
      </c>
      <c r="AA21" s="8">
        <v>18061107</v>
      </c>
      <c r="AB21" s="171" t="s">
        <v>710</v>
      </c>
      <c r="AC21" s="171">
        <v>18061072</v>
      </c>
      <c r="AD21" s="8" t="s">
        <v>711</v>
      </c>
      <c r="AE21" s="8">
        <v>18061090</v>
      </c>
      <c r="AF21" s="171" t="s">
        <v>712</v>
      </c>
      <c r="AG21" s="171">
        <v>18061076</v>
      </c>
      <c r="AH21" s="8" t="s">
        <v>713</v>
      </c>
      <c r="AI21" s="8">
        <v>18062227</v>
      </c>
      <c r="AJ21" s="171" t="s">
        <v>714</v>
      </c>
      <c r="AK21" s="171">
        <v>18062225</v>
      </c>
      <c r="AL21" s="8" t="s">
        <v>715</v>
      </c>
      <c r="AM21" s="8">
        <v>18062186</v>
      </c>
      <c r="AN21" s="171" t="s">
        <v>716</v>
      </c>
      <c r="AO21" s="171">
        <v>18062223</v>
      </c>
      <c r="AP21" s="8" t="s">
        <v>717</v>
      </c>
      <c r="AQ21" s="8">
        <v>18062218</v>
      </c>
      <c r="AR21" s="171" t="s">
        <v>718</v>
      </c>
      <c r="AS21" s="171">
        <v>1705143</v>
      </c>
      <c r="AT21" s="8" t="s">
        <v>719</v>
      </c>
      <c r="AU21" s="8">
        <v>1705134</v>
      </c>
      <c r="AV21" s="171" t="s">
        <v>720</v>
      </c>
      <c r="AW21" s="171">
        <v>1705146</v>
      </c>
      <c r="AX21" s="8" t="s">
        <v>721</v>
      </c>
      <c r="AY21" s="8">
        <v>1705157</v>
      </c>
      <c r="AZ21" s="171" t="s">
        <v>722</v>
      </c>
      <c r="BA21" s="171">
        <v>1705117</v>
      </c>
      <c r="BB21" s="8" t="s">
        <v>723</v>
      </c>
      <c r="BC21" s="8">
        <v>1705176</v>
      </c>
      <c r="BD21" s="171" t="s">
        <v>724</v>
      </c>
      <c r="BE21" s="171">
        <v>1705172</v>
      </c>
      <c r="BF21" s="8"/>
      <c r="BG21" s="8"/>
      <c r="BH21" s="8"/>
      <c r="BI21" s="8"/>
      <c r="BJ21" s="8"/>
      <c r="BK21" s="8"/>
      <c r="BL21" s="8"/>
      <c r="BM21" s="8"/>
      <c r="BN21" s="8"/>
      <c r="BO21" s="8"/>
    </row>
    <row r="22" spans="1:67">
      <c r="A22" s="8">
        <v>20</v>
      </c>
      <c r="B22" s="172" t="s">
        <v>725</v>
      </c>
      <c r="C22" s="172">
        <v>19071108</v>
      </c>
      <c r="D22" s="8" t="s">
        <v>726</v>
      </c>
      <c r="E22" s="8">
        <v>19071090</v>
      </c>
      <c r="F22" s="172" t="s">
        <v>727</v>
      </c>
      <c r="G22" s="172">
        <v>19071095</v>
      </c>
      <c r="H22" s="171" t="s">
        <v>728</v>
      </c>
      <c r="I22" s="171">
        <v>19071118</v>
      </c>
      <c r="J22" s="8" t="s">
        <v>729</v>
      </c>
      <c r="K22" s="8">
        <v>19071104</v>
      </c>
      <c r="L22" s="171" t="s">
        <v>730</v>
      </c>
      <c r="M22" s="171">
        <v>19072256</v>
      </c>
      <c r="N22" s="8" t="s">
        <v>731</v>
      </c>
      <c r="O22" s="8">
        <v>19072291</v>
      </c>
      <c r="P22" s="171" t="s">
        <v>732</v>
      </c>
      <c r="Q22" s="171">
        <v>19072260</v>
      </c>
      <c r="R22" s="8" t="s">
        <v>733</v>
      </c>
      <c r="S22" s="8">
        <v>19072289</v>
      </c>
      <c r="T22" s="171" t="s">
        <v>734</v>
      </c>
      <c r="U22" s="171">
        <v>19072243</v>
      </c>
      <c r="V22" s="8" t="s">
        <v>735</v>
      </c>
      <c r="W22" s="8">
        <v>19072277</v>
      </c>
      <c r="X22" s="171" t="s">
        <v>736</v>
      </c>
      <c r="Y22" s="171">
        <v>19072225</v>
      </c>
      <c r="Z22" s="8" t="s">
        <v>737</v>
      </c>
      <c r="AA22" s="8">
        <v>18061110</v>
      </c>
      <c r="AB22" s="171" t="s">
        <v>738</v>
      </c>
      <c r="AC22" s="171">
        <v>18061075</v>
      </c>
      <c r="AD22" s="8" t="s">
        <v>739</v>
      </c>
      <c r="AE22" s="8">
        <v>18061092</v>
      </c>
      <c r="AF22" s="171" t="s">
        <v>740</v>
      </c>
      <c r="AG22" s="171">
        <v>18061077</v>
      </c>
      <c r="AH22" s="8" t="s">
        <v>741</v>
      </c>
      <c r="AI22" s="8">
        <v>18062233</v>
      </c>
      <c r="AJ22" s="171" t="s">
        <v>742</v>
      </c>
      <c r="AK22" s="171">
        <v>18062238</v>
      </c>
      <c r="AL22" s="8" t="s">
        <v>743</v>
      </c>
      <c r="AM22" s="8">
        <v>18062214</v>
      </c>
      <c r="AN22" s="171" t="s">
        <v>744</v>
      </c>
      <c r="AO22" s="171">
        <v>18062232</v>
      </c>
      <c r="AP22" s="8" t="s">
        <v>745</v>
      </c>
      <c r="AQ22" s="8">
        <v>18062226</v>
      </c>
      <c r="AR22" s="171" t="s">
        <v>175</v>
      </c>
      <c r="AS22" s="171">
        <v>1705145</v>
      </c>
      <c r="AT22" s="8" t="s">
        <v>746</v>
      </c>
      <c r="AU22" s="8">
        <v>1705137</v>
      </c>
      <c r="AV22" s="171" t="s">
        <v>747</v>
      </c>
      <c r="AW22" s="171">
        <v>1705126</v>
      </c>
      <c r="AX22" s="8" t="s">
        <v>748</v>
      </c>
      <c r="AY22" s="8">
        <v>1705163</v>
      </c>
      <c r="AZ22" s="171" t="s">
        <v>749</v>
      </c>
      <c r="BA22" s="171">
        <v>1705125</v>
      </c>
      <c r="BB22" s="8" t="s">
        <v>750</v>
      </c>
      <c r="BC22" s="8">
        <v>1705184</v>
      </c>
      <c r="BD22" s="171" t="s">
        <v>751</v>
      </c>
      <c r="BE22" s="171">
        <v>1705173</v>
      </c>
      <c r="BF22" s="8"/>
      <c r="BG22" s="8"/>
      <c r="BH22" s="8"/>
      <c r="BI22" s="8"/>
      <c r="BJ22" s="8"/>
      <c r="BK22" s="8"/>
      <c r="BL22" s="8"/>
      <c r="BM22" s="8"/>
      <c r="BN22" s="8"/>
      <c r="BO22" s="8"/>
    </row>
    <row r="23" spans="1:67">
      <c r="A23" s="8">
        <v>21</v>
      </c>
      <c r="B23" s="172" t="s">
        <v>752</v>
      </c>
      <c r="C23" s="172">
        <v>19071113</v>
      </c>
      <c r="D23" s="8" t="s">
        <v>753</v>
      </c>
      <c r="E23" s="8">
        <v>19071091</v>
      </c>
      <c r="F23" s="172" t="s">
        <v>754</v>
      </c>
      <c r="G23" s="172">
        <v>19071097</v>
      </c>
      <c r="H23" s="171" t="s">
        <v>755</v>
      </c>
      <c r="I23" s="171">
        <v>19071126</v>
      </c>
      <c r="J23" s="8" t="s">
        <v>756</v>
      </c>
      <c r="K23" s="8">
        <v>19071106</v>
      </c>
      <c r="L23" s="171" t="s">
        <v>757</v>
      </c>
      <c r="M23" s="171">
        <v>19072262</v>
      </c>
      <c r="N23" s="8" t="s">
        <v>758</v>
      </c>
      <c r="O23" s="8">
        <v>19072292</v>
      </c>
      <c r="P23" s="171" t="s">
        <v>759</v>
      </c>
      <c r="Q23" s="171">
        <v>19072273</v>
      </c>
      <c r="R23" s="8" t="s">
        <v>760</v>
      </c>
      <c r="S23" s="8">
        <v>19072296</v>
      </c>
      <c r="T23" s="171" t="s">
        <v>761</v>
      </c>
      <c r="U23" s="171">
        <v>19072263</v>
      </c>
      <c r="V23" s="8" t="s">
        <v>762</v>
      </c>
      <c r="W23" s="8">
        <v>19072278</v>
      </c>
      <c r="X23" s="171" t="s">
        <v>763</v>
      </c>
      <c r="Y23" s="171">
        <v>19072227</v>
      </c>
      <c r="Z23" s="8" t="s">
        <v>764</v>
      </c>
      <c r="AA23" s="8">
        <v>18061116</v>
      </c>
      <c r="AB23" s="171" t="s">
        <v>765</v>
      </c>
      <c r="AC23" s="171">
        <v>18061085</v>
      </c>
      <c r="AD23" s="8" t="s">
        <v>766</v>
      </c>
      <c r="AE23" s="8">
        <v>18061099</v>
      </c>
      <c r="AF23" s="171" t="s">
        <v>767</v>
      </c>
      <c r="AG23" s="171">
        <v>18061078</v>
      </c>
      <c r="AH23" s="8" t="s">
        <v>768</v>
      </c>
      <c r="AI23" s="8">
        <v>18062245</v>
      </c>
      <c r="AJ23" s="171" t="s">
        <v>769</v>
      </c>
      <c r="AK23" s="171">
        <v>18062240</v>
      </c>
      <c r="AL23" s="8" t="s">
        <v>770</v>
      </c>
      <c r="AM23" s="8">
        <v>18062213</v>
      </c>
      <c r="AN23" s="171" t="s">
        <v>771</v>
      </c>
      <c r="AO23" s="171">
        <v>18062243</v>
      </c>
      <c r="AP23" s="8" t="s">
        <v>772</v>
      </c>
      <c r="AQ23" s="8">
        <v>18062251</v>
      </c>
      <c r="AR23" s="171" t="s">
        <v>177</v>
      </c>
      <c r="AS23" s="171">
        <v>1705154</v>
      </c>
      <c r="AT23" s="8" t="s">
        <v>174</v>
      </c>
      <c r="AU23" s="8">
        <v>1705144</v>
      </c>
      <c r="AV23" s="171" t="s">
        <v>773</v>
      </c>
      <c r="AW23" s="171">
        <v>1705136</v>
      </c>
      <c r="AX23" s="8" t="s">
        <v>774</v>
      </c>
      <c r="AY23" s="8">
        <v>1705171</v>
      </c>
      <c r="AZ23" s="171" t="s">
        <v>775</v>
      </c>
      <c r="BA23" s="171">
        <v>1705156</v>
      </c>
      <c r="BB23" s="8" t="s">
        <v>776</v>
      </c>
      <c r="BC23" s="8">
        <v>1705185</v>
      </c>
      <c r="BD23" s="171" t="s">
        <v>777</v>
      </c>
      <c r="BE23" s="171">
        <v>1705180</v>
      </c>
      <c r="BF23" s="8"/>
      <c r="BG23" s="8"/>
      <c r="BH23" s="8"/>
      <c r="BI23" s="8"/>
      <c r="BJ23" s="8"/>
      <c r="BK23" s="8"/>
      <c r="BL23" s="8"/>
      <c r="BM23" s="8"/>
      <c r="BN23" s="8"/>
      <c r="BO23" s="8"/>
    </row>
    <row r="24" spans="1:67">
      <c r="A24" s="8">
        <v>22</v>
      </c>
      <c r="B24" s="172" t="s">
        <v>778</v>
      </c>
      <c r="C24" s="172">
        <v>19071127</v>
      </c>
      <c r="D24" s="8" t="s">
        <v>779</v>
      </c>
      <c r="E24" s="8">
        <v>19071102</v>
      </c>
      <c r="F24" s="172" t="s">
        <v>780</v>
      </c>
      <c r="G24" s="172">
        <v>19071098</v>
      </c>
      <c r="H24" s="8"/>
      <c r="I24" s="8"/>
      <c r="J24" s="8" t="s">
        <v>781</v>
      </c>
      <c r="K24" s="8">
        <v>19071116</v>
      </c>
      <c r="L24" s="171" t="s">
        <v>782</v>
      </c>
      <c r="M24" s="171">
        <v>19072270</v>
      </c>
      <c r="N24" s="8" t="s">
        <v>783</v>
      </c>
      <c r="O24" s="8">
        <v>19072294</v>
      </c>
      <c r="P24" s="171" t="s">
        <v>784</v>
      </c>
      <c r="Q24" s="171">
        <v>19072279</v>
      </c>
      <c r="R24" s="8" t="s">
        <v>785</v>
      </c>
      <c r="S24" s="8">
        <v>19072300</v>
      </c>
      <c r="T24" s="171" t="s">
        <v>786</v>
      </c>
      <c r="U24" s="171">
        <v>19072264</v>
      </c>
      <c r="V24" s="8" t="s">
        <v>787</v>
      </c>
      <c r="W24" s="8">
        <v>19072301</v>
      </c>
      <c r="X24" s="171" t="s">
        <v>788</v>
      </c>
      <c r="Y24" s="171">
        <v>19072240</v>
      </c>
      <c r="Z24" s="8" t="s">
        <v>789</v>
      </c>
      <c r="AA24" s="8">
        <v>18061117</v>
      </c>
      <c r="AB24" s="171" t="s">
        <v>790</v>
      </c>
      <c r="AC24" s="171">
        <v>18061086</v>
      </c>
      <c r="AD24" s="8" t="s">
        <v>791</v>
      </c>
      <c r="AE24" s="8">
        <v>18061100</v>
      </c>
      <c r="AF24" s="171" t="s">
        <v>792</v>
      </c>
      <c r="AG24" s="171">
        <v>18061083</v>
      </c>
      <c r="AH24" s="8" t="s">
        <v>793</v>
      </c>
      <c r="AI24" s="8">
        <v>18062253</v>
      </c>
      <c r="AJ24" s="171" t="s">
        <v>794</v>
      </c>
      <c r="AK24" s="171">
        <v>18062241</v>
      </c>
      <c r="AL24" s="8" t="s">
        <v>795</v>
      </c>
      <c r="AM24" s="8">
        <v>18062222</v>
      </c>
      <c r="AN24" s="171" t="s">
        <v>796</v>
      </c>
      <c r="AO24" s="171">
        <v>18062246</v>
      </c>
      <c r="AP24" s="8" t="s">
        <v>797</v>
      </c>
      <c r="AQ24" s="8">
        <v>18062257</v>
      </c>
      <c r="AR24" s="171" t="s">
        <v>798</v>
      </c>
      <c r="AS24" s="171">
        <v>1705160</v>
      </c>
      <c r="AT24" s="8" t="s">
        <v>799</v>
      </c>
      <c r="AU24" s="8">
        <v>1705147</v>
      </c>
      <c r="AV24" s="171" t="s">
        <v>800</v>
      </c>
      <c r="AW24" s="171">
        <v>1705141</v>
      </c>
      <c r="AX24" s="8" t="s">
        <v>801</v>
      </c>
      <c r="AY24" s="8">
        <v>1705182</v>
      </c>
      <c r="AZ24" s="171" t="s">
        <v>802</v>
      </c>
      <c r="BA24" s="171">
        <v>1705186</v>
      </c>
      <c r="BB24" s="8" t="s">
        <v>803</v>
      </c>
      <c r="BC24" s="8">
        <v>1705188</v>
      </c>
      <c r="BD24" s="171" t="s">
        <v>804</v>
      </c>
      <c r="BE24" s="171">
        <v>1705191</v>
      </c>
      <c r="BF24" s="8"/>
      <c r="BG24" s="8"/>
      <c r="BH24" s="8"/>
      <c r="BI24" s="8"/>
      <c r="BJ24" s="8"/>
      <c r="BK24" s="8"/>
      <c r="BL24" s="8"/>
      <c r="BM24" s="8"/>
      <c r="BN24" s="8"/>
      <c r="BO24" s="8"/>
    </row>
    <row r="25" spans="1:67">
      <c r="A25" s="8">
        <v>23</v>
      </c>
      <c r="B25" s="172" t="s">
        <v>805</v>
      </c>
      <c r="C25" s="172">
        <v>19071129</v>
      </c>
      <c r="D25" s="8" t="s">
        <v>806</v>
      </c>
      <c r="E25" s="8">
        <v>19071107</v>
      </c>
      <c r="F25" s="172" t="s">
        <v>807</v>
      </c>
      <c r="G25" s="172">
        <v>19071099</v>
      </c>
      <c r="H25" s="8"/>
      <c r="I25" s="8"/>
      <c r="J25" s="8" t="s">
        <v>808</v>
      </c>
      <c r="K25" s="8">
        <v>19071125</v>
      </c>
      <c r="L25" s="171" t="s">
        <v>809</v>
      </c>
      <c r="M25" s="171">
        <v>19072280</v>
      </c>
      <c r="N25" s="8" t="s">
        <v>810</v>
      </c>
      <c r="O25" s="8">
        <v>19072298</v>
      </c>
      <c r="P25" s="171" t="s">
        <v>811</v>
      </c>
      <c r="Q25" s="171">
        <v>19072293</v>
      </c>
      <c r="R25" s="8" t="s">
        <v>812</v>
      </c>
      <c r="S25" s="8">
        <v>19072303</v>
      </c>
      <c r="T25" s="171" t="s">
        <v>813</v>
      </c>
      <c r="U25" s="171">
        <v>19072265</v>
      </c>
      <c r="V25" s="8" t="s">
        <v>814</v>
      </c>
      <c r="W25" s="8">
        <v>19072304</v>
      </c>
      <c r="X25" s="171" t="s">
        <v>815</v>
      </c>
      <c r="Y25" s="171">
        <v>19072248</v>
      </c>
      <c r="Z25" s="8"/>
      <c r="AA25" s="8"/>
      <c r="AB25" s="171" t="s">
        <v>816</v>
      </c>
      <c r="AC25" s="171">
        <v>18061088</v>
      </c>
      <c r="AD25" s="8" t="s">
        <v>817</v>
      </c>
      <c r="AE25" s="8">
        <v>18061101</v>
      </c>
      <c r="AF25" s="171" t="s">
        <v>818</v>
      </c>
      <c r="AG25" s="171">
        <v>18061084</v>
      </c>
      <c r="AH25" s="8" t="s">
        <v>819</v>
      </c>
      <c r="AI25" s="8">
        <v>18062256</v>
      </c>
      <c r="AJ25" s="171" t="s">
        <v>820</v>
      </c>
      <c r="AK25" s="171">
        <v>18062244</v>
      </c>
      <c r="AL25" s="8" t="s">
        <v>821</v>
      </c>
      <c r="AM25" s="8">
        <v>18062228</v>
      </c>
      <c r="AN25" s="171" t="s">
        <v>822</v>
      </c>
      <c r="AO25" s="171">
        <v>18062247</v>
      </c>
      <c r="AP25" s="8" t="s">
        <v>823</v>
      </c>
      <c r="AQ25" s="8">
        <v>18062258</v>
      </c>
      <c r="AR25" s="171" t="s">
        <v>824</v>
      </c>
      <c r="AS25" s="171">
        <v>1705161</v>
      </c>
      <c r="AT25" s="8" t="s">
        <v>825</v>
      </c>
      <c r="AU25" s="8">
        <v>1705148</v>
      </c>
      <c r="AV25" s="171" t="s">
        <v>826</v>
      </c>
      <c r="AW25" s="171">
        <v>1705151</v>
      </c>
      <c r="AX25" s="8" t="s">
        <v>827</v>
      </c>
      <c r="AY25" s="8">
        <v>1705183</v>
      </c>
      <c r="AZ25" s="171" t="s">
        <v>828</v>
      </c>
      <c r="BA25" s="171">
        <v>1705189</v>
      </c>
      <c r="BB25" s="8" t="s">
        <v>829</v>
      </c>
      <c r="BC25" s="8">
        <v>1705190</v>
      </c>
      <c r="BD25" s="171" t="s">
        <v>830</v>
      </c>
      <c r="BE25" s="171">
        <v>1705194</v>
      </c>
      <c r="BF25" s="8"/>
      <c r="BG25" s="8"/>
      <c r="BH25" s="8"/>
      <c r="BI25" s="8"/>
      <c r="BJ25" s="8"/>
      <c r="BK25" s="8"/>
      <c r="BL25" s="8"/>
      <c r="BM25" s="8"/>
      <c r="BN25" s="8"/>
      <c r="BO25" s="8"/>
    </row>
    <row r="26" spans="1:67">
      <c r="A26" s="8">
        <v>24</v>
      </c>
      <c r="B26" s="8"/>
      <c r="C26" s="8"/>
      <c r="D26" s="8" t="s">
        <v>831</v>
      </c>
      <c r="E26" s="8">
        <v>19071111</v>
      </c>
      <c r="F26" s="172" t="s">
        <v>832</v>
      </c>
      <c r="G26" s="172">
        <v>19071110</v>
      </c>
      <c r="H26" s="8"/>
      <c r="I26" s="8"/>
      <c r="J26" s="8"/>
      <c r="K26" s="8"/>
      <c r="L26" s="171" t="s">
        <v>833</v>
      </c>
      <c r="M26" s="171">
        <v>19072284</v>
      </c>
      <c r="N26" s="8" t="s">
        <v>834</v>
      </c>
      <c r="O26" s="8">
        <v>19072310</v>
      </c>
      <c r="P26" s="171" t="s">
        <v>835</v>
      </c>
      <c r="Q26" s="171">
        <v>19072295</v>
      </c>
      <c r="R26" s="8" t="s">
        <v>836</v>
      </c>
      <c r="S26" s="8">
        <v>19072307</v>
      </c>
      <c r="T26" s="171" t="s">
        <v>837</v>
      </c>
      <c r="U26" s="171">
        <v>19072271</v>
      </c>
      <c r="V26" s="8" t="s">
        <v>838</v>
      </c>
      <c r="W26" s="8">
        <v>19072306</v>
      </c>
      <c r="X26" s="171" t="s">
        <v>839</v>
      </c>
      <c r="Y26" s="171">
        <v>19072258</v>
      </c>
      <c r="Z26" s="8"/>
      <c r="AA26" s="8"/>
      <c r="AB26" s="171" t="s">
        <v>840</v>
      </c>
      <c r="AC26" s="171">
        <v>18061097</v>
      </c>
      <c r="AD26" s="8" t="s">
        <v>841</v>
      </c>
      <c r="AE26" s="8">
        <v>18061105</v>
      </c>
      <c r="AF26" s="171" t="s">
        <v>842</v>
      </c>
      <c r="AG26" s="171">
        <v>18061091</v>
      </c>
      <c r="AH26" s="8" t="s">
        <v>843</v>
      </c>
      <c r="AI26" s="8">
        <v>18062259</v>
      </c>
      <c r="AJ26" s="171" t="s">
        <v>844</v>
      </c>
      <c r="AK26" s="171">
        <v>18062252</v>
      </c>
      <c r="AL26" s="8" t="s">
        <v>845</v>
      </c>
      <c r="AM26" s="8">
        <v>18062234</v>
      </c>
      <c r="AN26" s="171" t="s">
        <v>846</v>
      </c>
      <c r="AO26" s="171">
        <v>18062249</v>
      </c>
      <c r="AP26" s="8" t="s">
        <v>847</v>
      </c>
      <c r="AQ26" s="8">
        <v>18062262</v>
      </c>
      <c r="AR26" s="171" t="s">
        <v>178</v>
      </c>
      <c r="AS26" s="171">
        <v>1705162</v>
      </c>
      <c r="AT26" s="8" t="s">
        <v>176</v>
      </c>
      <c r="AU26" s="8">
        <v>1705149</v>
      </c>
      <c r="AV26" s="171" t="s">
        <v>848</v>
      </c>
      <c r="AW26" s="171">
        <v>1705159</v>
      </c>
      <c r="AX26" s="8" t="s">
        <v>849</v>
      </c>
      <c r="AY26" s="8">
        <v>1705187</v>
      </c>
      <c r="AZ26" s="171" t="s">
        <v>850</v>
      </c>
      <c r="BA26" s="171">
        <v>1705192</v>
      </c>
      <c r="BB26" s="8" t="s">
        <v>851</v>
      </c>
      <c r="BC26" s="8">
        <v>1705203</v>
      </c>
      <c r="BD26" s="171" t="s">
        <v>852</v>
      </c>
      <c r="BE26" s="171">
        <v>1705209</v>
      </c>
      <c r="BF26" s="8"/>
      <c r="BG26" s="8"/>
      <c r="BH26" s="8"/>
      <c r="BI26" s="8"/>
      <c r="BJ26" s="8"/>
      <c r="BK26" s="8"/>
      <c r="BL26" s="8"/>
      <c r="BM26" s="8"/>
      <c r="BN26" s="8"/>
      <c r="BO26" s="8"/>
    </row>
    <row r="27" spans="1:67">
      <c r="A27" s="8">
        <v>25</v>
      </c>
      <c r="B27" s="8"/>
      <c r="C27" s="8"/>
      <c r="D27" s="8" t="s">
        <v>853</v>
      </c>
      <c r="E27" s="8">
        <v>19071112</v>
      </c>
      <c r="F27" s="172" t="s">
        <v>854</v>
      </c>
      <c r="G27" s="172">
        <v>19071114</v>
      </c>
      <c r="H27" s="8"/>
      <c r="I27" s="8"/>
      <c r="J27" s="8"/>
      <c r="K27" s="8"/>
      <c r="L27" s="171" t="s">
        <v>855</v>
      </c>
      <c r="M27" s="171">
        <v>19072286</v>
      </c>
      <c r="N27" s="8" t="s">
        <v>856</v>
      </c>
      <c r="O27" s="8">
        <v>19072317</v>
      </c>
      <c r="P27" s="171" t="s">
        <v>857</v>
      </c>
      <c r="Q27" s="171">
        <v>19072297</v>
      </c>
      <c r="R27" s="8" t="s">
        <v>858</v>
      </c>
      <c r="S27" s="8">
        <v>19072312</v>
      </c>
      <c r="T27" s="171" t="s">
        <v>859</v>
      </c>
      <c r="U27" s="171">
        <v>19072283</v>
      </c>
      <c r="V27" s="8" t="s">
        <v>860</v>
      </c>
      <c r="W27" s="8">
        <v>19072309</v>
      </c>
      <c r="X27" s="171" t="s">
        <v>861</v>
      </c>
      <c r="Y27" s="171">
        <v>19072269</v>
      </c>
      <c r="Z27" s="8"/>
      <c r="AA27" s="8"/>
      <c r="AB27" s="171" t="s">
        <v>862</v>
      </c>
      <c r="AC27" s="171">
        <v>18061098</v>
      </c>
      <c r="AD27" s="8" t="s">
        <v>863</v>
      </c>
      <c r="AE27" s="8">
        <v>18061108</v>
      </c>
      <c r="AF27" s="171" t="s">
        <v>864</v>
      </c>
      <c r="AG27" s="171">
        <v>18061095</v>
      </c>
      <c r="AH27" s="8" t="s">
        <v>865</v>
      </c>
      <c r="AI27" s="8">
        <v>18062263</v>
      </c>
      <c r="AJ27" s="171" t="s">
        <v>866</v>
      </c>
      <c r="AK27" s="171">
        <v>18062254</v>
      </c>
      <c r="AL27" s="8" t="s">
        <v>867</v>
      </c>
      <c r="AM27" s="8">
        <v>18062239</v>
      </c>
      <c r="AN27" s="171" t="s">
        <v>868</v>
      </c>
      <c r="AO27" s="171">
        <v>18062250</v>
      </c>
      <c r="AP27" s="8" t="s">
        <v>869</v>
      </c>
      <c r="AQ27" s="8">
        <v>18062270</v>
      </c>
      <c r="AR27" s="171" t="s">
        <v>870</v>
      </c>
      <c r="AS27" s="171">
        <v>1705198</v>
      </c>
      <c r="AT27" s="8" t="s">
        <v>871</v>
      </c>
      <c r="AU27" s="8">
        <v>1705150</v>
      </c>
      <c r="AV27" s="171" t="s">
        <v>872</v>
      </c>
      <c r="AW27" s="171">
        <v>1705175</v>
      </c>
      <c r="AX27" s="8" t="s">
        <v>873</v>
      </c>
      <c r="AY27" s="8">
        <v>1705193</v>
      </c>
      <c r="AZ27" s="171" t="s">
        <v>874</v>
      </c>
      <c r="BA27" s="171">
        <v>1705206</v>
      </c>
      <c r="BB27" s="8" t="s">
        <v>875</v>
      </c>
      <c r="BC27" s="8">
        <v>1705204</v>
      </c>
      <c r="BD27" s="171" t="s">
        <v>876</v>
      </c>
      <c r="BE27" s="171">
        <v>1705205</v>
      </c>
      <c r="BF27" s="8"/>
      <c r="BG27" s="8"/>
      <c r="BH27" s="8"/>
      <c r="BI27" s="8"/>
      <c r="BJ27" s="8"/>
      <c r="BK27" s="8"/>
      <c r="BL27" s="8"/>
      <c r="BM27" s="8"/>
      <c r="BN27" s="8"/>
      <c r="BO27" s="8"/>
    </row>
    <row r="28" spans="1:67">
      <c r="A28" s="8">
        <v>26</v>
      </c>
      <c r="B28" s="8"/>
      <c r="C28" s="8"/>
      <c r="D28" s="8" t="s">
        <v>877</v>
      </c>
      <c r="E28" s="8">
        <v>19071117</v>
      </c>
      <c r="F28" s="172" t="s">
        <v>878</v>
      </c>
      <c r="G28" s="172">
        <v>19071115</v>
      </c>
      <c r="H28" s="8"/>
      <c r="I28" s="8"/>
      <c r="J28" s="8"/>
      <c r="K28" s="8"/>
      <c r="L28" s="171" t="s">
        <v>879</v>
      </c>
      <c r="M28" s="171">
        <v>19072299</v>
      </c>
      <c r="N28" s="8"/>
      <c r="O28" s="8"/>
      <c r="P28" s="8"/>
      <c r="Q28" s="8"/>
      <c r="R28" s="8" t="s">
        <v>880</v>
      </c>
      <c r="S28" s="8">
        <v>19072313</v>
      </c>
      <c r="T28" s="171" t="s">
        <v>881</v>
      </c>
      <c r="U28" s="171">
        <v>19072315</v>
      </c>
      <c r="V28" s="8"/>
      <c r="W28" s="8"/>
      <c r="X28" s="171" t="s">
        <v>882</v>
      </c>
      <c r="Y28" s="171">
        <v>19072272</v>
      </c>
      <c r="Z28" s="8"/>
      <c r="AA28" s="8"/>
      <c r="AB28" s="171" t="s">
        <v>883</v>
      </c>
      <c r="AC28" s="171">
        <v>18061109</v>
      </c>
      <c r="AD28" s="8" t="s">
        <v>884</v>
      </c>
      <c r="AE28" s="8">
        <v>18061115</v>
      </c>
      <c r="AF28" s="171" t="s">
        <v>885</v>
      </c>
      <c r="AG28" s="171">
        <v>18061104</v>
      </c>
      <c r="AH28" s="8" t="s">
        <v>886</v>
      </c>
      <c r="AI28" s="8">
        <v>18062273</v>
      </c>
      <c r="AJ28" s="171" t="s">
        <v>887</v>
      </c>
      <c r="AK28" s="171">
        <v>18062260</v>
      </c>
      <c r="AL28" s="8" t="s">
        <v>888</v>
      </c>
      <c r="AM28" s="8">
        <v>18062255</v>
      </c>
      <c r="AN28" s="171" t="s">
        <v>889</v>
      </c>
      <c r="AO28" s="171">
        <v>18062261</v>
      </c>
      <c r="AP28" s="8" t="s">
        <v>890</v>
      </c>
      <c r="AQ28" s="8">
        <v>18062272</v>
      </c>
      <c r="AR28" s="171" t="s">
        <v>891</v>
      </c>
      <c r="AS28" s="171">
        <v>1705200</v>
      </c>
      <c r="AT28" s="8" t="s">
        <v>179</v>
      </c>
      <c r="AU28" s="8">
        <v>1705178</v>
      </c>
      <c r="AV28" s="171" t="s">
        <v>892</v>
      </c>
      <c r="AW28" s="171">
        <v>1705177</v>
      </c>
      <c r="AX28" s="8" t="s">
        <v>893</v>
      </c>
      <c r="AY28" s="8">
        <v>1705202</v>
      </c>
      <c r="AZ28" s="171" t="s">
        <v>894</v>
      </c>
      <c r="BA28" s="171">
        <v>1705199</v>
      </c>
      <c r="BB28" s="8"/>
      <c r="BC28" s="8"/>
      <c r="BD28" s="8"/>
      <c r="BE28" s="8"/>
      <c r="BF28" s="8"/>
      <c r="BG28" s="8"/>
      <c r="BH28" s="8"/>
      <c r="BI28" s="8"/>
      <c r="BJ28" s="8"/>
      <c r="BK28" s="8"/>
      <c r="BL28" s="8"/>
      <c r="BM28" s="8"/>
      <c r="BN28" s="8"/>
      <c r="BO28" s="8"/>
    </row>
    <row r="29" spans="1:67">
      <c r="A29" s="8">
        <v>27</v>
      </c>
      <c r="B29" s="8"/>
      <c r="C29" s="8"/>
      <c r="D29" s="8" t="s">
        <v>895</v>
      </c>
      <c r="E29" s="8">
        <v>19071119</v>
      </c>
      <c r="F29" s="172" t="s">
        <v>896</v>
      </c>
      <c r="G29" s="172">
        <v>19071121</v>
      </c>
      <c r="H29" s="8"/>
      <c r="I29" s="8"/>
      <c r="J29" s="8"/>
      <c r="K29" s="8"/>
      <c r="L29" s="8"/>
      <c r="M29" s="8"/>
      <c r="N29" s="8"/>
      <c r="O29" s="8"/>
      <c r="P29" s="8"/>
      <c r="Q29" s="8"/>
      <c r="R29" s="8" t="s">
        <v>897</v>
      </c>
      <c r="S29" s="8">
        <v>19072314</v>
      </c>
      <c r="T29" s="8"/>
      <c r="U29" s="8"/>
      <c r="V29" s="8"/>
      <c r="W29" s="8"/>
      <c r="X29" s="171" t="s">
        <v>898</v>
      </c>
      <c r="Y29" s="171">
        <v>19072274</v>
      </c>
      <c r="Z29" s="8"/>
      <c r="AA29" s="8"/>
      <c r="AB29" s="171" t="s">
        <v>899</v>
      </c>
      <c r="AC29" s="171">
        <v>18061113</v>
      </c>
      <c r="AD29" s="8" t="s">
        <v>900</v>
      </c>
      <c r="AE29" s="8">
        <v>18061118</v>
      </c>
      <c r="AF29" s="171" t="s">
        <v>901</v>
      </c>
      <c r="AG29" s="171">
        <v>18061120</v>
      </c>
      <c r="AH29" s="8" t="s">
        <v>902</v>
      </c>
      <c r="AI29" s="8">
        <v>18062275</v>
      </c>
      <c r="AJ29" s="171" t="s">
        <v>903</v>
      </c>
      <c r="AK29" s="171">
        <v>18062265</v>
      </c>
      <c r="AL29" s="8" t="s">
        <v>904</v>
      </c>
      <c r="AM29" s="8">
        <v>18062264</v>
      </c>
      <c r="AN29" s="171" t="s">
        <v>905</v>
      </c>
      <c r="AO29" s="171">
        <v>18062269</v>
      </c>
      <c r="AP29" s="8" t="s">
        <v>906</v>
      </c>
      <c r="AQ29" s="8">
        <v>18062280</v>
      </c>
      <c r="AR29" s="171" t="s">
        <v>907</v>
      </c>
      <c r="AS29" s="171">
        <v>1705201</v>
      </c>
      <c r="AT29" s="8" t="s">
        <v>180</v>
      </c>
      <c r="AU29" s="8">
        <v>1705179</v>
      </c>
      <c r="AV29" s="171" t="s">
        <v>181</v>
      </c>
      <c r="AW29" s="171">
        <v>1705195</v>
      </c>
      <c r="AX29" s="8"/>
      <c r="AY29" s="8"/>
      <c r="AZ29" s="8"/>
      <c r="BA29" s="8"/>
      <c r="BB29" s="8"/>
      <c r="BC29" s="8"/>
      <c r="BD29" s="8"/>
      <c r="BE29" s="8"/>
      <c r="BF29" s="8"/>
      <c r="BG29" s="8"/>
      <c r="BH29" s="8"/>
      <c r="BI29" s="8"/>
      <c r="BJ29" s="8"/>
      <c r="BK29" s="8"/>
      <c r="BL29" s="8"/>
      <c r="BM29" s="8"/>
      <c r="BN29" s="8"/>
      <c r="BO29" s="8"/>
    </row>
    <row r="30" spans="1:67">
      <c r="A30" s="8">
        <v>28</v>
      </c>
      <c r="B30" s="8"/>
      <c r="C30" s="8"/>
      <c r="D30" s="8" t="s">
        <v>908</v>
      </c>
      <c r="E30" s="8">
        <v>19071120</v>
      </c>
      <c r="F30" s="172" t="s">
        <v>909</v>
      </c>
      <c r="G30" s="172">
        <v>19071122</v>
      </c>
      <c r="H30" s="8"/>
      <c r="I30" s="8"/>
      <c r="J30" s="8"/>
      <c r="K30" s="8"/>
      <c r="L30" s="8"/>
      <c r="M30" s="8"/>
      <c r="N30" s="8"/>
      <c r="O30" s="8"/>
      <c r="P30" s="8"/>
      <c r="Q30" s="8"/>
      <c r="R30" s="8"/>
      <c r="S30" s="8"/>
      <c r="T30" s="8"/>
      <c r="U30" s="8"/>
      <c r="V30" s="8"/>
      <c r="W30" s="8"/>
      <c r="X30" s="171" t="s">
        <v>910</v>
      </c>
      <c r="Y30" s="171">
        <v>19072282</v>
      </c>
      <c r="Z30" s="8"/>
      <c r="AA30" s="8"/>
      <c r="AB30" s="8"/>
      <c r="AC30" s="8"/>
      <c r="AD30" s="8"/>
      <c r="AE30" s="8"/>
      <c r="AF30" s="8"/>
      <c r="AG30" s="8"/>
      <c r="AH30" s="8" t="s">
        <v>911</v>
      </c>
      <c r="AI30" s="8">
        <v>18062184</v>
      </c>
      <c r="AJ30" s="171" t="s">
        <v>912</v>
      </c>
      <c r="AK30" s="171">
        <v>18062268</v>
      </c>
      <c r="AL30" s="8" t="s">
        <v>913</v>
      </c>
      <c r="AM30" s="8">
        <v>18062278</v>
      </c>
      <c r="AN30" s="171" t="s">
        <v>914</v>
      </c>
      <c r="AO30" s="171">
        <v>18062276</v>
      </c>
      <c r="AP30" s="8"/>
      <c r="AQ30" s="8"/>
      <c r="AR30" s="8"/>
      <c r="AS30" s="8"/>
      <c r="AT30" s="8"/>
      <c r="AU30" s="8"/>
      <c r="AV30" s="171" t="s">
        <v>915</v>
      </c>
      <c r="AW30" s="171">
        <v>1705197</v>
      </c>
      <c r="AX30" s="8"/>
      <c r="AY30" s="8"/>
      <c r="AZ30" s="8"/>
      <c r="BA30" s="8"/>
      <c r="BB30" s="8"/>
      <c r="BC30" s="8"/>
      <c r="BD30" s="8"/>
      <c r="BE30" s="8"/>
      <c r="BF30" s="8"/>
      <c r="BG30" s="8"/>
      <c r="BH30" s="8"/>
      <c r="BI30" s="8"/>
      <c r="BJ30" s="8"/>
      <c r="BK30" s="8"/>
      <c r="BL30" s="8"/>
      <c r="BM30" s="8"/>
      <c r="BN30" s="8"/>
      <c r="BO30" s="8"/>
    </row>
    <row r="31" spans="1:67">
      <c r="A31" s="8">
        <v>29</v>
      </c>
      <c r="B31" s="8"/>
      <c r="C31" s="8"/>
      <c r="D31" s="8" t="s">
        <v>916</v>
      </c>
      <c r="E31" s="8">
        <v>19071123</v>
      </c>
      <c r="F31" s="172" t="s">
        <v>917</v>
      </c>
      <c r="G31" s="172">
        <v>19071124</v>
      </c>
      <c r="H31" s="8"/>
      <c r="I31" s="8"/>
      <c r="J31" s="8"/>
      <c r="K31" s="8"/>
      <c r="L31" s="8"/>
      <c r="M31" s="8"/>
      <c r="N31" s="8"/>
      <c r="O31" s="8"/>
      <c r="P31" s="8"/>
      <c r="Q31" s="8"/>
      <c r="R31" s="8"/>
      <c r="S31" s="8"/>
      <c r="T31" s="8"/>
      <c r="U31" s="8"/>
      <c r="V31" s="8"/>
      <c r="W31" s="8"/>
      <c r="X31" s="171" t="s">
        <v>918</v>
      </c>
      <c r="Y31" s="171">
        <v>19072285</v>
      </c>
      <c r="Z31" s="8"/>
      <c r="AA31" s="8"/>
      <c r="AB31" s="8"/>
      <c r="AC31" s="8"/>
      <c r="AD31" s="8"/>
      <c r="AE31" s="8"/>
      <c r="AF31" s="8"/>
      <c r="AG31" s="8"/>
      <c r="AH31" s="8" t="s">
        <v>919</v>
      </c>
      <c r="AI31" s="8">
        <v>18062236</v>
      </c>
      <c r="AJ31" s="8"/>
      <c r="AK31" s="8"/>
      <c r="AL31" s="8"/>
      <c r="AM31" s="8"/>
      <c r="AN31" s="171" t="s">
        <v>920</v>
      </c>
      <c r="AO31" s="171">
        <v>18062277</v>
      </c>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row>
    <row r="32" spans="1:67">
      <c r="A32" s="8">
        <v>30</v>
      </c>
      <c r="B32" s="8"/>
      <c r="C32" s="8"/>
      <c r="D32" s="8" t="s">
        <v>921</v>
      </c>
      <c r="E32" s="8">
        <v>19071128</v>
      </c>
      <c r="F32" s="8"/>
      <c r="G32" s="8"/>
      <c r="H32" s="8"/>
      <c r="I32" s="8"/>
      <c r="J32" s="8"/>
      <c r="K32" s="8"/>
      <c r="L32" s="8"/>
      <c r="M32" s="8"/>
      <c r="N32" s="8"/>
      <c r="O32" s="8"/>
      <c r="P32" s="8"/>
      <c r="Q32" s="8"/>
      <c r="R32" s="8"/>
      <c r="S32" s="8"/>
      <c r="T32" s="8"/>
      <c r="U32" s="8"/>
      <c r="V32" s="8"/>
      <c r="W32" s="8"/>
      <c r="X32" s="171" t="s">
        <v>922</v>
      </c>
      <c r="Y32" s="171">
        <v>19072290</v>
      </c>
      <c r="Z32" s="8"/>
      <c r="AA32" s="8"/>
      <c r="AB32" s="8"/>
      <c r="AC32" s="8"/>
      <c r="AD32" s="8"/>
      <c r="AE32" s="8"/>
      <c r="AF32" s="8"/>
      <c r="AG32" s="8"/>
      <c r="AH32" s="8" t="s">
        <v>923</v>
      </c>
      <c r="AI32" s="8">
        <v>18062267</v>
      </c>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row>
    <row r="33" spans="1:67">
      <c r="A33" s="8">
        <v>31</v>
      </c>
      <c r="B33" s="8"/>
      <c r="C33" s="8"/>
      <c r="D33" s="8"/>
      <c r="E33" s="8"/>
      <c r="F33" s="8"/>
      <c r="G33" s="8"/>
      <c r="H33" s="8"/>
      <c r="I33" s="8"/>
      <c r="J33" s="8"/>
      <c r="K33" s="8"/>
      <c r="L33" s="8"/>
      <c r="M33" s="8"/>
      <c r="N33" s="8"/>
      <c r="O33" s="8"/>
      <c r="P33" s="8"/>
      <c r="Q33" s="8"/>
      <c r="R33" s="8"/>
      <c r="S33" s="8"/>
      <c r="T33" s="8"/>
      <c r="U33" s="8"/>
      <c r="V33" s="8"/>
      <c r="W33" s="8"/>
      <c r="X33" s="171" t="s">
        <v>924</v>
      </c>
      <c r="Y33" s="171">
        <v>19072302</v>
      </c>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row>
    <row r="34" spans="1:67">
      <c r="A34" s="8">
        <v>32</v>
      </c>
      <c r="B34" s="8"/>
      <c r="C34" s="8"/>
      <c r="D34" s="8"/>
      <c r="E34" s="8"/>
      <c r="F34" s="8"/>
      <c r="G34" s="8"/>
      <c r="H34" s="8"/>
      <c r="I34" s="8"/>
      <c r="J34" s="8"/>
      <c r="K34" s="8"/>
      <c r="L34" s="8"/>
      <c r="M34" s="8"/>
      <c r="N34" s="8"/>
      <c r="O34" s="8"/>
      <c r="P34" s="8"/>
      <c r="Q34" s="8"/>
      <c r="R34" s="8"/>
      <c r="S34" s="8"/>
      <c r="T34" s="8"/>
      <c r="U34" s="8"/>
      <c r="V34" s="8"/>
      <c r="W34" s="8"/>
      <c r="X34" s="171" t="s">
        <v>925</v>
      </c>
      <c r="Y34" s="171">
        <v>19072305</v>
      </c>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row>
    <row r="35" spans="1:67">
      <c r="A35" s="8">
        <v>33</v>
      </c>
      <c r="B35" s="8"/>
      <c r="C35" s="8"/>
      <c r="D35" s="8"/>
      <c r="E35" s="8"/>
      <c r="F35" s="8"/>
      <c r="G35" s="8"/>
      <c r="H35" s="8"/>
      <c r="I35" s="8"/>
      <c r="J35" s="8"/>
      <c r="K35" s="8"/>
      <c r="L35" s="8"/>
      <c r="M35" s="8"/>
      <c r="N35" s="8"/>
      <c r="O35" s="8"/>
      <c r="P35" s="8"/>
      <c r="Q35" s="8"/>
      <c r="R35" s="8"/>
      <c r="S35" s="8"/>
      <c r="T35" s="8"/>
      <c r="U35" s="8"/>
      <c r="V35" s="8"/>
      <c r="W35" s="8"/>
      <c r="X35" s="171" t="s">
        <v>926</v>
      </c>
      <c r="Y35" s="171">
        <v>19072308</v>
      </c>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row>
    <row r="36" spans="1:67">
      <c r="A36" s="8">
        <v>34</v>
      </c>
      <c r="B36" s="8"/>
      <c r="C36" s="8"/>
      <c r="D36" s="8"/>
      <c r="E36" s="8"/>
      <c r="F36" s="8"/>
      <c r="G36" s="8"/>
      <c r="H36" s="8"/>
      <c r="I36" s="8"/>
      <c r="J36" s="8"/>
      <c r="K36" s="8"/>
      <c r="L36" s="8"/>
      <c r="M36" s="8"/>
      <c r="N36" s="8"/>
      <c r="O36" s="8"/>
      <c r="P36" s="8"/>
      <c r="Q36" s="8"/>
      <c r="R36" s="8"/>
      <c r="S36" s="8"/>
      <c r="T36" s="8"/>
      <c r="U36" s="8"/>
      <c r="V36" s="8"/>
      <c r="W36" s="8"/>
      <c r="X36" s="171" t="s">
        <v>927</v>
      </c>
      <c r="Y36" s="171">
        <v>19072311</v>
      </c>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row>
    <row r="37" spans="1:67">
      <c r="A37" s="8">
        <v>35</v>
      </c>
      <c r="B37" s="8"/>
      <c r="C37" s="8"/>
      <c r="D37" s="8"/>
      <c r="E37" s="8"/>
      <c r="F37" s="8"/>
      <c r="G37" s="8"/>
      <c r="H37" s="8"/>
      <c r="I37" s="8"/>
      <c r="J37" s="8"/>
      <c r="K37" s="8"/>
      <c r="L37" s="8"/>
      <c r="M37" s="8"/>
      <c r="N37" s="8"/>
      <c r="O37" s="8"/>
      <c r="P37" s="8"/>
      <c r="Q37" s="8"/>
      <c r="R37" s="8"/>
      <c r="S37" s="8"/>
      <c r="T37" s="8"/>
      <c r="U37" s="8"/>
      <c r="V37" s="8"/>
      <c r="W37" s="8"/>
      <c r="X37" s="171" t="s">
        <v>928</v>
      </c>
      <c r="Y37" s="171">
        <v>19072316</v>
      </c>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row>
    <row r="38" spans="1:67">
      <c r="A38" s="8">
        <v>36</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row>
    <row r="39" spans="1:67">
      <c r="A39" s="8">
        <v>37</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row>
    <row r="40" spans="1:67">
      <c r="A40" s="8">
        <v>38</v>
      </c>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row>
  </sheetData>
  <mergeCells count="2">
    <mergeCell ref="B1:C1"/>
    <mergeCell ref="F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47"/>
  <sheetViews>
    <sheetView view="pageBreakPreview" zoomScale="60" zoomScaleNormal="60" workbookViewId="0"/>
  </sheetViews>
  <sheetFormatPr defaultColWidth="9.140625" defaultRowHeight="15"/>
  <cols>
    <col min="1" max="1" width="6.140625" style="1" customWidth="1"/>
    <col min="2" max="2" width="34.5703125" style="8" customWidth="1"/>
    <col min="3" max="3" width="13" style="9" customWidth="1"/>
    <col min="4" max="4" width="23.7109375" style="9" customWidth="1"/>
    <col min="5" max="5" width="28.42578125" style="8" customWidth="1"/>
    <col min="6" max="22" width="9.7109375" style="8" customWidth="1"/>
    <col min="23" max="16384" width="9.140625" style="8"/>
  </cols>
  <sheetData>
    <row r="1" spans="1:24" ht="13.5" customHeight="1">
      <c r="A1" s="8"/>
    </row>
    <row r="2" spans="1:24" ht="26.25">
      <c r="A2" s="8"/>
      <c r="C2" s="26" t="str">
        <f>"Legger Dinas "&amp;Setting!E5&amp;" Semester "&amp;Setting!E15&amp;" "&amp;Home!K19&amp;" Kelas "&amp;Setting!E11&amp;""</f>
        <v>Legger Dinas SMA ABBS Surakarta Semester II  Kelas X.MIPA 4</v>
      </c>
    </row>
    <row r="4" spans="1:24" s="3" customFormat="1" ht="33.75" customHeight="1">
      <c r="A4" s="187" t="s">
        <v>30</v>
      </c>
      <c r="B4" s="189" t="s">
        <v>33</v>
      </c>
      <c r="C4" s="186" t="s">
        <v>34</v>
      </c>
      <c r="D4" s="186" t="s">
        <v>35</v>
      </c>
      <c r="E4" s="186" t="s">
        <v>36</v>
      </c>
      <c r="F4" s="186" t="s">
        <v>107</v>
      </c>
      <c r="G4" s="190" t="s">
        <v>95</v>
      </c>
      <c r="H4" s="190"/>
      <c r="I4" s="190"/>
      <c r="J4" s="190"/>
      <c r="K4" s="190"/>
      <c r="L4" s="190"/>
      <c r="M4" s="191" t="s">
        <v>14</v>
      </c>
      <c r="N4" s="191"/>
      <c r="O4" s="191"/>
      <c r="P4" s="191"/>
      <c r="Q4" s="192" t="s">
        <v>96</v>
      </c>
      <c r="R4" s="190"/>
      <c r="S4" s="190"/>
      <c r="T4" s="190"/>
      <c r="U4" s="193" t="s">
        <v>97</v>
      </c>
      <c r="V4" s="193"/>
      <c r="W4" s="186" t="s">
        <v>933</v>
      </c>
      <c r="X4" s="186" t="s">
        <v>934</v>
      </c>
    </row>
    <row r="5" spans="1:24" s="17" customFormat="1" ht="78.75" customHeight="1">
      <c r="A5" s="188"/>
      <c r="B5" s="189"/>
      <c r="C5" s="186"/>
      <c r="D5" s="186"/>
      <c r="E5" s="186"/>
      <c r="F5" s="186"/>
      <c r="G5" s="69" t="s">
        <v>41</v>
      </c>
      <c r="H5" s="70" t="s">
        <v>118</v>
      </c>
      <c r="I5" s="71" t="s">
        <v>10</v>
      </c>
      <c r="J5" s="70" t="s">
        <v>11</v>
      </c>
      <c r="K5" s="70" t="s">
        <v>12</v>
      </c>
      <c r="L5" s="70" t="s">
        <v>13</v>
      </c>
      <c r="M5" s="72" t="s">
        <v>15</v>
      </c>
      <c r="N5" s="73" t="s">
        <v>120</v>
      </c>
      <c r="O5" s="73" t="s">
        <v>119</v>
      </c>
      <c r="P5" s="73" t="s">
        <v>18</v>
      </c>
      <c r="Q5" s="74" t="s">
        <v>11</v>
      </c>
      <c r="R5" s="74" t="s">
        <v>20</v>
      </c>
      <c r="S5" s="74" t="s">
        <v>40</v>
      </c>
      <c r="T5" s="74" t="s">
        <v>22</v>
      </c>
      <c r="U5" s="75" t="s">
        <v>13</v>
      </c>
      <c r="V5" s="75" t="s">
        <v>23</v>
      </c>
      <c r="W5" s="186"/>
      <c r="X5" s="186"/>
    </row>
    <row r="6" spans="1:24" s="13" customFormat="1" ht="24" customHeight="1">
      <c r="A6" s="62">
        <v>1</v>
      </c>
      <c r="B6" s="62">
        <v>2</v>
      </c>
      <c r="C6" s="61">
        <v>3</v>
      </c>
      <c r="D6" s="62">
        <v>4</v>
      </c>
      <c r="E6" s="61">
        <v>5</v>
      </c>
      <c r="F6" s="61">
        <v>6</v>
      </c>
      <c r="G6" s="5">
        <v>7</v>
      </c>
      <c r="H6" s="5">
        <v>8</v>
      </c>
      <c r="I6" s="5">
        <v>9</v>
      </c>
      <c r="J6" s="5">
        <v>10</v>
      </c>
      <c r="K6" s="5">
        <v>11</v>
      </c>
      <c r="L6" s="5">
        <v>12</v>
      </c>
      <c r="M6" s="6">
        <v>13</v>
      </c>
      <c r="N6" s="6">
        <v>14</v>
      </c>
      <c r="O6" s="6">
        <v>15</v>
      </c>
      <c r="P6" s="6">
        <v>16</v>
      </c>
      <c r="Q6" s="5">
        <v>17</v>
      </c>
      <c r="R6" s="5">
        <v>18</v>
      </c>
      <c r="S6" s="5">
        <v>19</v>
      </c>
      <c r="T6" s="5">
        <v>20</v>
      </c>
      <c r="U6" s="22">
        <v>21</v>
      </c>
      <c r="V6" s="22">
        <v>22</v>
      </c>
      <c r="W6" s="173">
        <v>23</v>
      </c>
      <c r="X6" s="173">
        <v>24</v>
      </c>
    </row>
    <row r="7" spans="1:24">
      <c r="A7" s="12">
        <v>1</v>
      </c>
      <c r="B7" s="23" t="str">
        <f>IF(Setting!J6="","",Setting!J6)</f>
        <v>Abdul Fattah Irfan Al Mubaroq</v>
      </c>
      <c r="C7" s="28">
        <f>IF(Setting!J6="","",Setting!K6)</f>
        <v>2008004</v>
      </c>
      <c r="D7" s="28" t="str">
        <f>IF(Setting!J6="","",Setting!L6)</f>
        <v>0047308275</v>
      </c>
      <c r="E7" s="15" t="str">
        <f>IF(Setting!J6="","",Setting!$E$11)</f>
        <v>X.MIPA 4</v>
      </c>
      <c r="F7" s="15" t="str">
        <f>IF(Setting!J6="","",Setting!$E$15)</f>
        <v>II</v>
      </c>
      <c r="G7" s="15">
        <f>IF(Legger!J9="","",Legger!J9)</f>
        <v>88</v>
      </c>
      <c r="H7" s="15">
        <f>IF(Legger!P9="","",Legger!P9)</f>
        <v>84</v>
      </c>
      <c r="I7" s="15">
        <f>IF(Legger!V9="","",Legger!V9)</f>
        <v>84</v>
      </c>
      <c r="J7" s="15">
        <f>IF(Legger!AB9="","",Legger!AB9)</f>
        <v>80</v>
      </c>
      <c r="K7" s="15">
        <f>IF(Legger!AH9="","",Legger!AH9)</f>
        <v>84</v>
      </c>
      <c r="L7" s="15">
        <f>IF(Legger!AN9="","",Legger!AN9)</f>
        <v>84</v>
      </c>
      <c r="M7" s="15">
        <f>IF(Legger!AT9="","",Legger!AT9)</f>
        <v>80</v>
      </c>
      <c r="N7" s="101">
        <f>IF(Legger!AZ9="","",Legger!AZ9)</f>
        <v>88</v>
      </c>
      <c r="O7" s="15">
        <f>IF(Legger!BF9="","",Legger!BF9)</f>
        <v>83</v>
      </c>
      <c r="P7" s="15">
        <f>IF(Legger!BL9="","",Legger!BL9)</f>
        <v>87</v>
      </c>
      <c r="Q7" s="15">
        <f>IF(Legger!BR9="","",Legger!BR9)</f>
        <v>80</v>
      </c>
      <c r="R7" s="15">
        <f>IF(Legger!BX9="","",Legger!BX9)</f>
        <v>84</v>
      </c>
      <c r="S7" s="15">
        <f>IF(Legger!CD9="","",Legger!CD9)</f>
        <v>82</v>
      </c>
      <c r="T7" s="15">
        <f>IF(Legger!CJ9="","",Legger!CJ9)</f>
        <v>80</v>
      </c>
      <c r="U7" s="15">
        <f>IF(Legger!CP9="","",Legger!CP9)</f>
        <v>82</v>
      </c>
      <c r="V7" s="15">
        <f>IF(Legger!CV9="","",Legger!CV9)</f>
        <v>92</v>
      </c>
      <c r="W7" s="15">
        <f>IF(Setting!J6="","",SUM(G7:V7))</f>
        <v>1342</v>
      </c>
      <c r="X7" s="15" t="e">
        <f>IF(Setting!J6="","",RANK(W7,$W$7:$W$46))</f>
        <v>#DIV/0!</v>
      </c>
    </row>
    <row r="8" spans="1:24">
      <c r="A8" s="12">
        <v>2</v>
      </c>
      <c r="B8" s="23" t="str">
        <f>IF(Setting!J7="","",Setting!J7)</f>
        <v>Adam Zidane Danata Pranugroho</v>
      </c>
      <c r="C8" s="28">
        <f>IF(Setting!J7="","",Setting!K7)</f>
        <v>2008009</v>
      </c>
      <c r="D8" s="28" t="str">
        <f>IF(Setting!J7="","",Setting!L7)</f>
        <v>0051700957</v>
      </c>
      <c r="E8" s="15" t="str">
        <f>IF(Setting!J7="","",Setting!$E$11)</f>
        <v>X.MIPA 4</v>
      </c>
      <c r="F8" s="15" t="str">
        <f>IF(Setting!J7="","",Setting!$E$15)</f>
        <v>II</v>
      </c>
      <c r="G8" s="15">
        <f>IF(Legger!J10="","",Legger!J10)</f>
        <v>91</v>
      </c>
      <c r="H8" s="15">
        <f>IF(Legger!P10="","",Legger!P10)</f>
        <v>89</v>
      </c>
      <c r="I8" s="15">
        <f>IF(Legger!V10="","",Legger!V10)</f>
        <v>91</v>
      </c>
      <c r="J8" s="15">
        <f>IF(Legger!AB10="","",Legger!AB10)</f>
        <v>85</v>
      </c>
      <c r="K8" s="15">
        <f>IF(Legger!AH10="","",Legger!AH10)</f>
        <v>94</v>
      </c>
      <c r="L8" s="15">
        <f>IF(Legger!AN10="","",Legger!AN10)</f>
        <v>92</v>
      </c>
      <c r="M8" s="15">
        <f>IF(Legger!AT10="","",Legger!AT10)</f>
        <v>88</v>
      </c>
      <c r="N8" s="101">
        <f>IF(Legger!AZ10="","",Legger!AZ10)</f>
        <v>89</v>
      </c>
      <c r="O8" s="15">
        <f>IF(Legger!BF10="","",Legger!BF10)</f>
        <v>92</v>
      </c>
      <c r="P8" s="15">
        <f>IF(Legger!BL10="","",Legger!BL10)</f>
        <v>89</v>
      </c>
      <c r="Q8" s="15">
        <f>IF(Legger!BR10="","",Legger!BR10)</f>
        <v>83</v>
      </c>
      <c r="R8" s="15">
        <f>IF(Legger!BX10="","",Legger!BX10)</f>
        <v>89</v>
      </c>
      <c r="S8" s="15">
        <f>IF(Legger!CD10="","",Legger!CD10)</f>
        <v>91</v>
      </c>
      <c r="T8" s="15">
        <f>IF(Legger!CJ10="","",Legger!CJ10)</f>
        <v>84</v>
      </c>
      <c r="U8" s="15">
        <f>IF(Legger!CP10="","",Legger!CP10)</f>
        <v>91</v>
      </c>
      <c r="V8" s="15">
        <f>IF(Legger!CV10="","",Legger!CV10)</f>
        <v>88</v>
      </c>
      <c r="W8" s="15">
        <f>IF(Setting!J7="","",SUM(G8:V8))</f>
        <v>1426</v>
      </c>
      <c r="X8" s="15" t="e">
        <f>IF(Setting!J7="","",RANK(W8,$W$7:$W$46))</f>
        <v>#DIV/0!</v>
      </c>
    </row>
    <row r="9" spans="1:24">
      <c r="A9" s="12">
        <v>3</v>
      </c>
      <c r="B9" s="23" t="str">
        <f>IF(Setting!J8="","",Setting!J8)</f>
        <v>Ahmad Fikry</v>
      </c>
      <c r="C9" s="28">
        <f>IF(Setting!J8="","",Setting!K8)</f>
        <v>2008021</v>
      </c>
      <c r="D9" s="28" t="str">
        <f>IF(Setting!J8="","",Setting!L8)</f>
        <v xml:space="preserve">0050998196 </v>
      </c>
      <c r="E9" s="15" t="str">
        <f>IF(Setting!J8="","",Setting!$E$11)</f>
        <v>X.MIPA 4</v>
      </c>
      <c r="F9" s="15" t="str">
        <f>IF(Setting!J8="","",Setting!$E$15)</f>
        <v>II</v>
      </c>
      <c r="G9" s="15">
        <f>IF(Legger!J11="","",Legger!J11)</f>
        <v>89</v>
      </c>
      <c r="H9" s="15">
        <f>IF(Legger!P11="","",Legger!P11)</f>
        <v>85</v>
      </c>
      <c r="I9" s="15">
        <f>IF(Legger!V11="","",Legger!V11)</f>
        <v>87</v>
      </c>
      <c r="J9" s="15">
        <f>IF(Legger!AB11="","",Legger!AB11)</f>
        <v>83</v>
      </c>
      <c r="K9" s="15">
        <f>IF(Legger!AH11="","",Legger!AH11)</f>
        <v>92</v>
      </c>
      <c r="L9" s="15">
        <f>IF(Legger!AN11="","",Legger!AN11)</f>
        <v>85</v>
      </c>
      <c r="M9" s="15">
        <f>IF(Legger!AT11="","",Legger!AT11)</f>
        <v>80</v>
      </c>
      <c r="N9" s="101">
        <f>IF(Legger!AZ11="","",Legger!AZ11)</f>
        <v>88</v>
      </c>
      <c r="O9" s="15">
        <f>IF(Legger!BF11="","",Legger!BF11)</f>
        <v>92</v>
      </c>
      <c r="P9" s="15">
        <f>IF(Legger!BL11="","",Legger!BL11)</f>
        <v>90</v>
      </c>
      <c r="Q9" s="15">
        <f>IF(Legger!BR11="","",Legger!BR11)</f>
        <v>81</v>
      </c>
      <c r="R9" s="15">
        <f>IF(Legger!BX11="","",Legger!BX11)</f>
        <v>87</v>
      </c>
      <c r="S9" s="15">
        <f>IF(Legger!CD11="","",Legger!CD11)</f>
        <v>90</v>
      </c>
      <c r="T9" s="15">
        <f>IF(Legger!CJ11="","",Legger!CJ11)</f>
        <v>80</v>
      </c>
      <c r="U9" s="15">
        <f>IF(Legger!CP11="","",Legger!CP11)</f>
        <v>88</v>
      </c>
      <c r="V9" s="15">
        <f>IF(Legger!CV11="","",Legger!CV11)</f>
        <v>88</v>
      </c>
      <c r="W9" s="15">
        <f>IF(Setting!J8="","",SUM(G9:V9))</f>
        <v>1385</v>
      </c>
      <c r="X9" s="15" t="e">
        <f>IF(Setting!J8="","",RANK(W9,$W$7:$W$46))</f>
        <v>#DIV/0!</v>
      </c>
    </row>
    <row r="10" spans="1:24">
      <c r="A10" s="12">
        <v>4</v>
      </c>
      <c r="B10" s="23" t="str">
        <f>IF(Setting!J9="","",Setting!J9)</f>
        <v>Akhmad Rifki Assegaf</v>
      </c>
      <c r="C10" s="28">
        <f>IF(Setting!J9="","",Setting!K9)</f>
        <v>2008029</v>
      </c>
      <c r="D10" s="28" t="str">
        <f>IF(Setting!J9="","",Setting!L9)</f>
        <v xml:space="preserve">0058425358 </v>
      </c>
      <c r="E10" s="15" t="str">
        <f>IF(Setting!J9="","",Setting!$E$11)</f>
        <v>X.MIPA 4</v>
      </c>
      <c r="F10" s="15" t="str">
        <f>IF(Setting!J9="","",Setting!$E$15)</f>
        <v>II</v>
      </c>
      <c r="G10" s="15">
        <f>IF(Legger!J12="","",Legger!J12)</f>
        <v>81</v>
      </c>
      <c r="H10" s="15">
        <f>IF(Legger!P12="","",Legger!P12)</f>
        <v>86</v>
      </c>
      <c r="I10" s="15">
        <f>IF(Legger!V12="","",Legger!V12)</f>
        <v>80</v>
      </c>
      <c r="J10" s="15">
        <f>IF(Legger!AB12="","",Legger!AB12)</f>
        <v>87</v>
      </c>
      <c r="K10" s="15">
        <f>IF(Legger!AH12="","",Legger!AH12)</f>
        <v>86</v>
      </c>
      <c r="L10" s="15">
        <f>IF(Legger!AN12="","",Legger!AN12)</f>
        <v>47</v>
      </c>
      <c r="M10" s="15" t="str">
        <f>IF(Legger!AT12="","",Legger!AT12)</f>
        <v/>
      </c>
      <c r="N10" s="101" t="e">
        <f>IF(Legger!AZ12="","",Legger!AZ12)</f>
        <v>#DIV/0!</v>
      </c>
      <c r="O10" s="15">
        <f>IF(Legger!BF12="","",Legger!BF12)</f>
        <v>88</v>
      </c>
      <c r="P10" s="15">
        <f>IF(Legger!BL12="","",Legger!BL12)</f>
        <v>85</v>
      </c>
      <c r="Q10" s="15">
        <f>IF(Legger!BR12="","",Legger!BR12)</f>
        <v>84</v>
      </c>
      <c r="R10" s="15">
        <f>IF(Legger!BX12="","",Legger!BX12)</f>
        <v>81</v>
      </c>
      <c r="S10" s="15">
        <f>IF(Legger!CD12="","",Legger!CD12)</f>
        <v>90</v>
      </c>
      <c r="T10" s="15">
        <f>IF(Legger!CJ12="","",Legger!CJ12)</f>
        <v>81</v>
      </c>
      <c r="U10" s="15">
        <f>IF(Legger!CP12="","",Legger!CP12)</f>
        <v>44</v>
      </c>
      <c r="V10" s="15">
        <f>IF(Legger!CV12="","",Legger!CV12)</f>
        <v>47</v>
      </c>
      <c r="W10" s="15" t="e">
        <f>IF(Setting!J9="","",SUM(G10:V10))</f>
        <v>#DIV/0!</v>
      </c>
      <c r="X10" s="15" t="e">
        <f>IF(Setting!J9="","",RANK(W10,$W$7:$W$46))</f>
        <v>#DIV/0!</v>
      </c>
    </row>
    <row r="11" spans="1:24">
      <c r="A11" s="12">
        <v>5</v>
      </c>
      <c r="B11" s="23" t="str">
        <f>IF(Setting!J10="","",Setting!J10)</f>
        <v>Almas Sabih Wahindra</v>
      </c>
      <c r="C11" s="28">
        <f>IF(Setting!J10="","",Setting!K10)</f>
        <v>2008034</v>
      </c>
      <c r="D11" s="28" t="str">
        <f>IF(Setting!J10="","",Setting!L10)</f>
        <v>0059000208</v>
      </c>
      <c r="E11" s="15" t="str">
        <f>IF(Setting!J10="","",Setting!$E$11)</f>
        <v>X.MIPA 4</v>
      </c>
      <c r="F11" s="15" t="str">
        <f>IF(Setting!J10="","",Setting!$E$15)</f>
        <v>II</v>
      </c>
      <c r="G11" s="15">
        <f>IF(Legger!J13="","",Legger!J13)</f>
        <v>88</v>
      </c>
      <c r="H11" s="15">
        <f>IF(Legger!P13="","",Legger!P13)</f>
        <v>87</v>
      </c>
      <c r="I11" s="15">
        <f>IF(Legger!V13="","",Legger!V13)</f>
        <v>86</v>
      </c>
      <c r="J11" s="15">
        <f>IF(Legger!AB13="","",Legger!AB13)</f>
        <v>80</v>
      </c>
      <c r="K11" s="15">
        <f>IF(Legger!AH13="","",Legger!AH13)</f>
        <v>93</v>
      </c>
      <c r="L11" s="15">
        <f>IF(Legger!AN13="","",Legger!AN13)</f>
        <v>85</v>
      </c>
      <c r="M11" s="15">
        <f>IF(Legger!AT13="","",Legger!AT13)</f>
        <v>80</v>
      </c>
      <c r="N11" s="101">
        <f>IF(Legger!AZ13="","",Legger!AZ13)</f>
        <v>89</v>
      </c>
      <c r="O11" s="15">
        <f>IF(Legger!BF13="","",Legger!BF13)</f>
        <v>87</v>
      </c>
      <c r="P11" s="15">
        <f>IF(Legger!BL13="","",Legger!BL13)</f>
        <v>90</v>
      </c>
      <c r="Q11" s="15">
        <f>IF(Legger!BR13="","",Legger!BR13)</f>
        <v>80</v>
      </c>
      <c r="R11" s="15">
        <f>IF(Legger!BX13="","",Legger!BX13)</f>
        <v>87</v>
      </c>
      <c r="S11" s="15">
        <f>IF(Legger!CD13="","",Legger!CD13)</f>
        <v>91</v>
      </c>
      <c r="T11" s="15">
        <f>IF(Legger!CJ13="","",Legger!CJ13)</f>
        <v>80</v>
      </c>
      <c r="U11" s="15">
        <f>IF(Legger!CP13="","",Legger!CP13)</f>
        <v>87</v>
      </c>
      <c r="V11" s="15">
        <f>IF(Legger!CV13="","",Legger!CV13)</f>
        <v>85</v>
      </c>
      <c r="W11" s="15">
        <f>IF(Setting!J10="","",SUM(G11:V11))</f>
        <v>1375</v>
      </c>
      <c r="X11" s="15" t="e">
        <f>IF(Setting!J10="","",RANK(W11,$W$7:$W$46))</f>
        <v>#DIV/0!</v>
      </c>
    </row>
    <row r="12" spans="1:24">
      <c r="A12" s="12">
        <v>6</v>
      </c>
      <c r="B12" s="23" t="str">
        <f>IF(Setting!J11="","",Setting!J11)</f>
        <v>Aria Fenha Apri Buma</v>
      </c>
      <c r="C12" s="28">
        <f>IF(Setting!J11="","",Setting!K11)</f>
        <v>2008054</v>
      </c>
      <c r="D12" s="28" t="str">
        <f>IF(Setting!J11="","",Setting!L11)</f>
        <v>0058068365</v>
      </c>
      <c r="E12" s="15" t="str">
        <f>IF(Setting!J11="","",Setting!$E$11)</f>
        <v>X.MIPA 4</v>
      </c>
      <c r="F12" s="15" t="str">
        <f>IF(Setting!J11="","",Setting!$E$15)</f>
        <v>II</v>
      </c>
      <c r="G12" s="15">
        <f>IF(Legger!J14="","",Legger!J14)</f>
        <v>91</v>
      </c>
      <c r="H12" s="15">
        <f>IF(Legger!P14="","",Legger!P14)</f>
        <v>89</v>
      </c>
      <c r="I12" s="15">
        <f>IF(Legger!V14="","",Legger!V14)</f>
        <v>88</v>
      </c>
      <c r="J12" s="15">
        <f>IF(Legger!AB14="","",Legger!AB14)</f>
        <v>91</v>
      </c>
      <c r="K12" s="15">
        <f>IF(Legger!AH14="","",Legger!AH14)</f>
        <v>94</v>
      </c>
      <c r="L12" s="15">
        <f>IF(Legger!AN14="","",Legger!AN14)</f>
        <v>92</v>
      </c>
      <c r="M12" s="15">
        <f>IF(Legger!AT14="","",Legger!AT14)</f>
        <v>80</v>
      </c>
      <c r="N12" s="101">
        <f>IF(Legger!AZ14="","",Legger!AZ14)</f>
        <v>89</v>
      </c>
      <c r="O12" s="15">
        <f>IF(Legger!BF14="","",Legger!BF14)</f>
        <v>92</v>
      </c>
      <c r="P12" s="15">
        <f>IF(Legger!BL14="","",Legger!BL14)</f>
        <v>90</v>
      </c>
      <c r="Q12" s="15">
        <f>IF(Legger!BR14="","",Legger!BR14)</f>
        <v>90</v>
      </c>
      <c r="R12" s="15">
        <f>IF(Legger!BX14="","",Legger!BX14)</f>
        <v>92</v>
      </c>
      <c r="S12" s="15">
        <f>IF(Legger!CD14="","",Legger!CD14)</f>
        <v>89</v>
      </c>
      <c r="T12" s="15">
        <f>IF(Legger!CJ14="","",Legger!CJ14)</f>
        <v>80</v>
      </c>
      <c r="U12" s="15">
        <f>IF(Legger!CP14="","",Legger!CP14)</f>
        <v>88</v>
      </c>
      <c r="V12" s="15">
        <f>IF(Legger!CV14="","",Legger!CV14)</f>
        <v>89</v>
      </c>
      <c r="W12" s="15">
        <f>IF(Setting!J11="","",SUM(G12:V12))</f>
        <v>1424</v>
      </c>
      <c r="X12" s="15" t="e">
        <f>IF(Setting!J11="","",RANK(W12,$W$7:$W$46))</f>
        <v>#DIV/0!</v>
      </c>
    </row>
    <row r="13" spans="1:24">
      <c r="A13" s="12">
        <v>7</v>
      </c>
      <c r="B13" s="23" t="str">
        <f>IF(Setting!J12="","",Setting!J12)</f>
        <v>Baharuddin Barkah Pratama</v>
      </c>
      <c r="C13" s="28">
        <f>IF(Setting!J12="","",Setting!K12)</f>
        <v>2008075</v>
      </c>
      <c r="D13" s="28" t="str">
        <f>IF(Setting!J12="","",Setting!L12)</f>
        <v>0024374235</v>
      </c>
      <c r="E13" s="15" t="str">
        <f>IF(Setting!J12="","",Setting!$E$11)</f>
        <v>X.MIPA 4</v>
      </c>
      <c r="F13" s="15" t="str">
        <f>IF(Setting!J12="","",Setting!$E$15)</f>
        <v>II</v>
      </c>
      <c r="G13" s="15">
        <f>IF(Legger!J15="","",Legger!J15)</f>
        <v>80</v>
      </c>
      <c r="H13" s="15">
        <f>IF(Legger!P15="","",Legger!P15)</f>
        <v>87</v>
      </c>
      <c r="I13" s="15">
        <f>IF(Legger!V15="","",Legger!V15)</f>
        <v>86</v>
      </c>
      <c r="J13" s="15">
        <f>IF(Legger!AB15="","",Legger!AB15)</f>
        <v>80</v>
      </c>
      <c r="K13" s="15">
        <f>IF(Legger!AH15="","",Legger!AH15)</f>
        <v>91</v>
      </c>
      <c r="L13" s="15">
        <f>IF(Legger!AN15="","",Legger!AN15)</f>
        <v>83</v>
      </c>
      <c r="M13" s="15">
        <f>IF(Legger!AT15="","",Legger!AT15)</f>
        <v>80</v>
      </c>
      <c r="N13" s="101">
        <f>IF(Legger!AZ15="","",Legger!AZ15)</f>
        <v>88</v>
      </c>
      <c r="O13" s="15">
        <f>IF(Legger!BF15="","",Legger!BF15)</f>
        <v>83</v>
      </c>
      <c r="P13" s="15">
        <f>IF(Legger!BL15="","",Legger!BL15)</f>
        <v>87</v>
      </c>
      <c r="Q13" s="15">
        <f>IF(Legger!BR15="","",Legger!BR15)</f>
        <v>80</v>
      </c>
      <c r="R13" s="15">
        <f>IF(Legger!BX15="","",Legger!BX15)</f>
        <v>82</v>
      </c>
      <c r="S13" s="15">
        <f>IF(Legger!CD15="","",Legger!CD15)</f>
        <v>82</v>
      </c>
      <c r="T13" s="15">
        <f>IF(Legger!CJ15="","",Legger!CJ15)</f>
        <v>80</v>
      </c>
      <c r="U13" s="15">
        <f>IF(Legger!CP15="","",Legger!CP15)</f>
        <v>85</v>
      </c>
      <c r="V13" s="15">
        <f>IF(Legger!CV15="","",Legger!CV15)</f>
        <v>85</v>
      </c>
      <c r="W13" s="15">
        <f>IF(Setting!J12="","",SUM(G13:V13))</f>
        <v>1339</v>
      </c>
      <c r="X13" s="15" t="e">
        <f>IF(Setting!J12="","",RANK(W13,$W$7:$W$46))</f>
        <v>#DIV/0!</v>
      </c>
    </row>
    <row r="14" spans="1:24">
      <c r="A14" s="12">
        <v>8</v>
      </c>
      <c r="B14" s="23" t="str">
        <f>IF(Setting!J13="","",Setting!J13)</f>
        <v>Daffa Arya Pudyastungkara</v>
      </c>
      <c r="C14" s="28">
        <f>IF(Setting!J13="","",Setting!K13)</f>
        <v>2008089</v>
      </c>
      <c r="D14" s="28" t="str">
        <f>IF(Setting!J13="","",Setting!L13)</f>
        <v>0043620048</v>
      </c>
      <c r="E14" s="15" t="str">
        <f>IF(Setting!J13="","",Setting!$E$11)</f>
        <v>X.MIPA 4</v>
      </c>
      <c r="F14" s="15" t="str">
        <f>IF(Setting!J13="","",Setting!$E$15)</f>
        <v>II</v>
      </c>
      <c r="G14" s="15">
        <f>IF(Legger!J16="","",Legger!J16)</f>
        <v>90</v>
      </c>
      <c r="H14" s="15">
        <f>IF(Legger!P16="","",Legger!P16)</f>
        <v>89</v>
      </c>
      <c r="I14" s="15">
        <f>IF(Legger!V16="","",Legger!V16)</f>
        <v>89</v>
      </c>
      <c r="J14" s="15">
        <f>IF(Legger!AB16="","",Legger!AB16)</f>
        <v>88</v>
      </c>
      <c r="K14" s="15">
        <f>IF(Legger!AH16="","",Legger!AH16)</f>
        <v>93</v>
      </c>
      <c r="L14" s="15">
        <f>IF(Legger!AN16="","",Legger!AN16)</f>
        <v>88</v>
      </c>
      <c r="M14" s="15">
        <f>IF(Legger!AT16="","",Legger!AT16)</f>
        <v>80</v>
      </c>
      <c r="N14" s="101">
        <f>IF(Legger!AZ16="","",Legger!AZ16)</f>
        <v>89</v>
      </c>
      <c r="O14" s="15">
        <f>IF(Legger!BF16="","",Legger!BF16)</f>
        <v>91</v>
      </c>
      <c r="P14" s="15">
        <f>IF(Legger!BL16="","",Legger!BL16)</f>
        <v>90</v>
      </c>
      <c r="Q14" s="15">
        <f>IF(Legger!BR16="","",Legger!BR16)</f>
        <v>86</v>
      </c>
      <c r="R14" s="15">
        <f>IF(Legger!BX16="","",Legger!BX16)</f>
        <v>92</v>
      </c>
      <c r="S14" s="15">
        <f>IF(Legger!CD16="","",Legger!CD16)</f>
        <v>91</v>
      </c>
      <c r="T14" s="15">
        <f>IF(Legger!CJ16="","",Legger!CJ16)</f>
        <v>80</v>
      </c>
      <c r="U14" s="15">
        <f>IF(Legger!CP16="","",Legger!CP16)</f>
        <v>90</v>
      </c>
      <c r="V14" s="15">
        <f>IF(Legger!CV16="","",Legger!CV16)</f>
        <v>84</v>
      </c>
      <c r="W14" s="15">
        <f>IF(Setting!J13="","",SUM(G14:V14))</f>
        <v>1410</v>
      </c>
      <c r="X14" s="15" t="e">
        <f>IF(Setting!J13="","",RANK(W14,$W$7:$W$46))</f>
        <v>#DIV/0!</v>
      </c>
    </row>
    <row r="15" spans="1:24">
      <c r="A15" s="12">
        <v>9</v>
      </c>
      <c r="B15" s="23" t="str">
        <f>IF(Setting!J14="","",Setting!J14)</f>
        <v>Dody Muhammad Pasha</v>
      </c>
      <c r="C15" s="28">
        <f>IF(Setting!J14="","",Setting!K14)</f>
        <v>2008095</v>
      </c>
      <c r="D15" s="28" t="str">
        <f>IF(Setting!J14="","",Setting!L14)</f>
        <v>0053814584</v>
      </c>
      <c r="E15" s="15" t="str">
        <f>IF(Setting!J14="","",Setting!$E$11)</f>
        <v>X.MIPA 4</v>
      </c>
      <c r="F15" s="15" t="str">
        <f>IF(Setting!J14="","",Setting!$E$15)</f>
        <v>II</v>
      </c>
      <c r="G15" s="15">
        <f>IF(Legger!J17="","",Legger!J17)</f>
        <v>92</v>
      </c>
      <c r="H15" s="15">
        <f>IF(Legger!P17="","",Legger!P17)</f>
        <v>91</v>
      </c>
      <c r="I15" s="15">
        <f>IF(Legger!V17="","",Legger!V17)</f>
        <v>87</v>
      </c>
      <c r="J15" s="15">
        <f>IF(Legger!AB17="","",Legger!AB17)</f>
        <v>90</v>
      </c>
      <c r="K15" s="15">
        <f>IF(Legger!AH17="","",Legger!AH17)</f>
        <v>93</v>
      </c>
      <c r="L15" s="15">
        <f>IF(Legger!AN17="","",Legger!AN17)</f>
        <v>91</v>
      </c>
      <c r="M15" s="15">
        <f>IF(Legger!AT17="","",Legger!AT17)</f>
        <v>90</v>
      </c>
      <c r="N15" s="101">
        <f>IF(Legger!AZ17="","",Legger!AZ17)</f>
        <v>92</v>
      </c>
      <c r="O15" s="15">
        <f>IF(Legger!BF17="","",Legger!BF17)</f>
        <v>92</v>
      </c>
      <c r="P15" s="15">
        <f>IF(Legger!BL17="","",Legger!BL17)</f>
        <v>85</v>
      </c>
      <c r="Q15" s="15">
        <f>IF(Legger!BR17="","",Legger!BR17)</f>
        <v>91</v>
      </c>
      <c r="R15" s="15">
        <f>IF(Legger!BX17="","",Legger!BX17)</f>
        <v>92</v>
      </c>
      <c r="S15" s="15">
        <f>IF(Legger!CD17="","",Legger!CD17)</f>
        <v>92</v>
      </c>
      <c r="T15" s="15">
        <f>IF(Legger!CJ17="","",Legger!CJ17)</f>
        <v>85</v>
      </c>
      <c r="U15" s="15">
        <f>IF(Legger!CP17="","",Legger!CP17)</f>
        <v>91</v>
      </c>
      <c r="V15" s="15">
        <f>IF(Legger!CV17="","",Legger!CV17)</f>
        <v>90</v>
      </c>
      <c r="W15" s="15">
        <f>IF(Setting!J14="","",SUM(G15:V15))</f>
        <v>1444</v>
      </c>
      <c r="X15" s="15" t="e">
        <f>IF(Setting!J14="","",RANK(W15,$W$7:$W$46))</f>
        <v>#DIV/0!</v>
      </c>
    </row>
    <row r="16" spans="1:24">
      <c r="A16" s="12">
        <v>10</v>
      </c>
      <c r="B16" s="23" t="str">
        <f>IF(Setting!J15="","",Setting!J15)</f>
        <v>Elga Perdana</v>
      </c>
      <c r="C16" s="28">
        <f>IF(Setting!J15="","",Setting!K15)</f>
        <v>2008099</v>
      </c>
      <c r="D16" s="28" t="str">
        <f>IF(Setting!J15="","",Setting!L15)</f>
        <v>0054718584</v>
      </c>
      <c r="E16" s="15" t="str">
        <f>IF(Setting!J15="","",Setting!$E$11)</f>
        <v>X.MIPA 4</v>
      </c>
      <c r="F16" s="15" t="str">
        <f>IF(Setting!J15="","",Setting!$E$15)</f>
        <v>II</v>
      </c>
      <c r="G16" s="15">
        <f>IF(Legger!J18="","",Legger!J18)</f>
        <v>86</v>
      </c>
      <c r="H16" s="15">
        <f>IF(Legger!P18="","",Legger!P18)</f>
        <v>88</v>
      </c>
      <c r="I16" s="15">
        <f>IF(Legger!V18="","",Legger!V18)</f>
        <v>80</v>
      </c>
      <c r="J16" s="15">
        <f>IF(Legger!AB18="","",Legger!AB18)</f>
        <v>80</v>
      </c>
      <c r="K16" s="15">
        <f>IF(Legger!AH18="","",Legger!AH18)</f>
        <v>91</v>
      </c>
      <c r="L16" s="15">
        <f>IF(Legger!AN18="","",Legger!AN18)</f>
        <v>82</v>
      </c>
      <c r="M16" s="15">
        <f>IF(Legger!AT18="","",Legger!AT18)</f>
        <v>93</v>
      </c>
      <c r="N16" s="101">
        <f>IF(Legger!AZ18="","",Legger!AZ18)</f>
        <v>88</v>
      </c>
      <c r="O16" s="15">
        <f>IF(Legger!BF18="","",Legger!BF18)</f>
        <v>81</v>
      </c>
      <c r="P16" s="15">
        <f>IF(Legger!BL18="","",Legger!BL18)</f>
        <v>90</v>
      </c>
      <c r="Q16" s="15">
        <f>IF(Legger!BR18="","",Legger!BR18)</f>
        <v>80</v>
      </c>
      <c r="R16" s="15">
        <f>IF(Legger!BX18="","",Legger!BX18)</f>
        <v>87</v>
      </c>
      <c r="S16" s="15">
        <f>IF(Legger!CD18="","",Legger!CD18)</f>
        <v>90</v>
      </c>
      <c r="T16" s="15">
        <f>IF(Legger!CJ18="","",Legger!CJ18)</f>
        <v>80</v>
      </c>
      <c r="U16" s="15">
        <f>IF(Legger!CP18="","",Legger!CP18)</f>
        <v>88</v>
      </c>
      <c r="V16" s="15">
        <f>IF(Legger!CV18="","",Legger!CV18)</f>
        <v>86</v>
      </c>
      <c r="W16" s="15">
        <f>IF(Setting!J15="","",SUM(G16:V16))</f>
        <v>1370</v>
      </c>
      <c r="X16" s="15" t="e">
        <f>IF(Setting!J15="","",RANK(W16,$W$7:$W$46))</f>
        <v>#DIV/0!</v>
      </c>
    </row>
    <row r="17" spans="1:24">
      <c r="A17" s="12">
        <v>11</v>
      </c>
      <c r="B17" s="23" t="str">
        <f>IF(Setting!J16="","",Setting!J16)</f>
        <v>Fathoni Daniswara</v>
      </c>
      <c r="C17" s="28">
        <f>IF(Setting!J16="","",Setting!K16)</f>
        <v>2008118</v>
      </c>
      <c r="D17" s="28" t="str">
        <f>IF(Setting!J16="","",Setting!L16)</f>
        <v>0057882873</v>
      </c>
      <c r="E17" s="15" t="str">
        <f>IF(Setting!J16="","",Setting!$E$11)</f>
        <v>X.MIPA 4</v>
      </c>
      <c r="F17" s="15" t="str">
        <f>IF(Setting!J16="","",Setting!$E$15)</f>
        <v>II</v>
      </c>
      <c r="G17" s="15">
        <f>IF(Legger!J19="","",Legger!J19)</f>
        <v>93</v>
      </c>
      <c r="H17" s="15">
        <f>IF(Legger!P19="","",Legger!P19)</f>
        <v>90</v>
      </c>
      <c r="I17" s="15">
        <f>IF(Legger!V19="","",Legger!V19)</f>
        <v>89</v>
      </c>
      <c r="J17" s="15">
        <f>IF(Legger!AB19="","",Legger!AB19)</f>
        <v>88</v>
      </c>
      <c r="K17" s="15">
        <f>IF(Legger!AH19="","",Legger!AH19)</f>
        <v>93</v>
      </c>
      <c r="L17" s="15">
        <f>IF(Legger!AN19="","",Legger!AN19)</f>
        <v>88</v>
      </c>
      <c r="M17" s="15">
        <f>IF(Legger!AT19="","",Legger!AT19)</f>
        <v>83</v>
      </c>
      <c r="N17" s="101">
        <f>IF(Legger!AZ19="","",Legger!AZ19)</f>
        <v>89</v>
      </c>
      <c r="O17" s="15">
        <f>IF(Legger!BF19="","",Legger!BF19)</f>
        <v>92</v>
      </c>
      <c r="P17" s="15">
        <f>IF(Legger!BL19="","",Legger!BL19)</f>
        <v>90</v>
      </c>
      <c r="Q17" s="15">
        <f>IF(Legger!BR19="","",Legger!BR19)</f>
        <v>81</v>
      </c>
      <c r="R17" s="15">
        <f>IF(Legger!BX19="","",Legger!BX19)</f>
        <v>90</v>
      </c>
      <c r="S17" s="15">
        <f>IF(Legger!CD19="","",Legger!CD19)</f>
        <v>88</v>
      </c>
      <c r="T17" s="15">
        <f>IF(Legger!CJ19="","",Legger!CJ19)</f>
        <v>81</v>
      </c>
      <c r="U17" s="15">
        <f>IF(Legger!CP19="","",Legger!CP19)</f>
        <v>88</v>
      </c>
      <c r="V17" s="15">
        <f>IF(Legger!CV19="","",Legger!CV19)</f>
        <v>82</v>
      </c>
      <c r="W17" s="15">
        <f>IF(Setting!J16="","",SUM(G17:V17))</f>
        <v>1405</v>
      </c>
      <c r="X17" s="15" t="e">
        <f>IF(Setting!J16="","",RANK(W17,$W$7:$W$46))</f>
        <v>#DIV/0!</v>
      </c>
    </row>
    <row r="18" spans="1:24">
      <c r="A18" s="12">
        <v>12</v>
      </c>
      <c r="B18" s="23" t="str">
        <f>IF(Setting!J17="","",Setting!J17)</f>
        <v>Gading Setyo Manunggal</v>
      </c>
      <c r="C18" s="28">
        <f>IF(Setting!J17="","",Setting!K17)</f>
        <v>2008127</v>
      </c>
      <c r="D18" s="28" t="str">
        <f>IF(Setting!J17="","",Setting!L17)</f>
        <v>0052532940</v>
      </c>
      <c r="E18" s="15" t="str">
        <f>IF(Setting!J17="","",Setting!$E$11)</f>
        <v>X.MIPA 4</v>
      </c>
      <c r="F18" s="15" t="str">
        <f>IF(Setting!J17="","",Setting!$E$15)</f>
        <v>II</v>
      </c>
      <c r="G18" s="15">
        <f>IF(Legger!J20="","",Legger!J20)</f>
        <v>86</v>
      </c>
      <c r="H18" s="15">
        <f>IF(Legger!P20="","",Legger!P20)</f>
        <v>85</v>
      </c>
      <c r="I18" s="15">
        <f>IF(Legger!V20="","",Legger!V20)</f>
        <v>85</v>
      </c>
      <c r="J18" s="15">
        <f>IF(Legger!AB20="","",Legger!AB20)</f>
        <v>80</v>
      </c>
      <c r="K18" s="15">
        <f>IF(Legger!AH20="","",Legger!AH20)</f>
        <v>88</v>
      </c>
      <c r="L18" s="15">
        <f>IF(Legger!AN20="","",Legger!AN20)</f>
        <v>82</v>
      </c>
      <c r="M18" s="15">
        <f>IF(Legger!AT20="","",Legger!AT20)</f>
        <v>80</v>
      </c>
      <c r="N18" s="101">
        <f>IF(Legger!AZ20="","",Legger!AZ20)</f>
        <v>86</v>
      </c>
      <c r="O18" s="15">
        <f>IF(Legger!BF20="","",Legger!BF20)</f>
        <v>85</v>
      </c>
      <c r="P18" s="15">
        <f>IF(Legger!BL20="","",Legger!BL20)</f>
        <v>88</v>
      </c>
      <c r="Q18" s="15">
        <f>IF(Legger!BR20="","",Legger!BR20)</f>
        <v>80</v>
      </c>
      <c r="R18" s="15">
        <f>IF(Legger!BX20="","",Legger!BX20)</f>
        <v>84</v>
      </c>
      <c r="S18" s="15">
        <f>IF(Legger!CD20="","",Legger!CD20)</f>
        <v>82</v>
      </c>
      <c r="T18" s="15">
        <f>IF(Legger!CJ20="","",Legger!CJ20)</f>
        <v>80</v>
      </c>
      <c r="U18" s="15">
        <f>IF(Legger!CP20="","",Legger!CP20)</f>
        <v>82</v>
      </c>
      <c r="V18" s="15">
        <f>IF(Legger!CV20="","",Legger!CV20)</f>
        <v>80</v>
      </c>
      <c r="W18" s="15">
        <f>IF(Setting!J17="","",SUM(G18:V18))</f>
        <v>1333</v>
      </c>
      <c r="X18" s="15" t="e">
        <f>IF(Setting!J17="","",RANK(W18,$W$7:$W$46))</f>
        <v>#DIV/0!</v>
      </c>
    </row>
    <row r="19" spans="1:24">
      <c r="A19" s="12">
        <v>13</v>
      </c>
      <c r="B19" s="23" t="str">
        <f>IF(Setting!J18="","",Setting!J18)</f>
        <v>Ghifari Mabrur Al Burhani</v>
      </c>
      <c r="C19" s="28">
        <f>IF(Setting!J18="","",Setting!K18)</f>
        <v>2008128</v>
      </c>
      <c r="D19" s="28" t="str">
        <f>IF(Setting!J18="","",Setting!L18)</f>
        <v>0068080234</v>
      </c>
      <c r="E19" s="15" t="str">
        <f>IF(Setting!J18="","",Setting!$E$11)</f>
        <v>X.MIPA 4</v>
      </c>
      <c r="F19" s="15" t="str">
        <f>IF(Setting!J18="","",Setting!$E$15)</f>
        <v>II</v>
      </c>
      <c r="G19" s="15">
        <f>IF(Legger!J21="","",Legger!J21)</f>
        <v>84</v>
      </c>
      <c r="H19" s="15">
        <f>IF(Legger!P21="","",Legger!P21)</f>
        <v>86</v>
      </c>
      <c r="I19" s="15">
        <f>IF(Legger!V21="","",Legger!V21)</f>
        <v>88</v>
      </c>
      <c r="J19" s="15">
        <f>IF(Legger!AB21="","",Legger!AB21)</f>
        <v>80</v>
      </c>
      <c r="K19" s="15">
        <f>IF(Legger!AH21="","",Legger!AH21)</f>
        <v>86</v>
      </c>
      <c r="L19" s="15">
        <f>IF(Legger!AN21="","",Legger!AN21)</f>
        <v>87</v>
      </c>
      <c r="M19" s="15">
        <f>IF(Legger!AT21="","",Legger!AT21)</f>
        <v>80</v>
      </c>
      <c r="N19" s="101">
        <f>IF(Legger!AZ21="","",Legger!AZ21)</f>
        <v>87</v>
      </c>
      <c r="O19" s="15">
        <f>IF(Legger!BF21="","",Legger!BF21)</f>
        <v>87</v>
      </c>
      <c r="P19" s="15">
        <f>IF(Legger!BL21="","",Legger!BL21)</f>
        <v>87</v>
      </c>
      <c r="Q19" s="15">
        <f>IF(Legger!BR21="","",Legger!BR21)</f>
        <v>83</v>
      </c>
      <c r="R19" s="15">
        <f>IF(Legger!BX21="","",Legger!BX21)</f>
        <v>82</v>
      </c>
      <c r="S19" s="15">
        <f>IF(Legger!CD21="","",Legger!CD21)</f>
        <v>80</v>
      </c>
      <c r="T19" s="15">
        <f>IF(Legger!CJ21="","",Legger!CJ21)</f>
        <v>86</v>
      </c>
      <c r="U19" s="15">
        <f>IF(Legger!CP21="","",Legger!CP21)</f>
        <v>88</v>
      </c>
      <c r="V19" s="15">
        <f>IF(Legger!CV21="","",Legger!CV21)</f>
        <v>80</v>
      </c>
      <c r="W19" s="15">
        <f>IF(Setting!J18="","",SUM(G19:V19))</f>
        <v>1351</v>
      </c>
      <c r="X19" s="15" t="e">
        <f>IF(Setting!J18="","",RANK(W19,$W$7:$W$46))</f>
        <v>#DIV/0!</v>
      </c>
    </row>
    <row r="20" spans="1:24">
      <c r="A20" s="12">
        <v>14</v>
      </c>
      <c r="B20" s="23" t="str">
        <f>IF(Setting!J19="","",Setting!J19)</f>
        <v>Hafid Mahreza Ilham</v>
      </c>
      <c r="C20" s="28">
        <f>IF(Setting!J19="","",Setting!K19)</f>
        <v>2008131</v>
      </c>
      <c r="D20" s="28" t="str">
        <f>IF(Setting!J19="","",Setting!L19)</f>
        <v xml:space="preserve"> 0058288476</v>
      </c>
      <c r="E20" s="15" t="str">
        <f>IF(Setting!J19="","",Setting!$E$11)</f>
        <v>X.MIPA 4</v>
      </c>
      <c r="F20" s="15" t="str">
        <f>IF(Setting!J19="","",Setting!$E$15)</f>
        <v>II</v>
      </c>
      <c r="G20" s="15">
        <f>IF(Legger!J22="","",Legger!J22)</f>
        <v>80</v>
      </c>
      <c r="H20" s="15">
        <f>IF(Legger!P22="","",Legger!P22)</f>
        <v>85</v>
      </c>
      <c r="I20" s="15">
        <f>IF(Legger!V22="","",Legger!V22)</f>
        <v>85</v>
      </c>
      <c r="J20" s="15">
        <f>IF(Legger!AB22="","",Legger!AB22)</f>
        <v>80</v>
      </c>
      <c r="K20" s="15">
        <f>IF(Legger!AH22="","",Legger!AH22)</f>
        <v>82</v>
      </c>
      <c r="L20" s="15">
        <f>IF(Legger!AN22="","",Legger!AN22)</f>
        <v>80</v>
      </c>
      <c r="M20" s="15">
        <f>IF(Legger!AT22="","",Legger!AT22)</f>
        <v>80</v>
      </c>
      <c r="N20" s="101">
        <f>IF(Legger!AZ22="","",Legger!AZ22)</f>
        <v>85</v>
      </c>
      <c r="O20" s="15">
        <f>IF(Legger!BF22="","",Legger!BF22)</f>
        <v>81</v>
      </c>
      <c r="P20" s="15">
        <f>IF(Legger!BL22="","",Legger!BL22)</f>
        <v>87</v>
      </c>
      <c r="Q20" s="15">
        <f>IF(Legger!BR22="","",Legger!BR22)</f>
        <v>80</v>
      </c>
      <c r="R20" s="15">
        <f>IF(Legger!BX22="","",Legger!BX22)</f>
        <v>82</v>
      </c>
      <c r="S20" s="15">
        <f>IF(Legger!CD22="","",Legger!CD22)</f>
        <v>82</v>
      </c>
      <c r="T20" s="15">
        <f>IF(Legger!CJ22="","",Legger!CJ22)</f>
        <v>80</v>
      </c>
      <c r="U20" s="15">
        <f>IF(Legger!CP22="","",Legger!CP22)</f>
        <v>80</v>
      </c>
      <c r="V20" s="15">
        <f>IF(Legger!CV22="","",Legger!CV22)</f>
        <v>80</v>
      </c>
      <c r="W20" s="15">
        <f>IF(Setting!J19="","",SUM(G20:V20))</f>
        <v>1309</v>
      </c>
      <c r="X20" s="15" t="e">
        <f>IF(Setting!J19="","",RANK(W20,$W$7:$W$46))</f>
        <v>#DIV/0!</v>
      </c>
    </row>
    <row r="21" spans="1:24">
      <c r="A21" s="12">
        <v>15</v>
      </c>
      <c r="B21" s="23" t="str">
        <f>IF(Setting!J20="","",Setting!J20)</f>
        <v>Haidar Rafif Hibatulloh</v>
      </c>
      <c r="C21" s="28">
        <f>IF(Setting!J20="","",Setting!K20)</f>
        <v>2008132</v>
      </c>
      <c r="D21" s="28" t="str">
        <f>IF(Setting!J20="","",Setting!L20)</f>
        <v>0054005743</v>
      </c>
      <c r="E21" s="15" t="str">
        <f>IF(Setting!J20="","",Setting!$E$11)</f>
        <v>X.MIPA 4</v>
      </c>
      <c r="F21" s="15" t="str">
        <f>IF(Setting!J20="","",Setting!$E$15)</f>
        <v>II</v>
      </c>
      <c r="G21" s="15">
        <f>IF(Legger!J23="","",Legger!J23)</f>
        <v>88</v>
      </c>
      <c r="H21" s="15">
        <f>IF(Legger!P23="","",Legger!P23)</f>
        <v>88</v>
      </c>
      <c r="I21" s="15">
        <f>IF(Legger!V23="","",Legger!V23)</f>
        <v>87</v>
      </c>
      <c r="J21" s="15">
        <f>IF(Legger!AB23="","",Legger!AB23)</f>
        <v>85</v>
      </c>
      <c r="K21" s="15">
        <f>IF(Legger!AH23="","",Legger!AH23)</f>
        <v>93</v>
      </c>
      <c r="L21" s="15">
        <f>IF(Legger!AN23="","",Legger!AN23)</f>
        <v>84</v>
      </c>
      <c r="M21" s="15">
        <f>IF(Legger!AT23="","",Legger!AT23)</f>
        <v>80</v>
      </c>
      <c r="N21" s="101">
        <f>IF(Legger!AZ23="","",Legger!AZ23)</f>
        <v>89</v>
      </c>
      <c r="O21" s="15">
        <f>IF(Legger!BF23="","",Legger!BF23)</f>
        <v>90</v>
      </c>
      <c r="P21" s="15">
        <f>IF(Legger!BL23="","",Legger!BL23)</f>
        <v>90</v>
      </c>
      <c r="Q21" s="15">
        <f>IF(Legger!BR23="","",Legger!BR23)</f>
        <v>80</v>
      </c>
      <c r="R21" s="15">
        <f>IF(Legger!BX23="","",Legger!BX23)</f>
        <v>88</v>
      </c>
      <c r="S21" s="15">
        <f>IF(Legger!CD23="","",Legger!CD23)</f>
        <v>90</v>
      </c>
      <c r="T21" s="15">
        <f>IF(Legger!CJ23="","",Legger!CJ23)</f>
        <v>80</v>
      </c>
      <c r="U21" s="15">
        <f>IF(Legger!CP23="","",Legger!CP23)</f>
        <v>88</v>
      </c>
      <c r="V21" s="15">
        <f>IF(Legger!CV23="","",Legger!CV23)</f>
        <v>85</v>
      </c>
      <c r="W21" s="15">
        <f>IF(Setting!J20="","",SUM(G21:V21))</f>
        <v>1385</v>
      </c>
      <c r="X21" s="15" t="e">
        <f>IF(Setting!J20="","",RANK(W21,$W$7:$W$46))</f>
        <v>#DIV/0!</v>
      </c>
    </row>
    <row r="22" spans="1:24">
      <c r="A22" s="12">
        <v>16</v>
      </c>
      <c r="B22" s="23" t="str">
        <f>IF(Setting!J21="","",Setting!J21)</f>
        <v>Kelvin Oktabrian Ramadhan</v>
      </c>
      <c r="C22" s="28">
        <f>IF(Setting!J21="","",Setting!K21)</f>
        <v>2008169</v>
      </c>
      <c r="D22" s="28" t="str">
        <f>IF(Setting!J21="","",Setting!L21)</f>
        <v>0045893001</v>
      </c>
      <c r="E22" s="15" t="str">
        <f>IF(Setting!J21="","",Setting!$E$11)</f>
        <v>X.MIPA 4</v>
      </c>
      <c r="F22" s="15" t="str">
        <f>IF(Setting!J21="","",Setting!$E$15)</f>
        <v>II</v>
      </c>
      <c r="G22" s="15">
        <f>IF(Legger!J24="","",Legger!J24)</f>
        <v>93</v>
      </c>
      <c r="H22" s="15">
        <f>IF(Legger!P24="","",Legger!P24)</f>
        <v>88</v>
      </c>
      <c r="I22" s="15">
        <f>IF(Legger!V24="","",Legger!V24)</f>
        <v>89</v>
      </c>
      <c r="J22" s="15">
        <f>IF(Legger!AB24="","",Legger!AB24)</f>
        <v>88</v>
      </c>
      <c r="K22" s="15">
        <f>IF(Legger!AH24="","",Legger!AH24)</f>
        <v>94</v>
      </c>
      <c r="L22" s="15">
        <f>IF(Legger!AN24="","",Legger!AN24)</f>
        <v>89</v>
      </c>
      <c r="M22" s="15">
        <f>IF(Legger!AT24="","",Legger!AT24)</f>
        <v>93</v>
      </c>
      <c r="N22" s="101">
        <f>IF(Legger!AZ24="","",Legger!AZ24)</f>
        <v>89</v>
      </c>
      <c r="O22" s="15">
        <f>IF(Legger!BF24="","",Legger!BF24)</f>
        <v>93</v>
      </c>
      <c r="P22" s="15">
        <f>IF(Legger!BL24="","",Legger!BL24)</f>
        <v>90</v>
      </c>
      <c r="Q22" s="15">
        <f>IF(Legger!BR24="","",Legger!BR24)</f>
        <v>88</v>
      </c>
      <c r="R22" s="15">
        <f>IF(Legger!BX24="","",Legger!BX24)</f>
        <v>88</v>
      </c>
      <c r="S22" s="15">
        <f>IF(Legger!CD24="","",Legger!CD24)</f>
        <v>90</v>
      </c>
      <c r="T22" s="15">
        <f>IF(Legger!CJ24="","",Legger!CJ24)</f>
        <v>84</v>
      </c>
      <c r="U22" s="15">
        <f>IF(Legger!CP24="","",Legger!CP24)</f>
        <v>91</v>
      </c>
      <c r="V22" s="15">
        <f>IF(Legger!CV24="","",Legger!CV24)</f>
        <v>84</v>
      </c>
      <c r="W22" s="15">
        <f>IF(Setting!J21="","",SUM(G22:V22))</f>
        <v>1431</v>
      </c>
      <c r="X22" s="15" t="e">
        <f>IF(Setting!J21="","",RANK(W22,$W$7:$W$46))</f>
        <v>#DIV/0!</v>
      </c>
    </row>
    <row r="23" spans="1:24">
      <c r="A23" s="12">
        <v>17</v>
      </c>
      <c r="B23" s="23" t="str">
        <f>IF(Setting!J22="","",Setting!J22)</f>
        <v>Mohamad Khoiril Afwa</v>
      </c>
      <c r="C23" s="28">
        <f>IF(Setting!J22="","",Setting!K22)</f>
        <v>2008197</v>
      </c>
      <c r="D23" s="28" t="str">
        <f>IF(Setting!J22="","",Setting!L22)</f>
        <v>0044910894</v>
      </c>
      <c r="E23" s="15" t="str">
        <f>IF(Setting!J22="","",Setting!$E$11)</f>
        <v>X.MIPA 4</v>
      </c>
      <c r="F23" s="15" t="str">
        <f>IF(Setting!J22="","",Setting!$E$15)</f>
        <v>II</v>
      </c>
      <c r="G23" s="15">
        <f>IF(Legger!J25="","",Legger!J25)</f>
        <v>92</v>
      </c>
      <c r="H23" s="15">
        <f>IF(Legger!P25="","",Legger!P25)</f>
        <v>85</v>
      </c>
      <c r="I23" s="15">
        <f>IF(Legger!V25="","",Legger!V25)</f>
        <v>87</v>
      </c>
      <c r="J23" s="15">
        <f>IF(Legger!AB25="","",Legger!AB25)</f>
        <v>80</v>
      </c>
      <c r="K23" s="15">
        <f>IF(Legger!AH25="","",Legger!AH25)</f>
        <v>92</v>
      </c>
      <c r="L23" s="15">
        <f>IF(Legger!AN25="","",Legger!AN25)</f>
        <v>87</v>
      </c>
      <c r="M23" s="15">
        <f>IF(Legger!AT25="","",Legger!AT25)</f>
        <v>93</v>
      </c>
      <c r="N23" s="101">
        <f>IF(Legger!AZ25="","",Legger!AZ25)</f>
        <v>88</v>
      </c>
      <c r="O23" s="15">
        <f>IF(Legger!BF25="","",Legger!BF25)</f>
        <v>88</v>
      </c>
      <c r="P23" s="15">
        <f>IF(Legger!BL25="","",Legger!BL25)</f>
        <v>90</v>
      </c>
      <c r="Q23" s="15">
        <f>IF(Legger!BR25="","",Legger!BR25)</f>
        <v>80</v>
      </c>
      <c r="R23" s="15">
        <f>IF(Legger!BX25="","",Legger!BX25)</f>
        <v>88</v>
      </c>
      <c r="S23" s="15">
        <f>IF(Legger!CD25="","",Legger!CD25)</f>
        <v>86</v>
      </c>
      <c r="T23" s="15">
        <f>IF(Legger!CJ25="","",Legger!CJ25)</f>
        <v>80</v>
      </c>
      <c r="U23" s="15">
        <f>IF(Legger!CP25="","",Legger!CP25)</f>
        <v>87</v>
      </c>
      <c r="V23" s="15">
        <f>IF(Legger!CV25="","",Legger!CV25)</f>
        <v>83</v>
      </c>
      <c r="W23" s="15">
        <f>IF(Setting!J22="","",SUM(G23:V23))</f>
        <v>1386</v>
      </c>
      <c r="X23" s="15" t="e">
        <f>IF(Setting!J22="","",RANK(W23,$W$7:$W$46))</f>
        <v>#DIV/0!</v>
      </c>
    </row>
    <row r="24" spans="1:24">
      <c r="A24" s="12">
        <v>18</v>
      </c>
      <c r="B24" s="23" t="str">
        <f>IF(Setting!J23="","",Setting!J23)</f>
        <v>Muhammad Hanif Pearlyaradja</v>
      </c>
      <c r="C24" s="28">
        <f>IF(Setting!J23="","",Setting!K23)</f>
        <v>2008214</v>
      </c>
      <c r="D24" s="28" t="str">
        <f>IF(Setting!J23="","",Setting!L23)</f>
        <v>0052096412</v>
      </c>
      <c r="E24" s="15" t="str">
        <f>IF(Setting!J23="","",Setting!$E$11)</f>
        <v>X.MIPA 4</v>
      </c>
      <c r="F24" s="15" t="str">
        <f>IF(Setting!J23="","",Setting!$E$15)</f>
        <v>II</v>
      </c>
      <c r="G24" s="15">
        <f>IF(Legger!J26="","",Legger!J26)</f>
        <v>89</v>
      </c>
      <c r="H24" s="15">
        <f>IF(Legger!P26="","",Legger!P26)</f>
        <v>87</v>
      </c>
      <c r="I24" s="15">
        <f>IF(Legger!V26="","",Legger!V26)</f>
        <v>87</v>
      </c>
      <c r="J24" s="15">
        <f>IF(Legger!AB26="","",Legger!AB26)</f>
        <v>80</v>
      </c>
      <c r="K24" s="15">
        <f>IF(Legger!AH26="","",Legger!AH26)</f>
        <v>92</v>
      </c>
      <c r="L24" s="15">
        <f>IF(Legger!AN26="","",Legger!AN26)</f>
        <v>87</v>
      </c>
      <c r="M24" s="15">
        <f>IF(Legger!AT26="","",Legger!AT26)</f>
        <v>80</v>
      </c>
      <c r="N24" s="101">
        <f>IF(Legger!AZ26="","",Legger!AZ26)</f>
        <v>89</v>
      </c>
      <c r="O24" s="15">
        <f>IF(Legger!BF26="","",Legger!BF26)</f>
        <v>91</v>
      </c>
      <c r="P24" s="15">
        <f>IF(Legger!BL26="","",Legger!BL26)</f>
        <v>90</v>
      </c>
      <c r="Q24" s="15">
        <f>IF(Legger!BR26="","",Legger!BR26)</f>
        <v>81</v>
      </c>
      <c r="R24" s="15">
        <f>IF(Legger!BX26="","",Legger!BX26)</f>
        <v>82</v>
      </c>
      <c r="S24" s="15">
        <f>IF(Legger!CD26="","",Legger!CD26)</f>
        <v>89</v>
      </c>
      <c r="T24" s="15">
        <f>IF(Legger!CJ26="","",Legger!CJ26)</f>
        <v>81</v>
      </c>
      <c r="U24" s="15">
        <f>IF(Legger!CP26="","",Legger!CP26)</f>
        <v>86</v>
      </c>
      <c r="V24" s="15">
        <f>IF(Legger!CV26="","",Legger!CV26)</f>
        <v>85</v>
      </c>
      <c r="W24" s="15">
        <f>IF(Setting!J23="","",SUM(G24:V24))</f>
        <v>1376</v>
      </c>
      <c r="X24" s="15" t="e">
        <f>IF(Setting!J23="","",RANK(W24,$W$7:$W$46))</f>
        <v>#DIV/0!</v>
      </c>
    </row>
    <row r="25" spans="1:24">
      <c r="A25" s="12">
        <v>19</v>
      </c>
      <c r="B25" s="23" t="str">
        <f>IF(Setting!J24="","",Setting!J24)</f>
        <v>Muhammad Maurel Han</v>
      </c>
      <c r="C25" s="28">
        <f>IF(Setting!J24="","",Setting!K24)</f>
        <v>2008218</v>
      </c>
      <c r="D25" s="28" t="str">
        <f>IF(Setting!J24="","",Setting!L24)</f>
        <v>9015578324</v>
      </c>
      <c r="E25" s="15" t="str">
        <f>IF(Setting!J24="","",Setting!$E$11)</f>
        <v>X.MIPA 4</v>
      </c>
      <c r="F25" s="15" t="str">
        <f>IF(Setting!J24="","",Setting!$E$15)</f>
        <v>II</v>
      </c>
      <c r="G25" s="15">
        <f>IF(Legger!J27="","",Legger!J27)</f>
        <v>81</v>
      </c>
      <c r="H25" s="15">
        <f>IF(Legger!P27="","",Legger!P27)</f>
        <v>86</v>
      </c>
      <c r="I25" s="15">
        <f>IF(Legger!V27="","",Legger!V27)</f>
        <v>83</v>
      </c>
      <c r="J25" s="15">
        <f>IF(Legger!AB27="","",Legger!AB27)</f>
        <v>80</v>
      </c>
      <c r="K25" s="15">
        <f>IF(Legger!AH27="","",Legger!AH27)</f>
        <v>84</v>
      </c>
      <c r="L25" s="15">
        <f>IF(Legger!AN27="","",Legger!AN27)</f>
        <v>80</v>
      </c>
      <c r="M25" s="15">
        <f>IF(Legger!AT27="","",Legger!AT27)</f>
        <v>93</v>
      </c>
      <c r="N25" s="101">
        <f>IF(Legger!AZ27="","",Legger!AZ27)</f>
        <v>89</v>
      </c>
      <c r="O25" s="15">
        <f>IF(Legger!BF27="","",Legger!BF27)</f>
        <v>82</v>
      </c>
      <c r="P25" s="15">
        <f>IF(Legger!BL27="","",Legger!BL27)</f>
        <v>90</v>
      </c>
      <c r="Q25" s="15">
        <f>IF(Legger!BR27="","",Legger!BR27)</f>
        <v>80</v>
      </c>
      <c r="R25" s="15">
        <f>IF(Legger!BX27="","",Legger!BX27)</f>
        <v>83</v>
      </c>
      <c r="S25" s="15">
        <f>IF(Legger!CD27="","",Legger!CD27)</f>
        <v>81</v>
      </c>
      <c r="T25" s="15">
        <f>IF(Legger!CJ27="","",Legger!CJ27)</f>
        <v>80</v>
      </c>
      <c r="U25" s="15">
        <f>IF(Legger!CP27="","",Legger!CP27)</f>
        <v>89</v>
      </c>
      <c r="V25" s="15">
        <f>IF(Legger!CV27="","",Legger!CV27)</f>
        <v>84</v>
      </c>
      <c r="W25" s="15">
        <f>IF(Setting!J24="","",SUM(G25:V25))</f>
        <v>1345</v>
      </c>
      <c r="X25" s="15" t="e">
        <f>IF(Setting!J24="","",RANK(W25,$W$7:$W$46))</f>
        <v>#DIV/0!</v>
      </c>
    </row>
    <row r="26" spans="1:24">
      <c r="A26" s="12">
        <v>20</v>
      </c>
      <c r="B26" s="23" t="str">
        <f>IF(Setting!J25="","",Setting!J25)</f>
        <v>Muhammad Niam Masykuri</v>
      </c>
      <c r="C26" s="28">
        <f>IF(Setting!J25="","",Setting!K25)</f>
        <v>2008220</v>
      </c>
      <c r="D26" s="28" t="str">
        <f>IF(Setting!J25="","",Setting!L25)</f>
        <v xml:space="preserve"> 0044193368</v>
      </c>
      <c r="E26" s="15" t="str">
        <f>IF(Setting!J25="","",Setting!$E$11)</f>
        <v>X.MIPA 4</v>
      </c>
      <c r="F26" s="15" t="str">
        <f>IF(Setting!J25="","",Setting!$E$15)</f>
        <v>II</v>
      </c>
      <c r="G26" s="15">
        <f>IF(Legger!J28="","",Legger!J28)</f>
        <v>91</v>
      </c>
      <c r="H26" s="15">
        <f>IF(Legger!P28="","",Legger!P28)</f>
        <v>88</v>
      </c>
      <c r="I26" s="15">
        <f>IF(Legger!V28="","",Legger!V28)</f>
        <v>87</v>
      </c>
      <c r="J26" s="15">
        <f>IF(Legger!AB28="","",Legger!AB28)</f>
        <v>82</v>
      </c>
      <c r="K26" s="15">
        <f>IF(Legger!AH28="","",Legger!AH28)</f>
        <v>93</v>
      </c>
      <c r="L26" s="15">
        <f>IF(Legger!AN28="","",Legger!AN28)</f>
        <v>84</v>
      </c>
      <c r="M26" s="15">
        <f>IF(Legger!AT28="","",Legger!AT28)</f>
        <v>80</v>
      </c>
      <c r="N26" s="101">
        <f>IF(Legger!AZ28="","",Legger!AZ28)</f>
        <v>89</v>
      </c>
      <c r="O26" s="15">
        <f>IF(Legger!BF28="","",Legger!BF28)</f>
        <v>88</v>
      </c>
      <c r="P26" s="15">
        <f>IF(Legger!BL28="","",Legger!BL28)</f>
        <v>90</v>
      </c>
      <c r="Q26" s="15">
        <f>IF(Legger!BR28="","",Legger!BR28)</f>
        <v>80</v>
      </c>
      <c r="R26" s="15">
        <f>IF(Legger!BX28="","",Legger!BX28)</f>
        <v>88</v>
      </c>
      <c r="S26" s="15">
        <f>IF(Legger!CD28="","",Legger!CD28)</f>
        <v>88</v>
      </c>
      <c r="T26" s="15">
        <f>IF(Legger!CJ28="","",Legger!CJ28)</f>
        <v>80</v>
      </c>
      <c r="U26" s="15">
        <f>IF(Legger!CP28="","",Legger!CP28)</f>
        <v>88</v>
      </c>
      <c r="V26" s="15">
        <f>IF(Legger!CV28="","",Legger!CV28)</f>
        <v>85</v>
      </c>
      <c r="W26" s="15">
        <f>IF(Setting!J25="","",SUM(G26:V26))</f>
        <v>1381</v>
      </c>
      <c r="X26" s="15" t="e">
        <f>IF(Setting!J25="","",RANK(W26,$W$7:$W$46))</f>
        <v>#DIV/0!</v>
      </c>
    </row>
    <row r="27" spans="1:24">
      <c r="A27" s="12">
        <v>21</v>
      </c>
      <c r="B27" s="23" t="str">
        <f>IF(Setting!J26="","",Setting!J26)</f>
        <v>Muhammad Nur Arzhian Kusuma</v>
      </c>
      <c r="C27" s="28">
        <f>IF(Setting!J26="","",Setting!K26)</f>
        <v>2008221</v>
      </c>
      <c r="D27" s="28" t="str">
        <f>IF(Setting!J26="","",Setting!L26)</f>
        <v>0053421781</v>
      </c>
      <c r="E27" s="15" t="str">
        <f>IF(Setting!J26="","",Setting!$E$11)</f>
        <v>X.MIPA 4</v>
      </c>
      <c r="F27" s="15" t="str">
        <f>IF(Setting!J26="","",Setting!$E$15)</f>
        <v>II</v>
      </c>
      <c r="G27" s="15">
        <f>IF(Legger!J29="","",Legger!J29)</f>
        <v>88</v>
      </c>
      <c r="H27" s="15">
        <f>IF(Legger!P29="","",Legger!P29)</f>
        <v>86</v>
      </c>
      <c r="I27" s="15">
        <f>IF(Legger!V29="","",Legger!V29)</f>
        <v>88</v>
      </c>
      <c r="J27" s="15">
        <f>IF(Legger!AB29="","",Legger!AB29)</f>
        <v>80</v>
      </c>
      <c r="K27" s="15">
        <f>IF(Legger!AH29="","",Legger!AH29)</f>
        <v>91</v>
      </c>
      <c r="L27" s="15">
        <f>IF(Legger!AN29="","",Legger!AN29)</f>
        <v>84</v>
      </c>
      <c r="M27" s="15">
        <f>IF(Legger!AT29="","",Legger!AT29)</f>
        <v>80</v>
      </c>
      <c r="N27" s="101">
        <f>IF(Legger!AZ29="","",Legger!AZ29)</f>
        <v>88</v>
      </c>
      <c r="O27" s="15">
        <f>IF(Legger!BF29="","",Legger!BF29)</f>
        <v>90</v>
      </c>
      <c r="P27" s="15">
        <f>IF(Legger!BL29="","",Legger!BL29)</f>
        <v>89</v>
      </c>
      <c r="Q27" s="15">
        <f>IF(Legger!BR29="","",Legger!BR29)</f>
        <v>80</v>
      </c>
      <c r="R27" s="15">
        <f>IF(Legger!BX29="","",Legger!BX29)</f>
        <v>84</v>
      </c>
      <c r="S27" s="15">
        <f>IF(Legger!CD29="","",Legger!CD29)</f>
        <v>89</v>
      </c>
      <c r="T27" s="15">
        <f>IF(Legger!CJ29="","",Legger!CJ29)</f>
        <v>80</v>
      </c>
      <c r="U27" s="15">
        <f>IF(Legger!CP29="","",Legger!CP29)</f>
        <v>86</v>
      </c>
      <c r="V27" s="15">
        <f>IF(Legger!CV29="","",Legger!CV29)</f>
        <v>85</v>
      </c>
      <c r="W27" s="15">
        <f>IF(Setting!J26="","",SUM(G27:V27))</f>
        <v>1368</v>
      </c>
      <c r="X27" s="15" t="e">
        <f>IF(Setting!J26="","",RANK(W27,$W$7:$W$46))</f>
        <v>#DIV/0!</v>
      </c>
    </row>
    <row r="28" spans="1:24">
      <c r="A28" s="12">
        <v>22</v>
      </c>
      <c r="B28" s="23" t="str">
        <f>IF(Setting!J27="","",Setting!J27)</f>
        <v>Muhammad Rafif Rizqullah</v>
      </c>
      <c r="C28" s="28">
        <f>IF(Setting!J27="","",Setting!K27)</f>
        <v>2008222</v>
      </c>
      <c r="D28" s="28" t="str">
        <f>IF(Setting!J27="","",Setting!L27)</f>
        <v>0044559979</v>
      </c>
      <c r="E28" s="15" t="str">
        <f>IF(Setting!J27="","",Setting!$E$11)</f>
        <v>X.MIPA 4</v>
      </c>
      <c r="F28" s="15" t="str">
        <f>IF(Setting!J27="","",Setting!$E$15)</f>
        <v>II</v>
      </c>
      <c r="G28" s="15">
        <f>IF(Legger!J30="","",Legger!J30)</f>
        <v>88</v>
      </c>
      <c r="H28" s="15">
        <f>IF(Legger!P30="","",Legger!P30)</f>
        <v>87</v>
      </c>
      <c r="I28" s="15">
        <f>IF(Legger!V30="","",Legger!V30)</f>
        <v>85</v>
      </c>
      <c r="J28" s="15">
        <f>IF(Legger!AB30="","",Legger!AB30)</f>
        <v>85</v>
      </c>
      <c r="K28" s="15">
        <f>IF(Legger!AH30="","",Legger!AH30)</f>
        <v>89</v>
      </c>
      <c r="L28" s="15">
        <f>IF(Legger!AN30="","",Legger!AN30)</f>
        <v>85</v>
      </c>
      <c r="M28" s="15">
        <f>IF(Legger!AT30="","",Legger!AT30)</f>
        <v>80</v>
      </c>
      <c r="N28" s="101">
        <f>IF(Legger!AZ30="","",Legger!AZ30)</f>
        <v>87</v>
      </c>
      <c r="O28" s="15">
        <f>IF(Legger!BF30="","",Legger!BF30)</f>
        <v>92</v>
      </c>
      <c r="P28" s="15">
        <f>IF(Legger!BL30="","",Legger!BL30)</f>
        <v>88</v>
      </c>
      <c r="Q28" s="15">
        <f>IF(Legger!BR30="","",Legger!BR30)</f>
        <v>88</v>
      </c>
      <c r="R28" s="15">
        <f>IF(Legger!BX30="","",Legger!BX30)</f>
        <v>88</v>
      </c>
      <c r="S28" s="15">
        <f>IF(Legger!CD30="","",Legger!CD30)</f>
        <v>84</v>
      </c>
      <c r="T28" s="15">
        <f>IF(Legger!CJ30="","",Legger!CJ30)</f>
        <v>82</v>
      </c>
      <c r="U28" s="15">
        <f>IF(Legger!CP30="","",Legger!CP30)</f>
        <v>81</v>
      </c>
      <c r="V28" s="15">
        <f>IF(Legger!CV30="","",Legger!CV30)</f>
        <v>83</v>
      </c>
      <c r="W28" s="15">
        <f>IF(Setting!J27="","",SUM(G28:V28))</f>
        <v>1372</v>
      </c>
      <c r="X28" s="15" t="e">
        <f>IF(Setting!J27="","",RANK(W28,$W$7:$W$46))</f>
        <v>#DIV/0!</v>
      </c>
    </row>
    <row r="29" spans="1:24">
      <c r="A29" s="12">
        <v>23</v>
      </c>
      <c r="B29" s="23" t="str">
        <f>IF(Setting!J28="","",Setting!J28)</f>
        <v>Muhammad Raihan Al Faridzi</v>
      </c>
      <c r="C29" s="28">
        <f>IF(Setting!J28="","",Setting!K28)</f>
        <v>2008223</v>
      </c>
      <c r="D29" s="28" t="str">
        <f>IF(Setting!J28="","",Setting!L28)</f>
        <v>0047682955</v>
      </c>
      <c r="E29" s="15" t="str">
        <f>IF(Setting!J28="","",Setting!$E$11)</f>
        <v>X.MIPA 4</v>
      </c>
      <c r="F29" s="15" t="str">
        <f>IF(Setting!J28="","",Setting!$E$15)</f>
        <v>II</v>
      </c>
      <c r="G29" s="15">
        <f>IF(Legger!J31="","",Legger!J31)</f>
        <v>80</v>
      </c>
      <c r="H29" s="15">
        <f>IF(Legger!P31="","",Legger!P31)</f>
        <v>91</v>
      </c>
      <c r="I29" s="15">
        <f>IF(Legger!V31="","",Legger!V31)</f>
        <v>83</v>
      </c>
      <c r="J29" s="15">
        <f>IF(Legger!AB31="","",Legger!AB31)</f>
        <v>90</v>
      </c>
      <c r="K29" s="15">
        <f>IF(Legger!AH31="","",Legger!AH31)</f>
        <v>92</v>
      </c>
      <c r="L29" s="15">
        <f>IF(Legger!AN31="","",Legger!AN31)</f>
        <v>90</v>
      </c>
      <c r="M29" s="15">
        <f>IF(Legger!AT31="","",Legger!AT31)</f>
        <v>90</v>
      </c>
      <c r="N29" s="101">
        <f>IF(Legger!AZ31="","",Legger!AZ31)</f>
        <v>92</v>
      </c>
      <c r="O29" s="15">
        <f>IF(Legger!BF31="","",Legger!BF31)</f>
        <v>91</v>
      </c>
      <c r="P29" s="15">
        <f>IF(Legger!BL31="","",Legger!BL31)</f>
        <v>85</v>
      </c>
      <c r="Q29" s="15">
        <f>IF(Legger!BR31="","",Legger!BR31)</f>
        <v>90</v>
      </c>
      <c r="R29" s="15">
        <f>IF(Legger!BX31="","",Legger!BX31)</f>
        <v>91</v>
      </c>
      <c r="S29" s="15">
        <f>IF(Legger!CD31="","",Legger!CD31)</f>
        <v>91</v>
      </c>
      <c r="T29" s="15">
        <f>IF(Legger!CJ31="","",Legger!CJ31)</f>
        <v>80</v>
      </c>
      <c r="U29" s="15">
        <f>IF(Legger!CP31="","",Legger!CP31)</f>
        <v>91</v>
      </c>
      <c r="V29" s="15">
        <f>IF(Legger!CV31="","",Legger!CV31)</f>
        <v>80</v>
      </c>
      <c r="W29" s="15">
        <f>IF(Setting!J28="","",SUM(G29:V29))</f>
        <v>1407</v>
      </c>
      <c r="X29" s="15" t="e">
        <f>IF(Setting!J28="","",RANK(W29,$W$7:$W$46))</f>
        <v>#DIV/0!</v>
      </c>
    </row>
    <row r="30" spans="1:24">
      <c r="A30" s="12">
        <v>24</v>
      </c>
      <c r="B30" s="23" t="str">
        <f>IF(Setting!J29="","",Setting!J29)</f>
        <v>Muhammad Rakan Hafidh Al Ghalib</v>
      </c>
      <c r="C30" s="28">
        <f>IF(Setting!J29="","",Setting!K29)</f>
        <v>2008224</v>
      </c>
      <c r="D30" s="28" t="str">
        <f>IF(Setting!J29="","",Setting!L29)</f>
        <v>0053955049</v>
      </c>
      <c r="E30" s="15" t="str">
        <f>IF(Setting!J29="","",Setting!$E$11)</f>
        <v>X.MIPA 4</v>
      </c>
      <c r="F30" s="15" t="str">
        <f>IF(Setting!J29="","",Setting!$E$15)</f>
        <v>II</v>
      </c>
      <c r="G30" s="15">
        <f>IF(Legger!J32="","",Legger!J32)</f>
        <v>91</v>
      </c>
      <c r="H30" s="15">
        <f>IF(Legger!P32="","",Legger!P32)</f>
        <v>90</v>
      </c>
      <c r="I30" s="15">
        <f>IF(Legger!V32="","",Legger!V32)</f>
        <v>89</v>
      </c>
      <c r="J30" s="15">
        <f>IF(Legger!AB32="","",Legger!AB32)</f>
        <v>88</v>
      </c>
      <c r="K30" s="15">
        <f>IF(Legger!AH32="","",Legger!AH32)</f>
        <v>94</v>
      </c>
      <c r="L30" s="15">
        <f>IF(Legger!AN32="","",Legger!AN32)</f>
        <v>88</v>
      </c>
      <c r="M30" s="15">
        <f>IF(Legger!AT32="","",Legger!AT32)</f>
        <v>88</v>
      </c>
      <c r="N30" s="101">
        <f>IF(Legger!AZ32="","",Legger!AZ32)</f>
        <v>89</v>
      </c>
      <c r="O30" s="15">
        <f>IF(Legger!BF32="","",Legger!BF32)</f>
        <v>94</v>
      </c>
      <c r="P30" s="15">
        <f>IF(Legger!BL32="","",Legger!BL32)</f>
        <v>89</v>
      </c>
      <c r="Q30" s="15">
        <f>IF(Legger!BR32="","",Legger!BR32)</f>
        <v>91</v>
      </c>
      <c r="R30" s="15">
        <f>IF(Legger!BX32="","",Legger!BX32)</f>
        <v>90</v>
      </c>
      <c r="S30" s="15">
        <f>IF(Legger!CD32="","",Legger!CD32)</f>
        <v>89</v>
      </c>
      <c r="T30" s="15">
        <f>IF(Legger!CJ32="","",Legger!CJ32)</f>
        <v>81</v>
      </c>
      <c r="U30" s="15">
        <f>IF(Legger!CP32="","",Legger!CP32)</f>
        <v>91</v>
      </c>
      <c r="V30" s="15">
        <f>IF(Legger!CV32="","",Legger!CV32)</f>
        <v>87</v>
      </c>
      <c r="W30" s="15">
        <f>IF(Setting!J29="","",SUM(G30:V30))</f>
        <v>1429</v>
      </c>
      <c r="X30" s="15" t="e">
        <f>IF(Setting!J29="","",RANK(W30,$W$7:$W$46))</f>
        <v>#DIV/0!</v>
      </c>
    </row>
    <row r="31" spans="1:24">
      <c r="A31" s="12">
        <v>25</v>
      </c>
      <c r="B31" s="23" t="str">
        <f>IF(Setting!J30="","",Setting!J30)</f>
        <v>Muhammad Syamu Naufal</v>
      </c>
      <c r="C31" s="28">
        <f>IF(Setting!J30="","",Setting!K30)</f>
        <v>2008230</v>
      </c>
      <c r="D31" s="28" t="str">
        <f>IF(Setting!J30="","",Setting!L30)</f>
        <v>0045892500</v>
      </c>
      <c r="E31" s="15" t="str">
        <f>IF(Setting!J30="","",Setting!$E$11)</f>
        <v>X.MIPA 4</v>
      </c>
      <c r="F31" s="15" t="str">
        <f>IF(Setting!J30="","",Setting!$E$15)</f>
        <v>II</v>
      </c>
      <c r="G31" s="15">
        <f>IF(Legger!J33="","",Legger!J33)</f>
        <v>91</v>
      </c>
      <c r="H31" s="15">
        <f>IF(Legger!P33="","",Legger!P33)</f>
        <v>87</v>
      </c>
      <c r="I31" s="15">
        <f>IF(Legger!V33="","",Legger!V33)</f>
        <v>89</v>
      </c>
      <c r="J31" s="15">
        <f>IF(Legger!AB33="","",Legger!AB33)</f>
        <v>84</v>
      </c>
      <c r="K31" s="15">
        <f>IF(Legger!AH33="","",Legger!AH33)</f>
        <v>92</v>
      </c>
      <c r="L31" s="15">
        <f>IF(Legger!AN33="","",Legger!AN33)</f>
        <v>87</v>
      </c>
      <c r="M31" s="15">
        <f>IF(Legger!AT33="","",Legger!AT33)</f>
        <v>88</v>
      </c>
      <c r="N31" s="101">
        <f>IF(Legger!AZ33="","",Legger!AZ33)</f>
        <v>88</v>
      </c>
      <c r="O31" s="15">
        <f>IF(Legger!BF33="","",Legger!BF33)</f>
        <v>91</v>
      </c>
      <c r="P31" s="15">
        <f>IF(Legger!BL33="","",Legger!BL33)</f>
        <v>90</v>
      </c>
      <c r="Q31" s="15">
        <f>IF(Legger!BR33="","",Legger!BR33)</f>
        <v>89</v>
      </c>
      <c r="R31" s="15">
        <f>IF(Legger!BX33="","",Legger!BX33)</f>
        <v>90</v>
      </c>
      <c r="S31" s="15">
        <f>IF(Legger!CD33="","",Legger!CD33)</f>
        <v>87</v>
      </c>
      <c r="T31" s="15">
        <f>IF(Legger!CJ33="","",Legger!CJ33)</f>
        <v>82</v>
      </c>
      <c r="U31" s="15">
        <f>IF(Legger!CP33="","",Legger!CP33)</f>
        <v>87</v>
      </c>
      <c r="V31" s="15">
        <f>IF(Legger!CV33="","",Legger!CV33)</f>
        <v>85</v>
      </c>
      <c r="W31" s="15">
        <f>IF(Setting!J30="","",SUM(G31:V31))</f>
        <v>1407</v>
      </c>
      <c r="X31" s="15" t="e">
        <f>IF(Setting!J30="","",RANK(W31,$W$7:$W$46))</f>
        <v>#DIV/0!</v>
      </c>
    </row>
    <row r="32" spans="1:24">
      <c r="A32" s="12">
        <v>26</v>
      </c>
      <c r="B32" s="23" t="str">
        <f>IF(Setting!J31="","",Setting!J31)</f>
        <v>Naufal Muhammad Iqbal</v>
      </c>
      <c r="C32" s="28">
        <f>IF(Setting!J31="","",Setting!K31)</f>
        <v>2008251</v>
      </c>
      <c r="D32" s="28" t="str">
        <f>IF(Setting!J31="","",Setting!L31)</f>
        <v>0056904636</v>
      </c>
      <c r="E32" s="15" t="str">
        <f>IF(Setting!J31="","",Setting!$E$11)</f>
        <v>X.MIPA 4</v>
      </c>
      <c r="F32" s="15" t="str">
        <f>IF(Setting!J31="","",Setting!$E$15)</f>
        <v>II</v>
      </c>
      <c r="G32" s="15">
        <f>IF(Legger!J34="","",Legger!J34)</f>
        <v>90</v>
      </c>
      <c r="H32" s="15">
        <f>IF(Legger!P34="","",Legger!P34)</f>
        <v>86</v>
      </c>
      <c r="I32" s="15">
        <f>IF(Legger!V34="","",Legger!V34)</f>
        <v>87</v>
      </c>
      <c r="J32" s="15">
        <f>IF(Legger!AB34="","",Legger!AB34)</f>
        <v>84</v>
      </c>
      <c r="K32" s="15">
        <f>IF(Legger!AH34="","",Legger!AH34)</f>
        <v>90</v>
      </c>
      <c r="L32" s="15">
        <f>IF(Legger!AN34="","",Legger!AN34)</f>
        <v>85</v>
      </c>
      <c r="M32" s="15">
        <f>IF(Legger!AT34="","",Legger!AT34)</f>
        <v>83</v>
      </c>
      <c r="N32" s="101">
        <f>IF(Legger!AZ34="","",Legger!AZ34)</f>
        <v>89</v>
      </c>
      <c r="O32" s="15">
        <f>IF(Legger!BF34="","",Legger!BF34)</f>
        <v>91</v>
      </c>
      <c r="P32" s="15">
        <f>IF(Legger!BL34="","",Legger!BL34)</f>
        <v>90</v>
      </c>
      <c r="Q32" s="15">
        <f>IF(Legger!BR34="","",Legger!BR34)</f>
        <v>80</v>
      </c>
      <c r="R32" s="15">
        <f>IF(Legger!BX34="","",Legger!BX34)</f>
        <v>89</v>
      </c>
      <c r="S32" s="15">
        <f>IF(Legger!CD34="","",Legger!CD34)</f>
        <v>89</v>
      </c>
      <c r="T32" s="15">
        <f>IF(Legger!CJ34="","",Legger!CJ34)</f>
        <v>82</v>
      </c>
      <c r="U32" s="15">
        <f>IF(Legger!CP34="","",Legger!CP34)</f>
        <v>89</v>
      </c>
      <c r="V32" s="15">
        <f>IF(Legger!CV34="","",Legger!CV34)</f>
        <v>89</v>
      </c>
      <c r="W32" s="15">
        <f>IF(Setting!J31="","",SUM(G32:V32))</f>
        <v>1393</v>
      </c>
      <c r="X32" s="15" t="e">
        <f>IF(Setting!J31="","",RANK(W32,$W$7:$W$46))</f>
        <v>#DIV/0!</v>
      </c>
    </row>
    <row r="33" spans="1:124">
      <c r="A33" s="12">
        <v>27</v>
      </c>
      <c r="B33" s="23" t="str">
        <f>IF(Setting!J32="","",Setting!J32)</f>
        <v>Nauval Nur Mustafa</v>
      </c>
      <c r="C33" s="28">
        <f>IF(Setting!J32="","",Setting!K32)</f>
        <v>2008253</v>
      </c>
      <c r="D33" s="28" t="str">
        <f>IF(Setting!J32="","",Setting!L32)</f>
        <v>0061518278</v>
      </c>
      <c r="E33" s="15" t="str">
        <f>IF(Setting!J32="","",Setting!$E$11)</f>
        <v>X.MIPA 4</v>
      </c>
      <c r="F33" s="15" t="str">
        <f>IF(Setting!J32="","",Setting!$E$15)</f>
        <v>II</v>
      </c>
      <c r="G33" s="15">
        <f>IF(Legger!J35="","",Legger!J35)</f>
        <v>89</v>
      </c>
      <c r="H33" s="15">
        <f>IF(Legger!P35="","",Legger!P35)</f>
        <v>88</v>
      </c>
      <c r="I33" s="15">
        <f>IF(Legger!V35="","",Legger!V35)</f>
        <v>88</v>
      </c>
      <c r="J33" s="15">
        <f>IF(Legger!AB35="","",Legger!AB35)</f>
        <v>81</v>
      </c>
      <c r="K33" s="15">
        <f>IF(Legger!AH35="","",Legger!AH35)</f>
        <v>94</v>
      </c>
      <c r="L33" s="15">
        <f>IF(Legger!AN35="","",Legger!AN35)</f>
        <v>85</v>
      </c>
      <c r="M33" s="15">
        <f>IF(Legger!AT35="","",Legger!AT35)</f>
        <v>88</v>
      </c>
      <c r="N33" s="101">
        <f>IF(Legger!AZ35="","",Legger!AZ35)</f>
        <v>89</v>
      </c>
      <c r="O33" s="15">
        <f>IF(Legger!BF35="","",Legger!BF35)</f>
        <v>87</v>
      </c>
      <c r="P33" s="15">
        <f>IF(Legger!BL35="","",Legger!BL35)</f>
        <v>89</v>
      </c>
      <c r="Q33" s="15">
        <f>IF(Legger!BR35="","",Legger!BR35)</f>
        <v>80</v>
      </c>
      <c r="R33" s="15">
        <f>IF(Legger!BX35="","",Legger!BX35)</f>
        <v>87</v>
      </c>
      <c r="S33" s="15">
        <f>IF(Legger!CD35="","",Legger!CD35)</f>
        <v>90</v>
      </c>
      <c r="T33" s="15">
        <f>IF(Legger!CJ35="","",Legger!CJ35)</f>
        <v>80</v>
      </c>
      <c r="U33" s="15">
        <f>IF(Legger!CP35="","",Legger!CP35)</f>
        <v>88</v>
      </c>
      <c r="V33" s="15">
        <f>IF(Legger!CV35="","",Legger!CV35)</f>
        <v>88</v>
      </c>
      <c r="W33" s="15">
        <f>IF(Setting!J32="","",SUM(G33:V33))</f>
        <v>1391</v>
      </c>
      <c r="X33" s="15" t="e">
        <f>IF(Setting!J32="","",RANK(W33,$W$7:$W$46))</f>
        <v>#DIV/0!</v>
      </c>
    </row>
    <row r="34" spans="1:124">
      <c r="A34" s="12">
        <v>28</v>
      </c>
      <c r="B34" s="23" t="str">
        <f>IF(Setting!J33="","",Setting!J33)</f>
        <v>Oriegano Kanahaya  Siagian</v>
      </c>
      <c r="C34" s="28">
        <f>IF(Setting!J33="","",Setting!K33)</f>
        <v>2008272</v>
      </c>
      <c r="D34" s="28" t="str">
        <f>IF(Setting!J33="","",Setting!L33)</f>
        <v xml:space="preserve"> 0051837216</v>
      </c>
      <c r="E34" s="15" t="str">
        <f>IF(Setting!J33="","",Setting!$E$11)</f>
        <v>X.MIPA 4</v>
      </c>
      <c r="F34" s="15" t="str">
        <f>IF(Setting!J33="","",Setting!$E$15)</f>
        <v>II</v>
      </c>
      <c r="G34" s="15">
        <f>IF(Legger!J36="","",Legger!J36)</f>
        <v>88</v>
      </c>
      <c r="H34" s="15">
        <f>IF(Legger!P36="","",Legger!P36)</f>
        <v>86</v>
      </c>
      <c r="I34" s="15">
        <f>IF(Legger!V36="","",Legger!V36)</f>
        <v>84</v>
      </c>
      <c r="J34" s="15">
        <f>IF(Legger!AB36="","",Legger!AB36)</f>
        <v>80</v>
      </c>
      <c r="K34" s="15">
        <f>IF(Legger!AH36="","",Legger!AH36)</f>
        <v>92</v>
      </c>
      <c r="L34" s="15">
        <f>IF(Legger!AN36="","",Legger!AN36)</f>
        <v>83</v>
      </c>
      <c r="M34" s="15">
        <f>IF(Legger!AT36="","",Legger!AT36)</f>
        <v>83</v>
      </c>
      <c r="N34" s="101">
        <f>IF(Legger!AZ36="","",Legger!AZ36)</f>
        <v>87</v>
      </c>
      <c r="O34" s="15">
        <f>IF(Legger!BF36="","",Legger!BF36)</f>
        <v>84</v>
      </c>
      <c r="P34" s="15">
        <f>IF(Legger!BL36="","",Legger!BL36)</f>
        <v>88</v>
      </c>
      <c r="Q34" s="15">
        <f>IF(Legger!BR36="","",Legger!BR36)</f>
        <v>80</v>
      </c>
      <c r="R34" s="15">
        <f>IF(Legger!BX36="","",Legger!BX36)</f>
        <v>84</v>
      </c>
      <c r="S34" s="15">
        <f>IF(Legger!CD36="","",Legger!CD36)</f>
        <v>83</v>
      </c>
      <c r="T34" s="15">
        <f>IF(Legger!CJ36="","",Legger!CJ36)</f>
        <v>80</v>
      </c>
      <c r="U34" s="15">
        <f>IF(Legger!CP36="","",Legger!CP36)</f>
        <v>87</v>
      </c>
      <c r="V34" s="15">
        <f>IF(Legger!CV36="","",Legger!CV36)</f>
        <v>85</v>
      </c>
      <c r="W34" s="15">
        <f>IF(Setting!J33="","",SUM(G34:V34))</f>
        <v>1354</v>
      </c>
      <c r="X34" s="15" t="e">
        <f>IF(Setting!J33="","",RANK(W34,$W$7:$W$46))</f>
        <v>#DIV/0!</v>
      </c>
    </row>
    <row r="35" spans="1:124">
      <c r="A35" s="12">
        <v>29</v>
      </c>
      <c r="B35" s="23" t="str">
        <f>IF(Setting!J34="","",Setting!J34)</f>
        <v>Rafif Mahatma Indrastata</v>
      </c>
      <c r="C35" s="28">
        <f>IF(Setting!J34="","",Setting!K34)</f>
        <v>2008282</v>
      </c>
      <c r="D35" s="28" t="str">
        <f>IF(Setting!J34="","",Setting!L34)</f>
        <v>0045017851</v>
      </c>
      <c r="E35" s="15" t="str">
        <f>IF(Setting!J34="","",Setting!$E$11)</f>
        <v>X.MIPA 4</v>
      </c>
      <c r="F35" s="15" t="str">
        <f>IF(Setting!J34="","",Setting!$E$15)</f>
        <v>II</v>
      </c>
      <c r="G35" s="15">
        <f>IF(Legger!J37="","",Legger!J37)</f>
        <v>88</v>
      </c>
      <c r="H35" s="15">
        <f>IF(Legger!P37="","",Legger!P37)</f>
        <v>88</v>
      </c>
      <c r="I35" s="15">
        <f>IF(Legger!V37="","",Legger!V37)</f>
        <v>88</v>
      </c>
      <c r="J35" s="15">
        <f>IF(Legger!AB37="","",Legger!AB37)</f>
        <v>80</v>
      </c>
      <c r="K35" s="15">
        <f>IF(Legger!AH37="","",Legger!AH37)</f>
        <v>93</v>
      </c>
      <c r="L35" s="15">
        <f>IF(Legger!AN37="","",Legger!AN37)</f>
        <v>81</v>
      </c>
      <c r="M35" s="15">
        <f>IF(Legger!AT37="","",Legger!AT37)</f>
        <v>83</v>
      </c>
      <c r="N35" s="101">
        <f>IF(Legger!AZ37="","",Legger!AZ37)</f>
        <v>89</v>
      </c>
      <c r="O35" s="15">
        <f>IF(Legger!BF37="","",Legger!BF37)</f>
        <v>85</v>
      </c>
      <c r="P35" s="15">
        <f>IF(Legger!BL37="","",Legger!BL37)</f>
        <v>90</v>
      </c>
      <c r="Q35" s="15">
        <f>IF(Legger!BR37="","",Legger!BR37)</f>
        <v>80</v>
      </c>
      <c r="R35" s="15">
        <f>IF(Legger!BX37="","",Legger!BX37)</f>
        <v>83</v>
      </c>
      <c r="S35" s="15">
        <f>IF(Legger!CD37="","",Legger!CD37)</f>
        <v>88</v>
      </c>
      <c r="T35" s="15">
        <f>IF(Legger!CJ37="","",Legger!CJ37)</f>
        <v>80</v>
      </c>
      <c r="U35" s="15">
        <f>IF(Legger!CP37="","",Legger!CP37)</f>
        <v>87</v>
      </c>
      <c r="V35" s="15">
        <f>IF(Legger!CV37="","",Legger!CV37)</f>
        <v>89</v>
      </c>
      <c r="W35" s="15">
        <f>IF(Setting!J34="","",SUM(G35:V35))</f>
        <v>1372</v>
      </c>
      <c r="X35" s="15" t="e">
        <f>IF(Setting!J34="","",RANK(W35,$W$7:$W$46))</f>
        <v>#DIV/0!</v>
      </c>
    </row>
    <row r="36" spans="1:124">
      <c r="A36" s="12">
        <v>30</v>
      </c>
      <c r="B36" s="23" t="str">
        <f>IF(Setting!J35="","",Setting!J35)</f>
        <v>Rayhan Yoga Edy Pratama</v>
      </c>
      <c r="C36" s="28">
        <f>IF(Setting!J35="","",Setting!K35)</f>
        <v>2008296</v>
      </c>
      <c r="D36" s="28" t="str">
        <f>IF(Setting!J35="","",Setting!L35)</f>
        <v xml:space="preserve">0041380949 </v>
      </c>
      <c r="E36" s="15" t="str">
        <f>IF(Setting!J35="","",Setting!$E$11)</f>
        <v>X.MIPA 4</v>
      </c>
      <c r="F36" s="15" t="str">
        <f>IF(Setting!J35="","",Setting!$E$15)</f>
        <v>II</v>
      </c>
      <c r="G36" s="15">
        <f>IF(Legger!J38="","",Legger!J38)</f>
        <v>89</v>
      </c>
      <c r="H36" s="15">
        <f>IF(Legger!P38="","",Legger!P38)</f>
        <v>88</v>
      </c>
      <c r="I36" s="15">
        <f>IF(Legger!V38="","",Legger!V38)</f>
        <v>88</v>
      </c>
      <c r="J36" s="15">
        <f>IF(Legger!AB38="","",Legger!AB38)</f>
        <v>88</v>
      </c>
      <c r="K36" s="15">
        <f>IF(Legger!AH38="","",Legger!AH38)</f>
        <v>93</v>
      </c>
      <c r="L36" s="15">
        <f>IF(Legger!AN38="","",Legger!AN38)</f>
        <v>90</v>
      </c>
      <c r="M36" s="15">
        <f>IF(Legger!AT38="","",Legger!AT38)</f>
        <v>83</v>
      </c>
      <c r="N36" s="101">
        <f>IF(Legger!AZ38="","",Legger!AZ38)</f>
        <v>89</v>
      </c>
      <c r="O36" s="15">
        <f>IF(Legger!BF38="","",Legger!BF38)</f>
        <v>91</v>
      </c>
      <c r="P36" s="15">
        <f>IF(Legger!BL38="","",Legger!BL38)</f>
        <v>90</v>
      </c>
      <c r="Q36" s="15">
        <f>IF(Legger!BR38="","",Legger!BR38)</f>
        <v>89</v>
      </c>
      <c r="R36" s="15">
        <f>IF(Legger!BX38="","",Legger!BX38)</f>
        <v>88</v>
      </c>
      <c r="S36" s="15">
        <f>IF(Legger!CD38="","",Legger!CD38)</f>
        <v>89</v>
      </c>
      <c r="T36" s="15">
        <f>IF(Legger!CJ38="","",Legger!CJ38)</f>
        <v>80</v>
      </c>
      <c r="U36" s="15">
        <f>IF(Legger!CP38="","",Legger!CP38)</f>
        <v>89</v>
      </c>
      <c r="V36" s="15">
        <f>IF(Legger!CV38="","",Legger!CV38)</f>
        <v>91</v>
      </c>
      <c r="W36" s="15">
        <f>IF(Setting!J35="","",SUM(G36:V36))</f>
        <v>1415</v>
      </c>
      <c r="X36" s="15" t="e">
        <f>IF(Setting!J35="","",RANK(W36,$W$7:$W$46))</f>
        <v>#DIV/0!</v>
      </c>
    </row>
    <row r="37" spans="1:124">
      <c r="A37" s="12">
        <v>31</v>
      </c>
      <c r="B37" s="23" t="str">
        <f>IF(Setting!J36="","",Setting!J36)</f>
        <v>Rusianto Munif</v>
      </c>
      <c r="C37" s="28">
        <f>IF(Setting!J36="","",Setting!K36)</f>
        <v>2008307</v>
      </c>
      <c r="D37" s="28" t="str">
        <f>IF(Setting!J36="","",Setting!L36)</f>
        <v>0060172183</v>
      </c>
      <c r="E37" s="15" t="str">
        <f>IF(Setting!J36="","",Setting!$E$11)</f>
        <v>X.MIPA 4</v>
      </c>
      <c r="F37" s="15" t="str">
        <f>IF(Setting!J36="","",Setting!$E$15)</f>
        <v>II</v>
      </c>
      <c r="G37" s="15">
        <f>IF(Legger!J39="","",Legger!J39)</f>
        <v>84</v>
      </c>
      <c r="H37" s="15">
        <f>IF(Legger!P39="","",Legger!P39)</f>
        <v>84</v>
      </c>
      <c r="I37" s="15">
        <f>IF(Legger!V39="","",Legger!V39)</f>
        <v>84</v>
      </c>
      <c r="J37" s="15">
        <f>IF(Legger!AB39="","",Legger!AB39)</f>
        <v>81</v>
      </c>
      <c r="K37" s="15">
        <f>IF(Legger!AH39="","",Legger!AH39)</f>
        <v>88</v>
      </c>
      <c r="L37" s="15">
        <f>IF(Legger!AN39="","",Legger!AN39)</f>
        <v>81</v>
      </c>
      <c r="M37" s="15">
        <f>IF(Legger!AT39="","",Legger!AT39)</f>
        <v>83</v>
      </c>
      <c r="N37" s="101">
        <f>IF(Legger!AZ39="","",Legger!AZ39)</f>
        <v>85</v>
      </c>
      <c r="O37" s="15">
        <f>IF(Legger!BF39="","",Legger!BF39)</f>
        <v>88</v>
      </c>
      <c r="P37" s="15">
        <f>IF(Legger!BL39="","",Legger!BL39)</f>
        <v>88</v>
      </c>
      <c r="Q37" s="15">
        <f>IF(Legger!BR39="","",Legger!BR39)</f>
        <v>82</v>
      </c>
      <c r="R37" s="15">
        <f>IF(Legger!BX39="","",Legger!BX39)</f>
        <v>88</v>
      </c>
      <c r="S37" s="15">
        <f>IF(Legger!CD39="","",Legger!CD39)</f>
        <v>86</v>
      </c>
      <c r="T37" s="15">
        <f>IF(Legger!CJ39="","",Legger!CJ39)</f>
        <v>80</v>
      </c>
      <c r="U37" s="15">
        <f>IF(Legger!CP39="","",Legger!CP39)</f>
        <v>83</v>
      </c>
      <c r="V37" s="15">
        <f>IF(Legger!CV39="","",Legger!CV39)</f>
        <v>80</v>
      </c>
      <c r="W37" s="15">
        <f>IF(Setting!J36="","",SUM(G37:V37))</f>
        <v>1345</v>
      </c>
      <c r="X37" s="15" t="e">
        <f>IF(Setting!J36="","",RANK(W37,$W$7:$W$46))</f>
        <v>#DIV/0!</v>
      </c>
    </row>
    <row r="38" spans="1:124">
      <c r="A38" s="12">
        <v>32</v>
      </c>
      <c r="B38" s="23" t="str">
        <f>IF(Setting!J37="","",Setting!J37)</f>
        <v>Zaidan Mu'afy Althaf</v>
      </c>
      <c r="C38" s="28">
        <f>IF(Setting!J37="","",Setting!K37)</f>
        <v>2008347</v>
      </c>
      <c r="D38" s="28" t="str">
        <f>IF(Setting!J37="","",Setting!L37)</f>
        <v>0056182222</v>
      </c>
      <c r="E38" s="15" t="str">
        <f>IF(Setting!J37="","",Setting!$E$11)</f>
        <v>X.MIPA 4</v>
      </c>
      <c r="F38" s="15" t="str">
        <f>IF(Setting!J37="","",Setting!$E$15)</f>
        <v>II</v>
      </c>
      <c r="G38" s="15">
        <f>IF(Legger!J40="","",Legger!J40)</f>
        <v>90</v>
      </c>
      <c r="H38" s="15">
        <f>IF(Legger!P40="","",Legger!P40)</f>
        <v>86</v>
      </c>
      <c r="I38" s="15">
        <f>IF(Legger!V40="","",Legger!V40)</f>
        <v>88</v>
      </c>
      <c r="J38" s="15">
        <f>IF(Legger!AB40="","",Legger!AB40)</f>
        <v>84</v>
      </c>
      <c r="K38" s="15">
        <f>IF(Legger!AH40="","",Legger!AH40)</f>
        <v>93</v>
      </c>
      <c r="L38" s="15">
        <f>IF(Legger!AN40="","",Legger!AN40)</f>
        <v>87</v>
      </c>
      <c r="M38" s="15">
        <f>IF(Legger!AT40="","",Legger!AT40)</f>
        <v>80</v>
      </c>
      <c r="N38" s="101">
        <f>IF(Legger!AZ40="","",Legger!AZ40)</f>
        <v>89</v>
      </c>
      <c r="O38" s="15">
        <f>IF(Legger!BF40="","",Legger!BF40)</f>
        <v>91</v>
      </c>
      <c r="P38" s="15">
        <f>IF(Legger!BL40="","",Legger!BL40)</f>
        <v>90</v>
      </c>
      <c r="Q38" s="15">
        <f>IF(Legger!BR40="","",Legger!BR40)</f>
        <v>84</v>
      </c>
      <c r="R38" s="15">
        <f>IF(Legger!BX40="","",Legger!BX40)</f>
        <v>88</v>
      </c>
      <c r="S38" s="15">
        <f>IF(Legger!CD40="","",Legger!CD40)</f>
        <v>91</v>
      </c>
      <c r="T38" s="15">
        <f>IF(Legger!CJ40="","",Legger!CJ40)</f>
        <v>80</v>
      </c>
      <c r="U38" s="15">
        <f>IF(Legger!CP40="","",Legger!CP40)</f>
        <v>88</v>
      </c>
      <c r="V38" s="15">
        <f>IF(Legger!CV40="","",Legger!CV40)</f>
        <v>85</v>
      </c>
      <c r="W38" s="15">
        <f>IF(Setting!J37="","",SUM(G38:V38))</f>
        <v>1394</v>
      </c>
      <c r="X38" s="15" t="e">
        <f>IF(Setting!J37="","",RANK(W38,$W$7:$W$46))</f>
        <v>#DIV/0!</v>
      </c>
    </row>
    <row r="39" spans="1:124">
      <c r="A39" s="12">
        <v>33</v>
      </c>
      <c r="B39" s="23" t="str">
        <f>IF(Setting!J38="","",Setting!J38)</f>
        <v/>
      </c>
      <c r="C39" s="28" t="str">
        <f>IF(Setting!J38="","",Setting!K38)</f>
        <v/>
      </c>
      <c r="D39" s="28" t="str">
        <f>IF(Setting!J38="","",Setting!L38)</f>
        <v/>
      </c>
      <c r="E39" s="15" t="str">
        <f>IF(Setting!J38="","",Setting!$E$11)</f>
        <v/>
      </c>
      <c r="F39" s="15" t="str">
        <f>IF(Setting!J38="","",Setting!$E$15)</f>
        <v/>
      </c>
      <c r="G39" s="15" t="str">
        <f>IF(Legger!J41="","",Legger!J41)</f>
        <v/>
      </c>
      <c r="H39" s="15" t="str">
        <f>IF(Legger!P41="","",Legger!P41)</f>
        <v/>
      </c>
      <c r="I39" s="15" t="str">
        <f>IF(Legger!V41="","",Legger!V41)</f>
        <v/>
      </c>
      <c r="J39" s="15" t="str">
        <f>IF(Legger!AB41="","",Legger!AB41)</f>
        <v/>
      </c>
      <c r="K39" s="15" t="str">
        <f>IF(Legger!AH41="","",Legger!AH41)</f>
        <v/>
      </c>
      <c r="L39" s="15" t="str">
        <f>IF(Legger!AN41="","",Legger!AN41)</f>
        <v/>
      </c>
      <c r="M39" s="15" t="str">
        <f>IF(Legger!AT41="","",Legger!AT41)</f>
        <v/>
      </c>
      <c r="N39" s="101" t="str">
        <f>IF(Legger!AZ41="","",Legger!AZ41)</f>
        <v/>
      </c>
      <c r="O39" s="15" t="str">
        <f>IF(Legger!BF41="","",Legger!BF41)</f>
        <v/>
      </c>
      <c r="P39" s="15" t="str">
        <f>IF(Legger!BL41="","",Legger!BL41)</f>
        <v/>
      </c>
      <c r="Q39" s="15" t="str">
        <f>IF(Legger!BR41="","",Legger!BR41)</f>
        <v/>
      </c>
      <c r="R39" s="15" t="str">
        <f>IF(Legger!BX41="","",Legger!BX41)</f>
        <v/>
      </c>
      <c r="S39" s="15" t="str">
        <f>IF(Legger!CD41="","",Legger!CD41)</f>
        <v/>
      </c>
      <c r="T39" s="15" t="str">
        <f>IF(Legger!CJ41="","",Legger!CJ41)</f>
        <v/>
      </c>
      <c r="U39" s="15" t="str">
        <f>IF(Legger!CP41="","",Legger!CP41)</f>
        <v/>
      </c>
      <c r="V39" s="15" t="str">
        <f>IF(Legger!CV41="","",Legger!CV41)</f>
        <v/>
      </c>
      <c r="W39" s="15" t="str">
        <f>IF(Setting!J38="","",SUM(G39:V39))</f>
        <v/>
      </c>
      <c r="X39" s="15" t="str">
        <f>IF(Setting!J38="","",RANK(W39,$W$7:$W$46))</f>
        <v/>
      </c>
    </row>
    <row r="40" spans="1:124">
      <c r="A40" s="12">
        <v>34</v>
      </c>
      <c r="B40" s="23" t="str">
        <f>IF(Setting!J39="","",Setting!J39)</f>
        <v/>
      </c>
      <c r="C40" s="28" t="str">
        <f>IF(Setting!J39="","",Setting!K39)</f>
        <v/>
      </c>
      <c r="D40" s="28" t="str">
        <f>IF(Setting!J39="","",Setting!L39)</f>
        <v/>
      </c>
      <c r="E40" s="15" t="str">
        <f>IF(Setting!J39="","",Setting!$E$11)</f>
        <v/>
      </c>
      <c r="F40" s="15" t="str">
        <f>IF(Setting!J39="","",Setting!$E$15)</f>
        <v/>
      </c>
      <c r="G40" s="15" t="str">
        <f>IF(Legger!J42="","",Legger!J42)</f>
        <v/>
      </c>
      <c r="H40" s="15" t="str">
        <f>IF(Legger!P42="","",Legger!P42)</f>
        <v/>
      </c>
      <c r="I40" s="15" t="str">
        <f>IF(Legger!V42="","",Legger!V42)</f>
        <v/>
      </c>
      <c r="J40" s="15" t="str">
        <f>IF(Legger!AB42="","",Legger!AB42)</f>
        <v/>
      </c>
      <c r="K40" s="15" t="str">
        <f>IF(Legger!AH42="","",Legger!AH42)</f>
        <v/>
      </c>
      <c r="L40" s="15" t="str">
        <f>IF(Legger!AN42="","",Legger!AN42)</f>
        <v/>
      </c>
      <c r="M40" s="15" t="str">
        <f>IF(Legger!AT42="","",Legger!AT42)</f>
        <v/>
      </c>
      <c r="N40" s="101" t="str">
        <f>IF(Legger!AZ42="","",Legger!AZ42)</f>
        <v/>
      </c>
      <c r="O40" s="15" t="str">
        <f>IF(Legger!BF42="","",Legger!BF42)</f>
        <v/>
      </c>
      <c r="P40" s="15" t="str">
        <f>IF(Legger!BL42="","",Legger!BL42)</f>
        <v/>
      </c>
      <c r="Q40" s="15" t="str">
        <f>IF(Legger!BR42="","",Legger!BR42)</f>
        <v/>
      </c>
      <c r="R40" s="15" t="str">
        <f>IF(Legger!BX42="","",Legger!BX42)</f>
        <v/>
      </c>
      <c r="S40" s="15" t="str">
        <f>IF(Legger!CD42="","",Legger!CD42)</f>
        <v/>
      </c>
      <c r="T40" s="15" t="str">
        <f>IF(Legger!CJ42="","",Legger!CJ42)</f>
        <v/>
      </c>
      <c r="U40" s="15" t="str">
        <f>IF(Legger!CP42="","",Legger!CP42)</f>
        <v/>
      </c>
      <c r="V40" s="15" t="str">
        <f>IF(Legger!CV42="","",Legger!CV42)</f>
        <v/>
      </c>
      <c r="W40" s="15" t="str">
        <f>IF(Setting!J39="","",SUM(G40:V40))</f>
        <v/>
      </c>
      <c r="X40" s="15" t="str">
        <f>IF(Setting!J39="","",RANK(W40,$W$7:$W$46))</f>
        <v/>
      </c>
    </row>
    <row r="41" spans="1:124">
      <c r="A41" s="12">
        <v>35</v>
      </c>
      <c r="B41" s="23" t="str">
        <f>IF(Setting!J40="","",Setting!J40)</f>
        <v/>
      </c>
      <c r="C41" s="28" t="str">
        <f>IF(Setting!J40="","",Setting!K40)</f>
        <v/>
      </c>
      <c r="D41" s="28" t="str">
        <f>IF(Setting!J40="","",Setting!L40)</f>
        <v/>
      </c>
      <c r="E41" s="15" t="str">
        <f>IF(Setting!J40="","",Setting!$E$11)</f>
        <v/>
      </c>
      <c r="F41" s="15" t="str">
        <f>IF(Setting!J40="","",Setting!$E$15)</f>
        <v/>
      </c>
      <c r="G41" s="15" t="str">
        <f>IF(Legger!J43="","",Legger!J43)</f>
        <v/>
      </c>
      <c r="H41" s="15" t="str">
        <f>IF(Legger!P43="","",Legger!P43)</f>
        <v/>
      </c>
      <c r="I41" s="15" t="str">
        <f>IF(Legger!V43="","",Legger!V43)</f>
        <v/>
      </c>
      <c r="J41" s="15" t="str">
        <f>IF(Legger!AB43="","",Legger!AB43)</f>
        <v/>
      </c>
      <c r="K41" s="15" t="str">
        <f>IF(Legger!AH43="","",Legger!AH43)</f>
        <v/>
      </c>
      <c r="L41" s="15" t="str">
        <f>IF(Legger!AN43="","",Legger!AN43)</f>
        <v/>
      </c>
      <c r="M41" s="15" t="str">
        <f>IF(Legger!AT43="","",Legger!AT43)</f>
        <v/>
      </c>
      <c r="N41" s="101" t="str">
        <f>IF(Legger!AZ43="","",Legger!AZ43)</f>
        <v/>
      </c>
      <c r="O41" s="15" t="str">
        <f>IF(Legger!BF43="","",Legger!BF43)</f>
        <v/>
      </c>
      <c r="P41" s="15" t="str">
        <f>IF(Legger!BL43="","",Legger!BL43)</f>
        <v/>
      </c>
      <c r="Q41" s="15" t="str">
        <f>IF(Legger!BR43="","",Legger!BR43)</f>
        <v/>
      </c>
      <c r="R41" s="15" t="str">
        <f>IF(Legger!BX43="","",Legger!BX43)</f>
        <v/>
      </c>
      <c r="S41" s="15" t="str">
        <f>IF(Legger!CD43="","",Legger!CD43)</f>
        <v/>
      </c>
      <c r="T41" s="15" t="str">
        <f>IF(Legger!CJ43="","",Legger!CJ43)</f>
        <v/>
      </c>
      <c r="U41" s="15" t="str">
        <f>IF(Legger!CP43="","",Legger!CP43)</f>
        <v/>
      </c>
      <c r="V41" s="15" t="str">
        <f>IF(Legger!CV43="","",Legger!CV43)</f>
        <v/>
      </c>
      <c r="W41" s="15" t="str">
        <f>IF(Setting!J40="","",SUM(G41:V41))</f>
        <v/>
      </c>
      <c r="X41" s="15" t="str">
        <f>IF(Setting!J40="","",RANK(W41,$W$7:$W$46))</f>
        <v/>
      </c>
    </row>
    <row r="42" spans="1:124">
      <c r="A42" s="12">
        <v>36</v>
      </c>
      <c r="B42" s="23" t="str">
        <f>IF(Setting!J41="","",Setting!J41)</f>
        <v/>
      </c>
      <c r="C42" s="28" t="str">
        <f>IF(Setting!J41="","",Setting!K41)</f>
        <v/>
      </c>
      <c r="D42" s="28" t="str">
        <f>IF(Setting!J41="","",Setting!L41)</f>
        <v/>
      </c>
      <c r="E42" s="15" t="str">
        <f>IF(Setting!J41="","",Setting!$E$11)</f>
        <v/>
      </c>
      <c r="F42" s="15" t="str">
        <f>IF(Setting!J41="","",Setting!$E$15)</f>
        <v/>
      </c>
      <c r="G42" s="15" t="str">
        <f>IF(Legger!J44="","",Legger!J44)</f>
        <v/>
      </c>
      <c r="H42" s="15" t="str">
        <f>IF(Legger!P44="","",Legger!P44)</f>
        <v/>
      </c>
      <c r="I42" s="15" t="str">
        <f>IF(Legger!V44="","",Legger!V44)</f>
        <v/>
      </c>
      <c r="J42" s="15" t="str">
        <f>IF(Legger!AB44="","",Legger!AB44)</f>
        <v/>
      </c>
      <c r="K42" s="15" t="str">
        <f>IF(Legger!AH44="","",Legger!AH44)</f>
        <v/>
      </c>
      <c r="L42" s="15" t="str">
        <f>IF(Legger!AN44="","",Legger!AN44)</f>
        <v/>
      </c>
      <c r="M42" s="15" t="str">
        <f>IF(Legger!AT44="","",Legger!AT44)</f>
        <v/>
      </c>
      <c r="N42" s="101" t="str">
        <f>IF(Legger!AZ44="","",Legger!AZ44)</f>
        <v/>
      </c>
      <c r="O42" s="15" t="str">
        <f>IF(Legger!BF44="","",Legger!BF44)</f>
        <v/>
      </c>
      <c r="P42" s="15" t="str">
        <f>IF(Legger!BL44="","",Legger!BL44)</f>
        <v/>
      </c>
      <c r="Q42" s="15" t="str">
        <f>IF(Legger!BR44="","",Legger!BR44)</f>
        <v/>
      </c>
      <c r="R42" s="15" t="str">
        <f>IF(Legger!BX44="","",Legger!BX44)</f>
        <v/>
      </c>
      <c r="S42" s="15" t="str">
        <f>IF(Legger!CD44="","",Legger!CD44)</f>
        <v/>
      </c>
      <c r="T42" s="15" t="str">
        <f>IF(Legger!CJ44="","",Legger!CJ44)</f>
        <v/>
      </c>
      <c r="U42" s="15" t="str">
        <f>IF(Legger!CP44="","",Legger!CP44)</f>
        <v/>
      </c>
      <c r="V42" s="15" t="str">
        <f>IF(Legger!CV44="","",Legger!CV44)</f>
        <v/>
      </c>
      <c r="W42" s="15" t="str">
        <f>IF(Setting!J41="","",SUM(G42:V42))</f>
        <v/>
      </c>
      <c r="X42" s="15" t="str">
        <f>IF(Setting!J41="","",RANK(W42,$W$7:$W$46))</f>
        <v/>
      </c>
    </row>
    <row r="43" spans="1:124">
      <c r="A43" s="12">
        <v>37</v>
      </c>
      <c r="B43" s="23" t="str">
        <f>IF(Setting!J42="","",Setting!J42)</f>
        <v/>
      </c>
      <c r="C43" s="28" t="str">
        <f>IF(Setting!J42="","",Setting!K42)</f>
        <v/>
      </c>
      <c r="D43" s="28" t="str">
        <f>IF(Setting!J42="","",Setting!L42)</f>
        <v/>
      </c>
      <c r="E43" s="15" t="str">
        <f>IF(Setting!J42="","",Setting!$E$11)</f>
        <v/>
      </c>
      <c r="F43" s="15" t="str">
        <f>IF(Setting!J42="","",Setting!$E$15)</f>
        <v/>
      </c>
      <c r="G43" s="15" t="str">
        <f>IF(Legger!J45="","",Legger!J45)</f>
        <v/>
      </c>
      <c r="H43" s="15" t="str">
        <f>IF(Legger!P45="","",Legger!P45)</f>
        <v/>
      </c>
      <c r="I43" s="15" t="str">
        <f>IF(Legger!V45="","",Legger!V45)</f>
        <v/>
      </c>
      <c r="J43" s="15" t="str">
        <f>IF(Legger!AB45="","",Legger!AB45)</f>
        <v/>
      </c>
      <c r="K43" s="15" t="str">
        <f>IF(Legger!AH45="","",Legger!AH45)</f>
        <v/>
      </c>
      <c r="L43" s="15" t="str">
        <f>IF(Legger!AN45="","",Legger!AN45)</f>
        <v/>
      </c>
      <c r="M43" s="15" t="str">
        <f>IF(Legger!AT45="","",Legger!AT45)</f>
        <v/>
      </c>
      <c r="N43" s="101" t="str">
        <f>IF(Legger!AZ45="","",Legger!AZ45)</f>
        <v/>
      </c>
      <c r="O43" s="15" t="str">
        <f>IF(Legger!BF45="","",Legger!BF45)</f>
        <v/>
      </c>
      <c r="P43" s="15" t="str">
        <f>IF(Legger!BL45="","",Legger!BL45)</f>
        <v/>
      </c>
      <c r="Q43" s="15" t="str">
        <f>IF(Legger!BR45="","",Legger!BR45)</f>
        <v/>
      </c>
      <c r="R43" s="15" t="str">
        <f>IF(Legger!BX45="","",Legger!BX45)</f>
        <v/>
      </c>
      <c r="S43" s="15" t="str">
        <f>IF(Legger!CD45="","",Legger!CD45)</f>
        <v/>
      </c>
      <c r="T43" s="15" t="str">
        <f>IF(Legger!CJ45="","",Legger!CJ45)</f>
        <v/>
      </c>
      <c r="U43" s="15" t="str">
        <f>IF(Legger!CP45="","",Legger!CP45)</f>
        <v/>
      </c>
      <c r="V43" s="15" t="str">
        <f>IF(Legger!CV45="","",Legger!CV45)</f>
        <v/>
      </c>
      <c r="W43" s="15" t="str">
        <f>IF(Setting!J42="","",SUM(G43:V43))</f>
        <v/>
      </c>
      <c r="X43" s="15" t="str">
        <f>IF(Setting!J42="","",RANK(W43,$W$7:$W$46))</f>
        <v/>
      </c>
    </row>
    <row r="44" spans="1:124">
      <c r="A44" s="12">
        <v>38</v>
      </c>
      <c r="B44" s="23" t="str">
        <f>IF(Setting!J43="","",Setting!J43)</f>
        <v/>
      </c>
      <c r="C44" s="28" t="str">
        <f>IF(Setting!J43="","",Setting!K43)</f>
        <v/>
      </c>
      <c r="D44" s="28" t="str">
        <f>IF(Setting!J43="","",Setting!L43)</f>
        <v/>
      </c>
      <c r="E44" s="15" t="str">
        <f>IF(Setting!J43="","",Setting!$E$11)</f>
        <v/>
      </c>
      <c r="F44" s="15" t="str">
        <f>IF(Setting!J43="","",Setting!$E$15)</f>
        <v/>
      </c>
      <c r="G44" s="15" t="str">
        <f>IF(Legger!J46="","",Legger!J46)</f>
        <v/>
      </c>
      <c r="H44" s="15" t="str">
        <f>IF(Legger!P46="","",Legger!P46)</f>
        <v/>
      </c>
      <c r="I44" s="15" t="str">
        <f>IF(Legger!V46="","",Legger!V46)</f>
        <v/>
      </c>
      <c r="J44" s="15" t="str">
        <f>IF(Legger!AB46="","",Legger!AB46)</f>
        <v/>
      </c>
      <c r="K44" s="15" t="str">
        <f>IF(Legger!AH46="","",Legger!AH46)</f>
        <v/>
      </c>
      <c r="L44" s="15" t="str">
        <f>IF(Legger!AN46="","",Legger!AN46)</f>
        <v/>
      </c>
      <c r="M44" s="15" t="str">
        <f>IF(Legger!AT46="","",Legger!AT46)</f>
        <v/>
      </c>
      <c r="N44" s="101" t="str">
        <f>IF(Legger!AZ46="","",Legger!AZ46)</f>
        <v/>
      </c>
      <c r="O44" s="15" t="str">
        <f>IF(Legger!BF46="","",Legger!BF46)</f>
        <v/>
      </c>
      <c r="P44" s="15" t="str">
        <f>IF(Legger!BL46="","",Legger!BL46)</f>
        <v/>
      </c>
      <c r="Q44" s="15" t="str">
        <f>IF(Legger!BR46="","",Legger!BR46)</f>
        <v/>
      </c>
      <c r="R44" s="15" t="str">
        <f>IF(Legger!BX46="","",Legger!BX46)</f>
        <v/>
      </c>
      <c r="S44" s="15" t="str">
        <f>IF(Legger!CD46="","",Legger!CD46)</f>
        <v/>
      </c>
      <c r="T44" s="15" t="str">
        <f>IF(Legger!CJ46="","",Legger!CJ46)</f>
        <v/>
      </c>
      <c r="U44" s="15" t="str">
        <f>IF(Legger!CP46="","",Legger!CP46)</f>
        <v/>
      </c>
      <c r="V44" s="15" t="str">
        <f>IF(Legger!CV46="","",Legger!CV46)</f>
        <v/>
      </c>
      <c r="W44" s="15" t="str">
        <f>IF(Setting!J43="","",SUM(G44:V44))</f>
        <v/>
      </c>
      <c r="X44" s="15" t="str">
        <f>IF(Setting!J43="","",RANK(W44,$W$7:$W$46))</f>
        <v/>
      </c>
    </row>
    <row r="45" spans="1:124">
      <c r="A45" s="12">
        <v>39</v>
      </c>
      <c r="B45" s="23" t="str">
        <f>IF(Setting!J44="","",Setting!J44)</f>
        <v/>
      </c>
      <c r="C45" s="28" t="str">
        <f>IF(Setting!J44="","",Setting!K44)</f>
        <v/>
      </c>
      <c r="D45" s="28" t="str">
        <f>IF(Setting!J44="","",Setting!L44)</f>
        <v/>
      </c>
      <c r="E45" s="15" t="str">
        <f>IF(Setting!J44="","",Setting!$E$11)</f>
        <v/>
      </c>
      <c r="F45" s="15" t="str">
        <f>IF(Setting!J44="","",Setting!$E$15)</f>
        <v/>
      </c>
      <c r="G45" s="15" t="str">
        <f>IF(Legger!J47="","",Legger!J47)</f>
        <v/>
      </c>
      <c r="H45" s="15" t="str">
        <f>IF(Legger!P47="","",Legger!P47)</f>
        <v/>
      </c>
      <c r="I45" s="15" t="str">
        <f>IF(Legger!V47="","",Legger!V47)</f>
        <v/>
      </c>
      <c r="J45" s="15" t="str">
        <f>IF(Legger!AB47="","",Legger!AB47)</f>
        <v/>
      </c>
      <c r="K45" s="15" t="str">
        <f>IF(Legger!AH47="","",Legger!AH47)</f>
        <v/>
      </c>
      <c r="L45" s="15" t="str">
        <f>IF(Legger!AN47="","",Legger!AN47)</f>
        <v/>
      </c>
      <c r="M45" s="15" t="str">
        <f>IF(Legger!AT47="","",Legger!AT47)</f>
        <v/>
      </c>
      <c r="N45" s="101" t="str">
        <f>IF(Legger!AZ47="","",Legger!AZ47)</f>
        <v/>
      </c>
      <c r="O45" s="15" t="str">
        <f>IF(Legger!BF47="","",Legger!BF47)</f>
        <v/>
      </c>
      <c r="P45" s="15" t="str">
        <f>IF(Legger!BL47="","",Legger!BL47)</f>
        <v/>
      </c>
      <c r="Q45" s="15" t="str">
        <f>IF(Legger!BR47="","",Legger!BR47)</f>
        <v/>
      </c>
      <c r="R45" s="15" t="str">
        <f>IF(Legger!BX47="","",Legger!BX47)</f>
        <v/>
      </c>
      <c r="S45" s="15" t="str">
        <f>IF(Legger!CD47="","",Legger!CD47)</f>
        <v/>
      </c>
      <c r="T45" s="15" t="str">
        <f>IF(Legger!CJ47="","",Legger!CJ47)</f>
        <v/>
      </c>
      <c r="U45" s="15" t="str">
        <f>IF(Legger!CP47="","",Legger!CP47)</f>
        <v/>
      </c>
      <c r="V45" s="15" t="str">
        <f>IF(Legger!CV47="","",Legger!CV47)</f>
        <v/>
      </c>
      <c r="W45" s="15" t="str">
        <f>IF(Setting!J44="","",SUM(G45:V45))</f>
        <v/>
      </c>
      <c r="X45" s="15" t="str">
        <f>IF(Setting!J44="","",RANK(W45,$W$7:$W$46))</f>
        <v/>
      </c>
    </row>
    <row r="46" spans="1:124">
      <c r="A46" s="12">
        <v>40</v>
      </c>
      <c r="B46" s="23" t="str">
        <f>IF(Setting!J45="","",Setting!J45)</f>
        <v/>
      </c>
      <c r="C46" s="28" t="str">
        <f>IF(Setting!J45="","",Setting!K45)</f>
        <v/>
      </c>
      <c r="D46" s="28" t="str">
        <f>IF(Setting!J45="","",Setting!L45)</f>
        <v/>
      </c>
      <c r="E46" s="15" t="str">
        <f>IF(Setting!J45="","",Setting!$E$11)</f>
        <v/>
      </c>
      <c r="F46" s="15" t="str">
        <f>IF(Setting!J45="","",Setting!$E$15)</f>
        <v/>
      </c>
      <c r="G46" s="15" t="str">
        <f>IF(Legger!J48="","",Legger!J48)</f>
        <v/>
      </c>
      <c r="H46" s="15" t="str">
        <f>IF(Legger!P48="","",Legger!P48)</f>
        <v/>
      </c>
      <c r="I46" s="15" t="str">
        <f>IF(Legger!V48="","",Legger!V48)</f>
        <v/>
      </c>
      <c r="J46" s="15" t="str">
        <f>IF(Legger!AB48="","",Legger!AB48)</f>
        <v/>
      </c>
      <c r="K46" s="15" t="str">
        <f>IF(Legger!AH48="","",Legger!AH48)</f>
        <v/>
      </c>
      <c r="L46" s="15" t="str">
        <f>IF(Legger!AN48="","",Legger!AN48)</f>
        <v/>
      </c>
      <c r="M46" s="15" t="str">
        <f>IF(Legger!AT48="","",Legger!AT48)</f>
        <v/>
      </c>
      <c r="N46" s="101" t="str">
        <f>IF(Legger!AZ48="","",Legger!AZ48)</f>
        <v/>
      </c>
      <c r="O46" s="15" t="str">
        <f>IF(Legger!BF48="","",Legger!BF48)</f>
        <v/>
      </c>
      <c r="P46" s="15" t="str">
        <f>IF(Legger!BL48="","",Legger!BL48)</f>
        <v/>
      </c>
      <c r="Q46" s="15" t="str">
        <f>IF(Legger!BR48="","",Legger!BR48)</f>
        <v/>
      </c>
      <c r="R46" s="15" t="str">
        <f>IF(Legger!BX48="","",Legger!BX48)</f>
        <v/>
      </c>
      <c r="S46" s="15" t="str">
        <f>IF(Legger!CD48="","",Legger!CD48)</f>
        <v/>
      </c>
      <c r="T46" s="15" t="str">
        <f>IF(Legger!CJ48="","",Legger!CJ48)</f>
        <v/>
      </c>
      <c r="U46" s="15" t="str">
        <f>IF(Legger!CP48="","",Legger!CP48)</f>
        <v/>
      </c>
      <c r="V46" s="15" t="str">
        <f>IF(Legger!CV48="","",Legger!CV48)</f>
        <v/>
      </c>
      <c r="W46" s="15" t="str">
        <f>IF(Setting!J45="","",SUM(G46:V46))</f>
        <v/>
      </c>
      <c r="X46" s="15" t="str">
        <f>IF(Setting!J45="","",RANK(W46,$W$7:$W$46))</f>
        <v/>
      </c>
    </row>
    <row r="47" spans="1:124" s="9" customFormat="1">
      <c r="A47" s="1"/>
      <c r="B47" s="4"/>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row>
  </sheetData>
  <mergeCells count="12">
    <mergeCell ref="W4:W5"/>
    <mergeCell ref="X4:X5"/>
    <mergeCell ref="G4:L4"/>
    <mergeCell ref="M4:P4"/>
    <mergeCell ref="Q4:T4"/>
    <mergeCell ref="U4:V4"/>
    <mergeCell ref="F4:F5"/>
    <mergeCell ref="A4:A5"/>
    <mergeCell ref="B4:B5"/>
    <mergeCell ref="C4:C5"/>
    <mergeCell ref="D4:D5"/>
    <mergeCell ref="E4:E5"/>
  </mergeCells>
  <pageMargins left="0.70866141732283472" right="0.70866141732283472" top="0.74803149606299213" bottom="0.74803149606299213" header="0.31496062992125984" footer="0.31496062992125984"/>
  <pageSetup paperSize="120" scale="4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47"/>
  <sheetViews>
    <sheetView view="pageBreakPreview" zoomScaleNormal="60" zoomScaleSheetLayoutView="100" workbookViewId="0">
      <pane xSplit="5" topLeftCell="F1" activePane="topRight" state="frozenSplit"/>
      <selection pane="topRight"/>
    </sheetView>
  </sheetViews>
  <sheetFormatPr defaultColWidth="9.140625" defaultRowHeight="15"/>
  <cols>
    <col min="1" max="1" width="6.42578125" style="1" customWidth="1"/>
    <col min="2" max="2" width="32.5703125" style="8" bestFit="1" customWidth="1"/>
    <col min="3" max="3" width="9.140625" style="9" customWidth="1"/>
    <col min="4" max="4" width="20.140625" style="9" customWidth="1"/>
    <col min="5" max="5" width="23" style="8" customWidth="1"/>
    <col min="6" max="6" width="8.140625" style="8" customWidth="1"/>
    <col min="7" max="20" width="6.7109375" style="8" customWidth="1"/>
    <col min="21" max="22" width="7" style="8" customWidth="1"/>
    <col min="23" max="24" width="6.7109375" style="8" customWidth="1"/>
    <col min="25" max="16384" width="9.140625" style="8"/>
  </cols>
  <sheetData>
    <row r="1" spans="1:24" ht="13.5" customHeight="1">
      <c r="A1" s="8"/>
    </row>
    <row r="2" spans="1:24" ht="26.25">
      <c r="A2" s="8"/>
      <c r="C2" s="26" t="str">
        <f>"Ranking Siswa Per Mapel dan Dalam Kelas "&amp;Setting!E5&amp;" Semester "&amp;Setting!E15&amp;" "&amp;Home!K19&amp;" Kelas "&amp;Setting!E11&amp;""</f>
        <v>Ranking Siswa Per Mapel dan Dalam Kelas SMA ABBS Surakarta Semester II  Kelas X.MIPA 4</v>
      </c>
    </row>
    <row r="4" spans="1:24" s="3" customFormat="1" ht="32.25" customHeight="1">
      <c r="A4" s="187" t="s">
        <v>30</v>
      </c>
      <c r="B4" s="189" t="s">
        <v>33</v>
      </c>
      <c r="C4" s="186" t="s">
        <v>34</v>
      </c>
      <c r="D4" s="186" t="s">
        <v>35</v>
      </c>
      <c r="E4" s="186" t="s">
        <v>36</v>
      </c>
      <c r="F4" s="186" t="s">
        <v>107</v>
      </c>
      <c r="G4" s="190" t="s">
        <v>95</v>
      </c>
      <c r="H4" s="190"/>
      <c r="I4" s="190"/>
      <c r="J4" s="190"/>
      <c r="K4" s="190"/>
      <c r="L4" s="190"/>
      <c r="M4" s="191" t="s">
        <v>14</v>
      </c>
      <c r="N4" s="191"/>
      <c r="O4" s="191"/>
      <c r="P4" s="191"/>
      <c r="Q4" s="192" t="s">
        <v>123</v>
      </c>
      <c r="R4" s="190"/>
      <c r="S4" s="190"/>
      <c r="T4" s="190"/>
      <c r="U4" s="193" t="s">
        <v>124</v>
      </c>
      <c r="V4" s="193"/>
      <c r="W4" s="186" t="s">
        <v>121</v>
      </c>
      <c r="X4" s="186" t="s">
        <v>122</v>
      </c>
    </row>
    <row r="5" spans="1:24" s="17" customFormat="1" ht="87.75" customHeight="1">
      <c r="A5" s="188"/>
      <c r="B5" s="189"/>
      <c r="C5" s="186"/>
      <c r="D5" s="186"/>
      <c r="E5" s="186"/>
      <c r="F5" s="186"/>
      <c r="G5" s="69" t="s">
        <v>41</v>
      </c>
      <c r="H5" s="70" t="s">
        <v>118</v>
      </c>
      <c r="I5" s="71" t="s">
        <v>10</v>
      </c>
      <c r="J5" s="70" t="s">
        <v>11</v>
      </c>
      <c r="K5" s="70" t="s">
        <v>12</v>
      </c>
      <c r="L5" s="70" t="s">
        <v>13</v>
      </c>
      <c r="M5" s="72" t="s">
        <v>15</v>
      </c>
      <c r="N5" s="73" t="s">
        <v>120</v>
      </c>
      <c r="O5" s="73" t="s">
        <v>119</v>
      </c>
      <c r="P5" s="73" t="s">
        <v>18</v>
      </c>
      <c r="Q5" s="74" t="s">
        <v>11</v>
      </c>
      <c r="R5" s="74" t="s">
        <v>20</v>
      </c>
      <c r="S5" s="74" t="s">
        <v>40</v>
      </c>
      <c r="T5" s="74" t="s">
        <v>22</v>
      </c>
      <c r="U5" s="75" t="s">
        <v>13</v>
      </c>
      <c r="V5" s="75" t="s">
        <v>23</v>
      </c>
      <c r="W5" s="186"/>
      <c r="X5" s="186"/>
    </row>
    <row r="6" spans="1:24" s="13" customFormat="1" ht="30" customHeight="1">
      <c r="A6" s="62">
        <v>1</v>
      </c>
      <c r="B6" s="60">
        <v>2</v>
      </c>
      <c r="C6" s="59">
        <v>3</v>
      </c>
      <c r="D6" s="60">
        <v>4</v>
      </c>
      <c r="E6" s="59">
        <v>5</v>
      </c>
      <c r="F6" s="61">
        <v>6</v>
      </c>
      <c r="G6" s="5">
        <v>7</v>
      </c>
      <c r="H6" s="5">
        <v>8</v>
      </c>
      <c r="I6" s="5">
        <v>9</v>
      </c>
      <c r="J6" s="5">
        <v>10</v>
      </c>
      <c r="K6" s="5">
        <v>11</v>
      </c>
      <c r="L6" s="5">
        <v>12</v>
      </c>
      <c r="M6" s="6">
        <v>13</v>
      </c>
      <c r="N6" s="6">
        <v>14</v>
      </c>
      <c r="O6" s="6">
        <v>15</v>
      </c>
      <c r="P6" s="6">
        <v>16</v>
      </c>
      <c r="Q6" s="5">
        <v>17</v>
      </c>
      <c r="R6" s="5">
        <v>18</v>
      </c>
      <c r="S6" s="5">
        <v>19</v>
      </c>
      <c r="T6" s="5">
        <v>20</v>
      </c>
      <c r="U6" s="22">
        <v>21</v>
      </c>
      <c r="V6" s="22">
        <v>22</v>
      </c>
      <c r="W6" s="62">
        <v>23</v>
      </c>
      <c r="X6" s="62">
        <v>24</v>
      </c>
    </row>
    <row r="7" spans="1:24">
      <c r="A7" s="12">
        <v>1</v>
      </c>
      <c r="B7" s="23" t="str">
        <f>IF(Setting!J6="","",Setting!J6)</f>
        <v>Abdul Fattah Irfan Al Mubaroq</v>
      </c>
      <c r="C7" s="28">
        <f>IF(Setting!K6="","",Setting!K6)</f>
        <v>2008004</v>
      </c>
      <c r="D7" s="28" t="str">
        <f>IF(Setting!L6="","",Setting!L6)</f>
        <v>0047308275</v>
      </c>
      <c r="E7" s="15" t="str">
        <f>IF(B7="","",Setting!$E$11)</f>
        <v>X.MIPA 4</v>
      </c>
      <c r="F7" s="15" t="str">
        <f>IF(B7="","",Setting!$E$15)</f>
        <v>II</v>
      </c>
      <c r="G7" s="15">
        <f>IF($B7="","",RANK('Legger Dinas'!G7,'Legger Dinas'!G$7:G$46))</f>
        <v>17</v>
      </c>
      <c r="H7" s="15">
        <f>IF($B7="","",RANK('Legger Dinas'!H7,'Legger Dinas'!H$7:H$46))</f>
        <v>31</v>
      </c>
      <c r="I7" s="15">
        <f>IF($B7="","",RANK('Legger Dinas'!I7,'Legger Dinas'!I$7:I$46))</f>
        <v>26</v>
      </c>
      <c r="J7" s="15">
        <f>IF($B7="","",RANK('Legger Dinas'!J7,'Legger Dinas'!J$7:J$46))</f>
        <v>20</v>
      </c>
      <c r="K7" s="15">
        <f>IF($B7="","",RANK('Legger Dinas'!K7,'Legger Dinas'!K$7:K$46))</f>
        <v>30</v>
      </c>
      <c r="L7" s="15">
        <f>IF($B7="","",RANK('Legger Dinas'!L7,'Legger Dinas'!L$7:L$46))</f>
        <v>20</v>
      </c>
      <c r="M7" s="15">
        <f>IF($B7="","",RANK('Legger Dinas'!M7,'Legger Dinas'!M$7:M$46))</f>
        <v>17</v>
      </c>
      <c r="N7" s="15" t="e">
        <f>IF($B7="","",RANK('Legger Dinas'!N7,'Legger Dinas'!N$7:N$46))</f>
        <v>#DIV/0!</v>
      </c>
      <c r="O7" s="15">
        <f>IF($B7="","",RANK('Legger Dinas'!O7,'Legger Dinas'!O$7:O$46))</f>
        <v>28</v>
      </c>
      <c r="P7" s="15">
        <f>IF($B7="","",RANK('Legger Dinas'!P7,'Legger Dinas'!P$7:P$46))</f>
        <v>26</v>
      </c>
      <c r="Q7" s="15">
        <f>IF($B7="","",RANK('Legger Dinas'!Q7,'Legger Dinas'!Q$7:Q$46))</f>
        <v>18</v>
      </c>
      <c r="R7" s="15">
        <f>IF($B7="","",RANK('Legger Dinas'!R7,'Legger Dinas'!R$7:R$46))</f>
        <v>22</v>
      </c>
      <c r="S7" s="15">
        <f>IF($B7="","",RANK('Legger Dinas'!S7,'Legger Dinas'!S$7:S$46))</f>
        <v>27</v>
      </c>
      <c r="T7" s="15">
        <f>IF($B7="","",RANK('Legger Dinas'!T7,'Legger Dinas'!T$7:T$46))</f>
        <v>12</v>
      </c>
      <c r="U7" s="15">
        <f>IF(Setting!$E$15="V","",IF(Setting!$E$15="VI","",RANK('Legger Dinas'!U7,'Legger Dinas'!U$7:U$46)))</f>
        <v>28</v>
      </c>
      <c r="V7" s="15">
        <f>IF($B7="","",RANK('Legger Dinas'!V7,'Legger Dinas'!V$7:V$46))</f>
        <v>1</v>
      </c>
      <c r="W7" s="76">
        <f>IF($B7="","",SUM('Legger Dinas'!G7:V7))</f>
        <v>1342</v>
      </c>
      <c r="X7" s="76" t="e">
        <f>IF($B7="","",RANK(W7,$W$7:$W$46))</f>
        <v>#DIV/0!</v>
      </c>
    </row>
    <row r="8" spans="1:24">
      <c r="A8" s="12">
        <v>2</v>
      </c>
      <c r="B8" s="23" t="str">
        <f>IF(Setting!J7="","",Setting!J7)</f>
        <v>Adam Zidane Danata Pranugroho</v>
      </c>
      <c r="C8" s="28">
        <f>IF(Setting!K7="","",Setting!K7)</f>
        <v>2008009</v>
      </c>
      <c r="D8" s="28" t="str">
        <f>IF(Setting!L7="","",Setting!L7)</f>
        <v>0051700957</v>
      </c>
      <c r="E8" s="15" t="str">
        <f>IF(B8="","",Setting!$E$11)</f>
        <v>X.MIPA 4</v>
      </c>
      <c r="F8" s="15" t="str">
        <f>IF(B8="","",Setting!$E$15)</f>
        <v>II</v>
      </c>
      <c r="G8" s="15">
        <f>IF($B8="","",RANK('Legger Dinas'!G8,'Legger Dinas'!G$7:G$46))</f>
        <v>5</v>
      </c>
      <c r="H8" s="15">
        <f>IF($B8="","",RANK('Legger Dinas'!H8,'Legger Dinas'!H$7:H$46))</f>
        <v>5</v>
      </c>
      <c r="I8" s="15">
        <f>IF($B8="","",RANK('Legger Dinas'!I8,'Legger Dinas'!I$7:I$46))</f>
        <v>1</v>
      </c>
      <c r="J8" s="15">
        <f>IF($B8="","",RANK('Legger Dinas'!J8,'Legger Dinas'!J$7:J$46))</f>
        <v>10</v>
      </c>
      <c r="K8" s="15">
        <f>IF($B8="","",RANK('Legger Dinas'!K8,'Legger Dinas'!K$7:K$46))</f>
        <v>1</v>
      </c>
      <c r="L8" s="15">
        <f>IF($B8="","",RANK('Legger Dinas'!L8,'Legger Dinas'!L$7:L$46))</f>
        <v>1</v>
      </c>
      <c r="M8" s="15">
        <f>IF($B8="","",RANK('Legger Dinas'!M8,'Legger Dinas'!M$7:M$46))</f>
        <v>7</v>
      </c>
      <c r="N8" s="15" t="e">
        <f>IF($B8="","",RANK('Legger Dinas'!N8,'Legger Dinas'!N$7:N$46))</f>
        <v>#DIV/0!</v>
      </c>
      <c r="O8" s="15">
        <f>IF($B8="","",RANK('Legger Dinas'!O8,'Legger Dinas'!O$7:O$46))</f>
        <v>3</v>
      </c>
      <c r="P8" s="15">
        <f>IF($B8="","",RANK('Legger Dinas'!P8,'Legger Dinas'!P$7:P$46))</f>
        <v>18</v>
      </c>
      <c r="Q8" s="15">
        <f>IF($B8="","",RANK('Legger Dinas'!Q8,'Legger Dinas'!Q$7:Q$46))</f>
        <v>12</v>
      </c>
      <c r="R8" s="15">
        <f>IF($B8="","",RANK('Legger Dinas'!R8,'Legger Dinas'!R$7:R$46))</f>
        <v>8</v>
      </c>
      <c r="S8" s="15">
        <f>IF($B8="","",RANK('Legger Dinas'!S8,'Legger Dinas'!S$7:S$46))</f>
        <v>2</v>
      </c>
      <c r="T8" s="15">
        <f>IF($B8="","",RANK('Legger Dinas'!T8,'Legger Dinas'!T$7:T$46))</f>
        <v>3</v>
      </c>
      <c r="U8" s="15">
        <f>IF(Setting!$E$15="V","",IF(Setting!$E$15="VI","",RANK('Legger Dinas'!U8,'Legger Dinas'!U$7:U$46)))</f>
        <v>1</v>
      </c>
      <c r="V8" s="15">
        <f>IF($B8="","",RANK('Legger Dinas'!V8,'Legger Dinas'!V$7:V$46))</f>
        <v>7</v>
      </c>
      <c r="W8" s="165">
        <f>IF($B8="","",SUM('Legger Dinas'!G8:V8))</f>
        <v>1426</v>
      </c>
      <c r="X8" s="165" t="e">
        <f t="shared" ref="X8:X46" si="0">IF($B8="","",RANK(W8,$W$7:$W$46))</f>
        <v>#DIV/0!</v>
      </c>
    </row>
    <row r="9" spans="1:24">
      <c r="A9" s="12">
        <v>3</v>
      </c>
      <c r="B9" s="23" t="str">
        <f>IF(Setting!J8="","",Setting!J8)</f>
        <v>Ahmad Fikry</v>
      </c>
      <c r="C9" s="28">
        <f>IF(Setting!K8="","",Setting!K8)</f>
        <v>2008021</v>
      </c>
      <c r="D9" s="28" t="str">
        <f>IF(Setting!L8="","",Setting!L8)</f>
        <v xml:space="preserve">0050998196 </v>
      </c>
      <c r="E9" s="15" t="str">
        <f>IF(B9="","",Setting!$E$11)</f>
        <v>X.MIPA 4</v>
      </c>
      <c r="F9" s="15" t="str">
        <f>IF(B9="","",Setting!$E$15)</f>
        <v>II</v>
      </c>
      <c r="G9" s="15">
        <f>IF($B9="","",RANK('Legger Dinas'!G9,'Legger Dinas'!G$7:G$46))</f>
        <v>13</v>
      </c>
      <c r="H9" s="15">
        <f>IF($B9="","",RANK('Legger Dinas'!H9,'Legger Dinas'!H$7:H$46))</f>
        <v>27</v>
      </c>
      <c r="I9" s="15">
        <f>IF($B9="","",RANK('Legger Dinas'!I9,'Legger Dinas'!I$7:I$46))</f>
        <v>14</v>
      </c>
      <c r="J9" s="15">
        <f>IF($B9="","",RANK('Legger Dinas'!J9,'Legger Dinas'!J$7:J$46))</f>
        <v>16</v>
      </c>
      <c r="K9" s="15">
        <f>IF($B9="","",RANK('Legger Dinas'!K9,'Legger Dinas'!K$7:K$46))</f>
        <v>15</v>
      </c>
      <c r="L9" s="15">
        <f>IF($B9="","",RANK('Legger Dinas'!L9,'Legger Dinas'!L$7:L$46))</f>
        <v>15</v>
      </c>
      <c r="M9" s="15">
        <f>IF($B9="","",RANK('Legger Dinas'!M9,'Legger Dinas'!M$7:M$46))</f>
        <v>17</v>
      </c>
      <c r="N9" s="15" t="e">
        <f>IF($B9="","",RANK('Legger Dinas'!N9,'Legger Dinas'!N$7:N$46))</f>
        <v>#DIV/0!</v>
      </c>
      <c r="O9" s="15">
        <f>IF($B9="","",RANK('Legger Dinas'!O9,'Legger Dinas'!O$7:O$46))</f>
        <v>3</v>
      </c>
      <c r="P9" s="15">
        <f>IF($B9="","",RANK('Legger Dinas'!P9,'Legger Dinas'!P$7:P$46))</f>
        <v>1</v>
      </c>
      <c r="Q9" s="15">
        <f>IF($B9="","",RANK('Legger Dinas'!Q9,'Legger Dinas'!Q$7:Q$46))</f>
        <v>15</v>
      </c>
      <c r="R9" s="15">
        <f>IF($B9="","",RANK('Legger Dinas'!R9,'Legger Dinas'!R$7:R$46))</f>
        <v>18</v>
      </c>
      <c r="S9" s="15">
        <f>IF($B9="","",RANK('Legger Dinas'!S9,'Legger Dinas'!S$7:S$46))</f>
        <v>7</v>
      </c>
      <c r="T9" s="15">
        <f>IF($B9="","",RANK('Legger Dinas'!T9,'Legger Dinas'!T$7:T$46))</f>
        <v>12</v>
      </c>
      <c r="U9" s="15">
        <f>IF(Setting!$E$15="V","",IF(Setting!$E$15="VI","",RANK('Legger Dinas'!U9,'Legger Dinas'!U$7:U$46)))</f>
        <v>10</v>
      </c>
      <c r="V9" s="15">
        <f>IF($B9="","",RANK('Legger Dinas'!V9,'Legger Dinas'!V$7:V$46))</f>
        <v>7</v>
      </c>
      <c r="W9" s="165">
        <f>IF($B9="","",SUM('Legger Dinas'!G9:V9))</f>
        <v>1385</v>
      </c>
      <c r="X9" s="165" t="e">
        <f t="shared" si="0"/>
        <v>#DIV/0!</v>
      </c>
    </row>
    <row r="10" spans="1:24">
      <c r="A10" s="12">
        <v>4</v>
      </c>
      <c r="B10" s="23" t="str">
        <f>IF(Setting!J9="","",Setting!J9)</f>
        <v>Akhmad Rifki Assegaf</v>
      </c>
      <c r="C10" s="28">
        <f>IF(Setting!K9="","",Setting!K9)</f>
        <v>2008029</v>
      </c>
      <c r="D10" s="28" t="str">
        <f>IF(Setting!L9="","",Setting!L9)</f>
        <v xml:space="preserve">0058425358 </v>
      </c>
      <c r="E10" s="15" t="str">
        <f>IF(B10="","",Setting!$E$11)</f>
        <v>X.MIPA 4</v>
      </c>
      <c r="F10" s="15" t="str">
        <f>IF(B10="","",Setting!$E$15)</f>
        <v>II</v>
      </c>
      <c r="G10" s="15">
        <f>IF($B10="","",RANK('Legger Dinas'!G10,'Legger Dinas'!G$7:G$46))</f>
        <v>28</v>
      </c>
      <c r="H10" s="15">
        <f>IF($B10="","",RANK('Legger Dinas'!H10,'Legger Dinas'!H$7:H$46))</f>
        <v>20</v>
      </c>
      <c r="I10" s="15">
        <f>IF($B10="","",RANK('Legger Dinas'!I10,'Legger Dinas'!I$7:I$46))</f>
        <v>31</v>
      </c>
      <c r="J10" s="15">
        <f>IF($B10="","",RANK('Legger Dinas'!J10,'Legger Dinas'!J$7:J$46))</f>
        <v>9</v>
      </c>
      <c r="K10" s="15">
        <f>IF($B10="","",RANK('Legger Dinas'!K10,'Legger Dinas'!K$7:K$46))</f>
        <v>28</v>
      </c>
      <c r="L10" s="15">
        <f>IF($B10="","",RANK('Legger Dinas'!L10,'Legger Dinas'!L$7:L$46))</f>
        <v>32</v>
      </c>
      <c r="M10" s="15" t="e">
        <f>IF($B10="","",RANK('Legger Dinas'!M10,'Legger Dinas'!M$7:M$46))</f>
        <v>#VALUE!</v>
      </c>
      <c r="N10" s="15" t="e">
        <f>IF($B10="","",RANK('Legger Dinas'!N10,'Legger Dinas'!N$7:N$46))</f>
        <v>#DIV/0!</v>
      </c>
      <c r="O10" s="15">
        <f>IF($B10="","",RANK('Legger Dinas'!O10,'Legger Dinas'!O$7:O$46))</f>
        <v>18</v>
      </c>
      <c r="P10" s="15">
        <f>IF($B10="","",RANK('Legger Dinas'!P10,'Legger Dinas'!P$7:P$46))</f>
        <v>30</v>
      </c>
      <c r="Q10" s="15">
        <f>IF($B10="","",RANK('Legger Dinas'!Q10,'Legger Dinas'!Q$7:Q$46))</f>
        <v>10</v>
      </c>
      <c r="R10" s="15">
        <f>IF($B10="","",RANK('Legger Dinas'!R10,'Legger Dinas'!R$7:R$46))</f>
        <v>32</v>
      </c>
      <c r="S10" s="15">
        <f>IF($B10="","",RANK('Legger Dinas'!S10,'Legger Dinas'!S$7:S$46))</f>
        <v>7</v>
      </c>
      <c r="T10" s="15">
        <f>IF($B10="","",RANK('Legger Dinas'!T10,'Legger Dinas'!T$7:T$46))</f>
        <v>8</v>
      </c>
      <c r="U10" s="15">
        <f>IF(Setting!$E$15="V","",IF(Setting!$E$15="VI","",RANK('Legger Dinas'!U10,'Legger Dinas'!U$7:U$46)))</f>
        <v>32</v>
      </c>
      <c r="V10" s="15">
        <f>IF($B10="","",RANK('Legger Dinas'!V10,'Legger Dinas'!V$7:V$46))</f>
        <v>32</v>
      </c>
      <c r="W10" s="165" t="e">
        <f>IF($B10="","",SUM('Legger Dinas'!G10:V10))</f>
        <v>#DIV/0!</v>
      </c>
      <c r="X10" s="165" t="e">
        <f t="shared" si="0"/>
        <v>#DIV/0!</v>
      </c>
    </row>
    <row r="11" spans="1:24">
      <c r="A11" s="12">
        <v>5</v>
      </c>
      <c r="B11" s="23" t="str">
        <f>IF(Setting!J10="","",Setting!J10)</f>
        <v>Almas Sabih Wahindra</v>
      </c>
      <c r="C11" s="28">
        <f>IF(Setting!K10="","",Setting!K10)</f>
        <v>2008034</v>
      </c>
      <c r="D11" s="28" t="str">
        <f>IF(Setting!L10="","",Setting!L10)</f>
        <v>0059000208</v>
      </c>
      <c r="E11" s="15" t="str">
        <f>IF(B11="","",Setting!$E$11)</f>
        <v>X.MIPA 4</v>
      </c>
      <c r="F11" s="15" t="str">
        <f>IF(B11="","",Setting!$E$15)</f>
        <v>II</v>
      </c>
      <c r="G11" s="15">
        <f>IF($B11="","",RANK('Legger Dinas'!G11,'Legger Dinas'!G$7:G$46))</f>
        <v>17</v>
      </c>
      <c r="H11" s="15">
        <f>IF($B11="","",RANK('Legger Dinas'!H11,'Legger Dinas'!H$7:H$46))</f>
        <v>15</v>
      </c>
      <c r="I11" s="15">
        <f>IF($B11="","",RANK('Legger Dinas'!I11,'Legger Dinas'!I$7:I$46))</f>
        <v>21</v>
      </c>
      <c r="J11" s="15">
        <f>IF($B11="","",RANK('Legger Dinas'!J11,'Legger Dinas'!J$7:J$46))</f>
        <v>20</v>
      </c>
      <c r="K11" s="15">
        <f>IF($B11="","",RANK('Legger Dinas'!K11,'Legger Dinas'!K$7:K$46))</f>
        <v>6</v>
      </c>
      <c r="L11" s="15">
        <f>IF($B11="","",RANK('Legger Dinas'!L11,'Legger Dinas'!L$7:L$46))</f>
        <v>15</v>
      </c>
      <c r="M11" s="15">
        <f>IF($B11="","",RANK('Legger Dinas'!M11,'Legger Dinas'!M$7:M$46))</f>
        <v>17</v>
      </c>
      <c r="N11" s="15" t="e">
        <f>IF($B11="","",RANK('Legger Dinas'!N11,'Legger Dinas'!N$7:N$46))</f>
        <v>#DIV/0!</v>
      </c>
      <c r="O11" s="15">
        <f>IF($B11="","",RANK('Legger Dinas'!O11,'Legger Dinas'!O$7:O$46))</f>
        <v>22</v>
      </c>
      <c r="P11" s="15">
        <f>IF($B11="","",RANK('Legger Dinas'!P11,'Legger Dinas'!P$7:P$46))</f>
        <v>1</v>
      </c>
      <c r="Q11" s="15">
        <f>IF($B11="","",RANK('Legger Dinas'!Q11,'Legger Dinas'!Q$7:Q$46))</f>
        <v>18</v>
      </c>
      <c r="R11" s="15">
        <f>IF($B11="","",RANK('Legger Dinas'!R11,'Legger Dinas'!R$7:R$46))</f>
        <v>18</v>
      </c>
      <c r="S11" s="15">
        <f>IF($B11="","",RANK('Legger Dinas'!S11,'Legger Dinas'!S$7:S$46))</f>
        <v>2</v>
      </c>
      <c r="T11" s="15">
        <f>IF($B11="","",RANK('Legger Dinas'!T11,'Legger Dinas'!T$7:T$46))</f>
        <v>12</v>
      </c>
      <c r="U11" s="15">
        <f>IF(Setting!$E$15="V","",IF(Setting!$E$15="VI","",RANK('Legger Dinas'!U11,'Legger Dinas'!U$7:U$46)))</f>
        <v>19</v>
      </c>
      <c r="V11" s="15">
        <f>IF($B11="","",RANK('Legger Dinas'!V11,'Legger Dinas'!V$7:V$46))</f>
        <v>12</v>
      </c>
      <c r="W11" s="165">
        <f>IF($B11="","",SUM('Legger Dinas'!G11:V11))</f>
        <v>1375</v>
      </c>
      <c r="X11" s="165" t="e">
        <f t="shared" si="0"/>
        <v>#DIV/0!</v>
      </c>
    </row>
    <row r="12" spans="1:24">
      <c r="A12" s="12">
        <v>6</v>
      </c>
      <c r="B12" s="23" t="str">
        <f>IF(Setting!J11="","",Setting!J11)</f>
        <v>Aria Fenha Apri Buma</v>
      </c>
      <c r="C12" s="28">
        <f>IF(Setting!K11="","",Setting!K11)</f>
        <v>2008054</v>
      </c>
      <c r="D12" s="28" t="str">
        <f>IF(Setting!L11="","",Setting!L11)</f>
        <v>0058068365</v>
      </c>
      <c r="E12" s="15" t="str">
        <f>IF(B12="","",Setting!$E$11)</f>
        <v>X.MIPA 4</v>
      </c>
      <c r="F12" s="15" t="str">
        <f>IF(B12="","",Setting!$E$15)</f>
        <v>II</v>
      </c>
      <c r="G12" s="15">
        <f>IF($B12="","",RANK('Legger Dinas'!G12,'Legger Dinas'!G$7:G$46))</f>
        <v>5</v>
      </c>
      <c r="H12" s="15">
        <f>IF($B12="","",RANK('Legger Dinas'!H12,'Legger Dinas'!H$7:H$46))</f>
        <v>5</v>
      </c>
      <c r="I12" s="15">
        <f>IF($B12="","",RANK('Legger Dinas'!I12,'Legger Dinas'!I$7:I$46))</f>
        <v>7</v>
      </c>
      <c r="J12" s="15">
        <f>IF($B12="","",RANK('Legger Dinas'!J12,'Legger Dinas'!J$7:J$46))</f>
        <v>1</v>
      </c>
      <c r="K12" s="15">
        <f>IF($B12="","",RANK('Legger Dinas'!K12,'Legger Dinas'!K$7:K$46))</f>
        <v>1</v>
      </c>
      <c r="L12" s="15">
        <f>IF($B12="","",RANK('Legger Dinas'!L12,'Legger Dinas'!L$7:L$46))</f>
        <v>1</v>
      </c>
      <c r="M12" s="15">
        <f>IF($B12="","",RANK('Legger Dinas'!M12,'Legger Dinas'!M$7:M$46))</f>
        <v>17</v>
      </c>
      <c r="N12" s="15" t="e">
        <f>IF($B12="","",RANK('Legger Dinas'!N12,'Legger Dinas'!N$7:N$46))</f>
        <v>#DIV/0!</v>
      </c>
      <c r="O12" s="15">
        <f>IF($B12="","",RANK('Legger Dinas'!O12,'Legger Dinas'!O$7:O$46))</f>
        <v>3</v>
      </c>
      <c r="P12" s="15">
        <f>IF($B12="","",RANK('Legger Dinas'!P12,'Legger Dinas'!P$7:P$46))</f>
        <v>1</v>
      </c>
      <c r="Q12" s="15">
        <f>IF($B12="","",RANK('Legger Dinas'!Q12,'Legger Dinas'!Q$7:Q$46))</f>
        <v>3</v>
      </c>
      <c r="R12" s="15">
        <f>IF($B12="","",RANK('Legger Dinas'!R12,'Legger Dinas'!R$7:R$46))</f>
        <v>1</v>
      </c>
      <c r="S12" s="15">
        <f>IF($B12="","",RANK('Legger Dinas'!S12,'Legger Dinas'!S$7:S$46))</f>
        <v>13</v>
      </c>
      <c r="T12" s="15">
        <f>IF($B12="","",RANK('Legger Dinas'!T12,'Legger Dinas'!T$7:T$46))</f>
        <v>12</v>
      </c>
      <c r="U12" s="15">
        <f>IF(Setting!$E$15="V","",IF(Setting!$E$15="VI","",RANK('Legger Dinas'!U12,'Legger Dinas'!U$7:U$46)))</f>
        <v>10</v>
      </c>
      <c r="V12" s="15">
        <f>IF($B12="","",RANK('Legger Dinas'!V12,'Legger Dinas'!V$7:V$46))</f>
        <v>4</v>
      </c>
      <c r="W12" s="165">
        <f>IF($B12="","",SUM('Legger Dinas'!G12:V12))</f>
        <v>1424</v>
      </c>
      <c r="X12" s="165" t="e">
        <f t="shared" si="0"/>
        <v>#DIV/0!</v>
      </c>
    </row>
    <row r="13" spans="1:24">
      <c r="A13" s="12">
        <v>7</v>
      </c>
      <c r="B13" s="23" t="str">
        <f>IF(Setting!J12="","",Setting!J12)</f>
        <v>Baharuddin Barkah Pratama</v>
      </c>
      <c r="C13" s="28">
        <f>IF(Setting!K12="","",Setting!K12)</f>
        <v>2008075</v>
      </c>
      <c r="D13" s="28" t="str">
        <f>IF(Setting!L12="","",Setting!L12)</f>
        <v>0024374235</v>
      </c>
      <c r="E13" s="15" t="str">
        <f>IF(B13="","",Setting!$E$11)</f>
        <v>X.MIPA 4</v>
      </c>
      <c r="F13" s="15" t="str">
        <f>IF(B13="","",Setting!$E$15)</f>
        <v>II</v>
      </c>
      <c r="G13" s="15">
        <f>IF($B13="","",RANK('Legger Dinas'!G13,'Legger Dinas'!G$7:G$46))</f>
        <v>30</v>
      </c>
      <c r="H13" s="15">
        <f>IF($B13="","",RANK('Legger Dinas'!H13,'Legger Dinas'!H$7:H$46))</f>
        <v>15</v>
      </c>
      <c r="I13" s="15">
        <f>IF($B13="","",RANK('Legger Dinas'!I13,'Legger Dinas'!I$7:I$46))</f>
        <v>21</v>
      </c>
      <c r="J13" s="15">
        <f>IF($B13="","",RANK('Legger Dinas'!J13,'Legger Dinas'!J$7:J$46))</f>
        <v>20</v>
      </c>
      <c r="K13" s="15">
        <f>IF($B13="","",RANK('Legger Dinas'!K13,'Legger Dinas'!K$7:K$46))</f>
        <v>21</v>
      </c>
      <c r="L13" s="15">
        <f>IF($B13="","",RANK('Legger Dinas'!L13,'Legger Dinas'!L$7:L$46))</f>
        <v>24</v>
      </c>
      <c r="M13" s="15">
        <f>IF($B13="","",RANK('Legger Dinas'!M13,'Legger Dinas'!M$7:M$46))</f>
        <v>17</v>
      </c>
      <c r="N13" s="15" t="e">
        <f>IF($B13="","",RANK('Legger Dinas'!N13,'Legger Dinas'!N$7:N$46))</f>
        <v>#DIV/0!</v>
      </c>
      <c r="O13" s="15">
        <f>IF($B13="","",RANK('Legger Dinas'!O13,'Legger Dinas'!O$7:O$46))</f>
        <v>28</v>
      </c>
      <c r="P13" s="15">
        <f>IF($B13="","",RANK('Legger Dinas'!P13,'Legger Dinas'!P$7:P$46))</f>
        <v>26</v>
      </c>
      <c r="Q13" s="15">
        <f>IF($B13="","",RANK('Legger Dinas'!Q13,'Legger Dinas'!Q$7:Q$46))</f>
        <v>18</v>
      </c>
      <c r="R13" s="15">
        <f>IF($B13="","",RANK('Legger Dinas'!R13,'Legger Dinas'!R$7:R$46))</f>
        <v>28</v>
      </c>
      <c r="S13" s="15">
        <f>IF($B13="","",RANK('Legger Dinas'!S13,'Legger Dinas'!S$7:S$46))</f>
        <v>27</v>
      </c>
      <c r="T13" s="15">
        <f>IF($B13="","",RANK('Legger Dinas'!T13,'Legger Dinas'!T$7:T$46))</f>
        <v>12</v>
      </c>
      <c r="U13" s="15">
        <f>IF(Setting!$E$15="V","",IF(Setting!$E$15="VI","",RANK('Legger Dinas'!U13,'Legger Dinas'!U$7:U$46)))</f>
        <v>26</v>
      </c>
      <c r="V13" s="15">
        <f>IF($B13="","",RANK('Legger Dinas'!V13,'Legger Dinas'!V$7:V$46))</f>
        <v>12</v>
      </c>
      <c r="W13" s="165">
        <f>IF($B13="","",SUM('Legger Dinas'!G13:V13))</f>
        <v>1339</v>
      </c>
      <c r="X13" s="165" t="e">
        <f t="shared" si="0"/>
        <v>#DIV/0!</v>
      </c>
    </row>
    <row r="14" spans="1:24">
      <c r="A14" s="12">
        <v>8</v>
      </c>
      <c r="B14" s="23" t="str">
        <f>IF(Setting!J13="","",Setting!J13)</f>
        <v>Daffa Arya Pudyastungkara</v>
      </c>
      <c r="C14" s="28">
        <f>IF(Setting!K13="","",Setting!K13)</f>
        <v>2008089</v>
      </c>
      <c r="D14" s="28" t="str">
        <f>IF(Setting!L13="","",Setting!L13)</f>
        <v>0043620048</v>
      </c>
      <c r="E14" s="15" t="str">
        <f>IF(B14="","",Setting!$E$11)</f>
        <v>X.MIPA 4</v>
      </c>
      <c r="F14" s="15" t="str">
        <f>IF(B14="","",Setting!$E$15)</f>
        <v>II</v>
      </c>
      <c r="G14" s="15">
        <f>IF($B14="","",RANK('Legger Dinas'!G14,'Legger Dinas'!G$7:G$46))</f>
        <v>10</v>
      </c>
      <c r="H14" s="15">
        <f>IF($B14="","",RANK('Legger Dinas'!H14,'Legger Dinas'!H$7:H$46))</f>
        <v>5</v>
      </c>
      <c r="I14" s="15">
        <f>IF($B14="","",RANK('Legger Dinas'!I14,'Legger Dinas'!I$7:I$46))</f>
        <v>2</v>
      </c>
      <c r="J14" s="15">
        <f>IF($B14="","",RANK('Legger Dinas'!J14,'Legger Dinas'!J$7:J$46))</f>
        <v>4</v>
      </c>
      <c r="K14" s="15">
        <f>IF($B14="","",RANK('Legger Dinas'!K14,'Legger Dinas'!K$7:K$46))</f>
        <v>6</v>
      </c>
      <c r="L14" s="15">
        <f>IF($B14="","",RANK('Legger Dinas'!L14,'Legger Dinas'!L$7:L$46))</f>
        <v>7</v>
      </c>
      <c r="M14" s="15">
        <f>IF($B14="","",RANK('Legger Dinas'!M14,'Legger Dinas'!M$7:M$46))</f>
        <v>17</v>
      </c>
      <c r="N14" s="15" t="e">
        <f>IF($B14="","",RANK('Legger Dinas'!N14,'Legger Dinas'!N$7:N$46))</f>
        <v>#DIV/0!</v>
      </c>
      <c r="O14" s="15">
        <f>IF($B14="","",RANK('Legger Dinas'!O14,'Legger Dinas'!O$7:O$46))</f>
        <v>9</v>
      </c>
      <c r="P14" s="15">
        <f>IF($B14="","",RANK('Legger Dinas'!P14,'Legger Dinas'!P$7:P$46))</f>
        <v>1</v>
      </c>
      <c r="Q14" s="15">
        <f>IF($B14="","",RANK('Legger Dinas'!Q14,'Legger Dinas'!Q$7:Q$46))</f>
        <v>9</v>
      </c>
      <c r="R14" s="15">
        <f>IF($B14="","",RANK('Legger Dinas'!R14,'Legger Dinas'!R$7:R$46))</f>
        <v>1</v>
      </c>
      <c r="S14" s="15">
        <f>IF($B14="","",RANK('Legger Dinas'!S14,'Legger Dinas'!S$7:S$46))</f>
        <v>2</v>
      </c>
      <c r="T14" s="15">
        <f>IF($B14="","",RANK('Legger Dinas'!T14,'Legger Dinas'!T$7:T$46))</f>
        <v>12</v>
      </c>
      <c r="U14" s="15">
        <f>IF(Setting!$E$15="V","",IF(Setting!$E$15="VI","",RANK('Legger Dinas'!U14,'Legger Dinas'!U$7:U$46)))</f>
        <v>6</v>
      </c>
      <c r="V14" s="15">
        <f>IF($B14="","",RANK('Legger Dinas'!V14,'Legger Dinas'!V$7:V$46))</f>
        <v>21</v>
      </c>
      <c r="W14" s="165">
        <f>IF($B14="","",SUM('Legger Dinas'!G14:V14))</f>
        <v>1410</v>
      </c>
      <c r="X14" s="165" t="e">
        <f t="shared" si="0"/>
        <v>#DIV/0!</v>
      </c>
    </row>
    <row r="15" spans="1:24">
      <c r="A15" s="12">
        <v>9</v>
      </c>
      <c r="B15" s="23" t="str">
        <f>IF(Setting!J14="","",Setting!J14)</f>
        <v>Dody Muhammad Pasha</v>
      </c>
      <c r="C15" s="28">
        <f>IF(Setting!K14="","",Setting!K14)</f>
        <v>2008095</v>
      </c>
      <c r="D15" s="28" t="str">
        <f>IF(Setting!L14="","",Setting!L14)</f>
        <v>0053814584</v>
      </c>
      <c r="E15" s="15" t="str">
        <f>IF(B15="","",Setting!$E$11)</f>
        <v>X.MIPA 4</v>
      </c>
      <c r="F15" s="15" t="str">
        <f>IF(B15="","",Setting!$E$15)</f>
        <v>II</v>
      </c>
      <c r="G15" s="15">
        <f>IF($B15="","",RANK('Legger Dinas'!G15,'Legger Dinas'!G$7:G$46))</f>
        <v>3</v>
      </c>
      <c r="H15" s="15">
        <f>IF($B15="","",RANK('Legger Dinas'!H15,'Legger Dinas'!H$7:H$46))</f>
        <v>1</v>
      </c>
      <c r="I15" s="15">
        <f>IF($B15="","",RANK('Legger Dinas'!I15,'Legger Dinas'!I$7:I$46))</f>
        <v>14</v>
      </c>
      <c r="J15" s="15">
        <f>IF($B15="","",RANK('Legger Dinas'!J15,'Legger Dinas'!J$7:J$46))</f>
        <v>2</v>
      </c>
      <c r="K15" s="15">
        <f>IF($B15="","",RANK('Legger Dinas'!K15,'Legger Dinas'!K$7:K$46))</f>
        <v>6</v>
      </c>
      <c r="L15" s="15">
        <f>IF($B15="","",RANK('Legger Dinas'!L15,'Legger Dinas'!L$7:L$46))</f>
        <v>3</v>
      </c>
      <c r="M15" s="15">
        <f>IF($B15="","",RANK('Legger Dinas'!M15,'Legger Dinas'!M$7:M$46))</f>
        <v>5</v>
      </c>
      <c r="N15" s="15" t="e">
        <f>IF($B15="","",RANK('Legger Dinas'!N15,'Legger Dinas'!N$7:N$46))</f>
        <v>#DIV/0!</v>
      </c>
      <c r="O15" s="15">
        <f>IF($B15="","",RANK('Legger Dinas'!O15,'Legger Dinas'!O$7:O$46))</f>
        <v>3</v>
      </c>
      <c r="P15" s="15">
        <f>IF($B15="","",RANK('Legger Dinas'!P15,'Legger Dinas'!P$7:P$46))</f>
        <v>30</v>
      </c>
      <c r="Q15" s="15">
        <f>IF($B15="","",RANK('Legger Dinas'!Q15,'Legger Dinas'!Q$7:Q$46))</f>
        <v>1</v>
      </c>
      <c r="R15" s="15">
        <f>IF($B15="","",RANK('Legger Dinas'!R15,'Legger Dinas'!R$7:R$46))</f>
        <v>1</v>
      </c>
      <c r="S15" s="15">
        <f>IF($B15="","",RANK('Legger Dinas'!S15,'Legger Dinas'!S$7:S$46))</f>
        <v>1</v>
      </c>
      <c r="T15" s="15">
        <f>IF($B15="","",RANK('Legger Dinas'!T15,'Legger Dinas'!T$7:T$46))</f>
        <v>2</v>
      </c>
      <c r="U15" s="15">
        <f>IF(Setting!$E$15="V","",IF(Setting!$E$15="VI","",RANK('Legger Dinas'!U15,'Legger Dinas'!U$7:U$46)))</f>
        <v>1</v>
      </c>
      <c r="V15" s="15">
        <f>IF($B15="","",RANK('Legger Dinas'!V15,'Legger Dinas'!V$7:V$46))</f>
        <v>3</v>
      </c>
      <c r="W15" s="165">
        <f>IF($B15="","",SUM('Legger Dinas'!G15:V15))</f>
        <v>1444</v>
      </c>
      <c r="X15" s="165" t="e">
        <f t="shared" si="0"/>
        <v>#DIV/0!</v>
      </c>
    </row>
    <row r="16" spans="1:24">
      <c r="A16" s="12">
        <v>10</v>
      </c>
      <c r="B16" s="23" t="str">
        <f>IF(Setting!J15="","",Setting!J15)</f>
        <v>Elga Perdana</v>
      </c>
      <c r="C16" s="28">
        <f>IF(Setting!K15="","",Setting!K15)</f>
        <v>2008099</v>
      </c>
      <c r="D16" s="28" t="str">
        <f>IF(Setting!L15="","",Setting!L15)</f>
        <v>0054718584</v>
      </c>
      <c r="E16" s="15" t="str">
        <f>IF(B16="","",Setting!$E$11)</f>
        <v>X.MIPA 4</v>
      </c>
      <c r="F16" s="15" t="str">
        <f>IF(B16="","",Setting!$E$15)</f>
        <v>II</v>
      </c>
      <c r="G16" s="15">
        <f>IF($B16="","",RANK('Legger Dinas'!G16,'Legger Dinas'!G$7:G$46))</f>
        <v>24</v>
      </c>
      <c r="H16" s="15">
        <f>IF($B16="","",RANK('Legger Dinas'!H16,'Legger Dinas'!H$7:H$46))</f>
        <v>8</v>
      </c>
      <c r="I16" s="15">
        <f>IF($B16="","",RANK('Legger Dinas'!I16,'Legger Dinas'!I$7:I$46))</f>
        <v>31</v>
      </c>
      <c r="J16" s="15">
        <f>IF($B16="","",RANK('Legger Dinas'!J16,'Legger Dinas'!J$7:J$46))</f>
        <v>20</v>
      </c>
      <c r="K16" s="15">
        <f>IF($B16="","",RANK('Legger Dinas'!K16,'Legger Dinas'!K$7:K$46))</f>
        <v>21</v>
      </c>
      <c r="L16" s="15">
        <f>IF($B16="","",RANK('Legger Dinas'!L16,'Legger Dinas'!L$7:L$46))</f>
        <v>26</v>
      </c>
      <c r="M16" s="15">
        <f>IF($B16="","",RANK('Legger Dinas'!M16,'Legger Dinas'!M$7:M$46))</f>
        <v>1</v>
      </c>
      <c r="N16" s="15" t="e">
        <f>IF($B16="","",RANK('Legger Dinas'!N16,'Legger Dinas'!N$7:N$46))</f>
        <v>#DIV/0!</v>
      </c>
      <c r="O16" s="15">
        <f>IF($B16="","",RANK('Legger Dinas'!O16,'Legger Dinas'!O$7:O$46))</f>
        <v>31</v>
      </c>
      <c r="P16" s="15">
        <f>IF($B16="","",RANK('Legger Dinas'!P16,'Legger Dinas'!P$7:P$46))</f>
        <v>1</v>
      </c>
      <c r="Q16" s="15">
        <f>IF($B16="","",RANK('Legger Dinas'!Q16,'Legger Dinas'!Q$7:Q$46))</f>
        <v>18</v>
      </c>
      <c r="R16" s="15">
        <f>IF($B16="","",RANK('Legger Dinas'!R16,'Legger Dinas'!R$7:R$46))</f>
        <v>18</v>
      </c>
      <c r="S16" s="15">
        <f>IF($B16="","",RANK('Legger Dinas'!S16,'Legger Dinas'!S$7:S$46))</f>
        <v>7</v>
      </c>
      <c r="T16" s="15">
        <f>IF($B16="","",RANK('Legger Dinas'!T16,'Legger Dinas'!T$7:T$46))</f>
        <v>12</v>
      </c>
      <c r="U16" s="15">
        <f>IF(Setting!$E$15="V","",IF(Setting!$E$15="VI","",RANK('Legger Dinas'!U16,'Legger Dinas'!U$7:U$46)))</f>
        <v>10</v>
      </c>
      <c r="V16" s="15">
        <f>IF($B16="","",RANK('Legger Dinas'!V16,'Legger Dinas'!V$7:V$46))</f>
        <v>11</v>
      </c>
      <c r="W16" s="165">
        <f>IF($B16="","",SUM('Legger Dinas'!G16:V16))</f>
        <v>1370</v>
      </c>
      <c r="X16" s="165" t="e">
        <f t="shared" si="0"/>
        <v>#DIV/0!</v>
      </c>
    </row>
    <row r="17" spans="1:24">
      <c r="A17" s="12">
        <v>11</v>
      </c>
      <c r="B17" s="23" t="str">
        <f>IF(Setting!J16="","",Setting!J16)</f>
        <v>Fathoni Daniswara</v>
      </c>
      <c r="C17" s="28">
        <f>IF(Setting!K16="","",Setting!K16)</f>
        <v>2008118</v>
      </c>
      <c r="D17" s="28" t="str">
        <f>IF(Setting!L16="","",Setting!L16)</f>
        <v>0057882873</v>
      </c>
      <c r="E17" s="15" t="str">
        <f>IF(B17="","",Setting!$E$11)</f>
        <v>X.MIPA 4</v>
      </c>
      <c r="F17" s="15" t="str">
        <f>IF(B17="","",Setting!$E$15)</f>
        <v>II</v>
      </c>
      <c r="G17" s="15">
        <f>IF($B17="","",RANK('Legger Dinas'!G17,'Legger Dinas'!G$7:G$46))</f>
        <v>1</v>
      </c>
      <c r="H17" s="15">
        <f>IF($B17="","",RANK('Legger Dinas'!H17,'Legger Dinas'!H$7:H$46))</f>
        <v>3</v>
      </c>
      <c r="I17" s="15">
        <f>IF($B17="","",RANK('Legger Dinas'!I17,'Legger Dinas'!I$7:I$46))</f>
        <v>2</v>
      </c>
      <c r="J17" s="15">
        <f>IF($B17="","",RANK('Legger Dinas'!J17,'Legger Dinas'!J$7:J$46))</f>
        <v>4</v>
      </c>
      <c r="K17" s="15">
        <f>IF($B17="","",RANK('Legger Dinas'!K17,'Legger Dinas'!K$7:K$46))</f>
        <v>6</v>
      </c>
      <c r="L17" s="15">
        <f>IF($B17="","",RANK('Legger Dinas'!L17,'Legger Dinas'!L$7:L$46))</f>
        <v>7</v>
      </c>
      <c r="M17" s="15">
        <f>IF($B17="","",RANK('Legger Dinas'!M17,'Legger Dinas'!M$7:M$46))</f>
        <v>11</v>
      </c>
      <c r="N17" s="15" t="e">
        <f>IF($B17="","",RANK('Legger Dinas'!N17,'Legger Dinas'!N$7:N$46))</f>
        <v>#DIV/0!</v>
      </c>
      <c r="O17" s="15">
        <f>IF($B17="","",RANK('Legger Dinas'!O17,'Legger Dinas'!O$7:O$46))</f>
        <v>3</v>
      </c>
      <c r="P17" s="15">
        <f>IF($B17="","",RANK('Legger Dinas'!P17,'Legger Dinas'!P$7:P$46))</f>
        <v>1</v>
      </c>
      <c r="Q17" s="15">
        <f>IF($B17="","",RANK('Legger Dinas'!Q17,'Legger Dinas'!Q$7:Q$46))</f>
        <v>15</v>
      </c>
      <c r="R17" s="15">
        <f>IF($B17="","",RANK('Legger Dinas'!R17,'Legger Dinas'!R$7:R$46))</f>
        <v>5</v>
      </c>
      <c r="S17" s="15">
        <f>IF($B17="","",RANK('Legger Dinas'!S17,'Legger Dinas'!S$7:S$46))</f>
        <v>19</v>
      </c>
      <c r="T17" s="15">
        <f>IF($B17="","",RANK('Legger Dinas'!T17,'Legger Dinas'!T$7:T$46))</f>
        <v>8</v>
      </c>
      <c r="U17" s="15">
        <f>IF(Setting!$E$15="V","",IF(Setting!$E$15="VI","",RANK('Legger Dinas'!U17,'Legger Dinas'!U$7:U$46)))</f>
        <v>10</v>
      </c>
      <c r="V17" s="15">
        <f>IF($B17="","",RANK('Legger Dinas'!V17,'Legger Dinas'!V$7:V$46))</f>
        <v>26</v>
      </c>
      <c r="W17" s="165">
        <f>IF($B17="","",SUM('Legger Dinas'!G17:V17))</f>
        <v>1405</v>
      </c>
      <c r="X17" s="165" t="e">
        <f t="shared" si="0"/>
        <v>#DIV/0!</v>
      </c>
    </row>
    <row r="18" spans="1:24">
      <c r="A18" s="12">
        <v>12</v>
      </c>
      <c r="B18" s="23" t="str">
        <f>IF(Setting!J17="","",Setting!J17)</f>
        <v>Gading Setyo Manunggal</v>
      </c>
      <c r="C18" s="28">
        <f>IF(Setting!K17="","",Setting!K17)</f>
        <v>2008127</v>
      </c>
      <c r="D18" s="28" t="str">
        <f>IF(Setting!L17="","",Setting!L17)</f>
        <v>0052532940</v>
      </c>
      <c r="E18" s="15" t="str">
        <f>IF(B18="","",Setting!$E$11)</f>
        <v>X.MIPA 4</v>
      </c>
      <c r="F18" s="15" t="str">
        <f>IF(B18="","",Setting!$E$15)</f>
        <v>II</v>
      </c>
      <c r="G18" s="15">
        <f>IF($B18="","",RANK('Legger Dinas'!G18,'Legger Dinas'!G$7:G$46))</f>
        <v>24</v>
      </c>
      <c r="H18" s="15">
        <f>IF($B18="","",RANK('Legger Dinas'!H18,'Legger Dinas'!H$7:H$46))</f>
        <v>27</v>
      </c>
      <c r="I18" s="15">
        <f>IF($B18="","",RANK('Legger Dinas'!I18,'Legger Dinas'!I$7:I$46))</f>
        <v>23</v>
      </c>
      <c r="J18" s="15">
        <f>IF($B18="","",RANK('Legger Dinas'!J18,'Legger Dinas'!J$7:J$46))</f>
        <v>20</v>
      </c>
      <c r="K18" s="15">
        <f>IF($B18="","",RANK('Legger Dinas'!K18,'Legger Dinas'!K$7:K$46))</f>
        <v>26</v>
      </c>
      <c r="L18" s="15">
        <f>IF($B18="","",RANK('Legger Dinas'!L18,'Legger Dinas'!L$7:L$46))</f>
        <v>26</v>
      </c>
      <c r="M18" s="15">
        <f>IF($B18="","",RANK('Legger Dinas'!M18,'Legger Dinas'!M$7:M$46))</f>
        <v>17</v>
      </c>
      <c r="N18" s="15" t="e">
        <f>IF($B18="","",RANK('Legger Dinas'!N18,'Legger Dinas'!N$7:N$46))</f>
        <v>#DIV/0!</v>
      </c>
      <c r="O18" s="15">
        <f>IF($B18="","",RANK('Legger Dinas'!O18,'Legger Dinas'!O$7:O$46))</f>
        <v>25</v>
      </c>
      <c r="P18" s="15">
        <f>IF($B18="","",RANK('Legger Dinas'!P18,'Legger Dinas'!P$7:P$46))</f>
        <v>22</v>
      </c>
      <c r="Q18" s="15">
        <f>IF($B18="","",RANK('Legger Dinas'!Q18,'Legger Dinas'!Q$7:Q$46))</f>
        <v>18</v>
      </c>
      <c r="R18" s="15">
        <f>IF($B18="","",RANK('Legger Dinas'!R18,'Legger Dinas'!R$7:R$46))</f>
        <v>22</v>
      </c>
      <c r="S18" s="15">
        <f>IF($B18="","",RANK('Legger Dinas'!S18,'Legger Dinas'!S$7:S$46))</f>
        <v>27</v>
      </c>
      <c r="T18" s="15">
        <f>IF($B18="","",RANK('Legger Dinas'!T18,'Legger Dinas'!T$7:T$46))</f>
        <v>12</v>
      </c>
      <c r="U18" s="15">
        <f>IF(Setting!$E$15="V","",IF(Setting!$E$15="VI","",RANK('Legger Dinas'!U18,'Legger Dinas'!U$7:U$46)))</f>
        <v>28</v>
      </c>
      <c r="V18" s="15">
        <f>IF($B18="","",RANK('Legger Dinas'!V18,'Legger Dinas'!V$7:V$46))</f>
        <v>27</v>
      </c>
      <c r="W18" s="165">
        <f>IF($B18="","",SUM('Legger Dinas'!G18:V18))</f>
        <v>1333</v>
      </c>
      <c r="X18" s="165" t="e">
        <f t="shared" si="0"/>
        <v>#DIV/0!</v>
      </c>
    </row>
    <row r="19" spans="1:24">
      <c r="A19" s="12">
        <v>13</v>
      </c>
      <c r="B19" s="23" t="str">
        <f>IF(Setting!J18="","",Setting!J18)</f>
        <v>Ghifari Mabrur Al Burhani</v>
      </c>
      <c r="C19" s="28">
        <f>IF(Setting!K18="","",Setting!K18)</f>
        <v>2008128</v>
      </c>
      <c r="D19" s="28" t="str">
        <f>IF(Setting!L18="","",Setting!L18)</f>
        <v>0068080234</v>
      </c>
      <c r="E19" s="15" t="str">
        <f>IF(B19="","",Setting!$E$11)</f>
        <v>X.MIPA 4</v>
      </c>
      <c r="F19" s="15" t="str">
        <f>IF(B19="","",Setting!$E$15)</f>
        <v>II</v>
      </c>
      <c r="G19" s="15">
        <f>IF($B19="","",RANK('Legger Dinas'!G19,'Legger Dinas'!G$7:G$46))</f>
        <v>26</v>
      </c>
      <c r="H19" s="15">
        <f>IF($B19="","",RANK('Legger Dinas'!H19,'Legger Dinas'!H$7:H$46))</f>
        <v>20</v>
      </c>
      <c r="I19" s="15">
        <f>IF($B19="","",RANK('Legger Dinas'!I19,'Legger Dinas'!I$7:I$46))</f>
        <v>7</v>
      </c>
      <c r="J19" s="15">
        <f>IF($B19="","",RANK('Legger Dinas'!J19,'Legger Dinas'!J$7:J$46))</f>
        <v>20</v>
      </c>
      <c r="K19" s="15">
        <f>IF($B19="","",RANK('Legger Dinas'!K19,'Legger Dinas'!K$7:K$46))</f>
        <v>28</v>
      </c>
      <c r="L19" s="15">
        <f>IF($B19="","",RANK('Legger Dinas'!L19,'Legger Dinas'!L$7:L$46))</f>
        <v>10</v>
      </c>
      <c r="M19" s="15">
        <f>IF($B19="","",RANK('Legger Dinas'!M19,'Legger Dinas'!M$7:M$46))</f>
        <v>17</v>
      </c>
      <c r="N19" s="15" t="e">
        <f>IF($B19="","",RANK('Legger Dinas'!N19,'Legger Dinas'!N$7:N$46))</f>
        <v>#DIV/0!</v>
      </c>
      <c r="O19" s="15">
        <f>IF($B19="","",RANK('Legger Dinas'!O19,'Legger Dinas'!O$7:O$46))</f>
        <v>22</v>
      </c>
      <c r="P19" s="15">
        <f>IF($B19="","",RANK('Legger Dinas'!P19,'Legger Dinas'!P$7:P$46))</f>
        <v>26</v>
      </c>
      <c r="Q19" s="15">
        <f>IF($B19="","",RANK('Legger Dinas'!Q19,'Legger Dinas'!Q$7:Q$46))</f>
        <v>12</v>
      </c>
      <c r="R19" s="15">
        <f>IF($B19="","",RANK('Legger Dinas'!R19,'Legger Dinas'!R$7:R$46))</f>
        <v>28</v>
      </c>
      <c r="S19" s="15">
        <f>IF($B19="","",RANK('Legger Dinas'!S19,'Legger Dinas'!S$7:S$46))</f>
        <v>32</v>
      </c>
      <c r="T19" s="15">
        <f>IF($B19="","",RANK('Legger Dinas'!T19,'Legger Dinas'!T$7:T$46))</f>
        <v>1</v>
      </c>
      <c r="U19" s="15">
        <f>IF(Setting!$E$15="V","",IF(Setting!$E$15="VI","",RANK('Legger Dinas'!U19,'Legger Dinas'!U$7:U$46)))</f>
        <v>10</v>
      </c>
      <c r="V19" s="15">
        <f>IF($B19="","",RANK('Legger Dinas'!V19,'Legger Dinas'!V$7:V$46))</f>
        <v>27</v>
      </c>
      <c r="W19" s="165">
        <f>IF($B19="","",SUM('Legger Dinas'!G19:V19))</f>
        <v>1351</v>
      </c>
      <c r="X19" s="165" t="e">
        <f t="shared" si="0"/>
        <v>#DIV/0!</v>
      </c>
    </row>
    <row r="20" spans="1:24">
      <c r="A20" s="12">
        <v>14</v>
      </c>
      <c r="B20" s="23" t="str">
        <f>IF(Setting!J19="","",Setting!J19)</f>
        <v>Hafid Mahreza Ilham</v>
      </c>
      <c r="C20" s="28">
        <f>IF(Setting!K19="","",Setting!K19)</f>
        <v>2008131</v>
      </c>
      <c r="D20" s="28" t="str">
        <f>IF(Setting!L19="","",Setting!L19)</f>
        <v xml:space="preserve"> 0058288476</v>
      </c>
      <c r="E20" s="15" t="str">
        <f>IF(B20="","",Setting!$E$11)</f>
        <v>X.MIPA 4</v>
      </c>
      <c r="F20" s="15" t="str">
        <f>IF(B20="","",Setting!$E$15)</f>
        <v>II</v>
      </c>
      <c r="G20" s="15">
        <f>IF($B20="","",RANK('Legger Dinas'!G20,'Legger Dinas'!G$7:G$46))</f>
        <v>30</v>
      </c>
      <c r="H20" s="15">
        <f>IF($B20="","",RANK('Legger Dinas'!H20,'Legger Dinas'!H$7:H$46))</f>
        <v>27</v>
      </c>
      <c r="I20" s="15">
        <f>IF($B20="","",RANK('Legger Dinas'!I20,'Legger Dinas'!I$7:I$46))</f>
        <v>23</v>
      </c>
      <c r="J20" s="15">
        <f>IF($B20="","",RANK('Legger Dinas'!J20,'Legger Dinas'!J$7:J$46))</f>
        <v>20</v>
      </c>
      <c r="K20" s="15">
        <f>IF($B20="","",RANK('Legger Dinas'!K20,'Legger Dinas'!K$7:K$46))</f>
        <v>32</v>
      </c>
      <c r="L20" s="15">
        <f>IF($B20="","",RANK('Legger Dinas'!L20,'Legger Dinas'!L$7:L$46))</f>
        <v>30</v>
      </c>
      <c r="M20" s="15">
        <f>IF($B20="","",RANK('Legger Dinas'!M20,'Legger Dinas'!M$7:M$46))</f>
        <v>17</v>
      </c>
      <c r="N20" s="15" t="e">
        <f>IF($B20="","",RANK('Legger Dinas'!N20,'Legger Dinas'!N$7:N$46))</f>
        <v>#DIV/0!</v>
      </c>
      <c r="O20" s="15">
        <f>IF($B20="","",RANK('Legger Dinas'!O20,'Legger Dinas'!O$7:O$46))</f>
        <v>31</v>
      </c>
      <c r="P20" s="15">
        <f>IF($B20="","",RANK('Legger Dinas'!P20,'Legger Dinas'!P$7:P$46))</f>
        <v>26</v>
      </c>
      <c r="Q20" s="15">
        <f>IF($B20="","",RANK('Legger Dinas'!Q20,'Legger Dinas'!Q$7:Q$46))</f>
        <v>18</v>
      </c>
      <c r="R20" s="15">
        <f>IF($B20="","",RANK('Legger Dinas'!R20,'Legger Dinas'!R$7:R$46))</f>
        <v>28</v>
      </c>
      <c r="S20" s="15">
        <f>IF($B20="","",RANK('Legger Dinas'!S20,'Legger Dinas'!S$7:S$46))</f>
        <v>27</v>
      </c>
      <c r="T20" s="15">
        <f>IF($B20="","",RANK('Legger Dinas'!T20,'Legger Dinas'!T$7:T$46))</f>
        <v>12</v>
      </c>
      <c r="U20" s="15">
        <f>IF(Setting!$E$15="V","",IF(Setting!$E$15="VI","",RANK('Legger Dinas'!U20,'Legger Dinas'!U$7:U$46)))</f>
        <v>31</v>
      </c>
      <c r="V20" s="15">
        <f>IF($B20="","",RANK('Legger Dinas'!V20,'Legger Dinas'!V$7:V$46))</f>
        <v>27</v>
      </c>
      <c r="W20" s="165">
        <f>IF($B20="","",SUM('Legger Dinas'!G20:V20))</f>
        <v>1309</v>
      </c>
      <c r="X20" s="165" t="e">
        <f t="shared" si="0"/>
        <v>#DIV/0!</v>
      </c>
    </row>
    <row r="21" spans="1:24">
      <c r="A21" s="12">
        <v>15</v>
      </c>
      <c r="B21" s="23" t="str">
        <f>IF(Setting!J20="","",Setting!J20)</f>
        <v>Haidar Rafif Hibatulloh</v>
      </c>
      <c r="C21" s="28">
        <f>IF(Setting!K20="","",Setting!K20)</f>
        <v>2008132</v>
      </c>
      <c r="D21" s="28" t="str">
        <f>IF(Setting!L20="","",Setting!L20)</f>
        <v>0054005743</v>
      </c>
      <c r="E21" s="15" t="str">
        <f>IF(B21="","",Setting!$E$11)</f>
        <v>X.MIPA 4</v>
      </c>
      <c r="F21" s="15" t="str">
        <f>IF(B21="","",Setting!$E$15)</f>
        <v>II</v>
      </c>
      <c r="G21" s="15">
        <f>IF($B21="","",RANK('Legger Dinas'!G21,'Legger Dinas'!G$7:G$46))</f>
        <v>17</v>
      </c>
      <c r="H21" s="15">
        <f>IF($B21="","",RANK('Legger Dinas'!H21,'Legger Dinas'!H$7:H$46))</f>
        <v>8</v>
      </c>
      <c r="I21" s="15">
        <f>IF($B21="","",RANK('Legger Dinas'!I21,'Legger Dinas'!I$7:I$46))</f>
        <v>14</v>
      </c>
      <c r="J21" s="15">
        <f>IF($B21="","",RANK('Legger Dinas'!J21,'Legger Dinas'!J$7:J$46))</f>
        <v>10</v>
      </c>
      <c r="K21" s="15">
        <f>IF($B21="","",RANK('Legger Dinas'!K21,'Legger Dinas'!K$7:K$46))</f>
        <v>6</v>
      </c>
      <c r="L21" s="15">
        <f>IF($B21="","",RANK('Legger Dinas'!L21,'Legger Dinas'!L$7:L$46))</f>
        <v>20</v>
      </c>
      <c r="M21" s="15">
        <f>IF($B21="","",RANK('Legger Dinas'!M21,'Legger Dinas'!M$7:M$46))</f>
        <v>17</v>
      </c>
      <c r="N21" s="15" t="e">
        <f>IF($B21="","",RANK('Legger Dinas'!N21,'Legger Dinas'!N$7:N$46))</f>
        <v>#DIV/0!</v>
      </c>
      <c r="O21" s="15">
        <f>IF($B21="","",RANK('Legger Dinas'!O21,'Legger Dinas'!O$7:O$46))</f>
        <v>16</v>
      </c>
      <c r="P21" s="15">
        <f>IF($B21="","",RANK('Legger Dinas'!P21,'Legger Dinas'!P$7:P$46))</f>
        <v>1</v>
      </c>
      <c r="Q21" s="15">
        <f>IF($B21="","",RANK('Legger Dinas'!Q21,'Legger Dinas'!Q$7:Q$46))</f>
        <v>18</v>
      </c>
      <c r="R21" s="15">
        <f>IF($B21="","",RANK('Legger Dinas'!R21,'Legger Dinas'!R$7:R$46))</f>
        <v>10</v>
      </c>
      <c r="S21" s="15">
        <f>IF($B21="","",RANK('Legger Dinas'!S21,'Legger Dinas'!S$7:S$46))</f>
        <v>7</v>
      </c>
      <c r="T21" s="15">
        <f>IF($B21="","",RANK('Legger Dinas'!T21,'Legger Dinas'!T$7:T$46))</f>
        <v>12</v>
      </c>
      <c r="U21" s="15">
        <f>IF(Setting!$E$15="V","",IF(Setting!$E$15="VI","",RANK('Legger Dinas'!U21,'Legger Dinas'!U$7:U$46)))</f>
        <v>10</v>
      </c>
      <c r="V21" s="15">
        <f>IF($B21="","",RANK('Legger Dinas'!V21,'Legger Dinas'!V$7:V$46))</f>
        <v>12</v>
      </c>
      <c r="W21" s="165">
        <f>IF($B21="","",SUM('Legger Dinas'!G21:V21))</f>
        <v>1385</v>
      </c>
      <c r="X21" s="165" t="e">
        <f t="shared" si="0"/>
        <v>#DIV/0!</v>
      </c>
    </row>
    <row r="22" spans="1:24">
      <c r="A22" s="12">
        <v>16</v>
      </c>
      <c r="B22" s="23" t="str">
        <f>IF(Setting!J21="","",Setting!J21)</f>
        <v>Kelvin Oktabrian Ramadhan</v>
      </c>
      <c r="C22" s="28">
        <f>IF(Setting!K21="","",Setting!K21)</f>
        <v>2008169</v>
      </c>
      <c r="D22" s="28" t="str">
        <f>IF(Setting!L21="","",Setting!L21)</f>
        <v>0045893001</v>
      </c>
      <c r="E22" s="15" t="str">
        <f>IF(B22="","",Setting!$E$11)</f>
        <v>X.MIPA 4</v>
      </c>
      <c r="F22" s="15" t="str">
        <f>IF(B22="","",Setting!$E$15)</f>
        <v>II</v>
      </c>
      <c r="G22" s="15">
        <f>IF($B22="","",RANK('Legger Dinas'!G22,'Legger Dinas'!G$7:G$46))</f>
        <v>1</v>
      </c>
      <c r="H22" s="15">
        <f>IF($B22="","",RANK('Legger Dinas'!H22,'Legger Dinas'!H$7:H$46))</f>
        <v>8</v>
      </c>
      <c r="I22" s="15">
        <f>IF($B22="","",RANK('Legger Dinas'!I22,'Legger Dinas'!I$7:I$46))</f>
        <v>2</v>
      </c>
      <c r="J22" s="15">
        <f>IF($B22="","",RANK('Legger Dinas'!J22,'Legger Dinas'!J$7:J$46))</f>
        <v>4</v>
      </c>
      <c r="K22" s="15">
        <f>IF($B22="","",RANK('Legger Dinas'!K22,'Legger Dinas'!K$7:K$46))</f>
        <v>1</v>
      </c>
      <c r="L22" s="15">
        <f>IF($B22="","",RANK('Legger Dinas'!L22,'Legger Dinas'!L$7:L$46))</f>
        <v>6</v>
      </c>
      <c r="M22" s="15">
        <f>IF($B22="","",RANK('Legger Dinas'!M22,'Legger Dinas'!M$7:M$46))</f>
        <v>1</v>
      </c>
      <c r="N22" s="15" t="e">
        <f>IF($B22="","",RANK('Legger Dinas'!N22,'Legger Dinas'!N$7:N$46))</f>
        <v>#DIV/0!</v>
      </c>
      <c r="O22" s="15">
        <f>IF($B22="","",RANK('Legger Dinas'!O22,'Legger Dinas'!O$7:O$46))</f>
        <v>2</v>
      </c>
      <c r="P22" s="15">
        <f>IF($B22="","",RANK('Legger Dinas'!P22,'Legger Dinas'!P$7:P$46))</f>
        <v>1</v>
      </c>
      <c r="Q22" s="15">
        <f>IF($B22="","",RANK('Legger Dinas'!Q22,'Legger Dinas'!Q$7:Q$46))</f>
        <v>7</v>
      </c>
      <c r="R22" s="15">
        <f>IF($B22="","",RANK('Legger Dinas'!R22,'Legger Dinas'!R$7:R$46))</f>
        <v>10</v>
      </c>
      <c r="S22" s="15">
        <f>IF($B22="","",RANK('Legger Dinas'!S22,'Legger Dinas'!S$7:S$46))</f>
        <v>7</v>
      </c>
      <c r="T22" s="15">
        <f>IF($B22="","",RANK('Legger Dinas'!T22,'Legger Dinas'!T$7:T$46))</f>
        <v>3</v>
      </c>
      <c r="U22" s="15">
        <f>IF(Setting!$E$15="V","",IF(Setting!$E$15="VI","",RANK('Legger Dinas'!U22,'Legger Dinas'!U$7:U$46)))</f>
        <v>1</v>
      </c>
      <c r="V22" s="15">
        <f>IF($B22="","",RANK('Legger Dinas'!V22,'Legger Dinas'!V$7:V$46))</f>
        <v>21</v>
      </c>
      <c r="W22" s="165">
        <f>IF($B22="","",SUM('Legger Dinas'!G22:V22))</f>
        <v>1431</v>
      </c>
      <c r="X22" s="165" t="e">
        <f t="shared" si="0"/>
        <v>#DIV/0!</v>
      </c>
    </row>
    <row r="23" spans="1:24">
      <c r="A23" s="12">
        <v>17</v>
      </c>
      <c r="B23" s="23" t="str">
        <f>IF(Setting!J22="","",Setting!J22)</f>
        <v>Mohamad Khoiril Afwa</v>
      </c>
      <c r="C23" s="28">
        <f>IF(Setting!K22="","",Setting!K22)</f>
        <v>2008197</v>
      </c>
      <c r="D23" s="28" t="str">
        <f>IF(Setting!L22="","",Setting!L22)</f>
        <v>0044910894</v>
      </c>
      <c r="E23" s="15" t="str">
        <f>IF(B23="","",Setting!$E$11)</f>
        <v>X.MIPA 4</v>
      </c>
      <c r="F23" s="15" t="str">
        <f>IF(B23="","",Setting!$E$15)</f>
        <v>II</v>
      </c>
      <c r="G23" s="15">
        <f>IF($B23="","",RANK('Legger Dinas'!G23,'Legger Dinas'!G$7:G$46))</f>
        <v>3</v>
      </c>
      <c r="H23" s="15">
        <f>IF($B23="","",RANK('Legger Dinas'!H23,'Legger Dinas'!H$7:H$46))</f>
        <v>27</v>
      </c>
      <c r="I23" s="15">
        <f>IF($B23="","",RANK('Legger Dinas'!I23,'Legger Dinas'!I$7:I$46))</f>
        <v>14</v>
      </c>
      <c r="J23" s="15">
        <f>IF($B23="","",RANK('Legger Dinas'!J23,'Legger Dinas'!J$7:J$46))</f>
        <v>20</v>
      </c>
      <c r="K23" s="15">
        <f>IF($B23="","",RANK('Legger Dinas'!K23,'Legger Dinas'!K$7:K$46))</f>
        <v>15</v>
      </c>
      <c r="L23" s="15">
        <f>IF($B23="","",RANK('Legger Dinas'!L23,'Legger Dinas'!L$7:L$46))</f>
        <v>10</v>
      </c>
      <c r="M23" s="15">
        <f>IF($B23="","",RANK('Legger Dinas'!M23,'Legger Dinas'!M$7:M$46))</f>
        <v>1</v>
      </c>
      <c r="N23" s="15" t="e">
        <f>IF($B23="","",RANK('Legger Dinas'!N23,'Legger Dinas'!N$7:N$46))</f>
        <v>#DIV/0!</v>
      </c>
      <c r="O23" s="15">
        <f>IF($B23="","",RANK('Legger Dinas'!O23,'Legger Dinas'!O$7:O$46))</f>
        <v>18</v>
      </c>
      <c r="P23" s="15">
        <f>IF($B23="","",RANK('Legger Dinas'!P23,'Legger Dinas'!P$7:P$46))</f>
        <v>1</v>
      </c>
      <c r="Q23" s="15">
        <f>IF($B23="","",RANK('Legger Dinas'!Q23,'Legger Dinas'!Q$7:Q$46))</f>
        <v>18</v>
      </c>
      <c r="R23" s="15">
        <f>IF($B23="","",RANK('Legger Dinas'!R23,'Legger Dinas'!R$7:R$46))</f>
        <v>10</v>
      </c>
      <c r="S23" s="15">
        <f>IF($B23="","",RANK('Legger Dinas'!S23,'Legger Dinas'!S$7:S$46))</f>
        <v>23</v>
      </c>
      <c r="T23" s="15">
        <f>IF($B23="","",RANK('Legger Dinas'!T23,'Legger Dinas'!T$7:T$46))</f>
        <v>12</v>
      </c>
      <c r="U23" s="15">
        <f>IF(Setting!$E$15="V","",IF(Setting!$E$15="VI","",RANK('Legger Dinas'!U23,'Legger Dinas'!U$7:U$46)))</f>
        <v>19</v>
      </c>
      <c r="V23" s="15">
        <f>IF($B23="","",RANK('Legger Dinas'!V23,'Legger Dinas'!V$7:V$46))</f>
        <v>24</v>
      </c>
      <c r="W23" s="165">
        <f>IF($B23="","",SUM('Legger Dinas'!G23:V23))</f>
        <v>1386</v>
      </c>
      <c r="X23" s="165" t="e">
        <f t="shared" si="0"/>
        <v>#DIV/0!</v>
      </c>
    </row>
    <row r="24" spans="1:24">
      <c r="A24" s="12">
        <v>18</v>
      </c>
      <c r="B24" s="23" t="str">
        <f>IF(Setting!J23="","",Setting!J23)</f>
        <v>Muhammad Hanif Pearlyaradja</v>
      </c>
      <c r="C24" s="28">
        <f>IF(Setting!K23="","",Setting!K23)</f>
        <v>2008214</v>
      </c>
      <c r="D24" s="28" t="str">
        <f>IF(Setting!L23="","",Setting!L23)</f>
        <v>0052096412</v>
      </c>
      <c r="E24" s="15" t="str">
        <f>IF(B24="","",Setting!$E$11)</f>
        <v>X.MIPA 4</v>
      </c>
      <c r="F24" s="15" t="str">
        <f>IF(B24="","",Setting!$E$15)</f>
        <v>II</v>
      </c>
      <c r="G24" s="15">
        <f>IF($B24="","",RANK('Legger Dinas'!G24,'Legger Dinas'!G$7:G$46))</f>
        <v>13</v>
      </c>
      <c r="H24" s="15">
        <f>IF($B24="","",RANK('Legger Dinas'!H24,'Legger Dinas'!H$7:H$46))</f>
        <v>15</v>
      </c>
      <c r="I24" s="15">
        <f>IF($B24="","",RANK('Legger Dinas'!I24,'Legger Dinas'!I$7:I$46))</f>
        <v>14</v>
      </c>
      <c r="J24" s="15">
        <f>IF($B24="","",RANK('Legger Dinas'!J24,'Legger Dinas'!J$7:J$46))</f>
        <v>20</v>
      </c>
      <c r="K24" s="15">
        <f>IF($B24="","",RANK('Legger Dinas'!K24,'Legger Dinas'!K$7:K$46))</f>
        <v>15</v>
      </c>
      <c r="L24" s="15">
        <f>IF($B24="","",RANK('Legger Dinas'!L24,'Legger Dinas'!L$7:L$46))</f>
        <v>10</v>
      </c>
      <c r="M24" s="15">
        <f>IF($B24="","",RANK('Legger Dinas'!M24,'Legger Dinas'!M$7:M$46))</f>
        <v>17</v>
      </c>
      <c r="N24" s="15" t="e">
        <f>IF($B24="","",RANK('Legger Dinas'!N24,'Legger Dinas'!N$7:N$46))</f>
        <v>#DIV/0!</v>
      </c>
      <c r="O24" s="15">
        <f>IF($B24="","",RANK('Legger Dinas'!O24,'Legger Dinas'!O$7:O$46))</f>
        <v>9</v>
      </c>
      <c r="P24" s="15">
        <f>IF($B24="","",RANK('Legger Dinas'!P24,'Legger Dinas'!P$7:P$46))</f>
        <v>1</v>
      </c>
      <c r="Q24" s="15">
        <f>IF($B24="","",RANK('Legger Dinas'!Q24,'Legger Dinas'!Q$7:Q$46))</f>
        <v>15</v>
      </c>
      <c r="R24" s="15">
        <f>IF($B24="","",RANK('Legger Dinas'!R24,'Legger Dinas'!R$7:R$46))</f>
        <v>28</v>
      </c>
      <c r="S24" s="15">
        <f>IF($B24="","",RANK('Legger Dinas'!S24,'Legger Dinas'!S$7:S$46))</f>
        <v>13</v>
      </c>
      <c r="T24" s="15">
        <f>IF($B24="","",RANK('Legger Dinas'!T24,'Legger Dinas'!T$7:T$46))</f>
        <v>8</v>
      </c>
      <c r="U24" s="15">
        <f>IF(Setting!$E$15="V","",IF(Setting!$E$15="VI","",RANK('Legger Dinas'!U24,'Legger Dinas'!U$7:U$46)))</f>
        <v>24</v>
      </c>
      <c r="V24" s="15">
        <f>IF($B24="","",RANK('Legger Dinas'!V24,'Legger Dinas'!V$7:V$46))</f>
        <v>12</v>
      </c>
      <c r="W24" s="165">
        <f>IF($B24="","",SUM('Legger Dinas'!G24:V24))</f>
        <v>1376</v>
      </c>
      <c r="X24" s="165" t="e">
        <f t="shared" si="0"/>
        <v>#DIV/0!</v>
      </c>
    </row>
    <row r="25" spans="1:24">
      <c r="A25" s="12">
        <v>19</v>
      </c>
      <c r="B25" s="23" t="str">
        <f>IF(Setting!J24="","",Setting!J24)</f>
        <v>Muhammad Maurel Han</v>
      </c>
      <c r="C25" s="28">
        <f>IF(Setting!K24="","",Setting!K24)</f>
        <v>2008218</v>
      </c>
      <c r="D25" s="28" t="str">
        <f>IF(Setting!L24="","",Setting!L24)</f>
        <v>9015578324</v>
      </c>
      <c r="E25" s="15" t="str">
        <f>IF(B25="","",Setting!$E$11)</f>
        <v>X.MIPA 4</v>
      </c>
      <c r="F25" s="15" t="str">
        <f>IF(B25="","",Setting!$E$15)</f>
        <v>II</v>
      </c>
      <c r="G25" s="15">
        <f>IF($B25="","",RANK('Legger Dinas'!G25,'Legger Dinas'!G$7:G$46))</f>
        <v>28</v>
      </c>
      <c r="H25" s="15">
        <f>IF($B25="","",RANK('Legger Dinas'!H25,'Legger Dinas'!H$7:H$46))</f>
        <v>20</v>
      </c>
      <c r="I25" s="15">
        <f>IF($B25="","",RANK('Legger Dinas'!I25,'Legger Dinas'!I$7:I$46))</f>
        <v>29</v>
      </c>
      <c r="J25" s="15">
        <f>IF($B25="","",RANK('Legger Dinas'!J25,'Legger Dinas'!J$7:J$46))</f>
        <v>20</v>
      </c>
      <c r="K25" s="15">
        <f>IF($B25="","",RANK('Legger Dinas'!K25,'Legger Dinas'!K$7:K$46))</f>
        <v>30</v>
      </c>
      <c r="L25" s="15">
        <f>IF($B25="","",RANK('Legger Dinas'!L25,'Legger Dinas'!L$7:L$46))</f>
        <v>30</v>
      </c>
      <c r="M25" s="15">
        <f>IF($B25="","",RANK('Legger Dinas'!M25,'Legger Dinas'!M$7:M$46))</f>
        <v>1</v>
      </c>
      <c r="N25" s="15" t="e">
        <f>IF($B25="","",RANK('Legger Dinas'!N25,'Legger Dinas'!N$7:N$46))</f>
        <v>#DIV/0!</v>
      </c>
      <c r="O25" s="15">
        <f>IF($B25="","",RANK('Legger Dinas'!O25,'Legger Dinas'!O$7:O$46))</f>
        <v>30</v>
      </c>
      <c r="P25" s="15">
        <f>IF($B25="","",RANK('Legger Dinas'!P25,'Legger Dinas'!P$7:P$46))</f>
        <v>1</v>
      </c>
      <c r="Q25" s="15">
        <f>IF($B25="","",RANK('Legger Dinas'!Q25,'Legger Dinas'!Q$7:Q$46))</f>
        <v>18</v>
      </c>
      <c r="R25" s="15">
        <f>IF($B25="","",RANK('Legger Dinas'!R25,'Legger Dinas'!R$7:R$46))</f>
        <v>26</v>
      </c>
      <c r="S25" s="15">
        <f>IF($B25="","",RANK('Legger Dinas'!S25,'Legger Dinas'!S$7:S$46))</f>
        <v>31</v>
      </c>
      <c r="T25" s="15">
        <f>IF($B25="","",RANK('Legger Dinas'!T25,'Legger Dinas'!T$7:T$46))</f>
        <v>12</v>
      </c>
      <c r="U25" s="15">
        <f>IF(Setting!$E$15="V","",IF(Setting!$E$15="VI","",RANK('Legger Dinas'!U25,'Legger Dinas'!U$7:U$46)))</f>
        <v>7</v>
      </c>
      <c r="V25" s="15">
        <f>IF($B25="","",RANK('Legger Dinas'!V25,'Legger Dinas'!V$7:V$46))</f>
        <v>21</v>
      </c>
      <c r="W25" s="165">
        <f>IF($B25="","",SUM('Legger Dinas'!G25:V25))</f>
        <v>1345</v>
      </c>
      <c r="X25" s="165" t="e">
        <f t="shared" si="0"/>
        <v>#DIV/0!</v>
      </c>
    </row>
    <row r="26" spans="1:24">
      <c r="A26" s="12">
        <v>20</v>
      </c>
      <c r="B26" s="23" t="str">
        <f>IF(Setting!J25="","",Setting!J25)</f>
        <v>Muhammad Niam Masykuri</v>
      </c>
      <c r="C26" s="28">
        <f>IF(Setting!K25="","",Setting!K25)</f>
        <v>2008220</v>
      </c>
      <c r="D26" s="28" t="str">
        <f>IF(Setting!L25="","",Setting!L25)</f>
        <v xml:space="preserve"> 0044193368</v>
      </c>
      <c r="E26" s="15" t="str">
        <f>IF(B26="","",Setting!$E$11)</f>
        <v>X.MIPA 4</v>
      </c>
      <c r="F26" s="15" t="str">
        <f>IF(B26="","",Setting!$E$15)</f>
        <v>II</v>
      </c>
      <c r="G26" s="15">
        <f>IF($B26="","",RANK('Legger Dinas'!G26,'Legger Dinas'!G$7:G$46))</f>
        <v>5</v>
      </c>
      <c r="H26" s="15">
        <f>IF($B26="","",RANK('Legger Dinas'!H26,'Legger Dinas'!H$7:H$46))</f>
        <v>8</v>
      </c>
      <c r="I26" s="15">
        <f>IF($B26="","",RANK('Legger Dinas'!I26,'Legger Dinas'!I$7:I$46))</f>
        <v>14</v>
      </c>
      <c r="J26" s="15">
        <f>IF($B26="","",RANK('Legger Dinas'!J26,'Legger Dinas'!J$7:J$46))</f>
        <v>17</v>
      </c>
      <c r="K26" s="15">
        <f>IF($B26="","",RANK('Legger Dinas'!K26,'Legger Dinas'!K$7:K$46))</f>
        <v>6</v>
      </c>
      <c r="L26" s="15">
        <f>IF($B26="","",RANK('Legger Dinas'!L26,'Legger Dinas'!L$7:L$46))</f>
        <v>20</v>
      </c>
      <c r="M26" s="15">
        <f>IF($B26="","",RANK('Legger Dinas'!M26,'Legger Dinas'!M$7:M$46))</f>
        <v>17</v>
      </c>
      <c r="N26" s="15" t="e">
        <f>IF($B26="","",RANK('Legger Dinas'!N26,'Legger Dinas'!N$7:N$46))</f>
        <v>#DIV/0!</v>
      </c>
      <c r="O26" s="15">
        <f>IF($B26="","",RANK('Legger Dinas'!O26,'Legger Dinas'!O$7:O$46))</f>
        <v>18</v>
      </c>
      <c r="P26" s="15">
        <f>IF($B26="","",RANK('Legger Dinas'!P26,'Legger Dinas'!P$7:P$46))</f>
        <v>1</v>
      </c>
      <c r="Q26" s="15">
        <f>IF($B26="","",RANK('Legger Dinas'!Q26,'Legger Dinas'!Q$7:Q$46))</f>
        <v>18</v>
      </c>
      <c r="R26" s="15">
        <f>IF($B26="","",RANK('Legger Dinas'!R26,'Legger Dinas'!R$7:R$46))</f>
        <v>10</v>
      </c>
      <c r="S26" s="15">
        <f>IF($B26="","",RANK('Legger Dinas'!S26,'Legger Dinas'!S$7:S$46))</f>
        <v>19</v>
      </c>
      <c r="T26" s="15">
        <f>IF($B26="","",RANK('Legger Dinas'!T26,'Legger Dinas'!T$7:T$46))</f>
        <v>12</v>
      </c>
      <c r="U26" s="15">
        <f>IF(Setting!$E$15="V","",IF(Setting!$E$15="VI","",RANK('Legger Dinas'!U26,'Legger Dinas'!U$7:U$46)))</f>
        <v>10</v>
      </c>
      <c r="V26" s="15">
        <f>IF($B26="","",RANK('Legger Dinas'!V26,'Legger Dinas'!V$7:V$46))</f>
        <v>12</v>
      </c>
      <c r="W26" s="165">
        <f>IF($B26="","",SUM('Legger Dinas'!G26:V26))</f>
        <v>1381</v>
      </c>
      <c r="X26" s="165" t="e">
        <f t="shared" si="0"/>
        <v>#DIV/0!</v>
      </c>
    </row>
    <row r="27" spans="1:24">
      <c r="A27" s="12">
        <v>21</v>
      </c>
      <c r="B27" s="23" t="str">
        <f>IF(Setting!J26="","",Setting!J26)</f>
        <v>Muhammad Nur Arzhian Kusuma</v>
      </c>
      <c r="C27" s="28">
        <f>IF(Setting!K26="","",Setting!K26)</f>
        <v>2008221</v>
      </c>
      <c r="D27" s="28" t="str">
        <f>IF(Setting!L26="","",Setting!L26)</f>
        <v>0053421781</v>
      </c>
      <c r="E27" s="15" t="str">
        <f>IF(B27="","",Setting!$E$11)</f>
        <v>X.MIPA 4</v>
      </c>
      <c r="F27" s="15" t="str">
        <f>IF(B27="","",Setting!$E$15)</f>
        <v>II</v>
      </c>
      <c r="G27" s="15">
        <f>IF($B27="","",RANK('Legger Dinas'!G27,'Legger Dinas'!G$7:G$46))</f>
        <v>17</v>
      </c>
      <c r="H27" s="15">
        <f>IF($B27="","",RANK('Legger Dinas'!H27,'Legger Dinas'!H$7:H$46))</f>
        <v>20</v>
      </c>
      <c r="I27" s="15">
        <f>IF($B27="","",RANK('Legger Dinas'!I27,'Legger Dinas'!I$7:I$46))</f>
        <v>7</v>
      </c>
      <c r="J27" s="15">
        <f>IF($B27="","",RANK('Legger Dinas'!J27,'Legger Dinas'!J$7:J$46))</f>
        <v>20</v>
      </c>
      <c r="K27" s="15">
        <f>IF($B27="","",RANK('Legger Dinas'!K27,'Legger Dinas'!K$7:K$46))</f>
        <v>21</v>
      </c>
      <c r="L27" s="15">
        <f>IF($B27="","",RANK('Legger Dinas'!L27,'Legger Dinas'!L$7:L$46))</f>
        <v>20</v>
      </c>
      <c r="M27" s="15">
        <f>IF($B27="","",RANK('Legger Dinas'!M27,'Legger Dinas'!M$7:M$46))</f>
        <v>17</v>
      </c>
      <c r="N27" s="15" t="e">
        <f>IF($B27="","",RANK('Legger Dinas'!N27,'Legger Dinas'!N$7:N$46))</f>
        <v>#DIV/0!</v>
      </c>
      <c r="O27" s="15">
        <f>IF($B27="","",RANK('Legger Dinas'!O27,'Legger Dinas'!O$7:O$46))</f>
        <v>16</v>
      </c>
      <c r="P27" s="15">
        <f>IF($B27="","",RANK('Legger Dinas'!P27,'Legger Dinas'!P$7:P$46))</f>
        <v>18</v>
      </c>
      <c r="Q27" s="15">
        <f>IF($B27="","",RANK('Legger Dinas'!Q27,'Legger Dinas'!Q$7:Q$46))</f>
        <v>18</v>
      </c>
      <c r="R27" s="15">
        <f>IF($B27="","",RANK('Legger Dinas'!R27,'Legger Dinas'!R$7:R$46))</f>
        <v>22</v>
      </c>
      <c r="S27" s="15">
        <f>IF($B27="","",RANK('Legger Dinas'!S27,'Legger Dinas'!S$7:S$46))</f>
        <v>13</v>
      </c>
      <c r="T27" s="15">
        <f>IF($B27="","",RANK('Legger Dinas'!T27,'Legger Dinas'!T$7:T$46))</f>
        <v>12</v>
      </c>
      <c r="U27" s="15">
        <f>IF(Setting!$E$15="V","",IF(Setting!$E$15="VI","",RANK('Legger Dinas'!U27,'Legger Dinas'!U$7:U$46)))</f>
        <v>24</v>
      </c>
      <c r="V27" s="15">
        <f>IF($B27="","",RANK('Legger Dinas'!V27,'Legger Dinas'!V$7:V$46))</f>
        <v>12</v>
      </c>
      <c r="W27" s="165">
        <f>IF($B27="","",SUM('Legger Dinas'!G27:V27))</f>
        <v>1368</v>
      </c>
      <c r="X27" s="165" t="e">
        <f t="shared" si="0"/>
        <v>#DIV/0!</v>
      </c>
    </row>
    <row r="28" spans="1:24">
      <c r="A28" s="12">
        <v>22</v>
      </c>
      <c r="B28" s="23" t="str">
        <f>IF(Setting!J27="","",Setting!J27)</f>
        <v>Muhammad Rafif Rizqullah</v>
      </c>
      <c r="C28" s="28">
        <f>IF(Setting!K27="","",Setting!K27)</f>
        <v>2008222</v>
      </c>
      <c r="D28" s="28" t="str">
        <f>IF(Setting!L27="","",Setting!L27)</f>
        <v>0044559979</v>
      </c>
      <c r="E28" s="15" t="str">
        <f>IF(B28="","",Setting!$E$11)</f>
        <v>X.MIPA 4</v>
      </c>
      <c r="F28" s="15" t="str">
        <f>IF(B28="","",Setting!$E$15)</f>
        <v>II</v>
      </c>
      <c r="G28" s="15">
        <f>IF($B28="","",RANK('Legger Dinas'!G28,'Legger Dinas'!G$7:G$46))</f>
        <v>17</v>
      </c>
      <c r="H28" s="15">
        <f>IF($B28="","",RANK('Legger Dinas'!H28,'Legger Dinas'!H$7:H$46))</f>
        <v>15</v>
      </c>
      <c r="I28" s="15">
        <f>IF($B28="","",RANK('Legger Dinas'!I28,'Legger Dinas'!I$7:I$46))</f>
        <v>23</v>
      </c>
      <c r="J28" s="15">
        <f>IF($B28="","",RANK('Legger Dinas'!J28,'Legger Dinas'!J$7:J$46))</f>
        <v>10</v>
      </c>
      <c r="K28" s="15">
        <f>IF($B28="","",RANK('Legger Dinas'!K28,'Legger Dinas'!K$7:K$46))</f>
        <v>25</v>
      </c>
      <c r="L28" s="15">
        <f>IF($B28="","",RANK('Legger Dinas'!L28,'Legger Dinas'!L$7:L$46))</f>
        <v>15</v>
      </c>
      <c r="M28" s="15">
        <f>IF($B28="","",RANK('Legger Dinas'!M28,'Legger Dinas'!M$7:M$46))</f>
        <v>17</v>
      </c>
      <c r="N28" s="15" t="e">
        <f>IF($B28="","",RANK('Legger Dinas'!N28,'Legger Dinas'!N$7:N$46))</f>
        <v>#DIV/0!</v>
      </c>
      <c r="O28" s="15">
        <f>IF($B28="","",RANK('Legger Dinas'!O28,'Legger Dinas'!O$7:O$46))</f>
        <v>3</v>
      </c>
      <c r="P28" s="15">
        <f>IF($B28="","",RANK('Legger Dinas'!P28,'Legger Dinas'!P$7:P$46))</f>
        <v>22</v>
      </c>
      <c r="Q28" s="15">
        <f>IF($B28="","",RANK('Legger Dinas'!Q28,'Legger Dinas'!Q$7:Q$46))</f>
        <v>7</v>
      </c>
      <c r="R28" s="15">
        <f>IF($B28="","",RANK('Legger Dinas'!R28,'Legger Dinas'!R$7:R$46))</f>
        <v>10</v>
      </c>
      <c r="S28" s="15">
        <f>IF($B28="","",RANK('Legger Dinas'!S28,'Legger Dinas'!S$7:S$46))</f>
        <v>25</v>
      </c>
      <c r="T28" s="15">
        <f>IF($B28="","",RANK('Legger Dinas'!T28,'Legger Dinas'!T$7:T$46))</f>
        <v>5</v>
      </c>
      <c r="U28" s="15">
        <f>IF(Setting!$E$15="V","",IF(Setting!$E$15="VI","",RANK('Legger Dinas'!U28,'Legger Dinas'!U$7:U$46)))</f>
        <v>30</v>
      </c>
      <c r="V28" s="15">
        <f>IF($B28="","",RANK('Legger Dinas'!V28,'Legger Dinas'!V$7:V$46))</f>
        <v>24</v>
      </c>
      <c r="W28" s="165">
        <f>IF($B28="","",SUM('Legger Dinas'!G28:V28))</f>
        <v>1372</v>
      </c>
      <c r="X28" s="165" t="e">
        <f t="shared" si="0"/>
        <v>#DIV/0!</v>
      </c>
    </row>
    <row r="29" spans="1:24">
      <c r="A29" s="12">
        <v>23</v>
      </c>
      <c r="B29" s="23" t="str">
        <f>IF(Setting!J28="","",Setting!J28)</f>
        <v>Muhammad Raihan Al Faridzi</v>
      </c>
      <c r="C29" s="28">
        <f>IF(Setting!K28="","",Setting!K28)</f>
        <v>2008223</v>
      </c>
      <c r="D29" s="28" t="str">
        <f>IF(Setting!L28="","",Setting!L28)</f>
        <v>0047682955</v>
      </c>
      <c r="E29" s="15" t="str">
        <f>IF(B29="","",Setting!$E$11)</f>
        <v>X.MIPA 4</v>
      </c>
      <c r="F29" s="15" t="str">
        <f>IF(B29="","",Setting!$E$15)</f>
        <v>II</v>
      </c>
      <c r="G29" s="15">
        <f>IF($B29="","",RANK('Legger Dinas'!G29,'Legger Dinas'!G$7:G$46))</f>
        <v>30</v>
      </c>
      <c r="H29" s="15">
        <f>IF($B29="","",RANK('Legger Dinas'!H29,'Legger Dinas'!H$7:H$46))</f>
        <v>1</v>
      </c>
      <c r="I29" s="15">
        <f>IF($B29="","",RANK('Legger Dinas'!I29,'Legger Dinas'!I$7:I$46))</f>
        <v>29</v>
      </c>
      <c r="J29" s="15">
        <f>IF($B29="","",RANK('Legger Dinas'!J29,'Legger Dinas'!J$7:J$46))</f>
        <v>2</v>
      </c>
      <c r="K29" s="15">
        <f>IF($B29="","",RANK('Legger Dinas'!K29,'Legger Dinas'!K$7:K$46))</f>
        <v>15</v>
      </c>
      <c r="L29" s="15">
        <f>IF($B29="","",RANK('Legger Dinas'!L29,'Legger Dinas'!L$7:L$46))</f>
        <v>4</v>
      </c>
      <c r="M29" s="15">
        <f>IF($B29="","",RANK('Legger Dinas'!M29,'Legger Dinas'!M$7:M$46))</f>
        <v>5</v>
      </c>
      <c r="N29" s="15" t="e">
        <f>IF($B29="","",RANK('Legger Dinas'!N29,'Legger Dinas'!N$7:N$46))</f>
        <v>#DIV/0!</v>
      </c>
      <c r="O29" s="15">
        <f>IF($B29="","",RANK('Legger Dinas'!O29,'Legger Dinas'!O$7:O$46))</f>
        <v>9</v>
      </c>
      <c r="P29" s="15">
        <f>IF($B29="","",RANK('Legger Dinas'!P29,'Legger Dinas'!P$7:P$46))</f>
        <v>30</v>
      </c>
      <c r="Q29" s="15">
        <f>IF($B29="","",RANK('Legger Dinas'!Q29,'Legger Dinas'!Q$7:Q$46))</f>
        <v>3</v>
      </c>
      <c r="R29" s="15">
        <f>IF($B29="","",RANK('Legger Dinas'!R29,'Legger Dinas'!R$7:R$46))</f>
        <v>4</v>
      </c>
      <c r="S29" s="15">
        <f>IF($B29="","",RANK('Legger Dinas'!S29,'Legger Dinas'!S$7:S$46))</f>
        <v>2</v>
      </c>
      <c r="T29" s="15">
        <f>IF($B29="","",RANK('Legger Dinas'!T29,'Legger Dinas'!T$7:T$46))</f>
        <v>12</v>
      </c>
      <c r="U29" s="15">
        <f>IF(Setting!$E$15="V","",IF(Setting!$E$15="VI","",RANK('Legger Dinas'!U29,'Legger Dinas'!U$7:U$46)))</f>
        <v>1</v>
      </c>
      <c r="V29" s="15">
        <f>IF($B29="","",RANK('Legger Dinas'!V29,'Legger Dinas'!V$7:V$46))</f>
        <v>27</v>
      </c>
      <c r="W29" s="165">
        <f>IF($B29="","",SUM('Legger Dinas'!G29:V29))</f>
        <v>1407</v>
      </c>
      <c r="X29" s="165" t="e">
        <f t="shared" si="0"/>
        <v>#DIV/0!</v>
      </c>
    </row>
    <row r="30" spans="1:24">
      <c r="A30" s="12">
        <v>24</v>
      </c>
      <c r="B30" s="23" t="str">
        <f>IF(Setting!J29="","",Setting!J29)</f>
        <v>Muhammad Rakan Hafidh Al Ghalib</v>
      </c>
      <c r="C30" s="28">
        <f>IF(Setting!K29="","",Setting!K29)</f>
        <v>2008224</v>
      </c>
      <c r="D30" s="28" t="str">
        <f>IF(Setting!L29="","",Setting!L29)</f>
        <v>0053955049</v>
      </c>
      <c r="E30" s="15" t="str">
        <f>IF(B30="","",Setting!$E$11)</f>
        <v>X.MIPA 4</v>
      </c>
      <c r="F30" s="15" t="str">
        <f>IF(B30="","",Setting!$E$15)</f>
        <v>II</v>
      </c>
      <c r="G30" s="15">
        <f>IF($B30="","",RANK('Legger Dinas'!G30,'Legger Dinas'!G$7:G$46))</f>
        <v>5</v>
      </c>
      <c r="H30" s="15">
        <f>IF($B30="","",RANK('Legger Dinas'!H30,'Legger Dinas'!H$7:H$46))</f>
        <v>3</v>
      </c>
      <c r="I30" s="15">
        <f>IF($B30="","",RANK('Legger Dinas'!I30,'Legger Dinas'!I$7:I$46))</f>
        <v>2</v>
      </c>
      <c r="J30" s="15">
        <f>IF($B30="","",RANK('Legger Dinas'!J30,'Legger Dinas'!J$7:J$46))</f>
        <v>4</v>
      </c>
      <c r="K30" s="15">
        <f>IF($B30="","",RANK('Legger Dinas'!K30,'Legger Dinas'!K$7:K$46))</f>
        <v>1</v>
      </c>
      <c r="L30" s="15">
        <f>IF($B30="","",RANK('Legger Dinas'!L30,'Legger Dinas'!L$7:L$46))</f>
        <v>7</v>
      </c>
      <c r="M30" s="15">
        <f>IF($B30="","",RANK('Legger Dinas'!M30,'Legger Dinas'!M$7:M$46))</f>
        <v>7</v>
      </c>
      <c r="N30" s="15" t="e">
        <f>IF($B30="","",RANK('Legger Dinas'!N30,'Legger Dinas'!N$7:N$46))</f>
        <v>#DIV/0!</v>
      </c>
      <c r="O30" s="15">
        <f>IF($B30="","",RANK('Legger Dinas'!O30,'Legger Dinas'!O$7:O$46))</f>
        <v>1</v>
      </c>
      <c r="P30" s="15">
        <f>IF($B30="","",RANK('Legger Dinas'!P30,'Legger Dinas'!P$7:P$46))</f>
        <v>18</v>
      </c>
      <c r="Q30" s="15">
        <f>IF($B30="","",RANK('Legger Dinas'!Q30,'Legger Dinas'!Q$7:Q$46))</f>
        <v>1</v>
      </c>
      <c r="R30" s="15">
        <f>IF($B30="","",RANK('Legger Dinas'!R30,'Legger Dinas'!R$7:R$46))</f>
        <v>5</v>
      </c>
      <c r="S30" s="15">
        <f>IF($B30="","",RANK('Legger Dinas'!S30,'Legger Dinas'!S$7:S$46))</f>
        <v>13</v>
      </c>
      <c r="T30" s="15">
        <f>IF($B30="","",RANK('Legger Dinas'!T30,'Legger Dinas'!T$7:T$46))</f>
        <v>8</v>
      </c>
      <c r="U30" s="15">
        <f>IF(Setting!$E$15="V","",IF(Setting!$E$15="VI","",RANK('Legger Dinas'!U30,'Legger Dinas'!U$7:U$46)))</f>
        <v>1</v>
      </c>
      <c r="V30" s="15">
        <f>IF($B30="","",RANK('Legger Dinas'!V30,'Legger Dinas'!V$7:V$46))</f>
        <v>10</v>
      </c>
      <c r="W30" s="165">
        <f>IF($B30="","",SUM('Legger Dinas'!G30:V30))</f>
        <v>1429</v>
      </c>
      <c r="X30" s="165" t="e">
        <f t="shared" si="0"/>
        <v>#DIV/0!</v>
      </c>
    </row>
    <row r="31" spans="1:24">
      <c r="A31" s="12">
        <v>25</v>
      </c>
      <c r="B31" s="23" t="str">
        <f>IF(Setting!J30="","",Setting!J30)</f>
        <v>Muhammad Syamu Naufal</v>
      </c>
      <c r="C31" s="28">
        <f>IF(Setting!K30="","",Setting!K30)</f>
        <v>2008230</v>
      </c>
      <c r="D31" s="28" t="str">
        <f>IF(Setting!L30="","",Setting!L30)</f>
        <v>0045892500</v>
      </c>
      <c r="E31" s="15" t="str">
        <f>IF(B31="","",Setting!$E$11)</f>
        <v>X.MIPA 4</v>
      </c>
      <c r="F31" s="15" t="str">
        <f>IF(B31="","",Setting!$E$15)</f>
        <v>II</v>
      </c>
      <c r="G31" s="15">
        <f>IF($B31="","",RANK('Legger Dinas'!G31,'Legger Dinas'!G$7:G$46))</f>
        <v>5</v>
      </c>
      <c r="H31" s="15">
        <f>IF($B31="","",RANK('Legger Dinas'!H31,'Legger Dinas'!H$7:H$46))</f>
        <v>15</v>
      </c>
      <c r="I31" s="15">
        <f>IF($B31="","",RANK('Legger Dinas'!I31,'Legger Dinas'!I$7:I$46))</f>
        <v>2</v>
      </c>
      <c r="J31" s="15">
        <f>IF($B31="","",RANK('Legger Dinas'!J31,'Legger Dinas'!J$7:J$46))</f>
        <v>13</v>
      </c>
      <c r="K31" s="15">
        <f>IF($B31="","",RANK('Legger Dinas'!K31,'Legger Dinas'!K$7:K$46))</f>
        <v>15</v>
      </c>
      <c r="L31" s="15">
        <f>IF($B31="","",RANK('Legger Dinas'!L31,'Legger Dinas'!L$7:L$46))</f>
        <v>10</v>
      </c>
      <c r="M31" s="15">
        <f>IF($B31="","",RANK('Legger Dinas'!M31,'Legger Dinas'!M$7:M$46))</f>
        <v>7</v>
      </c>
      <c r="N31" s="15" t="e">
        <f>IF($B31="","",RANK('Legger Dinas'!N31,'Legger Dinas'!N$7:N$46))</f>
        <v>#DIV/0!</v>
      </c>
      <c r="O31" s="15">
        <f>IF($B31="","",RANK('Legger Dinas'!O31,'Legger Dinas'!O$7:O$46))</f>
        <v>9</v>
      </c>
      <c r="P31" s="15">
        <f>IF($B31="","",RANK('Legger Dinas'!P31,'Legger Dinas'!P$7:P$46))</f>
        <v>1</v>
      </c>
      <c r="Q31" s="15">
        <f>IF($B31="","",RANK('Legger Dinas'!Q31,'Legger Dinas'!Q$7:Q$46))</f>
        <v>5</v>
      </c>
      <c r="R31" s="15">
        <f>IF($B31="","",RANK('Legger Dinas'!R31,'Legger Dinas'!R$7:R$46))</f>
        <v>5</v>
      </c>
      <c r="S31" s="15">
        <f>IF($B31="","",RANK('Legger Dinas'!S31,'Legger Dinas'!S$7:S$46))</f>
        <v>22</v>
      </c>
      <c r="T31" s="15">
        <f>IF($B31="","",RANK('Legger Dinas'!T31,'Legger Dinas'!T$7:T$46))</f>
        <v>5</v>
      </c>
      <c r="U31" s="15">
        <f>IF(Setting!$E$15="V","",IF(Setting!$E$15="VI","",RANK('Legger Dinas'!U31,'Legger Dinas'!U$7:U$46)))</f>
        <v>19</v>
      </c>
      <c r="V31" s="15">
        <f>IF($B31="","",RANK('Legger Dinas'!V31,'Legger Dinas'!V$7:V$46))</f>
        <v>12</v>
      </c>
      <c r="W31" s="165">
        <f>IF($B31="","",SUM('Legger Dinas'!G31:V31))</f>
        <v>1407</v>
      </c>
      <c r="X31" s="165" t="e">
        <f t="shared" si="0"/>
        <v>#DIV/0!</v>
      </c>
    </row>
    <row r="32" spans="1:24">
      <c r="A32" s="12">
        <v>26</v>
      </c>
      <c r="B32" s="23" t="str">
        <f>IF(Setting!J31="","",Setting!J31)</f>
        <v>Naufal Muhammad Iqbal</v>
      </c>
      <c r="C32" s="28">
        <f>IF(Setting!K31="","",Setting!K31)</f>
        <v>2008251</v>
      </c>
      <c r="D32" s="28" t="str">
        <f>IF(Setting!L31="","",Setting!L31)</f>
        <v>0056904636</v>
      </c>
      <c r="E32" s="15" t="str">
        <f>IF(B32="","",Setting!$E$11)</f>
        <v>X.MIPA 4</v>
      </c>
      <c r="F32" s="15" t="str">
        <f>IF(B32="","",Setting!$E$15)</f>
        <v>II</v>
      </c>
      <c r="G32" s="15">
        <f>IF($B32="","",RANK('Legger Dinas'!G32,'Legger Dinas'!G$7:G$46))</f>
        <v>10</v>
      </c>
      <c r="H32" s="15">
        <f>IF($B32="","",RANK('Legger Dinas'!H32,'Legger Dinas'!H$7:H$46))</f>
        <v>20</v>
      </c>
      <c r="I32" s="15">
        <f>IF($B32="","",RANK('Legger Dinas'!I32,'Legger Dinas'!I$7:I$46))</f>
        <v>14</v>
      </c>
      <c r="J32" s="15">
        <f>IF($B32="","",RANK('Legger Dinas'!J32,'Legger Dinas'!J$7:J$46))</f>
        <v>13</v>
      </c>
      <c r="K32" s="15">
        <f>IF($B32="","",RANK('Legger Dinas'!K32,'Legger Dinas'!K$7:K$46))</f>
        <v>24</v>
      </c>
      <c r="L32" s="15">
        <f>IF($B32="","",RANK('Legger Dinas'!L32,'Legger Dinas'!L$7:L$46))</f>
        <v>15</v>
      </c>
      <c r="M32" s="15">
        <f>IF($B32="","",RANK('Legger Dinas'!M32,'Legger Dinas'!M$7:M$46))</f>
        <v>11</v>
      </c>
      <c r="N32" s="15" t="e">
        <f>IF($B32="","",RANK('Legger Dinas'!N32,'Legger Dinas'!N$7:N$46))</f>
        <v>#DIV/0!</v>
      </c>
      <c r="O32" s="15">
        <f>IF($B32="","",RANK('Legger Dinas'!O32,'Legger Dinas'!O$7:O$46))</f>
        <v>9</v>
      </c>
      <c r="P32" s="15">
        <f>IF($B32="","",RANK('Legger Dinas'!P32,'Legger Dinas'!P$7:P$46))</f>
        <v>1</v>
      </c>
      <c r="Q32" s="15">
        <f>IF($B32="","",RANK('Legger Dinas'!Q32,'Legger Dinas'!Q$7:Q$46))</f>
        <v>18</v>
      </c>
      <c r="R32" s="15">
        <f>IF($B32="","",RANK('Legger Dinas'!R32,'Legger Dinas'!R$7:R$46))</f>
        <v>8</v>
      </c>
      <c r="S32" s="15">
        <f>IF($B32="","",RANK('Legger Dinas'!S32,'Legger Dinas'!S$7:S$46))</f>
        <v>13</v>
      </c>
      <c r="T32" s="15">
        <f>IF($B32="","",RANK('Legger Dinas'!T32,'Legger Dinas'!T$7:T$46))</f>
        <v>5</v>
      </c>
      <c r="U32" s="15">
        <f>IF(Setting!$E$15="V","",IF(Setting!$E$15="VI","",RANK('Legger Dinas'!U32,'Legger Dinas'!U$7:U$46)))</f>
        <v>7</v>
      </c>
      <c r="V32" s="15">
        <f>IF($B32="","",RANK('Legger Dinas'!V32,'Legger Dinas'!V$7:V$46))</f>
        <v>4</v>
      </c>
      <c r="W32" s="165">
        <f>IF($B32="","",SUM('Legger Dinas'!G32:V32))</f>
        <v>1393</v>
      </c>
      <c r="X32" s="165" t="e">
        <f t="shared" si="0"/>
        <v>#DIV/0!</v>
      </c>
    </row>
    <row r="33" spans="1:123">
      <c r="A33" s="12">
        <v>27</v>
      </c>
      <c r="B33" s="23" t="str">
        <f>IF(Setting!J32="","",Setting!J32)</f>
        <v>Nauval Nur Mustafa</v>
      </c>
      <c r="C33" s="28">
        <f>IF(Setting!K32="","",Setting!K32)</f>
        <v>2008253</v>
      </c>
      <c r="D33" s="28" t="str">
        <f>IF(Setting!L32="","",Setting!L32)</f>
        <v>0061518278</v>
      </c>
      <c r="E33" s="15" t="str">
        <f>IF(B33="","",Setting!$E$11)</f>
        <v>X.MIPA 4</v>
      </c>
      <c r="F33" s="15" t="str">
        <f>IF(B33="","",Setting!$E$15)</f>
        <v>II</v>
      </c>
      <c r="G33" s="15">
        <f>IF($B33="","",RANK('Legger Dinas'!G33,'Legger Dinas'!G$7:G$46))</f>
        <v>13</v>
      </c>
      <c r="H33" s="15">
        <f>IF($B33="","",RANK('Legger Dinas'!H33,'Legger Dinas'!H$7:H$46))</f>
        <v>8</v>
      </c>
      <c r="I33" s="15">
        <f>IF($B33="","",RANK('Legger Dinas'!I33,'Legger Dinas'!I$7:I$46))</f>
        <v>7</v>
      </c>
      <c r="J33" s="15">
        <f>IF($B33="","",RANK('Legger Dinas'!J33,'Legger Dinas'!J$7:J$46))</f>
        <v>18</v>
      </c>
      <c r="K33" s="15">
        <f>IF($B33="","",RANK('Legger Dinas'!K33,'Legger Dinas'!K$7:K$46))</f>
        <v>1</v>
      </c>
      <c r="L33" s="15">
        <f>IF($B33="","",RANK('Legger Dinas'!L33,'Legger Dinas'!L$7:L$46))</f>
        <v>15</v>
      </c>
      <c r="M33" s="15">
        <f>IF($B33="","",RANK('Legger Dinas'!M33,'Legger Dinas'!M$7:M$46))</f>
        <v>7</v>
      </c>
      <c r="N33" s="15" t="e">
        <f>IF($B33="","",RANK('Legger Dinas'!N33,'Legger Dinas'!N$7:N$46))</f>
        <v>#DIV/0!</v>
      </c>
      <c r="O33" s="15">
        <f>IF($B33="","",RANK('Legger Dinas'!O33,'Legger Dinas'!O$7:O$46))</f>
        <v>22</v>
      </c>
      <c r="P33" s="15">
        <f>IF($B33="","",RANK('Legger Dinas'!P33,'Legger Dinas'!P$7:P$46))</f>
        <v>18</v>
      </c>
      <c r="Q33" s="15">
        <f>IF($B33="","",RANK('Legger Dinas'!Q33,'Legger Dinas'!Q$7:Q$46))</f>
        <v>18</v>
      </c>
      <c r="R33" s="15">
        <f>IF($B33="","",RANK('Legger Dinas'!R33,'Legger Dinas'!R$7:R$46))</f>
        <v>18</v>
      </c>
      <c r="S33" s="15">
        <f>IF($B33="","",RANK('Legger Dinas'!S33,'Legger Dinas'!S$7:S$46))</f>
        <v>7</v>
      </c>
      <c r="T33" s="15">
        <f>IF($B33="","",RANK('Legger Dinas'!T33,'Legger Dinas'!T$7:T$46))</f>
        <v>12</v>
      </c>
      <c r="U33" s="15">
        <f>IF(Setting!$E$15="V","",IF(Setting!$E$15="VI","",RANK('Legger Dinas'!U33,'Legger Dinas'!U$7:U$46)))</f>
        <v>10</v>
      </c>
      <c r="V33" s="15">
        <f>IF($B33="","",RANK('Legger Dinas'!V33,'Legger Dinas'!V$7:V$46))</f>
        <v>7</v>
      </c>
      <c r="W33" s="165">
        <f>IF($B33="","",SUM('Legger Dinas'!G33:V33))</f>
        <v>1391</v>
      </c>
      <c r="X33" s="165" t="e">
        <f t="shared" si="0"/>
        <v>#DIV/0!</v>
      </c>
    </row>
    <row r="34" spans="1:123">
      <c r="A34" s="12">
        <v>28</v>
      </c>
      <c r="B34" s="23" t="str">
        <f>IF(Setting!J33="","",Setting!J33)</f>
        <v>Oriegano Kanahaya  Siagian</v>
      </c>
      <c r="C34" s="28">
        <f>IF(Setting!K33="","",Setting!K33)</f>
        <v>2008272</v>
      </c>
      <c r="D34" s="28" t="str">
        <f>IF(Setting!L33="","",Setting!L33)</f>
        <v xml:space="preserve"> 0051837216</v>
      </c>
      <c r="E34" s="15" t="str">
        <f>IF(B34="","",Setting!$E$11)</f>
        <v>X.MIPA 4</v>
      </c>
      <c r="F34" s="15" t="str">
        <f>IF(B34="","",Setting!$E$15)</f>
        <v>II</v>
      </c>
      <c r="G34" s="15">
        <f>IF($B34="","",RANK('Legger Dinas'!G34,'Legger Dinas'!G$7:G$46))</f>
        <v>17</v>
      </c>
      <c r="H34" s="15">
        <f>IF($B34="","",RANK('Legger Dinas'!H34,'Legger Dinas'!H$7:H$46))</f>
        <v>20</v>
      </c>
      <c r="I34" s="15">
        <f>IF($B34="","",RANK('Legger Dinas'!I34,'Legger Dinas'!I$7:I$46))</f>
        <v>26</v>
      </c>
      <c r="J34" s="15">
        <f>IF($B34="","",RANK('Legger Dinas'!J34,'Legger Dinas'!J$7:J$46))</f>
        <v>20</v>
      </c>
      <c r="K34" s="15">
        <f>IF($B34="","",RANK('Legger Dinas'!K34,'Legger Dinas'!K$7:K$46))</f>
        <v>15</v>
      </c>
      <c r="L34" s="15">
        <f>IF($B34="","",RANK('Legger Dinas'!L34,'Legger Dinas'!L$7:L$46))</f>
        <v>24</v>
      </c>
      <c r="M34" s="15">
        <f>IF($B34="","",RANK('Legger Dinas'!M34,'Legger Dinas'!M$7:M$46))</f>
        <v>11</v>
      </c>
      <c r="N34" s="15" t="e">
        <f>IF($B34="","",RANK('Legger Dinas'!N34,'Legger Dinas'!N$7:N$46))</f>
        <v>#DIV/0!</v>
      </c>
      <c r="O34" s="15">
        <f>IF($B34="","",RANK('Legger Dinas'!O34,'Legger Dinas'!O$7:O$46))</f>
        <v>27</v>
      </c>
      <c r="P34" s="15">
        <f>IF($B34="","",RANK('Legger Dinas'!P34,'Legger Dinas'!P$7:P$46))</f>
        <v>22</v>
      </c>
      <c r="Q34" s="15">
        <f>IF($B34="","",RANK('Legger Dinas'!Q34,'Legger Dinas'!Q$7:Q$46))</f>
        <v>18</v>
      </c>
      <c r="R34" s="15">
        <f>IF($B34="","",RANK('Legger Dinas'!R34,'Legger Dinas'!R$7:R$46))</f>
        <v>22</v>
      </c>
      <c r="S34" s="15">
        <f>IF($B34="","",RANK('Legger Dinas'!S34,'Legger Dinas'!S$7:S$46))</f>
        <v>26</v>
      </c>
      <c r="T34" s="15">
        <f>IF($B34="","",RANK('Legger Dinas'!T34,'Legger Dinas'!T$7:T$46))</f>
        <v>12</v>
      </c>
      <c r="U34" s="15">
        <f>IF(Setting!$E$15="V","",IF(Setting!$E$15="VI","",RANK('Legger Dinas'!U34,'Legger Dinas'!U$7:U$46)))</f>
        <v>19</v>
      </c>
      <c r="V34" s="15">
        <f>IF($B34="","",RANK('Legger Dinas'!V34,'Legger Dinas'!V$7:V$46))</f>
        <v>12</v>
      </c>
      <c r="W34" s="165">
        <f>IF($B34="","",SUM('Legger Dinas'!G34:V34))</f>
        <v>1354</v>
      </c>
      <c r="X34" s="165" t="e">
        <f t="shared" si="0"/>
        <v>#DIV/0!</v>
      </c>
    </row>
    <row r="35" spans="1:123">
      <c r="A35" s="12">
        <v>29</v>
      </c>
      <c r="B35" s="23" t="str">
        <f>IF(Setting!J34="","",Setting!J34)</f>
        <v>Rafif Mahatma Indrastata</v>
      </c>
      <c r="C35" s="28">
        <f>IF(Setting!K34="","",Setting!K34)</f>
        <v>2008282</v>
      </c>
      <c r="D35" s="28" t="str">
        <f>IF(Setting!L34="","",Setting!L34)</f>
        <v>0045017851</v>
      </c>
      <c r="E35" s="15" t="str">
        <f>IF(B35="","",Setting!$E$11)</f>
        <v>X.MIPA 4</v>
      </c>
      <c r="F35" s="15" t="str">
        <f>IF(B35="","",Setting!$E$15)</f>
        <v>II</v>
      </c>
      <c r="G35" s="15">
        <f>IF($B35="","",RANK('Legger Dinas'!G35,'Legger Dinas'!G$7:G$46))</f>
        <v>17</v>
      </c>
      <c r="H35" s="15">
        <f>IF($B35="","",RANK('Legger Dinas'!H35,'Legger Dinas'!H$7:H$46))</f>
        <v>8</v>
      </c>
      <c r="I35" s="15">
        <f>IF($B35="","",RANK('Legger Dinas'!I35,'Legger Dinas'!I$7:I$46))</f>
        <v>7</v>
      </c>
      <c r="J35" s="15">
        <f>IF($B35="","",RANK('Legger Dinas'!J35,'Legger Dinas'!J$7:J$46))</f>
        <v>20</v>
      </c>
      <c r="K35" s="15">
        <f>IF($B35="","",RANK('Legger Dinas'!K35,'Legger Dinas'!K$7:K$46))</f>
        <v>6</v>
      </c>
      <c r="L35" s="15">
        <f>IF($B35="","",RANK('Legger Dinas'!L35,'Legger Dinas'!L$7:L$46))</f>
        <v>28</v>
      </c>
      <c r="M35" s="15">
        <f>IF($B35="","",RANK('Legger Dinas'!M35,'Legger Dinas'!M$7:M$46))</f>
        <v>11</v>
      </c>
      <c r="N35" s="15" t="e">
        <f>IF($B35="","",RANK('Legger Dinas'!N35,'Legger Dinas'!N$7:N$46))</f>
        <v>#DIV/0!</v>
      </c>
      <c r="O35" s="15">
        <f>IF($B35="","",RANK('Legger Dinas'!O35,'Legger Dinas'!O$7:O$46))</f>
        <v>25</v>
      </c>
      <c r="P35" s="15">
        <f>IF($B35="","",RANK('Legger Dinas'!P35,'Legger Dinas'!P$7:P$46))</f>
        <v>1</v>
      </c>
      <c r="Q35" s="15">
        <f>IF($B35="","",RANK('Legger Dinas'!Q35,'Legger Dinas'!Q$7:Q$46))</f>
        <v>18</v>
      </c>
      <c r="R35" s="15">
        <f>IF($B35="","",RANK('Legger Dinas'!R35,'Legger Dinas'!R$7:R$46))</f>
        <v>26</v>
      </c>
      <c r="S35" s="15">
        <f>IF($B35="","",RANK('Legger Dinas'!S35,'Legger Dinas'!S$7:S$46))</f>
        <v>19</v>
      </c>
      <c r="T35" s="15">
        <f>IF($B35="","",RANK('Legger Dinas'!T35,'Legger Dinas'!T$7:T$46))</f>
        <v>12</v>
      </c>
      <c r="U35" s="15">
        <f>IF(Setting!$E$15="V","",IF(Setting!$E$15="VI","",RANK('Legger Dinas'!U35,'Legger Dinas'!U$7:U$46)))</f>
        <v>19</v>
      </c>
      <c r="V35" s="15">
        <f>IF($B35="","",RANK('Legger Dinas'!V35,'Legger Dinas'!V$7:V$46))</f>
        <v>4</v>
      </c>
      <c r="W35" s="165">
        <f>IF($B35="","",SUM('Legger Dinas'!G35:V35))</f>
        <v>1372</v>
      </c>
      <c r="X35" s="165" t="e">
        <f t="shared" si="0"/>
        <v>#DIV/0!</v>
      </c>
    </row>
    <row r="36" spans="1:123">
      <c r="A36" s="12">
        <v>30</v>
      </c>
      <c r="B36" s="23" t="str">
        <f>IF(Setting!J35="","",Setting!J35)</f>
        <v>Rayhan Yoga Edy Pratama</v>
      </c>
      <c r="C36" s="28">
        <f>IF(Setting!K35="","",Setting!K35)</f>
        <v>2008296</v>
      </c>
      <c r="D36" s="28" t="str">
        <f>IF(Setting!L35="","",Setting!L35)</f>
        <v xml:space="preserve">0041380949 </v>
      </c>
      <c r="E36" s="15" t="str">
        <f>IF(B36="","",Setting!$E$11)</f>
        <v>X.MIPA 4</v>
      </c>
      <c r="F36" s="15" t="str">
        <f>IF(B36="","",Setting!$E$15)</f>
        <v>II</v>
      </c>
      <c r="G36" s="15">
        <f>IF($B36="","",RANK('Legger Dinas'!G36,'Legger Dinas'!G$7:G$46))</f>
        <v>13</v>
      </c>
      <c r="H36" s="15">
        <f>IF($B36="","",RANK('Legger Dinas'!H36,'Legger Dinas'!H$7:H$46))</f>
        <v>8</v>
      </c>
      <c r="I36" s="15">
        <f>IF($B36="","",RANK('Legger Dinas'!I36,'Legger Dinas'!I$7:I$46))</f>
        <v>7</v>
      </c>
      <c r="J36" s="15">
        <f>IF($B36="","",RANK('Legger Dinas'!J36,'Legger Dinas'!J$7:J$46))</f>
        <v>4</v>
      </c>
      <c r="K36" s="15">
        <f>IF($B36="","",RANK('Legger Dinas'!K36,'Legger Dinas'!K$7:K$46))</f>
        <v>6</v>
      </c>
      <c r="L36" s="15">
        <f>IF($B36="","",RANK('Legger Dinas'!L36,'Legger Dinas'!L$7:L$46))</f>
        <v>4</v>
      </c>
      <c r="M36" s="15">
        <f>IF($B36="","",RANK('Legger Dinas'!M36,'Legger Dinas'!M$7:M$46))</f>
        <v>11</v>
      </c>
      <c r="N36" s="15" t="e">
        <f>IF($B36="","",RANK('Legger Dinas'!N36,'Legger Dinas'!N$7:N$46))</f>
        <v>#DIV/0!</v>
      </c>
      <c r="O36" s="15">
        <f>IF($B36="","",RANK('Legger Dinas'!O36,'Legger Dinas'!O$7:O$46))</f>
        <v>9</v>
      </c>
      <c r="P36" s="15">
        <f>IF($B36="","",RANK('Legger Dinas'!P36,'Legger Dinas'!P$7:P$46))</f>
        <v>1</v>
      </c>
      <c r="Q36" s="15">
        <f>IF($B36="","",RANK('Legger Dinas'!Q36,'Legger Dinas'!Q$7:Q$46))</f>
        <v>5</v>
      </c>
      <c r="R36" s="15">
        <f>IF($B36="","",RANK('Legger Dinas'!R36,'Legger Dinas'!R$7:R$46))</f>
        <v>10</v>
      </c>
      <c r="S36" s="15">
        <f>IF($B36="","",RANK('Legger Dinas'!S36,'Legger Dinas'!S$7:S$46))</f>
        <v>13</v>
      </c>
      <c r="T36" s="15">
        <f>IF($B36="","",RANK('Legger Dinas'!T36,'Legger Dinas'!T$7:T$46))</f>
        <v>12</v>
      </c>
      <c r="U36" s="15">
        <f>IF(Setting!$E$15="V","",IF(Setting!$E$15="VI","",RANK('Legger Dinas'!U36,'Legger Dinas'!U$7:U$46)))</f>
        <v>7</v>
      </c>
      <c r="V36" s="15">
        <f>IF($B36="","",RANK('Legger Dinas'!V36,'Legger Dinas'!V$7:V$46))</f>
        <v>2</v>
      </c>
      <c r="W36" s="165">
        <f>IF($B36="","",SUM('Legger Dinas'!G36:V36))</f>
        <v>1415</v>
      </c>
      <c r="X36" s="165" t="e">
        <f t="shared" si="0"/>
        <v>#DIV/0!</v>
      </c>
    </row>
    <row r="37" spans="1:123">
      <c r="A37" s="12">
        <v>31</v>
      </c>
      <c r="B37" s="23" t="str">
        <f>IF(Setting!J36="","",Setting!J36)</f>
        <v>Rusianto Munif</v>
      </c>
      <c r="C37" s="28">
        <f>IF(Setting!K36="","",Setting!K36)</f>
        <v>2008307</v>
      </c>
      <c r="D37" s="28" t="str">
        <f>IF(Setting!L36="","",Setting!L36)</f>
        <v>0060172183</v>
      </c>
      <c r="E37" s="15" t="str">
        <f>IF(B37="","",Setting!$E$11)</f>
        <v>X.MIPA 4</v>
      </c>
      <c r="F37" s="15" t="str">
        <f>IF(B37="","",Setting!$E$15)</f>
        <v>II</v>
      </c>
      <c r="G37" s="15">
        <f>IF($B37="","",RANK('Legger Dinas'!G37,'Legger Dinas'!G$7:G$46))</f>
        <v>26</v>
      </c>
      <c r="H37" s="15">
        <f>IF($B37="","",RANK('Legger Dinas'!H37,'Legger Dinas'!H$7:H$46))</f>
        <v>31</v>
      </c>
      <c r="I37" s="15">
        <f>IF($B37="","",RANK('Legger Dinas'!I37,'Legger Dinas'!I$7:I$46))</f>
        <v>26</v>
      </c>
      <c r="J37" s="15">
        <f>IF($B37="","",RANK('Legger Dinas'!J37,'Legger Dinas'!J$7:J$46))</f>
        <v>18</v>
      </c>
      <c r="K37" s="15">
        <f>IF($B37="","",RANK('Legger Dinas'!K37,'Legger Dinas'!K$7:K$46))</f>
        <v>26</v>
      </c>
      <c r="L37" s="15">
        <f>IF($B37="","",RANK('Legger Dinas'!L37,'Legger Dinas'!L$7:L$46))</f>
        <v>28</v>
      </c>
      <c r="M37" s="15">
        <f>IF($B37="","",RANK('Legger Dinas'!M37,'Legger Dinas'!M$7:M$46))</f>
        <v>11</v>
      </c>
      <c r="N37" s="15" t="e">
        <f>IF($B37="","",RANK('Legger Dinas'!N37,'Legger Dinas'!N$7:N$46))</f>
        <v>#DIV/0!</v>
      </c>
      <c r="O37" s="15">
        <f>IF($B37="","",RANK('Legger Dinas'!O37,'Legger Dinas'!O$7:O$46))</f>
        <v>18</v>
      </c>
      <c r="P37" s="15">
        <f>IF($B37="","",RANK('Legger Dinas'!P37,'Legger Dinas'!P$7:P$46))</f>
        <v>22</v>
      </c>
      <c r="Q37" s="15">
        <f>IF($B37="","",RANK('Legger Dinas'!Q37,'Legger Dinas'!Q$7:Q$46))</f>
        <v>14</v>
      </c>
      <c r="R37" s="15">
        <f>IF($B37="","",RANK('Legger Dinas'!R37,'Legger Dinas'!R$7:R$46))</f>
        <v>10</v>
      </c>
      <c r="S37" s="15">
        <f>IF($B37="","",RANK('Legger Dinas'!S37,'Legger Dinas'!S$7:S$46))</f>
        <v>23</v>
      </c>
      <c r="T37" s="15">
        <f>IF($B37="","",RANK('Legger Dinas'!T37,'Legger Dinas'!T$7:T$46))</f>
        <v>12</v>
      </c>
      <c r="U37" s="15">
        <f>IF(Setting!$E$15="V","",IF(Setting!$E$15="VI","",RANK('Legger Dinas'!U37,'Legger Dinas'!U$7:U$46)))</f>
        <v>27</v>
      </c>
      <c r="V37" s="15">
        <f>IF($B37="","",RANK('Legger Dinas'!V37,'Legger Dinas'!V$7:V$46))</f>
        <v>27</v>
      </c>
      <c r="W37" s="165">
        <f>IF($B37="","",SUM('Legger Dinas'!G37:V37))</f>
        <v>1345</v>
      </c>
      <c r="X37" s="165" t="e">
        <f t="shared" si="0"/>
        <v>#DIV/0!</v>
      </c>
    </row>
    <row r="38" spans="1:123">
      <c r="A38" s="12">
        <v>32</v>
      </c>
      <c r="B38" s="23" t="str">
        <f>IF(Setting!J37="","",Setting!J37)</f>
        <v>Zaidan Mu'afy Althaf</v>
      </c>
      <c r="C38" s="28">
        <f>IF(Setting!K37="","",Setting!K37)</f>
        <v>2008347</v>
      </c>
      <c r="D38" s="28" t="str">
        <f>IF(Setting!L37="","",Setting!L37)</f>
        <v>0056182222</v>
      </c>
      <c r="E38" s="15" t="str">
        <f>IF(B38="","",Setting!$E$11)</f>
        <v>X.MIPA 4</v>
      </c>
      <c r="F38" s="15" t="str">
        <f>IF(B38="","",Setting!$E$15)</f>
        <v>II</v>
      </c>
      <c r="G38" s="15">
        <f>IF($B38="","",RANK('Legger Dinas'!G38,'Legger Dinas'!G$7:G$46))</f>
        <v>10</v>
      </c>
      <c r="H38" s="15">
        <f>IF($B38="","",RANK('Legger Dinas'!H38,'Legger Dinas'!H$7:H$46))</f>
        <v>20</v>
      </c>
      <c r="I38" s="15">
        <f>IF($B38="","",RANK('Legger Dinas'!I38,'Legger Dinas'!I$7:I$46))</f>
        <v>7</v>
      </c>
      <c r="J38" s="15">
        <f>IF($B38="","",RANK('Legger Dinas'!J38,'Legger Dinas'!J$7:J$46))</f>
        <v>13</v>
      </c>
      <c r="K38" s="15">
        <f>IF($B38="","",RANK('Legger Dinas'!K38,'Legger Dinas'!K$7:K$46))</f>
        <v>6</v>
      </c>
      <c r="L38" s="15">
        <f>IF($B38="","",RANK('Legger Dinas'!L38,'Legger Dinas'!L$7:L$46))</f>
        <v>10</v>
      </c>
      <c r="M38" s="15">
        <f>IF($B38="","",RANK('Legger Dinas'!M38,'Legger Dinas'!M$7:M$46))</f>
        <v>17</v>
      </c>
      <c r="N38" s="15" t="e">
        <f>IF($B38="","",RANK('Legger Dinas'!N38,'Legger Dinas'!N$7:N$46))</f>
        <v>#DIV/0!</v>
      </c>
      <c r="O38" s="15">
        <f>IF($B38="","",RANK('Legger Dinas'!O38,'Legger Dinas'!O$7:O$46))</f>
        <v>9</v>
      </c>
      <c r="P38" s="15">
        <f>IF($B38="","",RANK('Legger Dinas'!P38,'Legger Dinas'!P$7:P$46))</f>
        <v>1</v>
      </c>
      <c r="Q38" s="15">
        <f>IF($B38="","",RANK('Legger Dinas'!Q38,'Legger Dinas'!Q$7:Q$46))</f>
        <v>10</v>
      </c>
      <c r="R38" s="15">
        <f>IF($B38="","",RANK('Legger Dinas'!R38,'Legger Dinas'!R$7:R$46))</f>
        <v>10</v>
      </c>
      <c r="S38" s="15">
        <f>IF($B38="","",RANK('Legger Dinas'!S38,'Legger Dinas'!S$7:S$46))</f>
        <v>2</v>
      </c>
      <c r="T38" s="15">
        <f>IF($B38="","",RANK('Legger Dinas'!T38,'Legger Dinas'!T$7:T$46))</f>
        <v>12</v>
      </c>
      <c r="U38" s="15">
        <f>IF(Setting!$E$15="V","",IF(Setting!$E$15="VI","",RANK('Legger Dinas'!U38,'Legger Dinas'!U$7:U$46)))</f>
        <v>10</v>
      </c>
      <c r="V38" s="15">
        <f>IF($B38="","",RANK('Legger Dinas'!V38,'Legger Dinas'!V$7:V$46))</f>
        <v>12</v>
      </c>
      <c r="W38" s="165">
        <f>IF($B38="","",SUM('Legger Dinas'!G38:V38))</f>
        <v>1394</v>
      </c>
      <c r="X38" s="165" t="e">
        <f t="shared" si="0"/>
        <v>#DIV/0!</v>
      </c>
    </row>
    <row r="39" spans="1:123">
      <c r="A39" s="12">
        <v>33</v>
      </c>
      <c r="B39" s="23" t="str">
        <f>IF(Setting!J38="","",Setting!J38)</f>
        <v/>
      </c>
      <c r="C39" s="28" t="str">
        <f>IF(Setting!K38="","",Setting!K38)</f>
        <v/>
      </c>
      <c r="D39" s="28" t="str">
        <f>IF(Setting!L38="","",Setting!L38)</f>
        <v/>
      </c>
      <c r="E39" s="15" t="str">
        <f>IF(B39="","",Setting!$E$11)</f>
        <v/>
      </c>
      <c r="F39" s="15" t="str">
        <f>IF(B39="","",Setting!$E$15)</f>
        <v/>
      </c>
      <c r="G39" s="15" t="str">
        <f>IF($B39="","",RANK('Legger Dinas'!G39,'Legger Dinas'!G$7:G$46))</f>
        <v/>
      </c>
      <c r="H39" s="15" t="str">
        <f>IF($B39="","",RANK('Legger Dinas'!H39,'Legger Dinas'!H$7:H$46))</f>
        <v/>
      </c>
      <c r="I39" s="15" t="str">
        <f>IF($B39="","",RANK('Legger Dinas'!I39,'Legger Dinas'!I$7:I$46))</f>
        <v/>
      </c>
      <c r="J39" s="15" t="str">
        <f>IF($B39="","",RANK('Legger Dinas'!J39,'Legger Dinas'!J$7:J$46))</f>
        <v/>
      </c>
      <c r="K39" s="15" t="str">
        <f>IF($B39="","",RANK('Legger Dinas'!K39,'Legger Dinas'!K$7:K$46))</f>
        <v/>
      </c>
      <c r="L39" s="15" t="str">
        <f>IF($B39="","",RANK('Legger Dinas'!L39,'Legger Dinas'!L$7:L$46))</f>
        <v/>
      </c>
      <c r="M39" s="15" t="str">
        <f>IF($B39="","",RANK('Legger Dinas'!M39,'Legger Dinas'!M$7:M$46))</f>
        <v/>
      </c>
      <c r="N39" s="15" t="str">
        <f>IF($B39="","",RANK('Legger Dinas'!N39,'Legger Dinas'!N$7:N$46))</f>
        <v/>
      </c>
      <c r="O39" s="15" t="str">
        <f>IF($B39="","",RANK('Legger Dinas'!O39,'Legger Dinas'!O$7:O$46))</f>
        <v/>
      </c>
      <c r="P39" s="15" t="str">
        <f>IF($B39="","",RANK('Legger Dinas'!P39,'Legger Dinas'!P$7:P$46))</f>
        <v/>
      </c>
      <c r="Q39" s="15" t="str">
        <f>IF($B39="","",RANK('Legger Dinas'!Q39,'Legger Dinas'!Q$7:Q$46))</f>
        <v/>
      </c>
      <c r="R39" s="15" t="str">
        <f>IF($B39="","",RANK('Legger Dinas'!R39,'Legger Dinas'!R$7:R$46))</f>
        <v/>
      </c>
      <c r="S39" s="15" t="str">
        <f>IF($B39="","",RANK('Legger Dinas'!S39,'Legger Dinas'!S$7:S$46))</f>
        <v/>
      </c>
      <c r="T39" s="15" t="str">
        <f>IF($B39="","",RANK('Legger Dinas'!T39,'Legger Dinas'!T$7:T$46))</f>
        <v/>
      </c>
      <c r="U39" s="15" t="e">
        <f>IF(Setting!$E$15="V","",IF(Setting!$E$15="VI","",RANK('Legger Dinas'!U39,'Legger Dinas'!U$7:U$46)))</f>
        <v>#VALUE!</v>
      </c>
      <c r="V39" s="15" t="str">
        <f>IF($B39="","",RANK('Legger Dinas'!V39,'Legger Dinas'!V$7:V$46))</f>
        <v/>
      </c>
      <c r="W39" s="165" t="str">
        <f>IF($B39="","",SUM('Legger Dinas'!G39:V39))</f>
        <v/>
      </c>
      <c r="X39" s="165" t="str">
        <f t="shared" si="0"/>
        <v/>
      </c>
    </row>
    <row r="40" spans="1:123">
      <c r="A40" s="12">
        <v>34</v>
      </c>
      <c r="B40" s="23" t="str">
        <f>IF(Setting!J39="","",Setting!J39)</f>
        <v/>
      </c>
      <c r="C40" s="28" t="str">
        <f>IF(Setting!K39="","",Setting!K39)</f>
        <v/>
      </c>
      <c r="D40" s="28" t="str">
        <f>IF(Setting!L39="","",Setting!L39)</f>
        <v/>
      </c>
      <c r="E40" s="15" t="str">
        <f>IF(B40="","",Setting!$E$11)</f>
        <v/>
      </c>
      <c r="F40" s="15" t="str">
        <f>IF(B40="","",Setting!$E$15)</f>
        <v/>
      </c>
      <c r="G40" s="15" t="str">
        <f>IF($B40="","",RANK('Legger Dinas'!G40,'Legger Dinas'!G$7:G$46))</f>
        <v/>
      </c>
      <c r="H40" s="15" t="str">
        <f>IF($B40="","",RANK('Legger Dinas'!H40,'Legger Dinas'!H$7:H$46))</f>
        <v/>
      </c>
      <c r="I40" s="15" t="str">
        <f>IF($B40="","",RANK('Legger Dinas'!I40,'Legger Dinas'!I$7:I$46))</f>
        <v/>
      </c>
      <c r="J40" s="15" t="str">
        <f>IF($B40="","",RANK('Legger Dinas'!J40,'Legger Dinas'!J$7:J$46))</f>
        <v/>
      </c>
      <c r="K40" s="15" t="str">
        <f>IF($B40="","",RANK('Legger Dinas'!K40,'Legger Dinas'!K$7:K$46))</f>
        <v/>
      </c>
      <c r="L40" s="15" t="str">
        <f>IF($B40="","",RANK('Legger Dinas'!L40,'Legger Dinas'!L$7:L$46))</f>
        <v/>
      </c>
      <c r="M40" s="15" t="str">
        <f>IF($B40="","",RANK('Legger Dinas'!M40,'Legger Dinas'!M$7:M$46))</f>
        <v/>
      </c>
      <c r="N40" s="15" t="str">
        <f>IF($B40="","",RANK('Legger Dinas'!N40,'Legger Dinas'!N$7:N$46))</f>
        <v/>
      </c>
      <c r="O40" s="15" t="str">
        <f>IF($B40="","",RANK('Legger Dinas'!O40,'Legger Dinas'!O$7:O$46))</f>
        <v/>
      </c>
      <c r="P40" s="15" t="str">
        <f>IF($B40="","",RANK('Legger Dinas'!P40,'Legger Dinas'!P$7:P$46))</f>
        <v/>
      </c>
      <c r="Q40" s="15" t="str">
        <f>IF($B40="","",RANK('Legger Dinas'!Q40,'Legger Dinas'!Q$7:Q$46))</f>
        <v/>
      </c>
      <c r="R40" s="15" t="str">
        <f>IF($B40="","",RANK('Legger Dinas'!R40,'Legger Dinas'!R$7:R$46))</f>
        <v/>
      </c>
      <c r="S40" s="15" t="str">
        <f>IF($B40="","",RANK('Legger Dinas'!S40,'Legger Dinas'!S$7:S$46))</f>
        <v/>
      </c>
      <c r="T40" s="15" t="str">
        <f>IF($B40="","",RANK('Legger Dinas'!T40,'Legger Dinas'!T$7:T$46))</f>
        <v/>
      </c>
      <c r="U40" s="15" t="e">
        <f>IF(Setting!$E$15="V","",IF(Setting!$E$15="VI","",RANK('Legger Dinas'!U40,'Legger Dinas'!U$7:U$46)))</f>
        <v>#VALUE!</v>
      </c>
      <c r="V40" s="15" t="str">
        <f>IF($B40="","",RANK('Legger Dinas'!V40,'Legger Dinas'!V$7:V$46))</f>
        <v/>
      </c>
      <c r="W40" s="165" t="str">
        <f>IF($B40="","",SUM('Legger Dinas'!G40:V40))</f>
        <v/>
      </c>
      <c r="X40" s="165" t="str">
        <f t="shared" si="0"/>
        <v/>
      </c>
    </row>
    <row r="41" spans="1:123">
      <c r="A41" s="12">
        <v>35</v>
      </c>
      <c r="B41" s="23" t="str">
        <f>IF(Setting!J40="","",Setting!J40)</f>
        <v/>
      </c>
      <c r="C41" s="28" t="str">
        <f>IF(Setting!K40="","",Setting!K40)</f>
        <v/>
      </c>
      <c r="D41" s="28" t="str">
        <f>IF(Setting!L40="","",Setting!L40)</f>
        <v/>
      </c>
      <c r="E41" s="15" t="str">
        <f>IF(B41="","",Setting!$E$11)</f>
        <v/>
      </c>
      <c r="F41" s="15" t="str">
        <f>IF(B41="","",Setting!$E$15)</f>
        <v/>
      </c>
      <c r="G41" s="15" t="str">
        <f>IF($B41="","",RANK('Legger Dinas'!G41,'Legger Dinas'!G$7:G$46))</f>
        <v/>
      </c>
      <c r="H41" s="15" t="str">
        <f>IF($B41="","",RANK('Legger Dinas'!H41,'Legger Dinas'!H$7:H$46))</f>
        <v/>
      </c>
      <c r="I41" s="15" t="str">
        <f>IF($B41="","",RANK('Legger Dinas'!I41,'Legger Dinas'!I$7:I$46))</f>
        <v/>
      </c>
      <c r="J41" s="15" t="str">
        <f>IF($B41="","",RANK('Legger Dinas'!J41,'Legger Dinas'!J$7:J$46))</f>
        <v/>
      </c>
      <c r="K41" s="15" t="str">
        <f>IF($B41="","",RANK('Legger Dinas'!K41,'Legger Dinas'!K$7:K$46))</f>
        <v/>
      </c>
      <c r="L41" s="15" t="str">
        <f>IF($B41="","",RANK('Legger Dinas'!L41,'Legger Dinas'!L$7:L$46))</f>
        <v/>
      </c>
      <c r="M41" s="15" t="str">
        <f>IF($B41="","",RANK('Legger Dinas'!M41,'Legger Dinas'!M$7:M$46))</f>
        <v/>
      </c>
      <c r="N41" s="15" t="str">
        <f>IF($B41="","",RANK('Legger Dinas'!N41,'Legger Dinas'!N$7:N$46))</f>
        <v/>
      </c>
      <c r="O41" s="15" t="str">
        <f>IF($B41="","",RANK('Legger Dinas'!O41,'Legger Dinas'!O$7:O$46))</f>
        <v/>
      </c>
      <c r="P41" s="15" t="str">
        <f>IF($B41="","",RANK('Legger Dinas'!P41,'Legger Dinas'!P$7:P$46))</f>
        <v/>
      </c>
      <c r="Q41" s="15" t="str">
        <f>IF($B41="","",RANK('Legger Dinas'!Q41,'Legger Dinas'!Q$7:Q$46))</f>
        <v/>
      </c>
      <c r="R41" s="15" t="str">
        <f>IF($B41="","",RANK('Legger Dinas'!R41,'Legger Dinas'!R$7:R$46))</f>
        <v/>
      </c>
      <c r="S41" s="15" t="str">
        <f>IF($B41="","",RANK('Legger Dinas'!S41,'Legger Dinas'!S$7:S$46))</f>
        <v/>
      </c>
      <c r="T41" s="15" t="str">
        <f>IF($B41="","",RANK('Legger Dinas'!T41,'Legger Dinas'!T$7:T$46))</f>
        <v/>
      </c>
      <c r="U41" s="15" t="e">
        <f>IF(Setting!$E$15="V","",IF(Setting!$E$15="VI","",RANK('Legger Dinas'!U41,'Legger Dinas'!U$7:U$46)))</f>
        <v>#VALUE!</v>
      </c>
      <c r="V41" s="15" t="str">
        <f>IF($B41="","",RANK('Legger Dinas'!V41,'Legger Dinas'!V$7:V$46))</f>
        <v/>
      </c>
      <c r="W41" s="165" t="str">
        <f>IF($B41="","",SUM('Legger Dinas'!G41:V41))</f>
        <v/>
      </c>
      <c r="X41" s="165" t="str">
        <f t="shared" si="0"/>
        <v/>
      </c>
    </row>
    <row r="42" spans="1:123">
      <c r="A42" s="12">
        <v>36</v>
      </c>
      <c r="B42" s="23" t="str">
        <f>IF(Setting!J41="","",Setting!J41)</f>
        <v/>
      </c>
      <c r="C42" s="28" t="str">
        <f>IF(Setting!K41="","",Setting!K41)</f>
        <v/>
      </c>
      <c r="D42" s="28" t="str">
        <f>IF(Setting!L41="","",Setting!L41)</f>
        <v/>
      </c>
      <c r="E42" s="15" t="str">
        <f>IF(B42="","",Setting!$E$11)</f>
        <v/>
      </c>
      <c r="F42" s="15" t="str">
        <f>IF(B42="","",Setting!$E$15)</f>
        <v/>
      </c>
      <c r="G42" s="15" t="str">
        <f>IF($B42="","",RANK('Legger Dinas'!G42,'Legger Dinas'!G$7:G$46))</f>
        <v/>
      </c>
      <c r="H42" s="15" t="str">
        <f>IF($B42="","",RANK('Legger Dinas'!H42,'Legger Dinas'!H$7:H$46))</f>
        <v/>
      </c>
      <c r="I42" s="15" t="str">
        <f>IF($B42="","",RANK('Legger Dinas'!I42,'Legger Dinas'!I$7:I$46))</f>
        <v/>
      </c>
      <c r="J42" s="15" t="str">
        <f>IF($B42="","",RANK('Legger Dinas'!J42,'Legger Dinas'!J$7:J$46))</f>
        <v/>
      </c>
      <c r="K42" s="15" t="str">
        <f>IF($B42="","",RANK('Legger Dinas'!K42,'Legger Dinas'!K$7:K$46))</f>
        <v/>
      </c>
      <c r="L42" s="15" t="str">
        <f>IF($B42="","",RANK('Legger Dinas'!L42,'Legger Dinas'!L$7:L$46))</f>
        <v/>
      </c>
      <c r="M42" s="15" t="str">
        <f>IF($B42="","",RANK('Legger Dinas'!M42,'Legger Dinas'!M$7:M$46))</f>
        <v/>
      </c>
      <c r="N42" s="15" t="str">
        <f>IF($B42="","",RANK('Legger Dinas'!N42,'Legger Dinas'!N$7:N$46))</f>
        <v/>
      </c>
      <c r="O42" s="15" t="str">
        <f>IF($B42="","",RANK('Legger Dinas'!O42,'Legger Dinas'!O$7:O$46))</f>
        <v/>
      </c>
      <c r="P42" s="15" t="str">
        <f>IF($B42="","",RANK('Legger Dinas'!P42,'Legger Dinas'!P$7:P$46))</f>
        <v/>
      </c>
      <c r="Q42" s="15" t="str">
        <f>IF($B42="","",RANK('Legger Dinas'!Q42,'Legger Dinas'!Q$7:Q$46))</f>
        <v/>
      </c>
      <c r="R42" s="15" t="str">
        <f>IF($B42="","",RANK('Legger Dinas'!R42,'Legger Dinas'!R$7:R$46))</f>
        <v/>
      </c>
      <c r="S42" s="15" t="str">
        <f>IF($B42="","",RANK('Legger Dinas'!S42,'Legger Dinas'!S$7:S$46))</f>
        <v/>
      </c>
      <c r="T42" s="15" t="str">
        <f>IF($B42="","",RANK('Legger Dinas'!T42,'Legger Dinas'!T$7:T$46))</f>
        <v/>
      </c>
      <c r="U42" s="15" t="e">
        <f>IF(Setting!$E$15="V","",IF(Setting!$E$15="VI","",RANK('Legger Dinas'!U42,'Legger Dinas'!U$7:U$46)))</f>
        <v>#VALUE!</v>
      </c>
      <c r="V42" s="15" t="str">
        <f>IF($B42="","",RANK('Legger Dinas'!V42,'Legger Dinas'!V$7:V$46))</f>
        <v/>
      </c>
      <c r="W42" s="165" t="str">
        <f>IF($B42="","",SUM('Legger Dinas'!G42:V42))</f>
        <v/>
      </c>
      <c r="X42" s="165" t="str">
        <f t="shared" si="0"/>
        <v/>
      </c>
    </row>
    <row r="43" spans="1:123">
      <c r="A43" s="12">
        <v>37</v>
      </c>
      <c r="B43" s="23" t="str">
        <f>IF(Setting!J42="","",Setting!J42)</f>
        <v/>
      </c>
      <c r="C43" s="28" t="str">
        <f>IF(Setting!K42="","",Setting!K42)</f>
        <v/>
      </c>
      <c r="D43" s="28" t="str">
        <f>IF(Setting!L42="","",Setting!L42)</f>
        <v/>
      </c>
      <c r="E43" s="15" t="str">
        <f>IF(B43="","",Setting!$E$11)</f>
        <v/>
      </c>
      <c r="F43" s="15" t="str">
        <f>IF(B43="","",Setting!$E$15)</f>
        <v/>
      </c>
      <c r="G43" s="15" t="str">
        <f>IF($B43="","",RANK('Legger Dinas'!G43,'Legger Dinas'!G$7:G$46))</f>
        <v/>
      </c>
      <c r="H43" s="15" t="str">
        <f>IF($B43="","",RANK('Legger Dinas'!H43,'Legger Dinas'!H$7:H$46))</f>
        <v/>
      </c>
      <c r="I43" s="15" t="str">
        <f>IF($B43="","",RANK('Legger Dinas'!I43,'Legger Dinas'!I$7:I$46))</f>
        <v/>
      </c>
      <c r="J43" s="15" t="str">
        <f>IF($B43="","",RANK('Legger Dinas'!J43,'Legger Dinas'!J$7:J$46))</f>
        <v/>
      </c>
      <c r="K43" s="15" t="str">
        <f>IF($B43="","",RANK('Legger Dinas'!K43,'Legger Dinas'!K$7:K$46))</f>
        <v/>
      </c>
      <c r="L43" s="15" t="str">
        <f>IF($B43="","",RANK('Legger Dinas'!L43,'Legger Dinas'!L$7:L$46))</f>
        <v/>
      </c>
      <c r="M43" s="15" t="str">
        <f>IF($B43="","",RANK('Legger Dinas'!M43,'Legger Dinas'!M$7:M$46))</f>
        <v/>
      </c>
      <c r="N43" s="15" t="str">
        <f>IF($B43="","",RANK('Legger Dinas'!N43,'Legger Dinas'!N$7:N$46))</f>
        <v/>
      </c>
      <c r="O43" s="15" t="str">
        <f>IF($B43="","",RANK('Legger Dinas'!O43,'Legger Dinas'!O$7:O$46))</f>
        <v/>
      </c>
      <c r="P43" s="15" t="str">
        <f>IF($B43="","",RANK('Legger Dinas'!P43,'Legger Dinas'!P$7:P$46))</f>
        <v/>
      </c>
      <c r="Q43" s="15" t="str">
        <f>IF($B43="","",RANK('Legger Dinas'!Q43,'Legger Dinas'!Q$7:Q$46))</f>
        <v/>
      </c>
      <c r="R43" s="15" t="str">
        <f>IF($B43="","",RANK('Legger Dinas'!R43,'Legger Dinas'!R$7:R$46))</f>
        <v/>
      </c>
      <c r="S43" s="15" t="str">
        <f>IF($B43="","",RANK('Legger Dinas'!S43,'Legger Dinas'!S$7:S$46))</f>
        <v/>
      </c>
      <c r="T43" s="15" t="str">
        <f>IF($B43="","",RANK('Legger Dinas'!T43,'Legger Dinas'!T$7:T$46))</f>
        <v/>
      </c>
      <c r="U43" s="15" t="e">
        <f>IF(Setting!$E$15="V","",IF(Setting!$E$15="VI","",RANK('Legger Dinas'!U43,'Legger Dinas'!U$7:U$46)))</f>
        <v>#VALUE!</v>
      </c>
      <c r="V43" s="15" t="str">
        <f>IF($B43="","",RANK('Legger Dinas'!V43,'Legger Dinas'!V$7:V$46))</f>
        <v/>
      </c>
      <c r="W43" s="165" t="str">
        <f>IF($B43="","",SUM('Legger Dinas'!G43:V43))</f>
        <v/>
      </c>
      <c r="X43" s="165" t="str">
        <f t="shared" si="0"/>
        <v/>
      </c>
    </row>
    <row r="44" spans="1:123">
      <c r="A44" s="12">
        <v>38</v>
      </c>
      <c r="B44" s="23" t="str">
        <f>IF(Setting!J43="","",Setting!J43)</f>
        <v/>
      </c>
      <c r="C44" s="28" t="str">
        <f>IF(Setting!K43="","",Setting!K43)</f>
        <v/>
      </c>
      <c r="D44" s="28" t="str">
        <f>IF(Setting!L43="","",Setting!L43)</f>
        <v/>
      </c>
      <c r="E44" s="15" t="str">
        <f>IF(B44="","",Setting!$E$11)</f>
        <v/>
      </c>
      <c r="F44" s="15" t="str">
        <f>IF(B44="","",Setting!$E$15)</f>
        <v/>
      </c>
      <c r="G44" s="15" t="str">
        <f>IF($B44="","",RANK('Legger Dinas'!G44,'Legger Dinas'!G$7:G$46))</f>
        <v/>
      </c>
      <c r="H44" s="15" t="str">
        <f>IF($B44="","",RANK('Legger Dinas'!H44,'Legger Dinas'!H$7:H$46))</f>
        <v/>
      </c>
      <c r="I44" s="15" t="str">
        <f>IF($B44="","",RANK('Legger Dinas'!I44,'Legger Dinas'!I$7:I$46))</f>
        <v/>
      </c>
      <c r="J44" s="15" t="str">
        <f>IF($B44="","",RANK('Legger Dinas'!J44,'Legger Dinas'!J$7:J$46))</f>
        <v/>
      </c>
      <c r="K44" s="15" t="str">
        <f>IF($B44="","",RANK('Legger Dinas'!K44,'Legger Dinas'!K$7:K$46))</f>
        <v/>
      </c>
      <c r="L44" s="15" t="str">
        <f>IF($B44="","",RANK('Legger Dinas'!L44,'Legger Dinas'!L$7:L$46))</f>
        <v/>
      </c>
      <c r="M44" s="15" t="str">
        <f>IF($B44="","",RANK('Legger Dinas'!M44,'Legger Dinas'!M$7:M$46))</f>
        <v/>
      </c>
      <c r="N44" s="15" t="str">
        <f>IF($B44="","",RANK('Legger Dinas'!N44,'Legger Dinas'!N$7:N$46))</f>
        <v/>
      </c>
      <c r="O44" s="15" t="str">
        <f>IF($B44="","",RANK('Legger Dinas'!O44,'Legger Dinas'!O$7:O$46))</f>
        <v/>
      </c>
      <c r="P44" s="15" t="str">
        <f>IF($B44="","",RANK('Legger Dinas'!P44,'Legger Dinas'!P$7:P$46))</f>
        <v/>
      </c>
      <c r="Q44" s="15" t="str">
        <f>IF($B44="","",RANK('Legger Dinas'!Q44,'Legger Dinas'!Q$7:Q$46))</f>
        <v/>
      </c>
      <c r="R44" s="15" t="str">
        <f>IF($B44="","",RANK('Legger Dinas'!R44,'Legger Dinas'!R$7:R$46))</f>
        <v/>
      </c>
      <c r="S44" s="15" t="str">
        <f>IF($B44="","",RANK('Legger Dinas'!S44,'Legger Dinas'!S$7:S$46))</f>
        <v/>
      </c>
      <c r="T44" s="15" t="str">
        <f>IF($B44="","",RANK('Legger Dinas'!T44,'Legger Dinas'!T$7:T$46))</f>
        <v/>
      </c>
      <c r="U44" s="15" t="e">
        <f>IF(Setting!$E$15="V","",IF(Setting!$E$15="VI","",RANK('Legger Dinas'!U44,'Legger Dinas'!U$7:U$46)))</f>
        <v>#VALUE!</v>
      </c>
      <c r="V44" s="15" t="str">
        <f>IF($B44="","",RANK('Legger Dinas'!V44,'Legger Dinas'!V$7:V$46))</f>
        <v/>
      </c>
      <c r="W44" s="165" t="str">
        <f>IF($B44="","",SUM('Legger Dinas'!G44:V44))</f>
        <v/>
      </c>
      <c r="X44" s="165" t="str">
        <f t="shared" si="0"/>
        <v/>
      </c>
    </row>
    <row r="45" spans="1:123">
      <c r="A45" s="12">
        <v>39</v>
      </c>
      <c r="B45" s="23" t="str">
        <f>IF(Setting!J44="","",Setting!J44)</f>
        <v/>
      </c>
      <c r="C45" s="28" t="str">
        <f>IF(Setting!K44="","",Setting!K44)</f>
        <v/>
      </c>
      <c r="D45" s="28" t="str">
        <f>IF(Setting!L44="","",Setting!L44)</f>
        <v/>
      </c>
      <c r="E45" s="15" t="str">
        <f>IF(B45="","",Setting!$E$11)</f>
        <v/>
      </c>
      <c r="F45" s="15" t="str">
        <f>IF(B45="","",Setting!$E$15)</f>
        <v/>
      </c>
      <c r="G45" s="15" t="str">
        <f>IF($B45="","",RANK('Legger Dinas'!G45,'Legger Dinas'!G$7:G$46))</f>
        <v/>
      </c>
      <c r="H45" s="15" t="str">
        <f>IF($B45="","",RANK('Legger Dinas'!H45,'Legger Dinas'!H$7:H$46))</f>
        <v/>
      </c>
      <c r="I45" s="15" t="str">
        <f>IF($B45="","",RANK('Legger Dinas'!I45,'Legger Dinas'!I$7:I$46))</f>
        <v/>
      </c>
      <c r="J45" s="15" t="str">
        <f>IF($B45="","",RANK('Legger Dinas'!J45,'Legger Dinas'!J$7:J$46))</f>
        <v/>
      </c>
      <c r="K45" s="15" t="str">
        <f>IF($B45="","",RANK('Legger Dinas'!K45,'Legger Dinas'!K$7:K$46))</f>
        <v/>
      </c>
      <c r="L45" s="15" t="str">
        <f>IF($B45="","",RANK('Legger Dinas'!L45,'Legger Dinas'!L$7:L$46))</f>
        <v/>
      </c>
      <c r="M45" s="15" t="str">
        <f>IF($B45="","",RANK('Legger Dinas'!M45,'Legger Dinas'!M$7:M$46))</f>
        <v/>
      </c>
      <c r="N45" s="15" t="str">
        <f>IF($B45="","",RANK('Legger Dinas'!N45,'Legger Dinas'!N$7:N$46))</f>
        <v/>
      </c>
      <c r="O45" s="15" t="str">
        <f>IF($B45="","",RANK('Legger Dinas'!O45,'Legger Dinas'!O$7:O$46))</f>
        <v/>
      </c>
      <c r="P45" s="15" t="str">
        <f>IF($B45="","",RANK('Legger Dinas'!P45,'Legger Dinas'!P$7:P$46))</f>
        <v/>
      </c>
      <c r="Q45" s="15" t="str">
        <f>IF($B45="","",RANK('Legger Dinas'!Q45,'Legger Dinas'!Q$7:Q$46))</f>
        <v/>
      </c>
      <c r="R45" s="15" t="str">
        <f>IF($B45="","",RANK('Legger Dinas'!R45,'Legger Dinas'!R$7:R$46))</f>
        <v/>
      </c>
      <c r="S45" s="15" t="str">
        <f>IF($B45="","",RANK('Legger Dinas'!S45,'Legger Dinas'!S$7:S$46))</f>
        <v/>
      </c>
      <c r="T45" s="15" t="str">
        <f>IF($B45="","",RANK('Legger Dinas'!T45,'Legger Dinas'!T$7:T$46))</f>
        <v/>
      </c>
      <c r="U45" s="15" t="e">
        <f>IF(Setting!$E$15="V","",IF(Setting!$E$15="VI","",RANK('Legger Dinas'!U45,'Legger Dinas'!U$7:U$46)))</f>
        <v>#VALUE!</v>
      </c>
      <c r="V45" s="15" t="str">
        <f>IF($B45="","",RANK('Legger Dinas'!V45,'Legger Dinas'!V$7:V$46))</f>
        <v/>
      </c>
      <c r="W45" s="165" t="str">
        <f>IF($B45="","",SUM('Legger Dinas'!G45:V45))</f>
        <v/>
      </c>
      <c r="X45" s="165" t="str">
        <f t="shared" si="0"/>
        <v/>
      </c>
    </row>
    <row r="46" spans="1:123">
      <c r="A46" s="12">
        <v>40</v>
      </c>
      <c r="B46" s="23" t="str">
        <f>IF(Setting!J45="","",Setting!J45)</f>
        <v/>
      </c>
      <c r="C46" s="28" t="str">
        <f>IF(Setting!K45="","",Setting!K45)</f>
        <v/>
      </c>
      <c r="D46" s="28" t="str">
        <f>IF(Setting!L45="","",Setting!L45)</f>
        <v/>
      </c>
      <c r="E46" s="15" t="str">
        <f>IF(B46="","",Setting!$E$11)</f>
        <v/>
      </c>
      <c r="F46" s="15" t="str">
        <f>IF(B46="","",Setting!$E$15)</f>
        <v/>
      </c>
      <c r="G46" s="15" t="str">
        <f>IF($B46="","",RANK('Legger Dinas'!G46,'Legger Dinas'!G$7:G$46))</f>
        <v/>
      </c>
      <c r="H46" s="15" t="str">
        <f>IF($B46="","",RANK('Legger Dinas'!H46,'Legger Dinas'!H$7:H$46))</f>
        <v/>
      </c>
      <c r="I46" s="15" t="str">
        <f>IF($B46="","",RANK('Legger Dinas'!I46,'Legger Dinas'!I$7:I$46))</f>
        <v/>
      </c>
      <c r="J46" s="15" t="str">
        <f>IF($B46="","",RANK('Legger Dinas'!J46,'Legger Dinas'!J$7:J$46))</f>
        <v/>
      </c>
      <c r="K46" s="15" t="str">
        <f>IF($B46="","",RANK('Legger Dinas'!K46,'Legger Dinas'!K$7:K$46))</f>
        <v/>
      </c>
      <c r="L46" s="15" t="str">
        <f>IF($B46="","",RANK('Legger Dinas'!L46,'Legger Dinas'!L$7:L$46))</f>
        <v/>
      </c>
      <c r="M46" s="15" t="str">
        <f>IF($B46="","",RANK('Legger Dinas'!M46,'Legger Dinas'!M$7:M$46))</f>
        <v/>
      </c>
      <c r="N46" s="15" t="str">
        <f>IF($B46="","",RANK('Legger Dinas'!N46,'Legger Dinas'!N$7:N$46))</f>
        <v/>
      </c>
      <c r="O46" s="15" t="str">
        <f>IF($B46="","",RANK('Legger Dinas'!O46,'Legger Dinas'!O$7:O$46))</f>
        <v/>
      </c>
      <c r="P46" s="15" t="str">
        <f>IF($B46="","",RANK('Legger Dinas'!P46,'Legger Dinas'!P$7:P$46))</f>
        <v/>
      </c>
      <c r="Q46" s="15" t="str">
        <f>IF($B46="","",RANK('Legger Dinas'!Q46,'Legger Dinas'!Q$7:Q$46))</f>
        <v/>
      </c>
      <c r="R46" s="15" t="str">
        <f>IF($B46="","",RANK('Legger Dinas'!R46,'Legger Dinas'!R$7:R$46))</f>
        <v/>
      </c>
      <c r="S46" s="15" t="str">
        <f>IF($B46="","",RANK('Legger Dinas'!S46,'Legger Dinas'!S$7:S$46))</f>
        <v/>
      </c>
      <c r="T46" s="15" t="str">
        <f>IF($B46="","",RANK('Legger Dinas'!T46,'Legger Dinas'!T$7:T$46))</f>
        <v/>
      </c>
      <c r="U46" s="15" t="e">
        <f>IF(Setting!$E$15="V","",IF(Setting!$E$15="VI","",RANK('Legger Dinas'!U46,'Legger Dinas'!U$7:U$46)))</f>
        <v>#VALUE!</v>
      </c>
      <c r="V46" s="15" t="str">
        <f>IF($B46="","",RANK('Legger Dinas'!V46,'Legger Dinas'!V$7:V$46))</f>
        <v/>
      </c>
      <c r="W46" s="165" t="str">
        <f>IF($B46="","",SUM('Legger Dinas'!G46:V46))</f>
        <v/>
      </c>
      <c r="X46" s="165" t="str">
        <f t="shared" si="0"/>
        <v/>
      </c>
    </row>
    <row r="47" spans="1:123" s="9" customFormat="1">
      <c r="A47" s="1"/>
      <c r="B47" s="4"/>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row>
  </sheetData>
  <mergeCells count="12">
    <mergeCell ref="G4:L4"/>
    <mergeCell ref="F4:F5"/>
    <mergeCell ref="A4:A5"/>
    <mergeCell ref="B4:B5"/>
    <mergeCell ref="C4:C5"/>
    <mergeCell ref="D4:D5"/>
    <mergeCell ref="E4:E5"/>
    <mergeCell ref="W4:W5"/>
    <mergeCell ref="X4:X5"/>
    <mergeCell ref="M4:P4"/>
    <mergeCell ref="Q4:T4"/>
    <mergeCell ref="U4:V4"/>
  </mergeCells>
  <pageMargins left="0.7" right="0.3" top="0.31" bottom="0.54" header="0.3" footer="0.3"/>
  <pageSetup paperSize="300" scale="6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pane xSplit="7" ySplit="2" topLeftCell="H3" activePane="bottomRight" state="frozenSplit"/>
      <selection pane="topRight" activeCell="K1" sqref="K1"/>
      <selection pane="bottomLeft" activeCell="A12" sqref="A12"/>
      <selection pane="bottomRight" activeCell="J22" sqref="J22"/>
    </sheetView>
  </sheetViews>
  <sheetFormatPr defaultRowHeight="15"/>
  <cols>
    <col min="1" max="1" width="4.5703125" style="8" customWidth="1"/>
    <col min="4" max="4" width="3.42578125" style="27" customWidth="1"/>
    <col min="9" max="9" width="4.85546875" style="8" customWidth="1"/>
    <col min="10" max="10" width="29.140625" customWidth="1"/>
    <col min="12" max="12" width="20" customWidth="1"/>
    <col min="14" max="14" width="6.42578125" customWidth="1"/>
    <col min="15" max="15" width="27.85546875" customWidth="1"/>
  </cols>
  <sheetData>
    <row r="1" spans="2:18" s="8" customFormat="1" ht="26.25" customHeight="1">
      <c r="D1" s="27"/>
    </row>
    <row r="2" spans="2:18" s="8" customFormat="1">
      <c r="D2" s="27"/>
    </row>
    <row r="3" spans="2:18" ht="18.75" customHeight="1">
      <c r="B3" s="197" t="s">
        <v>139</v>
      </c>
      <c r="C3" s="197"/>
      <c r="D3" s="197"/>
      <c r="E3" s="197"/>
      <c r="F3" s="197"/>
      <c r="G3" s="197"/>
      <c r="I3" s="197" t="s">
        <v>108</v>
      </c>
      <c r="J3" s="197"/>
      <c r="K3" s="197"/>
      <c r="L3" s="197"/>
      <c r="M3" s="8"/>
      <c r="N3" s="197" t="s">
        <v>79</v>
      </c>
      <c r="O3" s="197"/>
      <c r="P3" s="197"/>
      <c r="Q3" s="8"/>
    </row>
    <row r="4" spans="2:18" s="8" customFormat="1">
      <c r="D4" s="27"/>
    </row>
    <row r="5" spans="2:18">
      <c r="B5" s="65" t="s">
        <v>102</v>
      </c>
      <c r="C5" s="31"/>
      <c r="E5" s="198" t="s">
        <v>44</v>
      </c>
      <c r="F5" s="198"/>
      <c r="G5" s="199"/>
      <c r="I5" s="16" t="s">
        <v>30</v>
      </c>
      <c r="J5" s="16" t="s">
        <v>33</v>
      </c>
      <c r="K5" s="16" t="s">
        <v>34</v>
      </c>
      <c r="L5" s="16" t="s">
        <v>35</v>
      </c>
      <c r="N5" s="18" t="s">
        <v>30</v>
      </c>
      <c r="O5" s="18" t="s">
        <v>0</v>
      </c>
      <c r="P5" s="18" t="s">
        <v>79</v>
      </c>
    </row>
    <row r="6" spans="2:18" ht="15" customHeight="1">
      <c r="B6" s="65" t="s">
        <v>103</v>
      </c>
      <c r="C6" s="31"/>
      <c r="E6" s="194" t="s">
        <v>935</v>
      </c>
      <c r="F6" s="194"/>
      <c r="G6" s="194"/>
      <c r="I6" s="28">
        <v>1</v>
      </c>
      <c r="J6" s="174" t="s">
        <v>941</v>
      </c>
      <c r="K6" s="175">
        <v>2008004</v>
      </c>
      <c r="L6" s="176" t="s">
        <v>942</v>
      </c>
      <c r="N6" s="2" t="s">
        <v>110</v>
      </c>
      <c r="O6" s="2"/>
    </row>
    <row r="7" spans="2:18" ht="15" customHeight="1">
      <c r="B7" s="66"/>
      <c r="C7" s="66"/>
      <c r="E7" s="195"/>
      <c r="F7" s="195"/>
      <c r="G7" s="195"/>
      <c r="I7" s="28">
        <v>2</v>
      </c>
      <c r="J7" s="174" t="s">
        <v>943</v>
      </c>
      <c r="K7" s="177">
        <v>2008009</v>
      </c>
      <c r="L7" s="178" t="s">
        <v>944</v>
      </c>
      <c r="N7" s="35">
        <v>1</v>
      </c>
      <c r="O7" s="36" t="s">
        <v>41</v>
      </c>
      <c r="P7" s="89">
        <v>75</v>
      </c>
      <c r="Q7" s="8"/>
      <c r="R7" s="8"/>
    </row>
    <row r="8" spans="2:18" ht="15" customHeight="1">
      <c r="B8" s="66"/>
      <c r="C8" s="66"/>
      <c r="E8" s="196"/>
      <c r="F8" s="196"/>
      <c r="G8" s="196"/>
      <c r="I8" s="28">
        <v>3</v>
      </c>
      <c r="J8" s="174" t="s">
        <v>945</v>
      </c>
      <c r="K8" s="177">
        <v>2008021</v>
      </c>
      <c r="L8" s="178" t="s">
        <v>946</v>
      </c>
      <c r="N8" s="35">
        <v>2</v>
      </c>
      <c r="O8" s="37" t="s">
        <v>69</v>
      </c>
      <c r="P8" s="89">
        <v>75</v>
      </c>
      <c r="Q8" s="8"/>
      <c r="R8" s="8"/>
    </row>
    <row r="9" spans="2:18" ht="15.75">
      <c r="B9" s="65" t="s">
        <v>104</v>
      </c>
      <c r="C9" s="31"/>
      <c r="E9" s="198" t="s">
        <v>939</v>
      </c>
      <c r="F9" s="198"/>
      <c r="G9" s="199"/>
      <c r="I9" s="28">
        <v>4</v>
      </c>
      <c r="J9" s="174" t="s">
        <v>947</v>
      </c>
      <c r="K9" s="177">
        <v>2008029</v>
      </c>
      <c r="L9" s="178" t="s">
        <v>948</v>
      </c>
      <c r="N9" s="35">
        <v>3</v>
      </c>
      <c r="O9" s="38" t="s">
        <v>10</v>
      </c>
      <c r="P9" s="89">
        <v>75</v>
      </c>
      <c r="Q9" s="8"/>
      <c r="R9" s="8"/>
    </row>
    <row r="10" spans="2:18" ht="15.75">
      <c r="B10" s="65" t="s">
        <v>105</v>
      </c>
      <c r="C10" s="31"/>
      <c r="E10" s="198" t="s">
        <v>184</v>
      </c>
      <c r="F10" s="198"/>
      <c r="G10" s="199"/>
      <c r="I10" s="28">
        <v>5</v>
      </c>
      <c r="J10" s="174" t="s">
        <v>949</v>
      </c>
      <c r="K10" s="177">
        <v>2008034</v>
      </c>
      <c r="L10" s="178" t="s">
        <v>950</v>
      </c>
      <c r="N10" s="35">
        <v>4</v>
      </c>
      <c r="O10" s="38" t="s">
        <v>11</v>
      </c>
      <c r="P10" s="89">
        <v>75</v>
      </c>
      <c r="Q10" s="8"/>
      <c r="R10" s="8"/>
    </row>
    <row r="11" spans="2:18" ht="15.75">
      <c r="B11" s="67" t="s">
        <v>36</v>
      </c>
      <c r="C11" s="25"/>
      <c r="E11" s="204" t="s">
        <v>1003</v>
      </c>
      <c r="F11" s="204"/>
      <c r="G11" s="205"/>
      <c r="I11" s="28">
        <v>6</v>
      </c>
      <c r="J11" s="174" t="s">
        <v>1130</v>
      </c>
      <c r="K11" s="177">
        <v>2008054</v>
      </c>
      <c r="L11" s="178" t="s">
        <v>951</v>
      </c>
      <c r="N11" s="35">
        <v>5</v>
      </c>
      <c r="O11" s="38" t="s">
        <v>12</v>
      </c>
      <c r="P11" s="89">
        <v>75</v>
      </c>
      <c r="Q11" s="8"/>
      <c r="R11" s="8"/>
    </row>
    <row r="12" spans="2:18" ht="15.75">
      <c r="B12" s="67" t="s">
        <v>37</v>
      </c>
      <c r="C12" s="25"/>
      <c r="E12" s="204" t="s">
        <v>1004</v>
      </c>
      <c r="F12" s="204"/>
      <c r="G12" s="205"/>
      <c r="I12" s="28">
        <v>7</v>
      </c>
      <c r="J12" s="174" t="s">
        <v>952</v>
      </c>
      <c r="K12" s="177">
        <v>2008075</v>
      </c>
      <c r="L12" s="178" t="s">
        <v>953</v>
      </c>
      <c r="N12" s="35">
        <v>6</v>
      </c>
      <c r="O12" s="38" t="s">
        <v>13</v>
      </c>
      <c r="P12" s="89">
        <v>75</v>
      </c>
      <c r="Q12" s="8"/>
      <c r="R12" s="8"/>
    </row>
    <row r="13" spans="2:18" ht="15.75">
      <c r="B13" s="67" t="s">
        <v>105</v>
      </c>
      <c r="C13" s="25"/>
      <c r="E13" s="204" t="s">
        <v>1005</v>
      </c>
      <c r="F13" s="204"/>
      <c r="G13" s="205"/>
      <c r="I13" s="28">
        <v>8</v>
      </c>
      <c r="J13" s="174" t="s">
        <v>954</v>
      </c>
      <c r="K13" s="177">
        <v>2008089</v>
      </c>
      <c r="L13" s="178" t="s">
        <v>955</v>
      </c>
      <c r="N13" s="2" t="s">
        <v>111</v>
      </c>
      <c r="O13" s="2"/>
      <c r="P13" s="2"/>
      <c r="Q13" s="8"/>
      <c r="R13" s="8"/>
    </row>
    <row r="14" spans="2:18" ht="15.75">
      <c r="B14" s="68" t="s">
        <v>106</v>
      </c>
      <c r="C14" s="29"/>
      <c r="E14" s="200" t="s">
        <v>936</v>
      </c>
      <c r="F14" s="200"/>
      <c r="G14" s="201"/>
      <c r="I14" s="28">
        <v>9</v>
      </c>
      <c r="J14" s="174" t="s">
        <v>956</v>
      </c>
      <c r="K14" s="177">
        <v>2008095</v>
      </c>
      <c r="L14" s="178" t="s">
        <v>957</v>
      </c>
      <c r="N14" s="34">
        <v>1</v>
      </c>
      <c r="O14" s="41" t="s">
        <v>15</v>
      </c>
      <c r="P14" s="89">
        <v>75</v>
      </c>
      <c r="Q14" s="8"/>
      <c r="R14" s="8"/>
    </row>
    <row r="15" spans="2:18" ht="15" customHeight="1">
      <c r="B15" s="68" t="s">
        <v>107</v>
      </c>
      <c r="C15" s="29"/>
      <c r="E15" s="30" t="s">
        <v>937</v>
      </c>
      <c r="F15" s="202" t="s">
        <v>938</v>
      </c>
      <c r="G15" s="201"/>
      <c r="I15" s="28">
        <v>10</v>
      </c>
      <c r="J15" s="174" t="s">
        <v>958</v>
      </c>
      <c r="K15" s="177">
        <v>2008099</v>
      </c>
      <c r="L15" s="178" t="s">
        <v>959</v>
      </c>
      <c r="N15" s="34">
        <v>2</v>
      </c>
      <c r="O15" s="41" t="s">
        <v>16</v>
      </c>
      <c r="P15" s="89">
        <v>75</v>
      </c>
      <c r="Q15" s="8"/>
      <c r="R15" s="8"/>
    </row>
    <row r="16" spans="2:18" ht="15" customHeight="1">
      <c r="B16" s="68" t="s">
        <v>109</v>
      </c>
      <c r="C16" s="29"/>
      <c r="E16" s="203" t="s">
        <v>940</v>
      </c>
      <c r="F16" s="200"/>
      <c r="G16" s="201"/>
      <c r="I16" s="28">
        <v>11</v>
      </c>
      <c r="J16" s="174" t="s">
        <v>960</v>
      </c>
      <c r="K16" s="177">
        <v>2008118</v>
      </c>
      <c r="L16" s="178" t="s">
        <v>961</v>
      </c>
      <c r="N16" s="34">
        <v>3</v>
      </c>
      <c r="O16" s="41" t="s">
        <v>17</v>
      </c>
      <c r="P16" s="89">
        <v>75</v>
      </c>
      <c r="Q16" s="8"/>
      <c r="R16" s="8"/>
    </row>
    <row r="17" spans="2:18" ht="15.75">
      <c r="B17" s="8"/>
      <c r="C17" s="8"/>
      <c r="E17" s="8"/>
      <c r="F17" s="8"/>
      <c r="G17" s="8"/>
      <c r="I17" s="28">
        <v>12</v>
      </c>
      <c r="J17" s="174" t="s">
        <v>962</v>
      </c>
      <c r="K17" s="177">
        <v>2008127</v>
      </c>
      <c r="L17" s="178" t="s">
        <v>963</v>
      </c>
      <c r="N17" s="34">
        <v>4</v>
      </c>
      <c r="O17" s="41" t="s">
        <v>18</v>
      </c>
      <c r="P17" s="89">
        <v>75</v>
      </c>
      <c r="Q17" s="8"/>
      <c r="R17" s="8"/>
    </row>
    <row r="18" spans="2:18" ht="15.75">
      <c r="B18" s="8"/>
      <c r="C18" s="8"/>
      <c r="E18" s="8"/>
      <c r="F18" s="8"/>
      <c r="G18" s="8"/>
      <c r="I18" s="28">
        <v>13</v>
      </c>
      <c r="J18" s="174" t="s">
        <v>964</v>
      </c>
      <c r="K18" s="177">
        <v>2008128</v>
      </c>
      <c r="L18" s="178" t="s">
        <v>965</v>
      </c>
      <c r="N18" s="2" t="s">
        <v>112</v>
      </c>
      <c r="O18" s="2"/>
      <c r="P18" s="2"/>
      <c r="Q18" s="8"/>
      <c r="R18" s="8"/>
    </row>
    <row r="19" spans="2:18" ht="15.75">
      <c r="B19" s="8"/>
      <c r="C19" s="8"/>
      <c r="E19" s="8"/>
      <c r="F19" s="8"/>
      <c r="G19" s="8"/>
      <c r="I19" s="28">
        <v>14</v>
      </c>
      <c r="J19" s="174" t="s">
        <v>966</v>
      </c>
      <c r="K19" s="177">
        <v>2008131</v>
      </c>
      <c r="L19" s="178" t="s">
        <v>967</v>
      </c>
      <c r="N19" t="s">
        <v>113</v>
      </c>
      <c r="P19" s="2"/>
      <c r="Q19" s="8"/>
      <c r="R19" s="8"/>
    </row>
    <row r="20" spans="2:18" ht="15.75">
      <c r="B20" s="8"/>
      <c r="C20" s="8"/>
      <c r="E20" s="8"/>
      <c r="F20" s="8"/>
      <c r="G20" s="8"/>
      <c r="I20" s="28">
        <v>15</v>
      </c>
      <c r="J20" s="174" t="s">
        <v>968</v>
      </c>
      <c r="K20" s="177">
        <v>2008132</v>
      </c>
      <c r="L20" s="178" t="s">
        <v>969</v>
      </c>
      <c r="N20" s="39">
        <v>1</v>
      </c>
      <c r="O20" s="40" t="s">
        <v>11</v>
      </c>
      <c r="P20" s="89">
        <v>75</v>
      </c>
      <c r="Q20" s="8"/>
      <c r="R20" s="8"/>
    </row>
    <row r="21" spans="2:18" ht="15.75">
      <c r="B21" s="8"/>
      <c r="C21" s="8"/>
      <c r="E21" s="8"/>
      <c r="F21" s="8"/>
      <c r="G21" s="8"/>
      <c r="I21" s="28">
        <v>16</v>
      </c>
      <c r="J21" s="174" t="s">
        <v>1131</v>
      </c>
      <c r="K21" s="177">
        <v>2008169</v>
      </c>
      <c r="L21" s="178" t="s">
        <v>970</v>
      </c>
      <c r="N21" s="39">
        <v>2</v>
      </c>
      <c r="O21" s="40" t="s">
        <v>20</v>
      </c>
      <c r="P21" s="89">
        <v>75</v>
      </c>
      <c r="Q21" s="8"/>
      <c r="R21" s="8"/>
    </row>
    <row r="22" spans="2:18" ht="15.75">
      <c r="B22" s="8"/>
      <c r="C22" s="8"/>
      <c r="E22" s="8"/>
      <c r="F22" s="8"/>
      <c r="G22" s="8"/>
      <c r="I22" s="28">
        <v>17</v>
      </c>
      <c r="J22" s="174" t="s">
        <v>971</v>
      </c>
      <c r="K22" s="177">
        <v>2008197</v>
      </c>
      <c r="L22" s="178" t="s">
        <v>972</v>
      </c>
      <c r="N22" s="39">
        <v>3</v>
      </c>
      <c r="O22" s="40" t="s">
        <v>21</v>
      </c>
      <c r="P22" s="89">
        <v>75</v>
      </c>
      <c r="Q22" s="8"/>
      <c r="R22" s="8"/>
    </row>
    <row r="23" spans="2:18" ht="15.75">
      <c r="B23" s="8"/>
      <c r="C23" s="8"/>
      <c r="E23" s="8"/>
      <c r="F23" s="8"/>
      <c r="G23" s="8"/>
      <c r="I23" s="28">
        <v>18</v>
      </c>
      <c r="J23" s="174" t="s">
        <v>973</v>
      </c>
      <c r="K23" s="177">
        <v>2008214</v>
      </c>
      <c r="L23" s="178" t="s">
        <v>974</v>
      </c>
      <c r="N23" s="39">
        <v>4</v>
      </c>
      <c r="O23" s="40" t="s">
        <v>22</v>
      </c>
      <c r="P23" s="89">
        <v>75</v>
      </c>
      <c r="Q23" s="8"/>
      <c r="R23" s="8"/>
    </row>
    <row r="24" spans="2:18" ht="15.75">
      <c r="I24" s="28">
        <v>19</v>
      </c>
      <c r="J24" s="174" t="s">
        <v>975</v>
      </c>
      <c r="K24" s="177">
        <v>2008218</v>
      </c>
      <c r="L24" s="178" t="s">
        <v>976</v>
      </c>
      <c r="N24" s="2" t="s">
        <v>114</v>
      </c>
      <c r="O24" s="2"/>
      <c r="P24" s="88"/>
      <c r="Q24" s="8"/>
      <c r="R24" s="8"/>
    </row>
    <row r="25" spans="2:18" ht="15.75">
      <c r="I25" s="28">
        <v>20</v>
      </c>
      <c r="J25" s="174" t="s">
        <v>977</v>
      </c>
      <c r="K25" s="177">
        <v>2008220</v>
      </c>
      <c r="L25" s="178" t="s">
        <v>978</v>
      </c>
      <c r="N25" s="42">
        <v>1</v>
      </c>
      <c r="O25" s="43" t="s">
        <v>930</v>
      </c>
      <c r="P25" s="89">
        <v>75</v>
      </c>
      <c r="Q25" s="8"/>
      <c r="R25" s="8"/>
    </row>
    <row r="26" spans="2:18" ht="15.75">
      <c r="I26" s="28">
        <v>21</v>
      </c>
      <c r="J26" s="174" t="s">
        <v>979</v>
      </c>
      <c r="K26" s="177">
        <v>2008221</v>
      </c>
      <c r="L26" s="178" t="s">
        <v>980</v>
      </c>
      <c r="N26" s="42">
        <v>2</v>
      </c>
      <c r="O26" s="43" t="s">
        <v>932</v>
      </c>
      <c r="P26" s="89">
        <v>75</v>
      </c>
    </row>
    <row r="27" spans="2:18" ht="15.75">
      <c r="I27" s="28">
        <v>22</v>
      </c>
      <c r="J27" s="174" t="s">
        <v>981</v>
      </c>
      <c r="K27" s="177">
        <v>2008222</v>
      </c>
      <c r="L27" s="178" t="s">
        <v>982</v>
      </c>
    </row>
    <row r="28" spans="2:18" ht="15.75">
      <c r="I28" s="28">
        <v>23</v>
      </c>
      <c r="J28" s="174" t="s">
        <v>983</v>
      </c>
      <c r="K28" s="177">
        <v>2008223</v>
      </c>
      <c r="L28" s="178" t="s">
        <v>984</v>
      </c>
    </row>
    <row r="29" spans="2:18" ht="15.75">
      <c r="I29" s="28">
        <v>24</v>
      </c>
      <c r="J29" s="174" t="s">
        <v>985</v>
      </c>
      <c r="K29" s="177">
        <v>2008224</v>
      </c>
      <c r="L29" s="178" t="s">
        <v>986</v>
      </c>
    </row>
    <row r="30" spans="2:18" ht="15.75">
      <c r="I30" s="28">
        <v>25</v>
      </c>
      <c r="J30" s="174" t="s">
        <v>987</v>
      </c>
      <c r="K30" s="177">
        <v>2008230</v>
      </c>
      <c r="L30" s="178" t="s">
        <v>988</v>
      </c>
    </row>
    <row r="31" spans="2:18" ht="15.75">
      <c r="I31" s="28">
        <v>26</v>
      </c>
      <c r="J31" s="174" t="s">
        <v>989</v>
      </c>
      <c r="K31" s="177">
        <v>2008251</v>
      </c>
      <c r="L31" s="178" t="s">
        <v>990</v>
      </c>
    </row>
    <row r="32" spans="2:18" ht="15.75">
      <c r="I32" s="28">
        <v>27</v>
      </c>
      <c r="J32" s="174" t="s">
        <v>991</v>
      </c>
      <c r="K32" s="177">
        <v>2008253</v>
      </c>
      <c r="L32" s="178" t="s">
        <v>992</v>
      </c>
    </row>
    <row r="33" spans="9:12" ht="15.75">
      <c r="I33" s="28">
        <v>28</v>
      </c>
      <c r="J33" s="174" t="s">
        <v>993</v>
      </c>
      <c r="K33" s="177">
        <v>2008272</v>
      </c>
      <c r="L33" s="178" t="s">
        <v>994</v>
      </c>
    </row>
    <row r="34" spans="9:12" ht="15.75">
      <c r="I34" s="28">
        <v>29</v>
      </c>
      <c r="J34" s="174" t="s">
        <v>995</v>
      </c>
      <c r="K34" s="177">
        <v>2008282</v>
      </c>
      <c r="L34" s="178" t="s">
        <v>996</v>
      </c>
    </row>
    <row r="35" spans="9:12" ht="15.75">
      <c r="I35" s="28">
        <v>30</v>
      </c>
      <c r="J35" s="174" t="s">
        <v>997</v>
      </c>
      <c r="K35" s="177">
        <v>2008296</v>
      </c>
      <c r="L35" s="178" t="s">
        <v>998</v>
      </c>
    </row>
    <row r="36" spans="9:12" ht="15.75">
      <c r="I36" s="28">
        <v>31</v>
      </c>
      <c r="J36" s="174" t="s">
        <v>999</v>
      </c>
      <c r="K36" s="177">
        <v>2008307</v>
      </c>
      <c r="L36" s="178" t="s">
        <v>1000</v>
      </c>
    </row>
    <row r="37" spans="9:12" ht="15.75">
      <c r="I37" s="28">
        <v>32</v>
      </c>
      <c r="J37" s="174" t="s">
        <v>1001</v>
      </c>
      <c r="K37" s="177">
        <v>2008347</v>
      </c>
      <c r="L37" s="178" t="s">
        <v>1002</v>
      </c>
    </row>
    <row r="38" spans="9:12" ht="15.75">
      <c r="I38" s="28">
        <v>33</v>
      </c>
      <c r="J38" s="102"/>
      <c r="K38" s="103"/>
      <c r="L38" s="103"/>
    </row>
    <row r="39" spans="9:12" ht="15.75">
      <c r="I39" s="28">
        <v>34</v>
      </c>
      <c r="J39" s="102"/>
      <c r="K39" s="103"/>
      <c r="L39" s="103"/>
    </row>
    <row r="40" spans="9:12" ht="15.75">
      <c r="I40" s="28">
        <v>35</v>
      </c>
      <c r="J40" s="102"/>
      <c r="K40" s="103"/>
      <c r="L40" s="103"/>
    </row>
    <row r="41" spans="9:12" ht="15.75">
      <c r="I41" s="28">
        <v>36</v>
      </c>
      <c r="J41" s="102"/>
      <c r="K41" s="103"/>
      <c r="L41" s="103"/>
    </row>
    <row r="42" spans="9:12" ht="15.75">
      <c r="I42" s="28">
        <v>37</v>
      </c>
      <c r="J42" s="102"/>
      <c r="K42" s="103"/>
      <c r="L42" s="103"/>
    </row>
    <row r="43" spans="9:12" ht="15.75">
      <c r="I43" s="28">
        <v>38</v>
      </c>
      <c r="J43" s="102"/>
      <c r="K43" s="103"/>
      <c r="L43" s="103"/>
    </row>
    <row r="44" spans="9:12" ht="15.75">
      <c r="I44" s="28">
        <v>39</v>
      </c>
      <c r="J44" s="102"/>
      <c r="K44" s="103"/>
      <c r="L44" s="103"/>
    </row>
    <row r="45" spans="9:12" ht="15.75">
      <c r="I45" s="28">
        <v>40</v>
      </c>
      <c r="J45" s="102"/>
      <c r="K45" s="103"/>
      <c r="L45" s="103"/>
    </row>
  </sheetData>
  <sheetProtection selectLockedCells="1"/>
  <mergeCells count="13">
    <mergeCell ref="E14:G14"/>
    <mergeCell ref="F15:G15"/>
    <mergeCell ref="E16:G16"/>
    <mergeCell ref="E9:G9"/>
    <mergeCell ref="E10:G10"/>
    <mergeCell ref="E11:G11"/>
    <mergeCell ref="E12:G12"/>
    <mergeCell ref="E13:G13"/>
    <mergeCell ref="E6:G8"/>
    <mergeCell ref="I3:L3"/>
    <mergeCell ref="B3:G3"/>
    <mergeCell ref="N3:P3"/>
    <mergeCell ref="E5:G5"/>
  </mergeCells>
  <conditionalFormatting sqref="J38:J45">
    <cfRule type="containsBlanks" dxfId="34" priority="9">
      <formula>LEN(TRIM(J38))=0</formula>
    </cfRule>
  </conditionalFormatting>
  <conditionalFormatting sqref="K38:K45">
    <cfRule type="containsBlanks" dxfId="33" priority="8">
      <formula>LEN(TRIM(K38))=0</formula>
    </cfRule>
  </conditionalFormatting>
  <conditionalFormatting sqref="L38:L45">
    <cfRule type="containsBlanks" dxfId="32" priority="7">
      <formula>LEN(TRIM(L38))=0</formula>
    </cfRule>
  </conditionalFormatting>
  <conditionalFormatting sqref="J6:J31">
    <cfRule type="containsBlanks" dxfId="31" priority="6">
      <formula>LEN(TRIM(J6))=0</formula>
    </cfRule>
  </conditionalFormatting>
  <conditionalFormatting sqref="J32:J37">
    <cfRule type="containsBlanks" dxfId="30" priority="3">
      <formula>LEN(TRIM(J32))=0</formula>
    </cfRule>
  </conditionalFormatting>
  <conditionalFormatting sqref="K6:K31">
    <cfRule type="containsBlanks" dxfId="29" priority="5">
      <formula>LEN(TRIM(K6))=0</formula>
    </cfRule>
  </conditionalFormatting>
  <conditionalFormatting sqref="K32:K37">
    <cfRule type="containsBlanks" dxfId="28" priority="2">
      <formula>LEN(TRIM(K32))=0</formula>
    </cfRule>
  </conditionalFormatting>
  <conditionalFormatting sqref="L6:L31">
    <cfRule type="containsBlanks" dxfId="27" priority="4">
      <formula>LEN(TRIM(L6))=0</formula>
    </cfRule>
  </conditionalFormatting>
  <conditionalFormatting sqref="L32:L37">
    <cfRule type="containsBlanks" dxfId="26" priority="1">
      <formula>LEN(TRIM(L32))=0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H153"/>
  <sheetViews>
    <sheetView tabSelected="1" view="pageBreakPreview" zoomScaleSheetLayoutView="100" workbookViewId="0">
      <pane ySplit="7" topLeftCell="A140" activePane="bottomLeft" state="frozenSplit"/>
      <selection pane="bottomLeft"/>
    </sheetView>
  </sheetViews>
  <sheetFormatPr defaultColWidth="9.140625" defaultRowHeight="15"/>
  <cols>
    <col min="1" max="1" width="1.85546875" style="10" customWidth="1"/>
    <col min="2" max="2" width="4.28515625" style="10" customWidth="1"/>
    <col min="3" max="4" width="9.140625" style="10" customWidth="1"/>
    <col min="5" max="5" width="15" style="10" customWidth="1"/>
    <col min="6" max="6" width="14.28515625" style="10" customWidth="1"/>
    <col min="7" max="7" width="11.7109375" style="10" customWidth="1"/>
    <col min="8" max="8" width="18.42578125" style="10" customWidth="1"/>
    <col min="9" max="9" width="11.7109375" style="10" customWidth="1"/>
    <col min="10" max="10" width="15.85546875" style="10" customWidth="1"/>
    <col min="11" max="12" width="9.140625" style="10"/>
    <col min="13" max="13" width="1.5703125" style="10" bestFit="1" customWidth="1"/>
    <col min="14" max="16384" width="9.140625" style="10"/>
  </cols>
  <sheetData>
    <row r="1" spans="2:15" ht="48" customHeight="1">
      <c r="F1" s="90"/>
      <c r="H1" s="91"/>
      <c r="J1" s="163">
        <v>16</v>
      </c>
    </row>
    <row r="3" spans="2:15" ht="15.75">
      <c r="B3" s="105" t="s">
        <v>2</v>
      </c>
      <c r="C3" s="106"/>
      <c r="D3" s="105"/>
      <c r="E3" s="107" t="str">
        <f>": "&amp;IF(Setting!E5="","",Setting!E5)&amp;""</f>
        <v>: SMA ABBS Surakarta</v>
      </c>
      <c r="F3" s="108"/>
      <c r="G3" s="107"/>
      <c r="H3" s="105" t="s">
        <v>3</v>
      </c>
      <c r="I3" s="109" t="str">
        <f>": "&amp;VLOOKUP($J$1,Legger!$A$9:$DS$48,5)&amp;""</f>
        <v>: X.MIPA 4</v>
      </c>
      <c r="J3" s="109"/>
      <c r="K3" s="92"/>
      <c r="L3" s="93"/>
      <c r="M3" s="92"/>
      <c r="N3" s="93"/>
    </row>
    <row r="4" spans="2:15" ht="15" customHeight="1">
      <c r="B4" s="105" t="s">
        <v>4</v>
      </c>
      <c r="C4" s="106"/>
      <c r="D4" s="105"/>
      <c r="E4" s="258" t="str">
        <f>": "&amp;IF(Setting!E6="","",Setting!E6)&amp;""</f>
        <v>: Jln. Tarumanegara III No 22, Banyuanyar, Banjarsari, Surakarta</v>
      </c>
      <c r="F4" s="258"/>
      <c r="G4" s="258"/>
      <c r="H4" s="110" t="s">
        <v>5</v>
      </c>
      <c r="I4" s="111" t="str">
        <f>": "&amp;Setting!E15&amp;" ("&amp;Setting!F15&amp;")"</f>
        <v>: II (Genap)</v>
      </c>
      <c r="J4" s="109"/>
      <c r="K4" s="92"/>
      <c r="M4" s="94"/>
      <c r="N4" s="94"/>
      <c r="O4" s="94"/>
    </row>
    <row r="5" spans="2:15" ht="14.25" customHeight="1">
      <c r="B5" s="105"/>
      <c r="C5" s="106"/>
      <c r="D5" s="105"/>
      <c r="E5" s="258" t="s">
        <v>140</v>
      </c>
      <c r="F5" s="258"/>
      <c r="G5" s="258"/>
      <c r="H5" s="206" t="s">
        <v>77</v>
      </c>
      <c r="I5" s="112" t="str">
        <f>": "&amp;Setting!E14&amp;""</f>
        <v>: 2020/2021</v>
      </c>
      <c r="J5" s="109"/>
      <c r="K5" s="92"/>
      <c r="L5" s="94"/>
      <c r="M5" s="94"/>
      <c r="N5" s="94"/>
      <c r="O5" s="94"/>
    </row>
    <row r="6" spans="2:15" ht="15" customHeight="1">
      <c r="B6" s="113" t="s">
        <v>6</v>
      </c>
      <c r="C6" s="106"/>
      <c r="D6" s="113"/>
      <c r="E6" s="109" t="str">
        <f>": "&amp;VLOOKUP($J$1,Legger!$A$9:$DS$48,2)&amp;""</f>
        <v>: Kelvin Oktabrian Ramadhan</v>
      </c>
      <c r="F6" s="108"/>
      <c r="G6" s="114"/>
      <c r="H6" s="206"/>
      <c r="I6" s="109"/>
      <c r="J6" s="109"/>
      <c r="K6" s="92"/>
      <c r="L6" s="94"/>
      <c r="M6" s="94"/>
      <c r="N6" s="94"/>
      <c r="O6" s="94"/>
    </row>
    <row r="7" spans="2:15" s="100" customFormat="1" ht="18" customHeight="1" thickBot="1">
      <c r="B7" s="115" t="s">
        <v>7</v>
      </c>
      <c r="C7" s="116"/>
      <c r="D7" s="115"/>
      <c r="E7" s="117" t="str">
        <f>": "&amp;VLOOKUP($J$1,Legger!$A$9:$DS$48,3)&amp;" / "&amp;VLOOKUP($J$1,Legger!$A$9:$DS$48,4)&amp;""</f>
        <v>: 2008169 / 0045893001</v>
      </c>
      <c r="F7" s="118"/>
      <c r="G7" s="119"/>
      <c r="H7" s="117"/>
      <c r="I7" s="120"/>
      <c r="J7" s="120"/>
      <c r="K7" s="98"/>
      <c r="L7" s="99"/>
      <c r="M7" s="99"/>
      <c r="N7" s="99"/>
      <c r="O7" s="99"/>
    </row>
    <row r="8" spans="2:15" ht="16.5" thickTop="1">
      <c r="B8" s="106"/>
      <c r="C8" s="106"/>
      <c r="D8" s="106"/>
      <c r="E8" s="106"/>
      <c r="F8" s="106"/>
      <c r="G8" s="106"/>
      <c r="H8" s="106"/>
      <c r="I8" s="106"/>
      <c r="J8" s="106"/>
      <c r="K8" s="92"/>
      <c r="L8" s="94"/>
      <c r="M8" s="94"/>
      <c r="N8" s="94"/>
      <c r="O8" s="94"/>
    </row>
    <row r="9" spans="2:15" ht="15" customHeight="1">
      <c r="B9" s="121" t="s">
        <v>50</v>
      </c>
      <c r="C9" s="106"/>
      <c r="D9" s="106"/>
      <c r="E9" s="106"/>
      <c r="F9" s="106"/>
      <c r="G9" s="106"/>
      <c r="H9" s="106"/>
      <c r="I9" s="106"/>
      <c r="J9" s="106"/>
      <c r="K9" s="92"/>
      <c r="L9" s="94"/>
      <c r="M9" s="94"/>
      <c r="N9" s="94"/>
      <c r="O9" s="94"/>
    </row>
    <row r="10" spans="2:15" ht="14.25" customHeight="1">
      <c r="B10" s="122" t="s">
        <v>51</v>
      </c>
      <c r="C10" s="122" t="s">
        <v>52</v>
      </c>
      <c r="D10" s="109"/>
      <c r="E10" s="109"/>
      <c r="F10" s="109"/>
      <c r="G10" s="109"/>
      <c r="H10" s="109"/>
      <c r="I10" s="109"/>
      <c r="J10" s="109"/>
      <c r="K10" s="92"/>
      <c r="L10" s="94"/>
      <c r="M10" s="94"/>
      <c r="N10" s="94"/>
      <c r="O10" s="94"/>
    </row>
    <row r="11" spans="2:15" ht="20.25" customHeight="1">
      <c r="B11" s="123" t="s">
        <v>53</v>
      </c>
      <c r="C11" s="124"/>
      <c r="D11" s="124"/>
      <c r="E11" s="124"/>
      <c r="F11" s="124"/>
      <c r="G11" s="124"/>
      <c r="H11" s="124"/>
      <c r="I11" s="124"/>
      <c r="J11" s="125"/>
      <c r="K11" s="92"/>
      <c r="L11" s="94"/>
      <c r="M11" s="94"/>
      <c r="N11" s="94"/>
      <c r="O11" s="94"/>
    </row>
    <row r="12" spans="2:15" ht="6.75" customHeight="1">
      <c r="B12" s="126"/>
      <c r="C12" s="127"/>
      <c r="D12" s="127"/>
      <c r="E12" s="127"/>
      <c r="F12" s="127"/>
      <c r="G12" s="127"/>
      <c r="H12" s="127"/>
      <c r="I12" s="127"/>
      <c r="J12" s="128"/>
      <c r="K12" s="92"/>
      <c r="L12" s="94"/>
      <c r="M12" s="94"/>
      <c r="N12" s="94"/>
      <c r="O12" s="94"/>
    </row>
    <row r="13" spans="2:15" ht="14.25" customHeight="1">
      <c r="B13" s="257" t="s">
        <v>78</v>
      </c>
      <c r="C13" s="257"/>
      <c r="D13" s="257"/>
      <c r="E13" s="257" t="s">
        <v>38</v>
      </c>
      <c r="F13" s="257"/>
      <c r="G13" s="257"/>
      <c r="H13" s="257"/>
      <c r="I13" s="257"/>
      <c r="J13" s="257"/>
      <c r="K13" s="92"/>
      <c r="L13" s="94"/>
      <c r="M13" s="94"/>
      <c r="N13" s="94"/>
      <c r="O13" s="94"/>
    </row>
    <row r="14" spans="2:15" ht="60" customHeight="1">
      <c r="B14" s="252" t="str">
        <f>VLOOKUP($J$1,Legger!$A$9:$DS$48,6)</f>
        <v>B</v>
      </c>
      <c r="C14" s="253"/>
      <c r="D14" s="253"/>
      <c r="E14" s="254" t="str">
        <f>VLOOKUP($J$1,Legger!$A$9:$DS$48,7)</f>
        <v>Berpartisipasi dengan baik dalam kegiatan keagamaan di sekolah.</v>
      </c>
      <c r="F14" s="255"/>
      <c r="G14" s="255"/>
      <c r="H14" s="255"/>
      <c r="I14" s="255"/>
      <c r="J14" s="256"/>
    </row>
    <row r="15" spans="2:15" ht="21" customHeight="1">
      <c r="B15" s="123" t="s">
        <v>54</v>
      </c>
      <c r="C15" s="124"/>
      <c r="D15" s="124"/>
      <c r="E15" s="124"/>
      <c r="F15" s="124"/>
      <c r="G15" s="124"/>
      <c r="H15" s="124"/>
      <c r="I15" s="124"/>
      <c r="J15" s="125"/>
    </row>
    <row r="16" spans="2:15" ht="7.5" customHeight="1">
      <c r="B16" s="126"/>
      <c r="C16" s="127"/>
      <c r="D16" s="127"/>
      <c r="E16" s="127"/>
      <c r="F16" s="127"/>
      <c r="G16" s="127"/>
      <c r="H16" s="127"/>
      <c r="I16" s="127"/>
      <c r="J16" s="128"/>
    </row>
    <row r="17" spans="2:10" ht="14.25" customHeight="1">
      <c r="B17" s="257" t="s">
        <v>78</v>
      </c>
      <c r="C17" s="257"/>
      <c r="D17" s="257"/>
      <c r="E17" s="257" t="s">
        <v>38</v>
      </c>
      <c r="F17" s="257"/>
      <c r="G17" s="257"/>
      <c r="H17" s="257"/>
      <c r="I17" s="257"/>
      <c r="J17" s="257"/>
    </row>
    <row r="18" spans="2:10" ht="60" customHeight="1">
      <c r="B18" s="252" t="str">
        <f>VLOOKUP($J$1,Legger!$A$9:$DS$48,8)</f>
        <v>B</v>
      </c>
      <c r="C18" s="253"/>
      <c r="D18" s="253"/>
      <c r="E18" s="254" t="str">
        <f>VLOOKUP($J$1,Legger!$A$9:$DS$48,9)</f>
        <v>Memiliki kemampuan kolaborasi yang baik dalam kelompok tetapi inisiatif individu masih perlu ditingkatkan</v>
      </c>
      <c r="F18" s="255"/>
      <c r="G18" s="255"/>
      <c r="H18" s="255"/>
      <c r="I18" s="255"/>
      <c r="J18" s="256"/>
    </row>
    <row r="19" spans="2:10" ht="14.25" customHeight="1">
      <c r="B19" s="109"/>
      <c r="C19" s="129"/>
      <c r="D19" s="129"/>
      <c r="E19" s="129"/>
      <c r="F19" s="129"/>
      <c r="G19" s="129"/>
      <c r="H19" s="129"/>
      <c r="I19" s="129"/>
      <c r="J19" s="129"/>
    </row>
    <row r="20" spans="2:10" ht="14.25" customHeight="1">
      <c r="B20" s="122" t="s">
        <v>55</v>
      </c>
      <c r="C20" s="122" t="s">
        <v>56</v>
      </c>
      <c r="D20" s="129"/>
      <c r="E20" s="129"/>
      <c r="F20" s="129"/>
      <c r="G20" s="129"/>
      <c r="H20" s="129"/>
      <c r="I20" s="129"/>
      <c r="J20" s="129"/>
    </row>
    <row r="21" spans="2:10" ht="14.25" customHeight="1">
      <c r="B21" s="233" t="s">
        <v>30</v>
      </c>
      <c r="C21" s="233" t="s">
        <v>0</v>
      </c>
      <c r="D21" s="233"/>
      <c r="E21" s="233"/>
      <c r="F21" s="223" t="s">
        <v>79</v>
      </c>
      <c r="G21" s="223" t="s">
        <v>31</v>
      </c>
      <c r="H21" s="223"/>
      <c r="I21" s="223" t="s">
        <v>32</v>
      </c>
      <c r="J21" s="223"/>
    </row>
    <row r="22" spans="2:10" ht="14.25" customHeight="1">
      <c r="B22" s="233"/>
      <c r="C22" s="233"/>
      <c r="D22" s="233"/>
      <c r="E22" s="233"/>
      <c r="F22" s="223"/>
      <c r="G22" s="130" t="s">
        <v>57</v>
      </c>
      <c r="H22" s="130" t="s">
        <v>78</v>
      </c>
      <c r="I22" s="131" t="s">
        <v>57</v>
      </c>
      <c r="J22" s="130" t="s">
        <v>78</v>
      </c>
    </row>
    <row r="23" spans="2:10" ht="14.25" customHeight="1">
      <c r="B23" s="220" t="s">
        <v>46</v>
      </c>
      <c r="C23" s="221"/>
      <c r="D23" s="221"/>
      <c r="E23" s="221"/>
      <c r="F23" s="221"/>
      <c r="G23" s="221"/>
      <c r="H23" s="221"/>
      <c r="I23" s="221"/>
      <c r="J23" s="221"/>
    </row>
    <row r="24" spans="2:10" ht="31.5" customHeight="1">
      <c r="B24" s="132">
        <v>1</v>
      </c>
      <c r="C24" s="222" t="s">
        <v>8</v>
      </c>
      <c r="D24" s="222"/>
      <c r="E24" s="222"/>
      <c r="F24" s="132">
        <f>IF(Setting!P7="","",Setting!P7)</f>
        <v>75</v>
      </c>
      <c r="G24" s="133">
        <f>VLOOKUP($J$1,Legger!$A$9:$DS$48,10)</f>
        <v>93</v>
      </c>
      <c r="H24" s="132" t="str">
        <f>VLOOKUP($J$1,Legger!$A$9:$DS$48,11)</f>
        <v>A</v>
      </c>
      <c r="I24" s="134">
        <f>VLOOKUP($J$1,Legger!$A$9:$DS$48,13)</f>
        <v>88</v>
      </c>
      <c r="J24" s="132" t="str">
        <f>VLOOKUP($J$1,Legger!$A$9:$DS$48,14)</f>
        <v>A</v>
      </c>
    </row>
    <row r="25" spans="2:10" ht="31.5" customHeight="1">
      <c r="B25" s="132">
        <v>2</v>
      </c>
      <c r="C25" s="222" t="s">
        <v>9</v>
      </c>
      <c r="D25" s="222"/>
      <c r="E25" s="222"/>
      <c r="F25" s="132">
        <f>IF(Setting!P8="","",Setting!P8)</f>
        <v>75</v>
      </c>
      <c r="G25" s="133">
        <f>VLOOKUP($J$1,Legger!$A$9:$DS$48,16)</f>
        <v>88</v>
      </c>
      <c r="H25" s="132" t="str">
        <f>VLOOKUP($J$1,Legger!$A$9:$DS$48,17)</f>
        <v>A</v>
      </c>
      <c r="I25" s="134">
        <f>VLOOKUP($J$1,Legger!$A$9:$DS$48,19)</f>
        <v>85</v>
      </c>
      <c r="J25" s="132" t="str">
        <f>VLOOKUP($J$1,Legger!$A$9:$DS$48,20)</f>
        <v>B</v>
      </c>
    </row>
    <row r="26" spans="2:10" ht="31.5" customHeight="1">
      <c r="B26" s="132">
        <v>3</v>
      </c>
      <c r="C26" s="222" t="s">
        <v>10</v>
      </c>
      <c r="D26" s="222"/>
      <c r="E26" s="222"/>
      <c r="F26" s="132">
        <f>IF(Setting!P9="","",Setting!P9)</f>
        <v>75</v>
      </c>
      <c r="G26" s="133">
        <f>VLOOKUP($J$1,Legger!$A$9:$DS$48,22)</f>
        <v>89</v>
      </c>
      <c r="H26" s="132" t="str">
        <f>VLOOKUP($J$1,Legger!$A$9:$DS$48,23)</f>
        <v>A</v>
      </c>
      <c r="I26" s="134">
        <f>VLOOKUP($J$1,Legger!$A$9:$DS$48,25)</f>
        <v>81</v>
      </c>
      <c r="J26" s="132" t="str">
        <f>VLOOKUP($J$1,Legger!$A$9:$DS$48,26)</f>
        <v>B</v>
      </c>
    </row>
    <row r="27" spans="2:10" ht="31.5" customHeight="1">
      <c r="B27" s="132">
        <v>4</v>
      </c>
      <c r="C27" s="222" t="s">
        <v>11</v>
      </c>
      <c r="D27" s="222"/>
      <c r="E27" s="222"/>
      <c r="F27" s="132">
        <f>IF(Setting!P10="","",Setting!P10)</f>
        <v>75</v>
      </c>
      <c r="G27" s="133">
        <f>VLOOKUP($J$1,Legger!$A$9:$DS$48,28)</f>
        <v>88</v>
      </c>
      <c r="H27" s="132" t="str">
        <f>VLOOKUP($J$1,Legger!$A$9:$DS$48,29)</f>
        <v>A</v>
      </c>
      <c r="I27" s="134">
        <f>VLOOKUP($J$1,Legger!$A$9:$DS$48,31)</f>
        <v>80</v>
      </c>
      <c r="J27" s="132" t="str">
        <f>VLOOKUP($J$1,Legger!$A$9:$DS$48,32)</f>
        <v>B</v>
      </c>
    </row>
    <row r="28" spans="2:10" ht="31.5" customHeight="1">
      <c r="B28" s="132">
        <v>5</v>
      </c>
      <c r="C28" s="222" t="s">
        <v>12</v>
      </c>
      <c r="D28" s="222"/>
      <c r="E28" s="222"/>
      <c r="F28" s="132">
        <f>IF(Setting!P11="","",Setting!P11)</f>
        <v>75</v>
      </c>
      <c r="G28" s="133">
        <f>VLOOKUP($J$1,Legger!$A$9:$DS$48,34)</f>
        <v>94</v>
      </c>
      <c r="H28" s="132" t="str">
        <f>VLOOKUP($J$1,Legger!$A$9:$DS$48,35)</f>
        <v>A</v>
      </c>
      <c r="I28" s="134">
        <f>VLOOKUP($J$1,Legger!$A$9:$DS$48,37)</f>
        <v>93</v>
      </c>
      <c r="J28" s="132" t="str">
        <f>VLOOKUP($J$1,Legger!$A$9:$DS$48,38)</f>
        <v>A</v>
      </c>
    </row>
    <row r="29" spans="2:10" ht="31.5" customHeight="1">
      <c r="B29" s="132">
        <v>6</v>
      </c>
      <c r="C29" s="222" t="s">
        <v>13</v>
      </c>
      <c r="D29" s="222"/>
      <c r="E29" s="222"/>
      <c r="F29" s="132">
        <f>IF(Setting!P12="","",Setting!P12)</f>
        <v>75</v>
      </c>
      <c r="G29" s="133">
        <f>VLOOKUP($J$1,Legger!$A$9:$DS$48,40)</f>
        <v>89</v>
      </c>
      <c r="H29" s="132" t="str">
        <f>VLOOKUP($J$1,Legger!$A$9:$DS$48,41)</f>
        <v>A</v>
      </c>
      <c r="I29" s="134">
        <f>VLOOKUP($J$1,Legger!$A$9:$DS$48,43)</f>
        <v>80</v>
      </c>
      <c r="J29" s="132" t="str">
        <f>VLOOKUP($J$1,Legger!$A$9:$DS$48,44)</f>
        <v>B</v>
      </c>
    </row>
    <row r="30" spans="2:10" ht="15.75">
      <c r="B30" s="207" t="s">
        <v>47</v>
      </c>
      <c r="C30" s="207"/>
      <c r="D30" s="207"/>
      <c r="E30" s="207"/>
      <c r="F30" s="207"/>
      <c r="G30" s="207"/>
      <c r="H30" s="207"/>
      <c r="I30" s="207"/>
      <c r="J30" s="207"/>
    </row>
    <row r="31" spans="2:10" ht="31.5" customHeight="1">
      <c r="B31" s="132">
        <v>1</v>
      </c>
      <c r="C31" s="222" t="s">
        <v>15</v>
      </c>
      <c r="D31" s="222"/>
      <c r="E31" s="222"/>
      <c r="F31" s="132">
        <f>IF(Setting!P14="","",Setting!P14)</f>
        <v>75</v>
      </c>
      <c r="G31" s="133">
        <f>VLOOKUP($J$1,Legger!$A$9:$DS$48,46)</f>
        <v>93</v>
      </c>
      <c r="H31" s="132" t="str">
        <f>VLOOKUP($J$1,Legger!$A$9:$DS$48,47)</f>
        <v>A</v>
      </c>
      <c r="I31" s="134">
        <f>VLOOKUP($J$1,Legger!$A$9:$DS$48,49)</f>
        <v>93</v>
      </c>
      <c r="J31" s="132" t="str">
        <f>VLOOKUP($J$1,Legger!$A$9:$DS$48,50)</f>
        <v>A</v>
      </c>
    </row>
    <row r="32" spans="2:10" ht="31.5" customHeight="1">
      <c r="B32" s="132">
        <v>2</v>
      </c>
      <c r="C32" s="222" t="s">
        <v>16</v>
      </c>
      <c r="D32" s="222"/>
      <c r="E32" s="222"/>
      <c r="F32" s="132">
        <f>IF(Setting!P15="","",Setting!P15)</f>
        <v>75</v>
      </c>
      <c r="G32" s="133">
        <f>VLOOKUP($J$1,Legger!$A$9:$DS$48,52)</f>
        <v>89</v>
      </c>
      <c r="H32" s="132" t="str">
        <f>VLOOKUP($J$1,Legger!$A$9:$DS$48,53)</f>
        <v>A</v>
      </c>
      <c r="I32" s="134">
        <f>VLOOKUP($J$1,Legger!$A$9:$DS$48,55)</f>
        <v>87</v>
      </c>
      <c r="J32" s="132" t="str">
        <f>VLOOKUP($J$1,Legger!$A$9:$DS$48,56)</f>
        <v>B</v>
      </c>
    </row>
    <row r="33" spans="2:10" ht="31.5" customHeight="1">
      <c r="B33" s="132">
        <v>3</v>
      </c>
      <c r="C33" s="222" t="s">
        <v>17</v>
      </c>
      <c r="D33" s="222"/>
      <c r="E33" s="222"/>
      <c r="F33" s="132">
        <f>IF(Setting!P16="","",Setting!P16)</f>
        <v>75</v>
      </c>
      <c r="G33" s="133">
        <f>VLOOKUP($J$1,Legger!$A$9:$DS$48,58)</f>
        <v>93</v>
      </c>
      <c r="H33" s="132" t="str">
        <f>VLOOKUP($J$1,Legger!$A$9:$DS$48,59)</f>
        <v>A</v>
      </c>
      <c r="I33" s="134">
        <f>VLOOKUP($J$1,Legger!$A$9:$DS$48,61)</f>
        <v>97</v>
      </c>
      <c r="J33" s="132" t="str">
        <f>VLOOKUP($J$1,Legger!$A$9:$DS$48,62)</f>
        <v>A</v>
      </c>
    </row>
    <row r="34" spans="2:10" ht="31.5" customHeight="1">
      <c r="B34" s="132">
        <v>4</v>
      </c>
      <c r="C34" s="222" t="s">
        <v>18</v>
      </c>
      <c r="D34" s="222"/>
      <c r="E34" s="222"/>
      <c r="F34" s="132">
        <f>IF(Setting!P17="","",Setting!P17)</f>
        <v>75</v>
      </c>
      <c r="G34" s="133">
        <f>VLOOKUP($J$1,Legger!$A$9:$DS$48,64)</f>
        <v>90</v>
      </c>
      <c r="H34" s="132" t="str">
        <f>VLOOKUP($J$1,Legger!$A$9:$DS$48,65)</f>
        <v>A</v>
      </c>
      <c r="I34" s="134">
        <f>VLOOKUP($J$1,Legger!$A$9:$DS$48,67)</f>
        <v>82</v>
      </c>
      <c r="J34" s="132" t="str">
        <f>VLOOKUP($J$1,Legger!$A$9:$DS$48,68)</f>
        <v>B</v>
      </c>
    </row>
    <row r="35" spans="2:10" ht="15.75">
      <c r="B35" s="207" t="s">
        <v>19</v>
      </c>
      <c r="C35" s="207"/>
      <c r="D35" s="207"/>
      <c r="E35" s="207"/>
      <c r="F35" s="207"/>
      <c r="G35" s="207"/>
      <c r="H35" s="207"/>
      <c r="I35" s="207"/>
      <c r="J35" s="207"/>
    </row>
    <row r="36" spans="2:10" ht="15.75">
      <c r="B36" s="207" t="s">
        <v>49</v>
      </c>
      <c r="C36" s="207"/>
      <c r="D36" s="207"/>
      <c r="E36" s="207"/>
      <c r="F36" s="207"/>
      <c r="G36" s="207"/>
      <c r="H36" s="207"/>
      <c r="I36" s="207"/>
      <c r="J36" s="207"/>
    </row>
    <row r="37" spans="2:10" ht="31.5" customHeight="1">
      <c r="B37" s="132">
        <v>1</v>
      </c>
      <c r="C37" s="222" t="s">
        <v>11</v>
      </c>
      <c r="D37" s="222"/>
      <c r="E37" s="222"/>
      <c r="F37" s="132">
        <f>IF(Setting!P20="","",Setting!P20)</f>
        <v>75</v>
      </c>
      <c r="G37" s="133">
        <f>VLOOKUP($J$1,Legger!$A$9:$DS$48,70)</f>
        <v>88</v>
      </c>
      <c r="H37" s="132" t="str">
        <f>VLOOKUP($J$1,Legger!$A$9:$DS$48,71)</f>
        <v>A</v>
      </c>
      <c r="I37" s="134">
        <f>VLOOKUP($J$1,Legger!$A$9:$DS$48,73)</f>
        <v>88</v>
      </c>
      <c r="J37" s="132" t="str">
        <f>VLOOKUP($J$1,Legger!$A$9:$DS$48,74)</f>
        <v>A</v>
      </c>
    </row>
    <row r="38" spans="2:10" ht="31.5" customHeight="1">
      <c r="B38" s="132">
        <v>2</v>
      </c>
      <c r="C38" s="222" t="s">
        <v>20</v>
      </c>
      <c r="D38" s="222"/>
      <c r="E38" s="222"/>
      <c r="F38" s="132">
        <f>IF(Setting!P21="","",Setting!P21)</f>
        <v>75</v>
      </c>
      <c r="G38" s="133">
        <f>VLOOKUP($J$1,Legger!$A$9:$DS$48,76)</f>
        <v>88</v>
      </c>
      <c r="H38" s="132" t="str">
        <f>VLOOKUP($J$1,Legger!$A$9:$DS$48,77)</f>
        <v>A</v>
      </c>
      <c r="I38" s="134">
        <f>VLOOKUP($J$1,Legger!$A$9:$DS$48,79)</f>
        <v>86</v>
      </c>
      <c r="J38" s="132" t="str">
        <f>VLOOKUP($J$1,Legger!$A$9:$DS$48,80)</f>
        <v>B</v>
      </c>
    </row>
    <row r="39" spans="2:10" ht="31.5" customHeight="1">
      <c r="B39" s="132">
        <v>3</v>
      </c>
      <c r="C39" s="222" t="s">
        <v>21</v>
      </c>
      <c r="D39" s="222"/>
      <c r="E39" s="222"/>
      <c r="F39" s="132">
        <f>IF(Setting!P22="","",Setting!P22)</f>
        <v>75</v>
      </c>
      <c r="G39" s="133">
        <f>VLOOKUP($J$1,Legger!$A$9:$DS$48,82)</f>
        <v>90</v>
      </c>
      <c r="H39" s="132" t="str">
        <f>VLOOKUP($J$1,Legger!$A$9:$DS$48,83)</f>
        <v>A</v>
      </c>
      <c r="I39" s="134">
        <f>VLOOKUP($J$1,Legger!$A$9:$DS$48,85)</f>
        <v>89</v>
      </c>
      <c r="J39" s="132" t="str">
        <f>VLOOKUP($J$1,Legger!$A$9:$DS$48,86)</f>
        <v>A</v>
      </c>
    </row>
    <row r="40" spans="2:10" ht="31.5" customHeight="1">
      <c r="B40" s="132">
        <v>4</v>
      </c>
      <c r="C40" s="222" t="s">
        <v>22</v>
      </c>
      <c r="D40" s="222"/>
      <c r="E40" s="222"/>
      <c r="F40" s="132">
        <f>IF(Setting!P23="","",Setting!P23)</f>
        <v>75</v>
      </c>
      <c r="G40" s="133">
        <f>VLOOKUP($J$1,Legger!$A$9:$DS$48,88)</f>
        <v>84</v>
      </c>
      <c r="H40" s="132" t="str">
        <f>VLOOKUP($J$1,Legger!$A$9:$DS$48,89)</f>
        <v>B</v>
      </c>
      <c r="I40" s="134">
        <f>VLOOKUP($J$1,Legger!$A$9:$DS$48,91)</f>
        <v>81</v>
      </c>
      <c r="J40" s="132" t="str">
        <f>VLOOKUP($J$1,Legger!$A$9:$DS$48,92)</f>
        <v>B</v>
      </c>
    </row>
    <row r="41" spans="2:10" ht="15.75">
      <c r="B41" s="207" t="s">
        <v>19</v>
      </c>
      <c r="C41" s="207"/>
      <c r="D41" s="207"/>
      <c r="E41" s="207"/>
      <c r="F41" s="207"/>
      <c r="G41" s="207"/>
      <c r="H41" s="207"/>
      <c r="I41" s="207"/>
      <c r="J41" s="207"/>
    </row>
    <row r="42" spans="2:10" ht="15.75">
      <c r="B42" s="220" t="s">
        <v>48</v>
      </c>
      <c r="C42" s="221"/>
      <c r="D42" s="221"/>
      <c r="E42" s="221"/>
      <c r="F42" s="221"/>
      <c r="G42" s="221"/>
      <c r="H42" s="221"/>
      <c r="I42" s="221"/>
      <c r="J42" s="247"/>
    </row>
    <row r="43" spans="2:10" ht="31.5" customHeight="1">
      <c r="B43" s="132">
        <v>1</v>
      </c>
      <c r="C43" s="222" t="s">
        <v>932</v>
      </c>
      <c r="D43" s="222"/>
      <c r="E43" s="222"/>
      <c r="F43" s="132">
        <f>IF(Setting!P26="","",Setting!P26)</f>
        <v>75</v>
      </c>
      <c r="G43" s="133">
        <f>VLOOKUP($J$1,Legger!$A$9:$DS$48,100)</f>
        <v>84</v>
      </c>
      <c r="H43" s="132" t="str">
        <f>VLOOKUP($J$1,Legger!$A$9:$DS$48,101)</f>
        <v>B</v>
      </c>
      <c r="I43" s="134">
        <f>VLOOKUP($J$1,Legger!$A$9:$DS$48,103)</f>
        <v>80</v>
      </c>
      <c r="J43" s="132" t="str">
        <f>VLOOKUP($J$1,Legger!$A$9:$DS$48,104)</f>
        <v>B</v>
      </c>
    </row>
    <row r="44" spans="2:10" ht="31.5" customHeight="1">
      <c r="B44" s="132">
        <v>2</v>
      </c>
      <c r="C44" s="222" t="s">
        <v>930</v>
      </c>
      <c r="D44" s="222"/>
      <c r="E44" s="222"/>
      <c r="F44" s="132">
        <f>IF(C44="","",Setting!P25)</f>
        <v>75</v>
      </c>
      <c r="G44" s="133">
        <f>IF(C44="","",VLOOKUP($J$1,Legger!$A$9:$DS$48,94))</f>
        <v>91</v>
      </c>
      <c r="H44" s="132" t="str">
        <f>IF(C44="","",VLOOKUP($J$1,Legger!$A$9:$DS$48,95))</f>
        <v>A</v>
      </c>
      <c r="I44" s="134">
        <f>IF(C44="","",VLOOKUP($J$1,Legger!$A$9:$DS$48,97))</f>
        <v>87</v>
      </c>
      <c r="J44" s="132" t="str">
        <f>IF(C44="","",VLOOKUP($J$1,Legger!$A$9:$DS$48,98))</f>
        <v>B</v>
      </c>
    </row>
    <row r="45" spans="2:10">
      <c r="B45" s="145"/>
      <c r="C45" s="160"/>
      <c r="D45" s="160"/>
      <c r="E45" s="160"/>
      <c r="F45" s="145"/>
      <c r="G45" s="159"/>
      <c r="H45" s="145"/>
      <c r="I45" s="159"/>
      <c r="J45" s="145"/>
    </row>
    <row r="46" spans="2:10">
      <c r="B46" s="145"/>
      <c r="C46" s="161" t="s">
        <v>142</v>
      </c>
      <c r="D46" s="160"/>
      <c r="E46" s="160"/>
      <c r="F46" s="145"/>
      <c r="G46" s="159"/>
      <c r="H46" s="145"/>
      <c r="I46" s="159"/>
      <c r="J46" s="145"/>
    </row>
    <row r="47" spans="2:10" ht="15.75">
      <c r="B47" s="145"/>
      <c r="C47" s="228" t="s">
        <v>79</v>
      </c>
      <c r="D47" s="228"/>
      <c r="E47" s="226" t="s">
        <v>78</v>
      </c>
      <c r="F47" s="226"/>
      <c r="G47" s="226"/>
      <c r="H47" s="226"/>
      <c r="I47" s="226"/>
      <c r="J47" s="226"/>
    </row>
    <row r="48" spans="2:10" ht="15.75">
      <c r="B48" s="145"/>
      <c r="C48" s="228"/>
      <c r="D48" s="228"/>
      <c r="E48" s="162" t="s">
        <v>143</v>
      </c>
      <c r="F48" s="226" t="s">
        <v>144</v>
      </c>
      <c r="G48" s="226"/>
      <c r="H48" s="162" t="s">
        <v>145</v>
      </c>
      <c r="I48" s="226" t="s">
        <v>146</v>
      </c>
      <c r="J48" s="226"/>
    </row>
    <row r="49" spans="2:10" ht="15.75">
      <c r="B49" s="145"/>
      <c r="C49" s="229">
        <v>75</v>
      </c>
      <c r="D49" s="229"/>
      <c r="E49" s="76" t="s">
        <v>147</v>
      </c>
      <c r="F49" s="227" t="s">
        <v>148</v>
      </c>
      <c r="G49" s="227"/>
      <c r="H49" s="76" t="s">
        <v>149</v>
      </c>
      <c r="I49" s="227" t="s">
        <v>150</v>
      </c>
      <c r="J49" s="227"/>
    </row>
    <row r="50" spans="2:10" ht="14.25" customHeight="1">
      <c r="B50" s="105" t="s">
        <v>2</v>
      </c>
      <c r="C50" s="106"/>
      <c r="D50" s="105"/>
      <c r="E50" s="107" t="str">
        <f>E3</f>
        <v>: SMA ABBS Surakarta</v>
      </c>
      <c r="F50" s="108"/>
      <c r="G50" s="107"/>
      <c r="H50" s="105" t="s">
        <v>3</v>
      </c>
      <c r="I50" s="107" t="str">
        <f>I3</f>
        <v>: X.MIPA 4</v>
      </c>
      <c r="J50" s="109"/>
    </row>
    <row r="51" spans="2:10" ht="15.75" customHeight="1">
      <c r="B51" s="105" t="s">
        <v>4</v>
      </c>
      <c r="C51" s="106"/>
      <c r="D51" s="105"/>
      <c r="E51" s="258" t="str">
        <f>E4</f>
        <v>: Jln. Tarumanegara III No 22, Banyuanyar, Banjarsari, Surakarta</v>
      </c>
      <c r="F51" s="258"/>
      <c r="G51" s="258"/>
      <c r="H51" s="110" t="s">
        <v>5</v>
      </c>
      <c r="I51" s="111" t="str">
        <f>I4</f>
        <v>: II (Genap)</v>
      </c>
      <c r="J51" s="109"/>
    </row>
    <row r="52" spans="2:10" ht="15" customHeight="1">
      <c r="B52" s="105"/>
      <c r="C52" s="106"/>
      <c r="D52" s="105"/>
      <c r="E52" s="258" t="s">
        <v>140</v>
      </c>
      <c r="F52" s="258"/>
      <c r="G52" s="258"/>
      <c r="H52" s="206" t="s">
        <v>77</v>
      </c>
      <c r="I52" s="112" t="str">
        <f>I5</f>
        <v>: 2020/2021</v>
      </c>
      <c r="J52" s="109"/>
    </row>
    <row r="53" spans="2:10" ht="15.75">
      <c r="B53" s="113" t="s">
        <v>6</v>
      </c>
      <c r="C53" s="106"/>
      <c r="D53" s="113"/>
      <c r="E53" s="107" t="str">
        <f>E6</f>
        <v>: Kelvin Oktabrian Ramadhan</v>
      </c>
      <c r="F53" s="108"/>
      <c r="G53" s="114"/>
      <c r="H53" s="206"/>
      <c r="I53" s="109"/>
      <c r="J53" s="109"/>
    </row>
    <row r="54" spans="2:10" s="100" customFormat="1" ht="18.75" customHeight="1" thickBot="1">
      <c r="B54" s="115" t="s">
        <v>7</v>
      </c>
      <c r="C54" s="116"/>
      <c r="D54" s="115"/>
      <c r="E54" s="120" t="str">
        <f>E7</f>
        <v>: 2008169 / 0045893001</v>
      </c>
      <c r="F54" s="118"/>
      <c r="G54" s="119"/>
      <c r="H54" s="117"/>
      <c r="I54" s="120"/>
      <c r="J54" s="120"/>
    </row>
    <row r="55" spans="2:10" ht="15.75" thickTop="1">
      <c r="B55" s="109"/>
      <c r="C55" s="109"/>
      <c r="D55" s="109"/>
      <c r="E55" s="109"/>
      <c r="F55" s="109"/>
      <c r="G55" s="109"/>
      <c r="H55" s="109"/>
      <c r="I55" s="109"/>
      <c r="J55" s="109"/>
    </row>
    <row r="56" spans="2:10" ht="15.75">
      <c r="B56" s="122" t="s">
        <v>80</v>
      </c>
      <c r="C56" s="109"/>
      <c r="D56" s="109"/>
      <c r="E56" s="109"/>
      <c r="F56" s="109"/>
      <c r="G56" s="109"/>
      <c r="H56" s="109"/>
      <c r="I56" s="109"/>
      <c r="J56" s="109"/>
    </row>
    <row r="57" spans="2:10">
      <c r="B57" s="233" t="s">
        <v>30</v>
      </c>
      <c r="C57" s="233" t="s">
        <v>0</v>
      </c>
      <c r="D57" s="233"/>
      <c r="E57" s="223" t="s">
        <v>81</v>
      </c>
      <c r="F57" s="223" t="s">
        <v>38</v>
      </c>
      <c r="G57" s="223"/>
      <c r="H57" s="223"/>
      <c r="I57" s="223"/>
      <c r="J57" s="223"/>
    </row>
    <row r="58" spans="2:10">
      <c r="B58" s="233"/>
      <c r="C58" s="233"/>
      <c r="D58" s="233"/>
      <c r="E58" s="223"/>
      <c r="F58" s="223"/>
      <c r="G58" s="223"/>
      <c r="H58" s="223"/>
      <c r="I58" s="223"/>
      <c r="J58" s="223"/>
    </row>
    <row r="59" spans="2:10" ht="15.75">
      <c r="B59" s="220" t="s">
        <v>46</v>
      </c>
      <c r="C59" s="221"/>
      <c r="D59" s="221"/>
      <c r="E59" s="221"/>
      <c r="F59" s="221"/>
      <c r="G59" s="221"/>
      <c r="H59" s="221"/>
      <c r="I59" s="221"/>
      <c r="J59" s="221"/>
    </row>
    <row r="60" spans="2:10" ht="53.25" customHeight="1">
      <c r="B60" s="208">
        <v>1</v>
      </c>
      <c r="C60" s="210" t="s">
        <v>8</v>
      </c>
      <c r="D60" s="211"/>
      <c r="E60" s="135" t="s">
        <v>31</v>
      </c>
      <c r="F60" s="217" t="str">
        <f>VLOOKUP($J$1,Legger!$A$9:$DS$48,12)</f>
        <v>Memiliki kemampuan menganalisis Q.S. al-Isra’/17: 32, dan Q.S. an-Nur/24 : 2, serta hadis tentang larangan pergaulan bebas dan perbuatan zina, namun perlu peningkatan menganalisis substansi, strategi, dan keberhasilan dakwah Nabi Muhammad saw di Madinah</v>
      </c>
      <c r="G60" s="218"/>
      <c r="H60" s="218"/>
      <c r="I60" s="218"/>
      <c r="J60" s="219"/>
    </row>
    <row r="61" spans="2:10" ht="40.5" customHeight="1">
      <c r="B61" s="209"/>
      <c r="C61" s="212"/>
      <c r="D61" s="213"/>
      <c r="E61" s="135" t="s">
        <v>32</v>
      </c>
      <c r="F61" s="214" t="str">
        <f>VLOOKUP($J$1,Legger!$A$9:$DS$48,15)</f>
        <v xml:space="preserve">Memiliki keterampilan menyajikan kaitan antara kewajiban menuntut ilmu, dengan kewajiban membela agama sesuai perintah Q.S. at-Taubah/9: 122 adan hadis terkait.
</v>
      </c>
      <c r="G61" s="215"/>
      <c r="H61" s="215"/>
      <c r="I61" s="215"/>
      <c r="J61" s="216"/>
    </row>
    <row r="62" spans="2:10" ht="69.75" customHeight="1">
      <c r="B62" s="208">
        <v>2</v>
      </c>
      <c r="C62" s="210" t="s">
        <v>116</v>
      </c>
      <c r="D62" s="211"/>
      <c r="E62" s="135" t="s">
        <v>31</v>
      </c>
      <c r="F62" s="217" t="str">
        <f>VLOOKUP($J$1,Legger!$A$9:$DS$48,18)</f>
        <v>Memiliki kemampuan menganalisis fungsi dan kewenangan lembaga-lembaga Negara menurut Undang-Undang Dasar Negara Republik Indonesia Tahun 1945, namun perlu peningkatan merumuskan hubungan pemerintah pusat dan daerah menurut Undang-Undang Dasar Negara Republik Indonesia Tahun 1945</v>
      </c>
      <c r="G62" s="218"/>
      <c r="H62" s="218"/>
      <c r="I62" s="218"/>
      <c r="J62" s="219"/>
    </row>
    <row r="63" spans="2:10" ht="49.5" customHeight="1">
      <c r="B63" s="209"/>
      <c r="C63" s="212"/>
      <c r="D63" s="213"/>
      <c r="E63" s="135" t="s">
        <v>32</v>
      </c>
      <c r="F63" s="217" t="str">
        <f>VLOOKUP($J$1,Legger!$A$9:$DS$48,21)</f>
        <v>Memiliki keterampilan mendemonstrasikan hasil analisis tentang fungsi dan kewenangan lembaga-lembaga Negara menurut Undang-Undang Dasar Negara Republik Indonesia Tahun 1945</v>
      </c>
      <c r="G63" s="218"/>
      <c r="H63" s="218"/>
      <c r="I63" s="218"/>
      <c r="J63" s="219"/>
    </row>
    <row r="64" spans="2:10" ht="53.25" customHeight="1">
      <c r="B64" s="208">
        <v>3</v>
      </c>
      <c r="C64" s="210" t="s">
        <v>10</v>
      </c>
      <c r="D64" s="211"/>
      <c r="E64" s="135" t="s">
        <v>31</v>
      </c>
      <c r="F64" s="217" t="str">
        <f>VLOOKUP($J$1,Legger!$A$9:$DS$48,24)</f>
        <v>Memiliki kemampuan mengevaluasi  pengajuan, penawaran dan persetujuan dalam teks negosiasi lisan maupun tertulis, namun perlu peningkatan menganalisis aspek makna dan kebahasaan dalam teks biografi</v>
      </c>
      <c r="G64" s="218"/>
      <c r="H64" s="218"/>
      <c r="I64" s="218"/>
      <c r="J64" s="219"/>
    </row>
    <row r="65" spans="2:10" ht="26.25" customHeight="1">
      <c r="B65" s="209"/>
      <c r="C65" s="212"/>
      <c r="D65" s="213"/>
      <c r="E65" s="135" t="s">
        <v>32</v>
      </c>
      <c r="F65" s="217" t="str">
        <f>VLOOKUP($J$1,Legger!$A$9:$DS$48,27)</f>
        <v>Memiliki keterampilan mengonstruksi permasalahan/isu, sudut pandang dan argumen beberapa  pihak, dan simpulan dari debat secara lisan untuk menunjukkan esensi dari debat</v>
      </c>
      <c r="G65" s="218"/>
      <c r="H65" s="218"/>
      <c r="I65" s="218"/>
      <c r="J65" s="219"/>
    </row>
    <row r="66" spans="2:10" ht="72" customHeight="1">
      <c r="B66" s="208">
        <v>4</v>
      </c>
      <c r="C66" s="210" t="s">
        <v>11</v>
      </c>
      <c r="D66" s="211"/>
      <c r="E66" s="135" t="s">
        <v>31</v>
      </c>
      <c r="F66" s="217" t="str">
        <f>VLOOKUP($J$1,Legger!$A$9:$DS$48,30)</f>
        <v>Memiliki kemampuan menggeneralisasi rasio trigonometri untuk sudut-sudut di berbagai kuadran dan sudut-sudut berelasi, namun perlu peningkatan menjelaskan aturan sinus cosinus</v>
      </c>
      <c r="G66" s="218"/>
      <c r="H66" s="218"/>
      <c r="I66" s="218"/>
      <c r="J66" s="219"/>
    </row>
    <row r="67" spans="2:10" ht="48.75" customHeight="1">
      <c r="B67" s="209"/>
      <c r="C67" s="212"/>
      <c r="D67" s="213"/>
      <c r="E67" s="135" t="s">
        <v>32</v>
      </c>
      <c r="F67" s="217" t="str">
        <f>VLOOKUP($J$1,Legger!$A$9:$DS$48,33)</f>
        <v>Memiliki keterampilan menyelesaikan masalah kontekstual yang berkaitan dengan rasio trigonometri (sinus, cosinus, tangen, cosecan, secan, dan cotangen) pada segitiga siku-siku</v>
      </c>
      <c r="G67" s="218"/>
      <c r="H67" s="218"/>
      <c r="I67" s="218"/>
      <c r="J67" s="219"/>
    </row>
    <row r="68" spans="2:10" ht="71.25" customHeight="1">
      <c r="B68" s="208">
        <v>5</v>
      </c>
      <c r="C68" s="210" t="s">
        <v>12</v>
      </c>
      <c r="D68" s="211"/>
      <c r="E68" s="135" t="s">
        <v>31</v>
      </c>
      <c r="F68" s="217" t="str">
        <f>VLOOKUP($J$1,Legger!$A$9:$DS$48,36)</f>
        <v>Memiliki kemampuan menganalisis berbagai teori tentang proses masuknya agama dan kebudayaan Hindu dan Buddha ke Indonesia, namun perlu peningkatan menganalisis berbagai teori tentang proses masuknya agama dan kebudayaan Islam ke Indonesia</v>
      </c>
      <c r="G68" s="218"/>
      <c r="H68" s="218"/>
      <c r="I68" s="218"/>
      <c r="J68" s="219"/>
    </row>
    <row r="69" spans="2:10" ht="42" customHeight="1">
      <c r="B69" s="209"/>
      <c r="C69" s="212"/>
      <c r="D69" s="213"/>
      <c r="E69" s="135" t="s">
        <v>32</v>
      </c>
      <c r="F69" s="217" t="str">
        <f>VLOOKUP($J$1,Legger!$A$9:$DS$48,39)</f>
        <v>Memiliki keterampilan menyajikan hasil penalaran dalam bentuk tulisan tentang nilai-nilai dan unsur budaya yang berkembang pada masa kerajaan Islam dan masih berkelanjutan dalam kehidupan bangsa Indonesia pada masa kini</v>
      </c>
      <c r="G69" s="218"/>
      <c r="H69" s="218"/>
      <c r="I69" s="218"/>
      <c r="J69" s="219"/>
    </row>
    <row r="70" spans="2:10" ht="102" customHeight="1">
      <c r="B70" s="208">
        <v>6</v>
      </c>
      <c r="C70" s="210" t="s">
        <v>13</v>
      </c>
      <c r="D70" s="211"/>
      <c r="E70" s="135" t="s">
        <v>31</v>
      </c>
      <c r="F70" s="217" t="str">
        <f>VLOOKUP($J$1,Legger!$A$9:$DS$48,42)</f>
        <v>Memiliki kemampuan membedakan fungsi sosial, struktur teks, dan unsur kebahasaan beberapa teks recount lisan dan tulis yang berhubungan dengan peristiwa bersejarah, namun perlu peningkatan membedakan fungsi sosial, struktur teks, dan unsur kebahasaan beberapa teks naratif lisan dan tulis dengan memberi dan meminta informasi terkait legenda rakyat</v>
      </c>
      <c r="G70" s="218"/>
      <c r="H70" s="218"/>
      <c r="I70" s="218"/>
      <c r="J70" s="219"/>
    </row>
    <row r="71" spans="2:10" ht="45" customHeight="1">
      <c r="B71" s="209"/>
      <c r="C71" s="212"/>
      <c r="D71" s="213"/>
      <c r="E71" s="135" t="s">
        <v>32</v>
      </c>
      <c r="F71" s="217" t="str">
        <f>VLOOKUP($J$1,Legger!$A$9:$DS$48,45)</f>
        <v>Memiliki keterampilan menyusun teks khusus dalam bentuk announcement, lisan dan tulis, pendek dan sederhana</v>
      </c>
      <c r="G71" s="218"/>
      <c r="H71" s="218"/>
      <c r="I71" s="218"/>
      <c r="J71" s="219"/>
    </row>
    <row r="72" spans="2:10" ht="15.75">
      <c r="B72" s="207" t="s">
        <v>47</v>
      </c>
      <c r="C72" s="207"/>
      <c r="D72" s="207"/>
      <c r="E72" s="207"/>
      <c r="F72" s="207"/>
      <c r="G72" s="207"/>
      <c r="H72" s="207"/>
      <c r="I72" s="207"/>
      <c r="J72" s="207"/>
    </row>
    <row r="73" spans="2:10" ht="39" customHeight="1">
      <c r="B73" s="208">
        <v>1</v>
      </c>
      <c r="C73" s="210" t="s">
        <v>15</v>
      </c>
      <c r="D73" s="211"/>
      <c r="E73" s="135" t="s">
        <v>31</v>
      </c>
      <c r="F73" s="217" t="str">
        <f>VLOOKUP($J$1,Legger!$A$9:$DS$48,48)</f>
        <v>Memiliki kemampuan memahami unsur-unsur seni fashion disain, namun perlu peningkatan memahami unsur-unsur seni disain grafis</v>
      </c>
      <c r="G73" s="218"/>
      <c r="H73" s="218"/>
      <c r="I73" s="218"/>
      <c r="J73" s="219"/>
    </row>
    <row r="74" spans="2:10" ht="34.5" customHeight="1">
      <c r="B74" s="209"/>
      <c r="C74" s="212"/>
      <c r="D74" s="213"/>
      <c r="E74" s="135" t="s">
        <v>32</v>
      </c>
      <c r="F74" s="217" t="str">
        <f>VLOOKUP($J$1,Legger!$A$9:$DS$48,51)</f>
        <v>Memiliki keterampilan mengaplikasikan disain grafis ke dalam karya dua dimensi</v>
      </c>
      <c r="G74" s="218"/>
      <c r="H74" s="218"/>
      <c r="I74" s="218"/>
      <c r="J74" s="219"/>
    </row>
    <row r="75" spans="2:10" ht="71.25" customHeight="1">
      <c r="B75" s="260">
        <v>2</v>
      </c>
      <c r="C75" s="222" t="s">
        <v>16</v>
      </c>
      <c r="D75" s="222"/>
      <c r="E75" s="135" t="s">
        <v>31</v>
      </c>
      <c r="F75" s="217" t="str">
        <f>VLOOKUP($J$1,Legger!$A$9:$DS$48,54)</f>
        <v>Memiliki kemampuan memahami konsep dan prinsip pergaulan yang sehat antar remaja dan menjaga diri dari kehamilan pada usia sekolah , namun perlu peningkatan menganalisis berbagai peraturan perundangan serta konsekuensi hukum bagi para pengguna dan pengedar narkotika, psikotropika,  zat-zat aditif (NAPZA) dan obat berbahaya lainnya</v>
      </c>
      <c r="G75" s="218"/>
      <c r="H75" s="218"/>
      <c r="I75" s="218"/>
      <c r="J75" s="219"/>
    </row>
    <row r="76" spans="2:10" ht="39.75" customHeight="1">
      <c r="B76" s="260"/>
      <c r="C76" s="222"/>
      <c r="D76" s="222"/>
      <c r="E76" s="135" t="s">
        <v>32</v>
      </c>
      <c r="F76" s="217" t="str">
        <f>VLOOKUP($J$1,Legger!$A$9:$DS$48,57)</f>
        <v>Memiliki keterampilan mempresentasikan konsep dan prinsip pergaulan yang sehat antar remaja dan menjaga diri dari kehamilan pada usia sekolah</v>
      </c>
      <c r="G76" s="218"/>
      <c r="H76" s="218"/>
      <c r="I76" s="218"/>
      <c r="J76" s="219"/>
    </row>
    <row r="77" spans="2:10" ht="15.75">
      <c r="B77" s="105" t="s">
        <v>2</v>
      </c>
      <c r="C77" s="106"/>
      <c r="D77" s="105"/>
      <c r="E77" s="107" t="str">
        <f>E3</f>
        <v>: SMA ABBS Surakarta</v>
      </c>
      <c r="F77" s="108"/>
      <c r="G77" s="107"/>
      <c r="H77" s="105" t="s">
        <v>3</v>
      </c>
      <c r="I77" s="107" t="str">
        <f>I3</f>
        <v>: X.MIPA 4</v>
      </c>
      <c r="J77" s="109"/>
    </row>
    <row r="78" spans="2:10" ht="15" customHeight="1">
      <c r="B78" s="136" t="s">
        <v>4</v>
      </c>
      <c r="C78" s="137"/>
      <c r="D78" s="136"/>
      <c r="E78" s="259" t="str">
        <f>E4</f>
        <v>: Jln. Tarumanegara III No 22, Banyuanyar, Banjarsari, Surakarta</v>
      </c>
      <c r="F78" s="259"/>
      <c r="G78" s="259"/>
      <c r="H78" s="138" t="s">
        <v>5</v>
      </c>
      <c r="I78" s="139" t="str">
        <f>I4</f>
        <v>: II (Genap)</v>
      </c>
      <c r="J78" s="140"/>
    </row>
    <row r="79" spans="2:10" ht="15" customHeight="1">
      <c r="B79" s="136"/>
      <c r="C79" s="137"/>
      <c r="D79" s="136"/>
      <c r="E79" s="258" t="s">
        <v>140</v>
      </c>
      <c r="F79" s="258"/>
      <c r="G79" s="258"/>
      <c r="H79" s="251" t="s">
        <v>77</v>
      </c>
      <c r="I79" s="141" t="str">
        <f>I5</f>
        <v>: 2020/2021</v>
      </c>
      <c r="J79" s="140"/>
    </row>
    <row r="80" spans="2:10" ht="15.75">
      <c r="B80" s="142" t="s">
        <v>6</v>
      </c>
      <c r="C80" s="137"/>
      <c r="D80" s="142"/>
      <c r="E80" s="143" t="str">
        <f>E6</f>
        <v>: Kelvin Oktabrian Ramadhan</v>
      </c>
      <c r="F80" s="144"/>
      <c r="G80" s="114"/>
      <c r="H80" s="251"/>
      <c r="I80" s="140"/>
      <c r="J80" s="140"/>
    </row>
    <row r="81" spans="2:10" s="100" customFormat="1" ht="19.5" customHeight="1" thickBot="1">
      <c r="B81" s="115" t="s">
        <v>7</v>
      </c>
      <c r="C81" s="116"/>
      <c r="D81" s="115"/>
      <c r="E81" s="120" t="str">
        <f>E7</f>
        <v>: 2008169 / 0045893001</v>
      </c>
      <c r="F81" s="118"/>
      <c r="G81" s="119"/>
      <c r="H81" s="117"/>
      <c r="I81" s="120"/>
      <c r="J81" s="120"/>
    </row>
    <row r="82" spans="2:10" ht="15.75" thickTop="1">
      <c r="B82" s="145"/>
      <c r="C82" s="146"/>
      <c r="D82" s="146"/>
      <c r="E82" s="147"/>
      <c r="F82" s="148"/>
      <c r="G82" s="148"/>
      <c r="H82" s="148"/>
      <c r="I82" s="148"/>
      <c r="J82" s="148"/>
    </row>
    <row r="83" spans="2:10">
      <c r="B83" s="233" t="s">
        <v>30</v>
      </c>
      <c r="C83" s="233" t="s">
        <v>0</v>
      </c>
      <c r="D83" s="233"/>
      <c r="E83" s="223" t="s">
        <v>81</v>
      </c>
      <c r="F83" s="223" t="s">
        <v>38</v>
      </c>
      <c r="G83" s="223"/>
      <c r="H83" s="223"/>
      <c r="I83" s="223"/>
      <c r="J83" s="223"/>
    </row>
    <row r="84" spans="2:10">
      <c r="B84" s="233"/>
      <c r="C84" s="233"/>
      <c r="D84" s="233"/>
      <c r="E84" s="223"/>
      <c r="F84" s="223"/>
      <c r="G84" s="223"/>
      <c r="H84" s="223"/>
      <c r="I84" s="223"/>
      <c r="J84" s="223"/>
    </row>
    <row r="85" spans="2:10" ht="15.75">
      <c r="B85" s="207" t="s">
        <v>47</v>
      </c>
      <c r="C85" s="207"/>
      <c r="D85" s="207"/>
      <c r="E85" s="207"/>
      <c r="F85" s="207"/>
      <c r="G85" s="207"/>
      <c r="H85" s="207"/>
      <c r="I85" s="207"/>
      <c r="J85" s="207"/>
    </row>
    <row r="86" spans="2:10" ht="49.5" customHeight="1">
      <c r="B86" s="208">
        <v>3</v>
      </c>
      <c r="C86" s="210" t="s">
        <v>17</v>
      </c>
      <c r="D86" s="211"/>
      <c r="E86" s="135" t="s">
        <v>31</v>
      </c>
      <c r="F86" s="217" t="str">
        <f>VLOOKUP($J$1,Legger!$A$9:$DS$48,60)</f>
        <v>Memiliki kemampuan memahami cara menentukan pemasaran produk transportasi dan logistik secara langsung, namun perlu peningkatan memahami perhitungan harga pokok produksi produk transportasi dan logistik</v>
      </c>
      <c r="G86" s="218"/>
      <c r="H86" s="218"/>
      <c r="I86" s="218"/>
      <c r="J86" s="219"/>
    </row>
    <row r="87" spans="2:10" ht="27" customHeight="1">
      <c r="B87" s="209"/>
      <c r="C87" s="212"/>
      <c r="D87" s="213"/>
      <c r="E87" s="135" t="s">
        <v>32</v>
      </c>
      <c r="F87" s="217" t="str">
        <f>VLOOKUP($J$1,Legger!$A$9:$DS$48,63)</f>
        <v>Memiliki keterampilan mengidentifikasi karakteristik wirausahawan</v>
      </c>
      <c r="G87" s="218"/>
      <c r="H87" s="218"/>
      <c r="I87" s="218"/>
      <c r="J87" s="219"/>
    </row>
    <row r="88" spans="2:10" ht="49.5" customHeight="1">
      <c r="B88" s="208">
        <v>4</v>
      </c>
      <c r="C88" s="210" t="s">
        <v>18</v>
      </c>
      <c r="D88" s="211"/>
      <c r="E88" s="135" t="s">
        <v>31</v>
      </c>
      <c r="F88" s="217" t="str">
        <f>VLOOKUP($J$1,Legger!$A$9:$DS$48,66)</f>
        <v>Memiliki kemampuan memahami isi teks crita Mahabharata (Bima Bungkus)., namun perlu peningkatan menelaah teks Serat Wedhatama pupuh Sinom</v>
      </c>
      <c r="G88" s="218"/>
      <c r="H88" s="218"/>
      <c r="I88" s="218"/>
      <c r="J88" s="219"/>
    </row>
    <row r="89" spans="2:10" ht="38.25" customHeight="1">
      <c r="B89" s="209"/>
      <c r="C89" s="212"/>
      <c r="D89" s="213"/>
      <c r="E89" s="135" t="s">
        <v>32</v>
      </c>
      <c r="F89" s="217" t="str">
        <f>VLOOKUP($J$1,Legger!$A$9:$DS$48,69)</f>
        <v xml:space="preserve">Memiliki keterampilan menanggagpi isi Serat Wedhatama pupuh Sinom </v>
      </c>
      <c r="G89" s="218"/>
      <c r="H89" s="218"/>
      <c r="I89" s="218"/>
      <c r="J89" s="219"/>
    </row>
    <row r="90" spans="2:10" ht="15.75">
      <c r="B90" s="207" t="s">
        <v>19</v>
      </c>
      <c r="C90" s="207"/>
      <c r="D90" s="207"/>
      <c r="E90" s="207"/>
      <c r="F90" s="207"/>
      <c r="G90" s="207"/>
      <c r="H90" s="207"/>
      <c r="I90" s="207"/>
      <c r="J90" s="207"/>
    </row>
    <row r="91" spans="2:10" ht="15.75">
      <c r="B91" s="207" t="s">
        <v>49</v>
      </c>
      <c r="C91" s="207"/>
      <c r="D91" s="207"/>
      <c r="E91" s="207"/>
      <c r="F91" s="207"/>
      <c r="G91" s="207"/>
      <c r="H91" s="207"/>
      <c r="I91" s="207"/>
      <c r="J91" s="207"/>
    </row>
    <row r="92" spans="2:10" ht="69" customHeight="1">
      <c r="B92" s="208">
        <v>1</v>
      </c>
      <c r="C92" s="210" t="s">
        <v>11</v>
      </c>
      <c r="D92" s="211"/>
      <c r="E92" s="135" t="s">
        <v>31</v>
      </c>
      <c r="F92" s="214" t="str">
        <f>VLOOKUP($J$1,Legger!$A$9:$DS$48,72)</f>
        <v>Memiliki kemampuan mendeskripsikan dan menentukan penyelesaian fungsi eksponensial dan fungsi logaritma menggunakan masalah kontekstual, serta keberkaitanannya, namun perlu peningkatan menjelaskan  vektor,  operasi  vektor, panjang  vektor,  sudut  antarvektor dalam ruang berdimensi dua (bidang) dan berdimensi tiga</v>
      </c>
      <c r="G92" s="215"/>
      <c r="H92" s="215"/>
      <c r="I92" s="215"/>
      <c r="J92" s="216"/>
    </row>
    <row r="93" spans="2:10" ht="42.75" customHeight="1">
      <c r="B93" s="209"/>
      <c r="C93" s="212"/>
      <c r="D93" s="213"/>
      <c r="E93" s="135" t="s">
        <v>32</v>
      </c>
      <c r="F93" s="217" t="str">
        <f>VLOOKUP($J$1,Legger!$A$9:$DS$48,75)</f>
        <v>Memiliki keterampilan menyajikan dan menyelesaikan masalah yang berkaitan dengan fungsi eksponensial dan fungsi logaritma</v>
      </c>
      <c r="G93" s="218"/>
      <c r="H93" s="218"/>
      <c r="I93" s="218"/>
      <c r="J93" s="219"/>
    </row>
    <row r="94" spans="2:10" ht="78.75" customHeight="1">
      <c r="B94" s="208">
        <v>2</v>
      </c>
      <c r="C94" s="210" t="s">
        <v>20</v>
      </c>
      <c r="D94" s="211"/>
      <c r="E94" s="135" t="s">
        <v>31</v>
      </c>
      <c r="F94" s="217" t="str">
        <f>VLOOKUP($J$1,Legger!$A$9:$DS$48,78)</f>
        <v>Memiliki kemampuan menganalisis konsep energi, usaha (kerja), hubungan usaha (kerja) dan perubahan energi, hukum kekekalan energi, serta penerapannya dalam peristiwa sehari-hari, namun perlu peningkatan menganalisis interaksi pada gaya serta hubungan antara gaya, massa dan gerak lurus benda serta penerapannya dalam kehidupan sehari-hari</v>
      </c>
      <c r="G94" s="218"/>
      <c r="H94" s="218"/>
      <c r="I94" s="218"/>
      <c r="J94" s="219"/>
    </row>
    <row r="95" spans="2:10" ht="54" customHeight="1">
      <c r="B95" s="209"/>
      <c r="C95" s="212"/>
      <c r="D95" s="213"/>
      <c r="E95" s="135" t="s">
        <v>32</v>
      </c>
      <c r="F95" s="217" t="str">
        <f>VLOOKUP($J$1,Legger!$A$9:$DS$48,81)</f>
        <v>Memiliki keterampilan menerapkan metode ilmiah untuk mengajukan gagasan penyelesaian masalah gerak dalam kehidupan sehari-hari, yang berkaitan dengan konsep energi, usaha (kerja) dan hukum kekekalan energi</v>
      </c>
      <c r="G95" s="218"/>
      <c r="H95" s="218"/>
      <c r="I95" s="218"/>
      <c r="J95" s="219"/>
    </row>
    <row r="96" spans="2:10" ht="54.75" customHeight="1">
      <c r="B96" s="208">
        <v>3</v>
      </c>
      <c r="C96" s="210" t="s">
        <v>21</v>
      </c>
      <c r="D96" s="211"/>
      <c r="E96" s="135" t="s">
        <v>31</v>
      </c>
      <c r="F96" s="217" t="str">
        <f>VLOOKUP($J$1,Legger!$A$9:$DS$48,84)</f>
        <v>Memiliki kemampuan menerapkan hukum dasar kimia, konsep massa molekul relatif, persamaan kimia, konsep mol dan kadar zat untuk menyelesaikan perhitungan kimia, namun perlu peningkatan menganalisis sifat larutan berdasarkan daya hantar listriknya</v>
      </c>
      <c r="G96" s="218"/>
      <c r="H96" s="218"/>
      <c r="I96" s="218"/>
      <c r="J96" s="219"/>
    </row>
    <row r="97" spans="2:10" ht="36" customHeight="1">
      <c r="B97" s="209"/>
      <c r="C97" s="212"/>
      <c r="D97" s="213"/>
      <c r="E97" s="135" t="s">
        <v>32</v>
      </c>
      <c r="F97" s="217" t="str">
        <f>VLOOKUP($J$1,Legger!$A$9:$DS$48,87)</f>
        <v>Memiliki keterampilan membuat model bentuk molekul dengan menggunakan perangkat lunak komputer</v>
      </c>
      <c r="G97" s="218"/>
      <c r="H97" s="218"/>
      <c r="I97" s="218"/>
      <c r="J97" s="219"/>
    </row>
    <row r="98" spans="2:10" ht="49.5" customHeight="1">
      <c r="B98" s="208">
        <v>4</v>
      </c>
      <c r="C98" s="210" t="s">
        <v>22</v>
      </c>
      <c r="D98" s="211"/>
      <c r="E98" s="135" t="s">
        <v>31</v>
      </c>
      <c r="F98" s="217" t="str">
        <f>VLOOKUP($J$1,Legger!$A$9:$DS$48,90)</f>
        <v>Memiliki kemampuan menganalisis komponen ekosistem dan interaksi antar komponen ekosistem, namun perlu peningkatan menganalisis data perubahan lingkungan, penyebab, dan dampaknya bagi kehidupan</v>
      </c>
      <c r="G98" s="218"/>
      <c r="H98" s="218"/>
      <c r="I98" s="218"/>
      <c r="J98" s="219"/>
    </row>
    <row r="99" spans="2:10" ht="39" customHeight="1">
      <c r="B99" s="209"/>
      <c r="C99" s="212"/>
      <c r="D99" s="213"/>
      <c r="E99" s="135" t="s">
        <v>32</v>
      </c>
      <c r="F99" s="217" t="str">
        <f>VLOOKUP($J$1,Legger!$A$9:$DS$48,93)</f>
        <v>Memiliki keterampilan menyajikan karya yang menunjukkan interaksi antar komponen ekosistem</v>
      </c>
      <c r="G99" s="218"/>
      <c r="H99" s="218"/>
      <c r="I99" s="218"/>
      <c r="J99" s="219"/>
    </row>
    <row r="100" spans="2:10" ht="15.75">
      <c r="B100" s="207" t="s">
        <v>19</v>
      </c>
      <c r="C100" s="207"/>
      <c r="D100" s="207"/>
      <c r="E100" s="207"/>
      <c r="F100" s="207"/>
      <c r="G100" s="207"/>
      <c r="H100" s="207"/>
      <c r="I100" s="207"/>
      <c r="J100" s="207"/>
    </row>
    <row r="101" spans="2:10" ht="15.75">
      <c r="B101" s="207" t="s">
        <v>48</v>
      </c>
      <c r="C101" s="207"/>
      <c r="D101" s="207"/>
      <c r="E101" s="207"/>
      <c r="F101" s="207"/>
      <c r="G101" s="207"/>
      <c r="H101" s="207"/>
      <c r="I101" s="207"/>
      <c r="J101" s="207"/>
    </row>
    <row r="102" spans="2:10" ht="110.25" customHeight="1">
      <c r="B102" s="208">
        <v>1</v>
      </c>
      <c r="C102" s="210" t="s">
        <v>931</v>
      </c>
      <c r="D102" s="211"/>
      <c r="E102" s="135" t="s">
        <v>31</v>
      </c>
      <c r="F102" s="217" t="str">
        <f>VLOOKUP($J$1,Legger!$A$9:$DS$48,96)</f>
        <v>Memiliki kemampuan menafsirkan fungsi sosial dan unsur kebahasaan lirik lagu terkait kehidupan remaja SMA/MA, namun perlu peningkatan membedakan fungsi sosial, struktur teks, dan unsur kebahasaan beberapa teks report lisan dan tulis dengan memberi dan meminta informasi terkait teknologi yang tercakup dalam mata pelajaran lain di Kelas X sesuai dengan konteks penggunaannya</v>
      </c>
      <c r="G102" s="218"/>
      <c r="H102" s="218"/>
      <c r="I102" s="218"/>
      <c r="J102" s="219"/>
    </row>
    <row r="103" spans="2:10" ht="67.5" customHeight="1">
      <c r="B103" s="209"/>
      <c r="C103" s="212"/>
      <c r="D103" s="213"/>
      <c r="E103" s="135" t="s">
        <v>32</v>
      </c>
      <c r="F103" s="217" t="str">
        <f>VLOOKUP($J$1,Legger!$A$9:$DS$48,99)</f>
        <v>Memiliki keterampilan menyusun teks interaksi transaksional lisan dan tulis yang melibatkan tindakan memberi dan meminta informasi terkait kecukupan untuk dapat/tidak dapat melakukan/menjadi sesuatu, dengan memperhatikan fungsi sosial, struktur teks, dan unsur kebahasaan yang benar dan sesuai konteks penggunaannya</v>
      </c>
      <c r="G103" s="218"/>
      <c r="H103" s="218"/>
      <c r="I103" s="218"/>
      <c r="J103" s="219"/>
    </row>
    <row r="104" spans="2:10" ht="49.5" customHeight="1">
      <c r="B104" s="208">
        <v>2</v>
      </c>
      <c r="C104" s="210" t="s">
        <v>932</v>
      </c>
      <c r="D104" s="211"/>
      <c r="E104" s="135" t="s">
        <v>31</v>
      </c>
      <c r="F104" s="214" t="str">
        <f>VLOOKUP($J$1,Legger!$A$9:$DS$48,102)</f>
        <v>Memiliki kemampuan memahami dan menganalisis materi fi'il mudhari', namun perlu peningkatan memahami dan menganalisis materi fi'il madhi</v>
      </c>
      <c r="G104" s="215"/>
      <c r="H104" s="215"/>
      <c r="I104" s="215"/>
      <c r="J104" s="216"/>
    </row>
    <row r="105" spans="2:10" ht="49.5" customHeight="1">
      <c r="B105" s="209"/>
      <c r="C105" s="212"/>
      <c r="D105" s="213"/>
      <c r="E105" s="135" t="s">
        <v>32</v>
      </c>
      <c r="F105" s="214" t="str">
        <f>VLOOKUP($J$1,Legger!$A$9:$DS$48,105)</f>
        <v>Memiliki keterampilan mengaplikasikan fi'il madhi dalam pembuatan kalimat</v>
      </c>
      <c r="G105" s="215"/>
      <c r="H105" s="215"/>
      <c r="I105" s="215"/>
      <c r="J105" s="216"/>
    </row>
    <row r="106" spans="2:10" ht="15.75">
      <c r="B106" s="105" t="s">
        <v>2</v>
      </c>
      <c r="C106" s="106"/>
      <c r="D106" s="105"/>
      <c r="E106" s="107" t="str">
        <f>E3</f>
        <v>: SMA ABBS Surakarta</v>
      </c>
      <c r="F106" s="108"/>
      <c r="G106" s="107"/>
      <c r="H106" s="105" t="s">
        <v>3</v>
      </c>
      <c r="I106" s="107" t="str">
        <f>I3</f>
        <v>: X.MIPA 4</v>
      </c>
      <c r="J106" s="109"/>
    </row>
    <row r="107" spans="2:10" ht="15" customHeight="1">
      <c r="B107" s="105" t="s">
        <v>4</v>
      </c>
      <c r="C107" s="106"/>
      <c r="D107" s="105"/>
      <c r="E107" s="258" t="str">
        <f>E4</f>
        <v>: Jln. Tarumanegara III No 22, Banyuanyar, Banjarsari, Surakarta</v>
      </c>
      <c r="F107" s="258"/>
      <c r="G107" s="258"/>
      <c r="H107" s="110" t="s">
        <v>5</v>
      </c>
      <c r="I107" s="111" t="str">
        <f>I4</f>
        <v>: II (Genap)</v>
      </c>
      <c r="J107" s="109"/>
    </row>
    <row r="108" spans="2:10" ht="15" customHeight="1">
      <c r="B108" s="105"/>
      <c r="C108" s="106"/>
      <c r="D108" s="105"/>
      <c r="E108" s="258" t="s">
        <v>140</v>
      </c>
      <c r="F108" s="258"/>
      <c r="G108" s="258"/>
      <c r="H108" s="206" t="s">
        <v>77</v>
      </c>
      <c r="I108" s="112" t="str">
        <f>I5</f>
        <v>: 2020/2021</v>
      </c>
      <c r="J108" s="109"/>
    </row>
    <row r="109" spans="2:10" ht="15.75">
      <c r="B109" s="113" t="s">
        <v>6</v>
      </c>
      <c r="C109" s="106"/>
      <c r="D109" s="113"/>
      <c r="E109" s="107" t="str">
        <f>E6</f>
        <v>: Kelvin Oktabrian Ramadhan</v>
      </c>
      <c r="F109" s="108"/>
      <c r="G109" s="114"/>
      <c r="H109" s="206"/>
      <c r="I109" s="109"/>
      <c r="J109" s="109"/>
    </row>
    <row r="110" spans="2:10" s="100" customFormat="1" ht="19.5" customHeight="1" thickBot="1">
      <c r="B110" s="115" t="s">
        <v>7</v>
      </c>
      <c r="C110" s="116"/>
      <c r="D110" s="115"/>
      <c r="E110" s="120" t="str">
        <f>E7</f>
        <v>: 2008169 / 0045893001</v>
      </c>
      <c r="F110" s="118"/>
      <c r="G110" s="119"/>
      <c r="H110" s="117"/>
      <c r="I110" s="120"/>
      <c r="J110" s="120"/>
    </row>
    <row r="111" spans="2:10" ht="15.75" thickTop="1">
      <c r="B111" s="145"/>
      <c r="C111" s="146"/>
      <c r="D111" s="146"/>
      <c r="E111" s="146"/>
      <c r="F111" s="140"/>
      <c r="G111" s="149"/>
      <c r="H111" s="145"/>
      <c r="I111" s="145"/>
      <c r="J111" s="147"/>
    </row>
    <row r="112" spans="2:10" ht="15.75">
      <c r="B112" s="122" t="s">
        <v>58</v>
      </c>
      <c r="C112" s="122" t="s">
        <v>59</v>
      </c>
      <c r="D112" s="109"/>
      <c r="E112" s="109"/>
      <c r="F112" s="109"/>
      <c r="G112" s="109"/>
      <c r="H112" s="109"/>
      <c r="I112" s="109"/>
      <c r="J112" s="109"/>
    </row>
    <row r="113" spans="1:15" ht="33" customHeight="1">
      <c r="B113" s="150" t="s">
        <v>30</v>
      </c>
      <c r="C113" s="263" t="s">
        <v>60</v>
      </c>
      <c r="D113" s="264"/>
      <c r="E113" s="150" t="s">
        <v>78</v>
      </c>
      <c r="F113" s="223" t="s">
        <v>38</v>
      </c>
      <c r="G113" s="223"/>
      <c r="H113" s="223"/>
      <c r="I113" s="223"/>
      <c r="J113" s="223"/>
    </row>
    <row r="114" spans="1:15" ht="31.5" customHeight="1">
      <c r="B114" s="132">
        <v>1</v>
      </c>
      <c r="C114" s="261" t="str">
        <f>VLOOKUP($J$1,Legger!$A$9:$DS$48,106)</f>
        <v>Pramuka</v>
      </c>
      <c r="D114" s="262"/>
      <c r="E114" s="132" t="str">
        <f>VLOOKUP($J$1,Legger!$A$9:$DS$48,107)</f>
        <v>Amat Baik</v>
      </c>
      <c r="F114" s="241" t="str">
        <f>VLOOKUP($J$1,Legger!$A$9:$DS$48,108)</f>
        <v>Peserta didik mampu menjelaskan tentang sejarah kepramukaan dan implementasi materi kepemimpinan dalam kehidupan sehari-hari</v>
      </c>
      <c r="G114" s="242"/>
      <c r="H114" s="242"/>
      <c r="I114" s="242"/>
      <c r="J114" s="243"/>
    </row>
    <row r="115" spans="1:15" ht="31.5" customHeight="1">
      <c r="B115" s="132">
        <v>2</v>
      </c>
      <c r="C115" s="261">
        <f>VLOOKUP($J$1,Legger!$A$9:$DS$48,109)</f>
        <v>0</v>
      </c>
      <c r="D115" s="262"/>
      <c r="E115" s="132">
        <f>VLOOKUP($J$1,Legger!$A$9:$DS$48,110)</f>
        <v>0</v>
      </c>
      <c r="F115" s="241">
        <f>VLOOKUP($J$1,Legger!$A$9:$DS$48,111)</f>
        <v>0</v>
      </c>
      <c r="G115" s="242"/>
      <c r="H115" s="242"/>
      <c r="I115" s="242"/>
      <c r="J115" s="243"/>
    </row>
    <row r="116" spans="1:15" ht="31.5" customHeight="1">
      <c r="B116" s="132">
        <v>3</v>
      </c>
      <c r="C116" s="261"/>
      <c r="D116" s="262"/>
      <c r="E116" s="132"/>
      <c r="F116" s="222"/>
      <c r="G116" s="222"/>
      <c r="H116" s="222"/>
      <c r="I116" s="222"/>
      <c r="J116" s="222"/>
    </row>
    <row r="117" spans="1:15" ht="15.75">
      <c r="B117" s="122"/>
      <c r="C117" s="122"/>
      <c r="D117" s="109"/>
      <c r="E117" s="109"/>
      <c r="F117" s="109"/>
      <c r="G117" s="109"/>
      <c r="H117" s="109"/>
      <c r="I117" s="109"/>
      <c r="J117" s="109"/>
    </row>
    <row r="118" spans="1:15" ht="14.25" customHeight="1">
      <c r="A118" s="95"/>
      <c r="B118" s="109"/>
      <c r="C118" s="151"/>
      <c r="D118" s="151"/>
      <c r="E118" s="109"/>
      <c r="F118" s="109"/>
      <c r="G118" s="109"/>
      <c r="H118" s="109"/>
      <c r="I118" s="109"/>
      <c r="J118" s="152"/>
    </row>
    <row r="119" spans="1:15" ht="15" customHeight="1">
      <c r="B119" s="122" t="s">
        <v>62</v>
      </c>
      <c r="C119" s="122" t="s">
        <v>63</v>
      </c>
      <c r="D119" s="109"/>
      <c r="E119" s="109"/>
      <c r="F119" s="109"/>
      <c r="G119" s="109"/>
      <c r="H119" s="109"/>
      <c r="I119" s="109"/>
      <c r="J119" s="151"/>
    </row>
    <row r="120" spans="1:15" ht="15" customHeight="1">
      <c r="B120" s="153" t="s">
        <v>30</v>
      </c>
      <c r="C120" s="257" t="s">
        <v>86</v>
      </c>
      <c r="D120" s="257"/>
      <c r="E120" s="257"/>
      <c r="F120" s="257" t="s">
        <v>61</v>
      </c>
      <c r="G120" s="257"/>
      <c r="H120" s="257"/>
      <c r="I120" s="257"/>
      <c r="J120" s="257"/>
    </row>
    <row r="121" spans="1:15" ht="30" customHeight="1">
      <c r="B121" s="164">
        <v>1</v>
      </c>
      <c r="C121" s="250">
        <f>VLOOKUP($J$1,Legger!$A$9:$DS$48,115)</f>
        <v>0</v>
      </c>
      <c r="D121" s="250"/>
      <c r="E121" s="250"/>
      <c r="F121" s="249">
        <f>VLOOKUP($J$1,Legger!$A$9:$DS$48,119)</f>
        <v>0</v>
      </c>
      <c r="G121" s="249"/>
      <c r="H121" s="249"/>
      <c r="I121" s="249"/>
      <c r="J121" s="249"/>
    </row>
    <row r="122" spans="1:15" ht="30" customHeight="1">
      <c r="B122" s="164">
        <v>2</v>
      </c>
      <c r="C122" s="222">
        <f>VLOOKUP($J$1,Legger!$A$9:$DS$48,116)</f>
        <v>0</v>
      </c>
      <c r="D122" s="222"/>
      <c r="E122" s="222"/>
      <c r="F122" s="249">
        <f>VLOOKUP($J$1,Legger!$A$9:$DS$48,120)</f>
        <v>0</v>
      </c>
      <c r="G122" s="249"/>
      <c r="H122" s="249"/>
      <c r="I122" s="249"/>
      <c r="J122" s="249"/>
    </row>
    <row r="123" spans="1:15" ht="30" customHeight="1">
      <c r="B123" s="164">
        <v>3</v>
      </c>
      <c r="C123" s="222">
        <f>VLOOKUP($J$1,Legger!$A$9:$DS$48,117)</f>
        <v>0</v>
      </c>
      <c r="D123" s="222"/>
      <c r="E123" s="222"/>
      <c r="F123" s="249">
        <f>VLOOKUP($J$1,Legger!$A$9:$DS$48,121)</f>
        <v>0</v>
      </c>
      <c r="G123" s="249"/>
      <c r="H123" s="249"/>
      <c r="I123" s="249"/>
      <c r="J123" s="249"/>
    </row>
    <row r="124" spans="1:15" ht="30" customHeight="1">
      <c r="B124" s="164">
        <v>4</v>
      </c>
      <c r="C124" s="222">
        <f>VLOOKUP($J$1,Legger!$A$9:$DS$48,118)</f>
        <v>0</v>
      </c>
      <c r="D124" s="222"/>
      <c r="E124" s="222"/>
      <c r="F124" s="249">
        <f>VLOOKUP($J$1,Legger!$A$9:$DS$48,122)</f>
        <v>0</v>
      </c>
      <c r="G124" s="249"/>
      <c r="H124" s="249"/>
      <c r="I124" s="249"/>
      <c r="J124" s="249"/>
    </row>
    <row r="125" spans="1:15">
      <c r="B125" s="109"/>
      <c r="C125" s="109"/>
      <c r="D125" s="109"/>
      <c r="E125" s="109"/>
      <c r="F125" s="109"/>
      <c r="G125" s="109"/>
      <c r="H125" s="109"/>
      <c r="I125" s="109"/>
      <c r="J125" s="109"/>
    </row>
    <row r="126" spans="1:15" ht="14.25" customHeight="1">
      <c r="B126" s="122" t="s">
        <v>64</v>
      </c>
      <c r="C126" s="122" t="s">
        <v>25</v>
      </c>
      <c r="D126" s="109"/>
      <c r="E126" s="140"/>
      <c r="F126" s="140"/>
      <c r="G126" s="140"/>
      <c r="H126" s="109"/>
      <c r="I126" s="109"/>
      <c r="J126" s="109"/>
      <c r="K126" s="92"/>
      <c r="L126" s="234"/>
      <c r="M126" s="234"/>
      <c r="N126" s="234"/>
      <c r="O126" s="234"/>
    </row>
    <row r="127" spans="1:15" ht="30" customHeight="1">
      <c r="B127" s="248" t="s">
        <v>26</v>
      </c>
      <c r="C127" s="248"/>
      <c r="D127" s="248"/>
      <c r="E127" s="154" t="str">
        <f>IF(VLOOKUP($J$1,Legger!$A$9:$DS$48,112)=0,"-",VLOOKUP($J$1,Legger!$A$9:$DS$48,112))</f>
        <v>-</v>
      </c>
      <c r="F127" s="155" t="s">
        <v>27</v>
      </c>
      <c r="G127" s="156"/>
      <c r="H127" s="109"/>
      <c r="I127" s="109"/>
      <c r="J127" s="109"/>
      <c r="K127" s="92"/>
      <c r="L127" s="234"/>
      <c r="M127" s="234"/>
      <c r="N127" s="234"/>
      <c r="O127" s="234"/>
    </row>
    <row r="128" spans="1:15" ht="30" customHeight="1">
      <c r="B128" s="248" t="s">
        <v>28</v>
      </c>
      <c r="C128" s="248"/>
      <c r="D128" s="248"/>
      <c r="E128" s="154">
        <f>IF(VLOOKUP($J$1,Legger!$A$9:$DS$48,113)=0,"-",VLOOKUP($J$1,Legger!$A$9:$DS$48,113))</f>
        <v>1</v>
      </c>
      <c r="F128" s="155" t="s">
        <v>27</v>
      </c>
      <c r="G128" s="156"/>
      <c r="H128" s="109"/>
      <c r="I128" s="109"/>
      <c r="J128" s="109"/>
      <c r="K128" s="96"/>
      <c r="L128" s="94"/>
      <c r="M128" s="94"/>
      <c r="N128" s="97"/>
    </row>
    <row r="129" spans="2:14" ht="30" customHeight="1">
      <c r="B129" s="135" t="s">
        <v>29</v>
      </c>
      <c r="C129" s="135"/>
      <c r="D129" s="135"/>
      <c r="E129" s="154" t="str">
        <f>IF(VLOOKUP($J$1,Legger!$A$9:$DS$48,114)=0,"-",VLOOKUP($J$1,Legger!$A$9:$DS$48,114))</f>
        <v xml:space="preserve"> -</v>
      </c>
      <c r="F129" s="155" t="s">
        <v>27</v>
      </c>
      <c r="G129" s="156"/>
      <c r="H129" s="109"/>
      <c r="I129" s="109"/>
      <c r="J129" s="109"/>
      <c r="K129" s="96"/>
      <c r="L129" s="94"/>
      <c r="M129" s="94"/>
      <c r="N129" s="97"/>
    </row>
    <row r="130" spans="2:14">
      <c r="B130" s="147"/>
      <c r="C130" s="147"/>
      <c r="D130" s="147"/>
      <c r="E130" s="145"/>
      <c r="F130" s="145"/>
      <c r="G130" s="147"/>
      <c r="H130" s="109"/>
      <c r="I130" s="109"/>
      <c r="J130" s="109"/>
    </row>
    <row r="131" spans="2:14" ht="15.75">
      <c r="B131" s="122" t="s">
        <v>65</v>
      </c>
      <c r="C131" s="122" t="s">
        <v>66</v>
      </c>
      <c r="D131" s="113"/>
      <c r="E131" s="107"/>
      <c r="F131" s="108"/>
      <c r="G131" s="114"/>
      <c r="H131" s="107"/>
      <c r="I131" s="107"/>
      <c r="J131" s="107"/>
    </row>
    <row r="132" spans="2:14" ht="61.5" customHeight="1">
      <c r="B132" s="230" t="str">
        <f>VLOOKUP($J$1,Legger!$A$9:$DS$48,123)</f>
        <v>Peserta didik sudah menunjukkan sikap mengamalkan ajaran agamanya, konsisten menerapkan sikap santun, jujur, dan mandiri. Tingkatkan rasa ingin tahu dan sikap baik di dalam maupun di luar pembelajaran.</v>
      </c>
      <c r="C132" s="231"/>
      <c r="D132" s="231"/>
      <c r="E132" s="231"/>
      <c r="F132" s="231"/>
      <c r="G132" s="231"/>
      <c r="H132" s="231"/>
      <c r="I132" s="231"/>
      <c r="J132" s="232"/>
    </row>
    <row r="133" spans="2:14" ht="15.75">
      <c r="B133" s="113"/>
      <c r="C133" s="106"/>
      <c r="D133" s="113"/>
      <c r="E133" s="107"/>
      <c r="F133" s="108"/>
      <c r="G133" s="114"/>
      <c r="H133" s="107"/>
      <c r="I133" s="107"/>
      <c r="J133" s="107"/>
    </row>
    <row r="134" spans="2:14" ht="15.75">
      <c r="B134" s="122" t="s">
        <v>67</v>
      </c>
      <c r="C134" s="122" t="s">
        <v>68</v>
      </c>
      <c r="D134" s="113"/>
      <c r="E134" s="107"/>
      <c r="F134" s="108"/>
      <c r="G134" s="114"/>
      <c r="H134" s="107"/>
      <c r="I134" s="107"/>
      <c r="J134" s="107"/>
    </row>
    <row r="135" spans="2:14" ht="61.5" customHeight="1">
      <c r="B135" s="244"/>
      <c r="C135" s="245"/>
      <c r="D135" s="245"/>
      <c r="E135" s="245"/>
      <c r="F135" s="245"/>
      <c r="G135" s="245"/>
      <c r="H135" s="245"/>
      <c r="I135" s="245"/>
      <c r="J135" s="246"/>
      <c r="K135" s="96"/>
      <c r="L135" s="94"/>
      <c r="M135" s="94"/>
      <c r="N135" s="97"/>
    </row>
    <row r="136" spans="2:14" ht="15.75">
      <c r="B136" s="113"/>
      <c r="C136" s="122"/>
      <c r="D136" s="113"/>
      <c r="E136" s="107"/>
      <c r="F136" s="108"/>
      <c r="G136" s="114"/>
      <c r="H136" s="107"/>
      <c r="I136" s="107"/>
      <c r="J136" s="107"/>
      <c r="K136" s="96"/>
      <c r="L136" s="94"/>
      <c r="M136" s="94"/>
      <c r="N136" s="97"/>
    </row>
    <row r="137" spans="2:14" ht="37.5" customHeight="1">
      <c r="B137" s="224" t="s">
        <v>61</v>
      </c>
      <c r="C137" s="225"/>
      <c r="D137" s="225"/>
      <c r="E137" s="225"/>
      <c r="F137" s="183" t="s">
        <v>1106</v>
      </c>
      <c r="G137" s="183"/>
      <c r="H137" s="183"/>
      <c r="I137" s="183"/>
      <c r="J137" s="184"/>
      <c r="K137" s="96"/>
      <c r="L137" s="94"/>
      <c r="M137" s="94"/>
      <c r="N137" s="97"/>
    </row>
    <row r="138" spans="2:14" ht="15.75" customHeight="1">
      <c r="B138" s="113"/>
      <c r="C138" s="106"/>
      <c r="D138" s="113"/>
      <c r="E138" s="107"/>
      <c r="F138" s="108"/>
      <c r="G138" s="114"/>
      <c r="H138" s="107"/>
      <c r="I138" s="107"/>
      <c r="J138" s="107"/>
      <c r="K138" s="96"/>
      <c r="L138" s="94"/>
      <c r="M138" s="94"/>
      <c r="N138" s="97"/>
    </row>
    <row r="139" spans="2:14" ht="15.75" customHeight="1">
      <c r="B139" s="113"/>
      <c r="C139" s="267"/>
      <c r="D139" s="267"/>
      <c r="E139" s="267"/>
      <c r="F139" s="267"/>
      <c r="G139" s="109"/>
      <c r="H139" s="267" t="str">
        <f>"Surakarta, "&amp;Setting!E16&amp;""</f>
        <v>Surakarta, 19 Juni 2021</v>
      </c>
      <c r="I139" s="267"/>
      <c r="J139" s="267"/>
      <c r="K139" s="96"/>
      <c r="L139" s="94"/>
      <c r="M139" s="94"/>
      <c r="N139" s="97"/>
    </row>
    <row r="140" spans="2:14" ht="15.75">
      <c r="B140" s="106"/>
      <c r="C140" s="267" t="s">
        <v>83</v>
      </c>
      <c r="D140" s="267"/>
      <c r="E140" s="267"/>
      <c r="F140" s="267"/>
      <c r="G140" s="109"/>
      <c r="H140" s="267" t="s">
        <v>84</v>
      </c>
      <c r="I140" s="267"/>
      <c r="J140" s="267"/>
      <c r="K140" s="96"/>
      <c r="L140" s="94"/>
      <c r="M140" s="94"/>
      <c r="N140" s="97"/>
    </row>
    <row r="141" spans="2:14" ht="39.950000000000003" customHeight="1">
      <c r="B141" s="109"/>
      <c r="C141" s="267"/>
      <c r="D141" s="267"/>
      <c r="E141" s="267"/>
      <c r="F141" s="267"/>
      <c r="G141" s="109"/>
      <c r="H141" s="268"/>
      <c r="I141" s="268"/>
      <c r="J141" s="268"/>
      <c r="K141" s="96"/>
      <c r="L141" s="94"/>
      <c r="M141" s="94"/>
      <c r="N141" s="97"/>
    </row>
    <row r="142" spans="2:14" ht="15.75" customHeight="1">
      <c r="B142" s="109"/>
      <c r="C142" s="267" t="s">
        <v>115</v>
      </c>
      <c r="D142" s="267"/>
      <c r="E142" s="267"/>
      <c r="F142" s="267"/>
      <c r="G142" s="109"/>
      <c r="H142" s="269" t="str">
        <f>Setting!E12</f>
        <v>Alfi Suryani Yusuf, S.Pd.</v>
      </c>
      <c r="I142" s="269"/>
      <c r="J142" s="269"/>
      <c r="K142" s="96"/>
      <c r="L142" s="94"/>
      <c r="M142" s="94"/>
      <c r="N142" s="97"/>
    </row>
    <row r="143" spans="2:14" ht="15.75" customHeight="1">
      <c r="B143" s="140"/>
      <c r="C143" s="140"/>
      <c r="D143" s="140"/>
      <c r="E143" s="140"/>
      <c r="F143" s="140"/>
      <c r="G143" s="140"/>
      <c r="H143" s="270" t="str">
        <f>"NIK. "&amp;Setting!E13&amp;""</f>
        <v>NIK. 2020 04 3 481</v>
      </c>
      <c r="I143" s="270"/>
      <c r="J143" s="270"/>
      <c r="K143" s="96"/>
      <c r="L143" s="94"/>
      <c r="M143" s="94"/>
      <c r="N143" s="97"/>
    </row>
    <row r="144" spans="2:14" ht="16.5" customHeight="1">
      <c r="B144" s="137"/>
      <c r="C144" s="272"/>
      <c r="D144" s="272"/>
      <c r="E144" s="272"/>
      <c r="F144" s="137"/>
      <c r="G144" s="137"/>
      <c r="H144" s="137"/>
      <c r="I144" s="140"/>
      <c r="J144" s="140"/>
    </row>
    <row r="145" spans="2:34" ht="15.75">
      <c r="B145" s="136"/>
      <c r="C145" s="273"/>
      <c r="D145" s="273"/>
      <c r="E145" s="273"/>
      <c r="F145" s="157"/>
      <c r="G145" s="157"/>
      <c r="H145" s="157"/>
      <c r="I145" s="157"/>
      <c r="J145" s="157"/>
    </row>
    <row r="146" spans="2:34" ht="15.75">
      <c r="B146" s="136"/>
      <c r="C146" s="140"/>
      <c r="D146" s="157"/>
      <c r="E146" s="157"/>
      <c r="F146" s="266" t="s">
        <v>85</v>
      </c>
      <c r="G146" s="266"/>
      <c r="H146" s="266"/>
      <c r="I146" s="157"/>
      <c r="J146" s="157"/>
    </row>
    <row r="147" spans="2:34" ht="39.950000000000003" customHeight="1">
      <c r="B147" s="140"/>
      <c r="C147" s="140"/>
      <c r="D147" s="145"/>
      <c r="E147" s="140"/>
      <c r="F147" s="271"/>
      <c r="G147" s="271"/>
      <c r="H147" s="271"/>
      <c r="I147" s="140"/>
      <c r="J147" s="140"/>
    </row>
    <row r="148" spans="2:34" ht="16.5" thickBot="1">
      <c r="B148" s="142"/>
      <c r="C148" s="140"/>
      <c r="D148" s="158"/>
      <c r="E148" s="158"/>
      <c r="F148" s="265" t="str">
        <f>Setting!E9</f>
        <v>Anna Rafaidah, S.Pd., Gr.</v>
      </c>
      <c r="G148" s="265"/>
      <c r="H148" s="265"/>
      <c r="I148" s="158"/>
      <c r="J148" s="158"/>
    </row>
    <row r="149" spans="2:34">
      <c r="B149" s="137"/>
      <c r="C149" s="140"/>
      <c r="D149" s="157"/>
      <c r="E149" s="157"/>
      <c r="F149" s="266" t="str">
        <f>"NIK. "&amp;Setting!E10&amp;""</f>
        <v>NIK. 2014  09 2 095</v>
      </c>
      <c r="G149" s="266"/>
      <c r="H149" s="266"/>
      <c r="I149" s="157"/>
      <c r="J149" s="157"/>
      <c r="AA149" s="235"/>
      <c r="AB149" s="236"/>
      <c r="AC149" s="236"/>
      <c r="AD149" s="236"/>
      <c r="AE149" s="236"/>
      <c r="AF149" s="236"/>
      <c r="AG149" s="236"/>
      <c r="AH149" s="237"/>
    </row>
    <row r="150" spans="2:34">
      <c r="F150" s="11"/>
      <c r="G150" s="11"/>
      <c r="H150" s="11"/>
      <c r="I150" s="11"/>
      <c r="J150" s="11"/>
      <c r="AA150" s="238"/>
      <c r="AB150" s="239"/>
      <c r="AC150" s="239"/>
      <c r="AD150" s="239"/>
      <c r="AE150" s="239"/>
      <c r="AF150" s="239"/>
      <c r="AG150" s="239"/>
      <c r="AH150" s="240"/>
    </row>
    <row r="151" spans="2:34" ht="42.75" customHeight="1"/>
    <row r="153" spans="2:34" ht="15" customHeight="1"/>
  </sheetData>
  <sheetProtection selectLockedCells="1"/>
  <mergeCells count="173">
    <mergeCell ref="F148:H148"/>
    <mergeCell ref="F149:H149"/>
    <mergeCell ref="H140:J140"/>
    <mergeCell ref="H141:J141"/>
    <mergeCell ref="H142:J142"/>
    <mergeCell ref="H143:J143"/>
    <mergeCell ref="F146:H146"/>
    <mergeCell ref="F147:H147"/>
    <mergeCell ref="H139:J139"/>
    <mergeCell ref="C140:F140"/>
    <mergeCell ref="C141:F141"/>
    <mergeCell ref="C142:F142"/>
    <mergeCell ref="C144:E144"/>
    <mergeCell ref="C145:E145"/>
    <mergeCell ref="C139:F139"/>
    <mergeCell ref="C123:E123"/>
    <mergeCell ref="C120:E120"/>
    <mergeCell ref="B41:J41"/>
    <mergeCell ref="C57:D58"/>
    <mergeCell ref="B60:B61"/>
    <mergeCell ref="C60:D61"/>
    <mergeCell ref="C62:D63"/>
    <mergeCell ref="C31:E31"/>
    <mergeCell ref="C32:E32"/>
    <mergeCell ref="C33:E33"/>
    <mergeCell ref="F120:J120"/>
    <mergeCell ref="C114:D114"/>
    <mergeCell ref="C115:D115"/>
    <mergeCell ref="C116:D116"/>
    <mergeCell ref="C113:D113"/>
    <mergeCell ref="C38:E38"/>
    <mergeCell ref="C37:E37"/>
    <mergeCell ref="C98:D99"/>
    <mergeCell ref="C70:D71"/>
    <mergeCell ref="B86:B87"/>
    <mergeCell ref="C86:D87"/>
    <mergeCell ref="C83:D84"/>
    <mergeCell ref="F76:J76"/>
    <mergeCell ref="B90:J90"/>
    <mergeCell ref="E4:G4"/>
    <mergeCell ref="E5:G5"/>
    <mergeCell ref="E51:G51"/>
    <mergeCell ref="E52:G52"/>
    <mergeCell ref="E78:G78"/>
    <mergeCell ref="E79:G79"/>
    <mergeCell ref="E107:G107"/>
    <mergeCell ref="E108:G108"/>
    <mergeCell ref="E18:J18"/>
    <mergeCell ref="F98:J98"/>
    <mergeCell ref="F99:J99"/>
    <mergeCell ref="F70:J70"/>
    <mergeCell ref="F71:J71"/>
    <mergeCell ref="F86:J86"/>
    <mergeCell ref="E83:E84"/>
    <mergeCell ref="F83:J84"/>
    <mergeCell ref="B85:J85"/>
    <mergeCell ref="B73:B74"/>
    <mergeCell ref="C73:D74"/>
    <mergeCell ref="F73:J73"/>
    <mergeCell ref="F74:J74"/>
    <mergeCell ref="B75:B76"/>
    <mergeCell ref="C75:D76"/>
    <mergeCell ref="F75:J75"/>
    <mergeCell ref="B14:D14"/>
    <mergeCell ref="E14:J14"/>
    <mergeCell ref="B13:D13"/>
    <mergeCell ref="B18:D18"/>
    <mergeCell ref="B21:B22"/>
    <mergeCell ref="B36:J36"/>
    <mergeCell ref="E13:J13"/>
    <mergeCell ref="B17:D17"/>
    <mergeCell ref="E17:J17"/>
    <mergeCell ref="C21:E22"/>
    <mergeCell ref="F21:F22"/>
    <mergeCell ref="G21:H21"/>
    <mergeCell ref="I21:J21"/>
    <mergeCell ref="C29:E29"/>
    <mergeCell ref="L126:O127"/>
    <mergeCell ref="AA149:AH150"/>
    <mergeCell ref="B23:J23"/>
    <mergeCell ref="B30:J30"/>
    <mergeCell ref="B35:J35"/>
    <mergeCell ref="F114:J114"/>
    <mergeCell ref="F115:J115"/>
    <mergeCell ref="F116:J116"/>
    <mergeCell ref="B135:J135"/>
    <mergeCell ref="B42:J42"/>
    <mergeCell ref="B127:D127"/>
    <mergeCell ref="B128:D128"/>
    <mergeCell ref="B57:B58"/>
    <mergeCell ref="C122:E122"/>
    <mergeCell ref="F122:J122"/>
    <mergeCell ref="F121:J121"/>
    <mergeCell ref="F123:J123"/>
    <mergeCell ref="F124:J124"/>
    <mergeCell ref="C124:E124"/>
    <mergeCell ref="C121:E121"/>
    <mergeCell ref="H52:H53"/>
    <mergeCell ref="H79:H80"/>
    <mergeCell ref="H108:H109"/>
    <mergeCell ref="C34:E34"/>
    <mergeCell ref="B132:J132"/>
    <mergeCell ref="C24:E24"/>
    <mergeCell ref="C25:E25"/>
    <mergeCell ref="C26:E26"/>
    <mergeCell ref="C27:E27"/>
    <mergeCell ref="C28:E28"/>
    <mergeCell ref="C44:E44"/>
    <mergeCell ref="F60:J60"/>
    <mergeCell ref="F61:J61"/>
    <mergeCell ref="F62:J62"/>
    <mergeCell ref="F63:J63"/>
    <mergeCell ref="B72:J72"/>
    <mergeCell ref="C66:D67"/>
    <mergeCell ref="F66:J66"/>
    <mergeCell ref="F67:J67"/>
    <mergeCell ref="B68:B69"/>
    <mergeCell ref="C68:D69"/>
    <mergeCell ref="F68:J68"/>
    <mergeCell ref="F69:J69"/>
    <mergeCell ref="C94:D95"/>
    <mergeCell ref="F94:J94"/>
    <mergeCell ref="E57:E58"/>
    <mergeCell ref="F57:J58"/>
    <mergeCell ref="B83:B84"/>
    <mergeCell ref="F113:J113"/>
    <mergeCell ref="B137:E137"/>
    <mergeCell ref="E47:J47"/>
    <mergeCell ref="F48:G48"/>
    <mergeCell ref="F49:G49"/>
    <mergeCell ref="I48:J48"/>
    <mergeCell ref="I49:J49"/>
    <mergeCell ref="C47:D48"/>
    <mergeCell ref="C49:D49"/>
    <mergeCell ref="B101:J101"/>
    <mergeCell ref="B102:B103"/>
    <mergeCell ref="C102:D103"/>
    <mergeCell ref="F102:J102"/>
    <mergeCell ref="F103:J103"/>
    <mergeCell ref="B104:B105"/>
    <mergeCell ref="C104:D105"/>
    <mergeCell ref="F104:J104"/>
    <mergeCell ref="F105:J105"/>
    <mergeCell ref="B100:J100"/>
    <mergeCell ref="B96:B97"/>
    <mergeCell ref="C96:D97"/>
    <mergeCell ref="F96:J96"/>
    <mergeCell ref="F97:J97"/>
    <mergeCell ref="B98:B99"/>
    <mergeCell ref="H5:H6"/>
    <mergeCell ref="B91:J91"/>
    <mergeCell ref="B92:B93"/>
    <mergeCell ref="C92:D93"/>
    <mergeCell ref="F92:J92"/>
    <mergeCell ref="F93:J93"/>
    <mergeCell ref="B94:B95"/>
    <mergeCell ref="F95:J95"/>
    <mergeCell ref="B64:B65"/>
    <mergeCell ref="C64:D65"/>
    <mergeCell ref="F87:J87"/>
    <mergeCell ref="B88:B89"/>
    <mergeCell ref="C88:D89"/>
    <mergeCell ref="F88:J88"/>
    <mergeCell ref="F89:J89"/>
    <mergeCell ref="B70:B71"/>
    <mergeCell ref="F64:J64"/>
    <mergeCell ref="B66:B67"/>
    <mergeCell ref="F65:J65"/>
    <mergeCell ref="B62:B63"/>
    <mergeCell ref="B59:J59"/>
    <mergeCell ref="C39:E39"/>
    <mergeCell ref="C40:E40"/>
    <mergeCell ref="C43:E43"/>
  </mergeCells>
  <conditionalFormatting sqref="C121 F121">
    <cfRule type="cellIs" dxfId="25" priority="22" operator="equal">
      <formula>0</formula>
    </cfRule>
  </conditionalFormatting>
  <conditionalFormatting sqref="C122:C124">
    <cfRule type="cellIs" dxfId="24" priority="21" operator="equal">
      <formula>0</formula>
    </cfRule>
  </conditionalFormatting>
  <conditionalFormatting sqref="F122:F124">
    <cfRule type="cellIs" dxfId="23" priority="20" operator="equal">
      <formula>0</formula>
    </cfRule>
  </conditionalFormatting>
  <conditionalFormatting sqref="C114">
    <cfRule type="cellIs" dxfId="22" priority="19" operator="equal">
      <formula>0</formula>
    </cfRule>
  </conditionalFormatting>
  <conditionalFormatting sqref="C114">
    <cfRule type="cellIs" dxfId="21" priority="18" operator="equal">
      <formula>0</formula>
    </cfRule>
  </conditionalFormatting>
  <conditionalFormatting sqref="C116">
    <cfRule type="cellIs" dxfId="20" priority="17" operator="equal">
      <formula>0</formula>
    </cfRule>
  </conditionalFormatting>
  <conditionalFormatting sqref="C116">
    <cfRule type="cellIs" dxfId="19" priority="16" operator="equal">
      <formula>0</formula>
    </cfRule>
  </conditionalFormatting>
  <conditionalFormatting sqref="E114:J116">
    <cfRule type="cellIs" dxfId="18" priority="15" operator="equal">
      <formula>0</formula>
    </cfRule>
  </conditionalFormatting>
  <conditionalFormatting sqref="F102:J105">
    <cfRule type="cellIs" dxfId="17" priority="14" operator="equal">
      <formula>0</formula>
    </cfRule>
  </conditionalFormatting>
  <conditionalFormatting sqref="F92:J99">
    <cfRule type="cellIs" dxfId="16" priority="13" operator="equal">
      <formula>0</formula>
    </cfRule>
  </conditionalFormatting>
  <conditionalFormatting sqref="F86:J89">
    <cfRule type="cellIs" dxfId="15" priority="12" operator="equal">
      <formula>0</formula>
    </cfRule>
  </conditionalFormatting>
  <conditionalFormatting sqref="F73:J76">
    <cfRule type="cellIs" dxfId="14" priority="11" operator="equal">
      <formula>0</formula>
    </cfRule>
  </conditionalFormatting>
  <conditionalFormatting sqref="F60:J71">
    <cfRule type="cellIs" dxfId="13" priority="10" operator="equal">
      <formula>0</formula>
    </cfRule>
  </conditionalFormatting>
  <conditionalFormatting sqref="G43:J46">
    <cfRule type="cellIs" dxfId="12" priority="9" operator="equal">
      <formula>0</formula>
    </cfRule>
  </conditionalFormatting>
  <conditionalFormatting sqref="G37:J40">
    <cfRule type="cellIs" dxfId="11" priority="8" operator="equal">
      <formula>0</formula>
    </cfRule>
  </conditionalFormatting>
  <conditionalFormatting sqref="G31:J34">
    <cfRule type="cellIs" dxfId="10" priority="7" operator="equal">
      <formula>0</formula>
    </cfRule>
  </conditionalFormatting>
  <conditionalFormatting sqref="G24:J29">
    <cfRule type="cellIs" dxfId="9" priority="6" operator="equal">
      <formula>0</formula>
    </cfRule>
  </conditionalFormatting>
  <conditionalFormatting sqref="B14:J14">
    <cfRule type="cellIs" dxfId="8" priority="5" operator="equal">
      <formula>0</formula>
    </cfRule>
  </conditionalFormatting>
  <conditionalFormatting sqref="B18:D18">
    <cfRule type="cellIs" dxfId="7" priority="4" operator="equal">
      <formula>0</formula>
    </cfRule>
  </conditionalFormatting>
  <conditionalFormatting sqref="E18:J18">
    <cfRule type="cellIs" dxfId="6" priority="3" operator="equal">
      <formula>0</formula>
    </cfRule>
  </conditionalFormatting>
  <conditionalFormatting sqref="C115">
    <cfRule type="cellIs" dxfId="5" priority="2" operator="equal">
      <formula>0</formula>
    </cfRule>
  </conditionalFormatting>
  <conditionalFormatting sqref="C115">
    <cfRule type="cellIs" dxfId="4" priority="1" operator="equal">
      <formula>0</formula>
    </cfRule>
  </conditionalFormatting>
  <printOptions horizontalCentered="1"/>
  <pageMargins left="0.23622047244094491" right="0.23622047244094491" top="0.51181102362204722" bottom="0.23622047244094491" header="0.31496062992125984" footer="0.11811023622047245"/>
  <pageSetup paperSize="9" scale="76" orientation="portrait" r:id="rId1"/>
  <rowBreaks count="3" manualBreakCount="3">
    <brk id="49" min="1" max="13" man="1"/>
    <brk id="76" min="1" max="9" man="1"/>
    <brk id="105" min="1" max="1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print="0" autoLine="0" autoPict="0">
                <anchor moveWithCells="1">
                  <from>
                    <xdr:col>6</xdr:col>
                    <xdr:colOff>485775</xdr:colOff>
                    <xdr:row>0</xdr:row>
                    <xdr:rowOff>266700</xdr:rowOff>
                  </from>
                  <to>
                    <xdr:col>8</xdr:col>
                    <xdr:colOff>733425</xdr:colOff>
                    <xdr:row>0</xdr:row>
                    <xdr:rowOff>590550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49"/>
  <sheetViews>
    <sheetView zoomScale="60" zoomScaleNormal="60" workbookViewId="0">
      <pane xSplit="5" ySplit="8" topLeftCell="CV26" activePane="bottomRight" state="frozenSplit"/>
      <selection pane="topRight" activeCell="U1" sqref="U1"/>
      <selection pane="bottomLeft" activeCell="J9" sqref="J9"/>
      <selection pane="bottomRight" activeCell="CY40" sqref="CY40"/>
    </sheetView>
  </sheetViews>
  <sheetFormatPr defaultColWidth="9.140625" defaultRowHeight="15"/>
  <cols>
    <col min="1" max="1" width="18" style="1" customWidth="1"/>
    <col min="2" max="2" width="34.5703125" style="8" customWidth="1"/>
    <col min="3" max="3" width="9.140625" style="9" customWidth="1"/>
    <col min="4" max="4" width="23.7109375" style="9" customWidth="1"/>
    <col min="5" max="5" width="25.5703125" style="8" customWidth="1"/>
    <col min="6" max="9" width="14.140625" style="8" customWidth="1"/>
    <col min="10" max="105" width="8.5703125" style="8" customWidth="1"/>
    <col min="106" max="107" width="9.7109375" style="8" customWidth="1"/>
    <col min="108" max="108" width="12.28515625" style="8" customWidth="1"/>
    <col min="109" max="110" width="9.7109375" style="8" customWidth="1"/>
    <col min="111" max="111" width="12.28515625" style="8" customWidth="1"/>
    <col min="112" max="122" width="9.7109375" style="8" customWidth="1"/>
    <col min="123" max="123" width="23.85546875" style="8" customWidth="1"/>
    <col min="124" max="16384" width="9.140625" style="8"/>
  </cols>
  <sheetData>
    <row r="1" spans="1:123" ht="99" customHeight="1">
      <c r="A1" s="8"/>
    </row>
    <row r="2" spans="1:123" ht="26.25">
      <c r="A2" s="8"/>
      <c r="B2" s="26" t="str">
        <f>"Legger Rapor "&amp;Setting!E5&amp;" Semester "&amp;Setting!E15&amp;" "&amp;Home!K19&amp;" Kelas "&amp;Setting!E11&amp;""</f>
        <v>Legger Rapor SMA ABBS Surakarta Semester II  Kelas X.MIPA 4</v>
      </c>
    </row>
    <row r="4" spans="1:123" s="3" customFormat="1" ht="15" customHeight="1">
      <c r="A4" s="187" t="s">
        <v>30</v>
      </c>
      <c r="B4" s="189" t="s">
        <v>33</v>
      </c>
      <c r="C4" s="189" t="s">
        <v>34</v>
      </c>
      <c r="D4" s="189" t="s">
        <v>35</v>
      </c>
      <c r="E4" s="189" t="s">
        <v>36</v>
      </c>
      <c r="F4" s="303" t="s">
        <v>94</v>
      </c>
      <c r="G4" s="303"/>
      <c r="H4" s="303"/>
      <c r="I4" s="303"/>
      <c r="J4" s="298" t="s">
        <v>95</v>
      </c>
      <c r="K4" s="298"/>
      <c r="L4" s="298"/>
      <c r="M4" s="298"/>
      <c r="N4" s="298"/>
      <c r="O4" s="298"/>
      <c r="P4" s="298"/>
      <c r="Q4" s="298"/>
      <c r="R4" s="298"/>
      <c r="S4" s="298"/>
      <c r="T4" s="298"/>
      <c r="U4" s="298"/>
      <c r="V4" s="298"/>
      <c r="W4" s="298"/>
      <c r="X4" s="298"/>
      <c r="Y4" s="298"/>
      <c r="Z4" s="298"/>
      <c r="AA4" s="298"/>
      <c r="AB4" s="298"/>
      <c r="AC4" s="298"/>
      <c r="AD4" s="298"/>
      <c r="AE4" s="298"/>
      <c r="AF4" s="298"/>
      <c r="AG4" s="298"/>
      <c r="AH4" s="298"/>
      <c r="AI4" s="298"/>
      <c r="AJ4" s="298"/>
      <c r="AK4" s="298"/>
      <c r="AL4" s="298"/>
      <c r="AM4" s="298"/>
      <c r="AN4" s="298"/>
      <c r="AO4" s="298"/>
      <c r="AP4" s="298"/>
      <c r="AQ4" s="298"/>
      <c r="AR4" s="298"/>
      <c r="AS4" s="298"/>
      <c r="AT4" s="299" t="s">
        <v>14</v>
      </c>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300" t="s">
        <v>96</v>
      </c>
      <c r="BS4" s="298"/>
      <c r="BT4" s="298"/>
      <c r="BU4" s="298"/>
      <c r="BV4" s="298"/>
      <c r="BW4" s="298"/>
      <c r="BX4" s="298"/>
      <c r="BY4" s="298"/>
      <c r="BZ4" s="298"/>
      <c r="CA4" s="298"/>
      <c r="CB4" s="298"/>
      <c r="CC4" s="298"/>
      <c r="CD4" s="298"/>
      <c r="CE4" s="298"/>
      <c r="CF4" s="298"/>
      <c r="CG4" s="298"/>
      <c r="CH4" s="298"/>
      <c r="CI4" s="298"/>
      <c r="CJ4" s="298"/>
      <c r="CK4" s="298"/>
      <c r="CL4" s="298"/>
      <c r="CM4" s="298"/>
      <c r="CN4" s="298"/>
      <c r="CO4" s="298"/>
      <c r="CP4" s="301" t="s">
        <v>97</v>
      </c>
      <c r="CQ4" s="301"/>
      <c r="CR4" s="301"/>
      <c r="CS4" s="301"/>
      <c r="CT4" s="301"/>
      <c r="CU4" s="301"/>
      <c r="CV4" s="301"/>
      <c r="CW4" s="301"/>
      <c r="CX4" s="301"/>
      <c r="CY4" s="301"/>
      <c r="CZ4" s="301"/>
      <c r="DA4" s="301"/>
      <c r="DB4" s="288" t="s">
        <v>59</v>
      </c>
      <c r="DC4" s="289"/>
      <c r="DD4" s="289"/>
      <c r="DE4" s="289"/>
      <c r="DF4" s="289"/>
      <c r="DG4" s="289"/>
      <c r="DH4" s="302" t="s">
        <v>25</v>
      </c>
      <c r="DI4" s="302"/>
      <c r="DJ4" s="302"/>
      <c r="DK4" s="288" t="s">
        <v>98</v>
      </c>
      <c r="DL4" s="289"/>
      <c r="DM4" s="289"/>
      <c r="DN4" s="289"/>
      <c r="DO4" s="289"/>
      <c r="DP4" s="289"/>
      <c r="DQ4" s="289"/>
      <c r="DR4" s="290"/>
      <c r="DS4" s="294" t="s">
        <v>66</v>
      </c>
    </row>
    <row r="5" spans="1:123" s="17" customFormat="1" ht="36.75" customHeight="1">
      <c r="A5" s="188"/>
      <c r="B5" s="189"/>
      <c r="C5" s="189"/>
      <c r="D5" s="189"/>
      <c r="E5" s="189"/>
      <c r="F5" s="303"/>
      <c r="G5" s="303"/>
      <c r="H5" s="303"/>
      <c r="I5" s="303"/>
      <c r="J5" s="295" t="s">
        <v>8</v>
      </c>
      <c r="K5" s="296"/>
      <c r="L5" s="296"/>
      <c r="M5" s="296"/>
      <c r="N5" s="296"/>
      <c r="O5" s="296"/>
      <c r="P5" s="296" t="s">
        <v>9</v>
      </c>
      <c r="Q5" s="296"/>
      <c r="R5" s="296"/>
      <c r="S5" s="296"/>
      <c r="T5" s="296"/>
      <c r="U5" s="296"/>
      <c r="V5" s="297" t="s">
        <v>10</v>
      </c>
      <c r="W5" s="297"/>
      <c r="X5" s="297"/>
      <c r="Y5" s="297"/>
      <c r="Z5" s="297"/>
      <c r="AA5" s="297"/>
      <c r="AB5" s="296" t="s">
        <v>11</v>
      </c>
      <c r="AC5" s="296"/>
      <c r="AD5" s="296"/>
      <c r="AE5" s="296"/>
      <c r="AF5" s="296"/>
      <c r="AG5" s="296"/>
      <c r="AH5" s="296" t="s">
        <v>12</v>
      </c>
      <c r="AI5" s="296"/>
      <c r="AJ5" s="296"/>
      <c r="AK5" s="296"/>
      <c r="AL5" s="296"/>
      <c r="AM5" s="296"/>
      <c r="AN5" s="296" t="s">
        <v>13</v>
      </c>
      <c r="AO5" s="296"/>
      <c r="AP5" s="296"/>
      <c r="AQ5" s="296"/>
      <c r="AR5" s="296"/>
      <c r="AS5" s="296"/>
      <c r="AT5" s="191" t="s">
        <v>15</v>
      </c>
      <c r="AU5" s="191"/>
      <c r="AV5" s="191"/>
      <c r="AW5" s="191"/>
      <c r="AX5" s="191"/>
      <c r="AY5" s="191"/>
      <c r="AZ5" s="191" t="s">
        <v>16</v>
      </c>
      <c r="BA5" s="191"/>
      <c r="BB5" s="191"/>
      <c r="BC5" s="191"/>
      <c r="BD5" s="191"/>
      <c r="BE5" s="191"/>
      <c r="BF5" s="191" t="s">
        <v>39</v>
      </c>
      <c r="BG5" s="191"/>
      <c r="BH5" s="191"/>
      <c r="BI5" s="191"/>
      <c r="BJ5" s="191"/>
      <c r="BK5" s="191"/>
      <c r="BL5" s="191" t="s">
        <v>18</v>
      </c>
      <c r="BM5" s="191"/>
      <c r="BN5" s="191"/>
      <c r="BO5" s="191"/>
      <c r="BP5" s="191"/>
      <c r="BQ5" s="191"/>
      <c r="BR5" s="192" t="s">
        <v>11</v>
      </c>
      <c r="BS5" s="190"/>
      <c r="BT5" s="190"/>
      <c r="BU5" s="190"/>
      <c r="BV5" s="190"/>
      <c r="BW5" s="190"/>
      <c r="BX5" s="192" t="s">
        <v>20</v>
      </c>
      <c r="BY5" s="190"/>
      <c r="BZ5" s="190"/>
      <c r="CA5" s="190"/>
      <c r="CB5" s="190"/>
      <c r="CC5" s="190"/>
      <c r="CD5" s="192" t="s">
        <v>40</v>
      </c>
      <c r="CE5" s="190"/>
      <c r="CF5" s="190"/>
      <c r="CG5" s="190"/>
      <c r="CH5" s="190"/>
      <c r="CI5" s="190"/>
      <c r="CJ5" s="192" t="s">
        <v>22</v>
      </c>
      <c r="CK5" s="190"/>
      <c r="CL5" s="190"/>
      <c r="CM5" s="190"/>
      <c r="CN5" s="190"/>
      <c r="CO5" s="190"/>
      <c r="CP5" s="193" t="s">
        <v>13</v>
      </c>
      <c r="CQ5" s="193"/>
      <c r="CR5" s="193"/>
      <c r="CS5" s="193"/>
      <c r="CT5" s="193"/>
      <c r="CU5" s="193"/>
      <c r="CV5" s="193" t="s">
        <v>23</v>
      </c>
      <c r="CW5" s="193"/>
      <c r="CX5" s="193"/>
      <c r="CY5" s="193"/>
      <c r="CZ5" s="193"/>
      <c r="DA5" s="193"/>
      <c r="DB5" s="291"/>
      <c r="DC5" s="292"/>
      <c r="DD5" s="292"/>
      <c r="DE5" s="292"/>
      <c r="DF5" s="292"/>
      <c r="DG5" s="292"/>
      <c r="DH5" s="302"/>
      <c r="DI5" s="302"/>
      <c r="DJ5" s="302"/>
      <c r="DK5" s="291"/>
      <c r="DL5" s="292"/>
      <c r="DM5" s="292"/>
      <c r="DN5" s="292"/>
      <c r="DO5" s="292"/>
      <c r="DP5" s="292"/>
      <c r="DQ5" s="292"/>
      <c r="DR5" s="293"/>
      <c r="DS5" s="294"/>
    </row>
    <row r="6" spans="1:123" s="13" customFormat="1" ht="24.75" customHeight="1">
      <c r="A6" s="188"/>
      <c r="B6" s="189"/>
      <c r="C6" s="189"/>
      <c r="D6" s="189"/>
      <c r="E6" s="189"/>
      <c r="F6" s="305" t="s">
        <v>70</v>
      </c>
      <c r="G6" s="306"/>
      <c r="H6" s="305" t="s">
        <v>71</v>
      </c>
      <c r="I6" s="306"/>
      <c r="J6" s="279" t="s">
        <v>31</v>
      </c>
      <c r="K6" s="280"/>
      <c r="L6" s="281"/>
      <c r="M6" s="279" t="s">
        <v>32</v>
      </c>
      <c r="N6" s="280"/>
      <c r="O6" s="281"/>
      <c r="P6" s="279" t="s">
        <v>31</v>
      </c>
      <c r="Q6" s="280"/>
      <c r="R6" s="281"/>
      <c r="S6" s="279" t="s">
        <v>32</v>
      </c>
      <c r="T6" s="280"/>
      <c r="U6" s="281"/>
      <c r="V6" s="279" t="s">
        <v>31</v>
      </c>
      <c r="W6" s="280"/>
      <c r="X6" s="281"/>
      <c r="Y6" s="279" t="s">
        <v>32</v>
      </c>
      <c r="Z6" s="280"/>
      <c r="AA6" s="281"/>
      <c r="AB6" s="279" t="s">
        <v>31</v>
      </c>
      <c r="AC6" s="280"/>
      <c r="AD6" s="281"/>
      <c r="AE6" s="279" t="s">
        <v>32</v>
      </c>
      <c r="AF6" s="280"/>
      <c r="AG6" s="281"/>
      <c r="AH6" s="279" t="s">
        <v>31</v>
      </c>
      <c r="AI6" s="280"/>
      <c r="AJ6" s="281"/>
      <c r="AK6" s="279" t="s">
        <v>32</v>
      </c>
      <c r="AL6" s="280"/>
      <c r="AM6" s="281"/>
      <c r="AN6" s="279" t="s">
        <v>31</v>
      </c>
      <c r="AO6" s="280"/>
      <c r="AP6" s="281"/>
      <c r="AQ6" s="279" t="s">
        <v>32</v>
      </c>
      <c r="AR6" s="280"/>
      <c r="AS6" s="281"/>
      <c r="AT6" s="285" t="s">
        <v>31</v>
      </c>
      <c r="AU6" s="286"/>
      <c r="AV6" s="287"/>
      <c r="AW6" s="285" t="s">
        <v>32</v>
      </c>
      <c r="AX6" s="286"/>
      <c r="AY6" s="287"/>
      <c r="AZ6" s="285" t="s">
        <v>31</v>
      </c>
      <c r="BA6" s="286"/>
      <c r="BB6" s="287"/>
      <c r="BC6" s="285" t="s">
        <v>32</v>
      </c>
      <c r="BD6" s="286"/>
      <c r="BE6" s="287"/>
      <c r="BF6" s="285" t="s">
        <v>31</v>
      </c>
      <c r="BG6" s="286"/>
      <c r="BH6" s="287"/>
      <c r="BI6" s="285" t="s">
        <v>32</v>
      </c>
      <c r="BJ6" s="286"/>
      <c r="BK6" s="287"/>
      <c r="BL6" s="285" t="s">
        <v>31</v>
      </c>
      <c r="BM6" s="286"/>
      <c r="BN6" s="287"/>
      <c r="BO6" s="285" t="s">
        <v>32</v>
      </c>
      <c r="BP6" s="286"/>
      <c r="BQ6" s="287"/>
      <c r="BR6" s="279" t="s">
        <v>31</v>
      </c>
      <c r="BS6" s="280"/>
      <c r="BT6" s="281"/>
      <c r="BU6" s="279" t="s">
        <v>32</v>
      </c>
      <c r="BV6" s="280"/>
      <c r="BW6" s="281"/>
      <c r="BX6" s="279" t="s">
        <v>31</v>
      </c>
      <c r="BY6" s="280"/>
      <c r="BZ6" s="281"/>
      <c r="CA6" s="279" t="s">
        <v>32</v>
      </c>
      <c r="CB6" s="280"/>
      <c r="CC6" s="281"/>
      <c r="CD6" s="279" t="s">
        <v>31</v>
      </c>
      <c r="CE6" s="280"/>
      <c r="CF6" s="281"/>
      <c r="CG6" s="279" t="s">
        <v>32</v>
      </c>
      <c r="CH6" s="280"/>
      <c r="CI6" s="281"/>
      <c r="CJ6" s="279" t="s">
        <v>31</v>
      </c>
      <c r="CK6" s="280"/>
      <c r="CL6" s="281"/>
      <c r="CM6" s="279" t="s">
        <v>32</v>
      </c>
      <c r="CN6" s="280"/>
      <c r="CO6" s="281"/>
      <c r="CP6" s="282" t="s">
        <v>31</v>
      </c>
      <c r="CQ6" s="283"/>
      <c r="CR6" s="284"/>
      <c r="CS6" s="282" t="s">
        <v>32</v>
      </c>
      <c r="CT6" s="283"/>
      <c r="CU6" s="284"/>
      <c r="CV6" s="282" t="s">
        <v>31</v>
      </c>
      <c r="CW6" s="283"/>
      <c r="CX6" s="284"/>
      <c r="CY6" s="282" t="s">
        <v>32</v>
      </c>
      <c r="CZ6" s="283"/>
      <c r="DA6" s="284"/>
      <c r="DB6" s="274" t="s">
        <v>90</v>
      </c>
      <c r="DC6" s="274" t="s">
        <v>82</v>
      </c>
      <c r="DD6" s="274" t="s">
        <v>117</v>
      </c>
      <c r="DE6" s="274" t="s">
        <v>91</v>
      </c>
      <c r="DF6" s="274" t="s">
        <v>82</v>
      </c>
      <c r="DG6" s="274" t="s">
        <v>117</v>
      </c>
      <c r="DH6" s="274" t="s">
        <v>26</v>
      </c>
      <c r="DI6" s="274" t="s">
        <v>28</v>
      </c>
      <c r="DJ6" s="274" t="s">
        <v>92</v>
      </c>
      <c r="DK6" s="276" t="s">
        <v>99</v>
      </c>
      <c r="DL6" s="277"/>
      <c r="DM6" s="277"/>
      <c r="DN6" s="278"/>
      <c r="DO6" s="276" t="s">
        <v>100</v>
      </c>
      <c r="DP6" s="277"/>
      <c r="DQ6" s="277"/>
      <c r="DR6" s="278"/>
      <c r="DS6" s="294"/>
    </row>
    <row r="7" spans="1:123" s="13" customFormat="1" ht="30" customHeight="1">
      <c r="A7" s="304"/>
      <c r="B7" s="189"/>
      <c r="C7" s="189"/>
      <c r="D7" s="189"/>
      <c r="E7" s="189"/>
      <c r="F7" s="21" t="s">
        <v>78</v>
      </c>
      <c r="G7" s="21" t="s">
        <v>38</v>
      </c>
      <c r="H7" s="21" t="s">
        <v>78</v>
      </c>
      <c r="I7" s="21" t="s">
        <v>38</v>
      </c>
      <c r="J7" s="5" t="s">
        <v>57</v>
      </c>
      <c r="K7" s="5" t="s">
        <v>89</v>
      </c>
      <c r="L7" s="5" t="s">
        <v>93</v>
      </c>
      <c r="M7" s="5" t="s">
        <v>57</v>
      </c>
      <c r="N7" s="5" t="s">
        <v>89</v>
      </c>
      <c r="O7" s="5" t="s">
        <v>93</v>
      </c>
      <c r="P7" s="5" t="s">
        <v>57</v>
      </c>
      <c r="Q7" s="5" t="s">
        <v>89</v>
      </c>
      <c r="R7" s="5" t="s">
        <v>93</v>
      </c>
      <c r="S7" s="5" t="s">
        <v>57</v>
      </c>
      <c r="T7" s="5" t="s">
        <v>89</v>
      </c>
      <c r="U7" s="5" t="s">
        <v>93</v>
      </c>
      <c r="V7" s="5" t="s">
        <v>57</v>
      </c>
      <c r="W7" s="5" t="s">
        <v>89</v>
      </c>
      <c r="X7" s="5" t="s">
        <v>93</v>
      </c>
      <c r="Y7" s="5" t="s">
        <v>57</v>
      </c>
      <c r="Z7" s="5" t="s">
        <v>89</v>
      </c>
      <c r="AA7" s="5" t="s">
        <v>93</v>
      </c>
      <c r="AB7" s="5" t="s">
        <v>57</v>
      </c>
      <c r="AC7" s="5" t="s">
        <v>89</v>
      </c>
      <c r="AD7" s="5" t="s">
        <v>93</v>
      </c>
      <c r="AE7" s="5" t="s">
        <v>57</v>
      </c>
      <c r="AF7" s="5" t="s">
        <v>89</v>
      </c>
      <c r="AG7" s="5" t="s">
        <v>93</v>
      </c>
      <c r="AH7" s="5" t="s">
        <v>57</v>
      </c>
      <c r="AI7" s="5" t="s">
        <v>89</v>
      </c>
      <c r="AJ7" s="5" t="s">
        <v>93</v>
      </c>
      <c r="AK7" s="5" t="s">
        <v>57</v>
      </c>
      <c r="AL7" s="5" t="s">
        <v>89</v>
      </c>
      <c r="AM7" s="5" t="s">
        <v>93</v>
      </c>
      <c r="AN7" s="5" t="s">
        <v>57</v>
      </c>
      <c r="AO7" s="5" t="s">
        <v>89</v>
      </c>
      <c r="AP7" s="5" t="s">
        <v>93</v>
      </c>
      <c r="AQ7" s="5" t="s">
        <v>57</v>
      </c>
      <c r="AR7" s="5" t="s">
        <v>89</v>
      </c>
      <c r="AS7" s="5" t="s">
        <v>93</v>
      </c>
      <c r="AT7" s="6" t="s">
        <v>57</v>
      </c>
      <c r="AU7" s="6" t="s">
        <v>89</v>
      </c>
      <c r="AV7" s="6" t="s">
        <v>93</v>
      </c>
      <c r="AW7" s="6" t="s">
        <v>57</v>
      </c>
      <c r="AX7" s="6" t="s">
        <v>89</v>
      </c>
      <c r="AY7" s="6" t="s">
        <v>93</v>
      </c>
      <c r="AZ7" s="6" t="s">
        <v>57</v>
      </c>
      <c r="BA7" s="6" t="s">
        <v>89</v>
      </c>
      <c r="BB7" s="6" t="s">
        <v>93</v>
      </c>
      <c r="BC7" s="6" t="s">
        <v>57</v>
      </c>
      <c r="BD7" s="6" t="s">
        <v>89</v>
      </c>
      <c r="BE7" s="6" t="s">
        <v>93</v>
      </c>
      <c r="BF7" s="6" t="s">
        <v>57</v>
      </c>
      <c r="BG7" s="6" t="s">
        <v>89</v>
      </c>
      <c r="BH7" s="6" t="s">
        <v>93</v>
      </c>
      <c r="BI7" s="6" t="s">
        <v>57</v>
      </c>
      <c r="BJ7" s="6" t="s">
        <v>89</v>
      </c>
      <c r="BK7" s="6" t="s">
        <v>93</v>
      </c>
      <c r="BL7" s="6" t="s">
        <v>57</v>
      </c>
      <c r="BM7" s="6" t="s">
        <v>89</v>
      </c>
      <c r="BN7" s="6" t="s">
        <v>93</v>
      </c>
      <c r="BO7" s="6" t="s">
        <v>57</v>
      </c>
      <c r="BP7" s="6" t="s">
        <v>89</v>
      </c>
      <c r="BQ7" s="6" t="s">
        <v>93</v>
      </c>
      <c r="BR7" s="5" t="s">
        <v>57</v>
      </c>
      <c r="BS7" s="5" t="s">
        <v>89</v>
      </c>
      <c r="BT7" s="5" t="s">
        <v>93</v>
      </c>
      <c r="BU7" s="5" t="s">
        <v>57</v>
      </c>
      <c r="BV7" s="5" t="s">
        <v>89</v>
      </c>
      <c r="BW7" s="5" t="s">
        <v>93</v>
      </c>
      <c r="BX7" s="5" t="s">
        <v>57</v>
      </c>
      <c r="BY7" s="5" t="s">
        <v>89</v>
      </c>
      <c r="BZ7" s="5" t="s">
        <v>93</v>
      </c>
      <c r="CA7" s="5" t="s">
        <v>57</v>
      </c>
      <c r="CB7" s="5" t="s">
        <v>89</v>
      </c>
      <c r="CC7" s="5" t="s">
        <v>93</v>
      </c>
      <c r="CD7" s="5" t="s">
        <v>57</v>
      </c>
      <c r="CE7" s="5" t="s">
        <v>89</v>
      </c>
      <c r="CF7" s="5" t="s">
        <v>93</v>
      </c>
      <c r="CG7" s="5" t="s">
        <v>57</v>
      </c>
      <c r="CH7" s="5" t="s">
        <v>89</v>
      </c>
      <c r="CI7" s="5" t="s">
        <v>93</v>
      </c>
      <c r="CJ7" s="5" t="s">
        <v>57</v>
      </c>
      <c r="CK7" s="5" t="s">
        <v>89</v>
      </c>
      <c r="CL7" s="5" t="s">
        <v>93</v>
      </c>
      <c r="CM7" s="5" t="s">
        <v>57</v>
      </c>
      <c r="CN7" s="5" t="s">
        <v>89</v>
      </c>
      <c r="CO7" s="5" t="s">
        <v>93</v>
      </c>
      <c r="CP7" s="22" t="s">
        <v>57</v>
      </c>
      <c r="CQ7" s="22" t="s">
        <v>89</v>
      </c>
      <c r="CR7" s="22" t="s">
        <v>93</v>
      </c>
      <c r="CS7" s="22" t="s">
        <v>57</v>
      </c>
      <c r="CT7" s="22" t="s">
        <v>89</v>
      </c>
      <c r="CU7" s="22" t="s">
        <v>93</v>
      </c>
      <c r="CV7" s="22" t="s">
        <v>57</v>
      </c>
      <c r="CW7" s="22" t="s">
        <v>89</v>
      </c>
      <c r="CX7" s="22" t="s">
        <v>93</v>
      </c>
      <c r="CY7" s="22" t="s">
        <v>57</v>
      </c>
      <c r="CZ7" s="22" t="s">
        <v>89</v>
      </c>
      <c r="DA7" s="22" t="s">
        <v>93</v>
      </c>
      <c r="DB7" s="275"/>
      <c r="DC7" s="275"/>
      <c r="DD7" s="275"/>
      <c r="DE7" s="275"/>
      <c r="DF7" s="275"/>
      <c r="DG7" s="275"/>
      <c r="DH7" s="275"/>
      <c r="DI7" s="275"/>
      <c r="DJ7" s="275"/>
      <c r="DK7" s="14">
        <v>1</v>
      </c>
      <c r="DL7" s="14">
        <v>2</v>
      </c>
      <c r="DM7" s="14">
        <v>3</v>
      </c>
      <c r="DN7" s="14">
        <v>4</v>
      </c>
      <c r="DO7" s="14">
        <v>1</v>
      </c>
      <c r="DP7" s="14">
        <v>2</v>
      </c>
      <c r="DQ7" s="14">
        <v>3</v>
      </c>
      <c r="DR7" s="14">
        <v>4</v>
      </c>
      <c r="DS7" s="294"/>
    </row>
    <row r="8" spans="1:123" s="13" customFormat="1" ht="30" customHeight="1">
      <c r="A8" s="19">
        <v>1</v>
      </c>
      <c r="B8" s="20">
        <v>2</v>
      </c>
      <c r="C8" s="45">
        <v>3</v>
      </c>
      <c r="D8" s="46">
        <v>4</v>
      </c>
      <c r="E8" s="19">
        <v>5</v>
      </c>
      <c r="F8" s="21">
        <v>6</v>
      </c>
      <c r="G8" s="21">
        <v>7</v>
      </c>
      <c r="H8" s="21">
        <v>8</v>
      </c>
      <c r="I8" s="21">
        <v>9</v>
      </c>
      <c r="J8" s="5">
        <v>10</v>
      </c>
      <c r="K8" s="5">
        <v>11</v>
      </c>
      <c r="L8" s="5">
        <v>12</v>
      </c>
      <c r="M8" s="5">
        <v>13</v>
      </c>
      <c r="N8" s="5">
        <v>14</v>
      </c>
      <c r="O8" s="5">
        <v>15</v>
      </c>
      <c r="P8" s="5">
        <v>16</v>
      </c>
      <c r="Q8" s="5">
        <v>17</v>
      </c>
      <c r="R8" s="5">
        <v>18</v>
      </c>
      <c r="S8" s="5">
        <v>19</v>
      </c>
      <c r="T8" s="5">
        <v>20</v>
      </c>
      <c r="U8" s="5">
        <v>21</v>
      </c>
      <c r="V8" s="5">
        <v>22</v>
      </c>
      <c r="W8" s="5">
        <v>23</v>
      </c>
      <c r="X8" s="5">
        <v>24</v>
      </c>
      <c r="Y8" s="5">
        <v>25</v>
      </c>
      <c r="Z8" s="5">
        <v>26</v>
      </c>
      <c r="AA8" s="5">
        <v>27</v>
      </c>
      <c r="AB8" s="5">
        <v>28</v>
      </c>
      <c r="AC8" s="5">
        <v>29</v>
      </c>
      <c r="AD8" s="5">
        <v>30</v>
      </c>
      <c r="AE8" s="5">
        <v>31</v>
      </c>
      <c r="AF8" s="5">
        <v>32</v>
      </c>
      <c r="AG8" s="5">
        <v>33</v>
      </c>
      <c r="AH8" s="5">
        <v>34</v>
      </c>
      <c r="AI8" s="5">
        <v>35</v>
      </c>
      <c r="AJ8" s="5">
        <v>36</v>
      </c>
      <c r="AK8" s="5">
        <v>37</v>
      </c>
      <c r="AL8" s="5">
        <v>38</v>
      </c>
      <c r="AM8" s="5">
        <v>39</v>
      </c>
      <c r="AN8" s="5">
        <v>40</v>
      </c>
      <c r="AO8" s="5">
        <v>41</v>
      </c>
      <c r="AP8" s="5">
        <v>42</v>
      </c>
      <c r="AQ8" s="5">
        <v>43</v>
      </c>
      <c r="AR8" s="5">
        <v>44</v>
      </c>
      <c r="AS8" s="5">
        <v>45</v>
      </c>
      <c r="AT8" s="6">
        <v>46</v>
      </c>
      <c r="AU8" s="6">
        <v>47</v>
      </c>
      <c r="AV8" s="6">
        <v>48</v>
      </c>
      <c r="AW8" s="6">
        <v>49</v>
      </c>
      <c r="AX8" s="6">
        <v>50</v>
      </c>
      <c r="AY8" s="6">
        <v>51</v>
      </c>
      <c r="AZ8" s="6">
        <v>52</v>
      </c>
      <c r="BA8" s="6">
        <v>53</v>
      </c>
      <c r="BB8" s="6">
        <v>54</v>
      </c>
      <c r="BC8" s="6">
        <v>55</v>
      </c>
      <c r="BD8" s="6">
        <v>56</v>
      </c>
      <c r="BE8" s="6">
        <v>57</v>
      </c>
      <c r="BF8" s="6">
        <v>58</v>
      </c>
      <c r="BG8" s="6">
        <v>59</v>
      </c>
      <c r="BH8" s="6">
        <v>60</v>
      </c>
      <c r="BI8" s="6">
        <v>61</v>
      </c>
      <c r="BJ8" s="6">
        <v>62</v>
      </c>
      <c r="BK8" s="6">
        <v>63</v>
      </c>
      <c r="BL8" s="6">
        <v>64</v>
      </c>
      <c r="BM8" s="6">
        <v>65</v>
      </c>
      <c r="BN8" s="6">
        <v>66</v>
      </c>
      <c r="BO8" s="6">
        <v>67</v>
      </c>
      <c r="BP8" s="6">
        <v>68</v>
      </c>
      <c r="BQ8" s="6">
        <v>69</v>
      </c>
      <c r="BR8" s="5">
        <v>70</v>
      </c>
      <c r="BS8" s="5">
        <v>71</v>
      </c>
      <c r="BT8" s="5">
        <v>72</v>
      </c>
      <c r="BU8" s="5">
        <v>73</v>
      </c>
      <c r="BV8" s="5">
        <v>74</v>
      </c>
      <c r="BW8" s="5">
        <v>75</v>
      </c>
      <c r="BX8" s="5">
        <v>76</v>
      </c>
      <c r="BY8" s="5">
        <v>77</v>
      </c>
      <c r="BZ8" s="5">
        <v>78</v>
      </c>
      <c r="CA8" s="5">
        <v>79</v>
      </c>
      <c r="CB8" s="5">
        <v>80</v>
      </c>
      <c r="CC8" s="5">
        <v>81</v>
      </c>
      <c r="CD8" s="5">
        <v>82</v>
      </c>
      <c r="CE8" s="5">
        <v>83</v>
      </c>
      <c r="CF8" s="5">
        <v>84</v>
      </c>
      <c r="CG8" s="5">
        <v>85</v>
      </c>
      <c r="CH8" s="5">
        <v>86</v>
      </c>
      <c r="CI8" s="5">
        <v>87</v>
      </c>
      <c r="CJ8" s="5">
        <v>88</v>
      </c>
      <c r="CK8" s="5">
        <v>89</v>
      </c>
      <c r="CL8" s="5">
        <v>90</v>
      </c>
      <c r="CM8" s="5">
        <v>91</v>
      </c>
      <c r="CN8" s="5">
        <v>92</v>
      </c>
      <c r="CO8" s="5">
        <v>93</v>
      </c>
      <c r="CP8" s="22">
        <v>94</v>
      </c>
      <c r="CQ8" s="22">
        <v>95</v>
      </c>
      <c r="CR8" s="22">
        <v>96</v>
      </c>
      <c r="CS8" s="22">
        <v>97</v>
      </c>
      <c r="CT8" s="22">
        <v>98</v>
      </c>
      <c r="CU8" s="22">
        <v>99</v>
      </c>
      <c r="CV8" s="22">
        <v>100</v>
      </c>
      <c r="CW8" s="22">
        <v>101</v>
      </c>
      <c r="CX8" s="22">
        <v>102</v>
      </c>
      <c r="CY8" s="22">
        <v>103</v>
      </c>
      <c r="CZ8" s="22">
        <v>104</v>
      </c>
      <c r="DA8" s="22">
        <v>105</v>
      </c>
      <c r="DB8" s="32">
        <v>106</v>
      </c>
      <c r="DC8" s="32">
        <v>107</v>
      </c>
      <c r="DD8" s="32">
        <v>108</v>
      </c>
      <c r="DE8" s="32">
        <v>109</v>
      </c>
      <c r="DF8" s="32">
        <v>110</v>
      </c>
      <c r="DG8" s="32">
        <v>111</v>
      </c>
      <c r="DH8" s="32">
        <v>112</v>
      </c>
      <c r="DI8" s="32">
        <v>113</v>
      </c>
      <c r="DJ8" s="32">
        <v>114</v>
      </c>
      <c r="DK8" s="32">
        <v>115</v>
      </c>
      <c r="DL8" s="32">
        <v>116</v>
      </c>
      <c r="DM8" s="32">
        <v>117</v>
      </c>
      <c r="DN8" s="32">
        <v>118</v>
      </c>
      <c r="DO8" s="32">
        <v>119</v>
      </c>
      <c r="DP8" s="32">
        <v>120</v>
      </c>
      <c r="DQ8" s="32">
        <v>121</v>
      </c>
      <c r="DR8" s="32">
        <v>122</v>
      </c>
      <c r="DS8" s="33">
        <v>123</v>
      </c>
    </row>
    <row r="9" spans="1:123">
      <c r="A9" s="12">
        <v>1</v>
      </c>
      <c r="B9" s="23" t="str">
        <f>IF(Setting!J6="","",Setting!J6)</f>
        <v>Abdul Fattah Irfan Al Mubaroq</v>
      </c>
      <c r="C9" s="28">
        <f>IF(Setting!K6="","",Setting!K6)</f>
        <v>2008004</v>
      </c>
      <c r="D9" s="28" t="str">
        <f>IF(Setting!L6="","",Setting!L6)</f>
        <v>0047308275</v>
      </c>
      <c r="E9" s="15" t="str">
        <f>IF(Setting!$E$11="","",Setting!$E$11)</f>
        <v>X.MIPA 4</v>
      </c>
      <c r="F9" s="15" t="str">
        <f>'Input Nilai Sikap dan Catatan'!D4</f>
        <v>B</v>
      </c>
      <c r="G9" s="15" t="str">
        <f>'Input Nilai Sikap dan Catatan'!E4</f>
        <v>Berpartisipasi dengan baik dalam kegiatan keagamaan di sekolah.</v>
      </c>
      <c r="H9" s="15" t="str">
        <f>'Input Nilai Sikap dan Catatan'!F4</f>
        <v>B</v>
      </c>
      <c r="I9" s="15" t="str">
        <f>'Input Nilai Sikap dan Catatan'!G4</f>
        <v>Memiliki kemampuan kolaborasi yang baik dalam kelompok tetapi inisiatif individu masih perlu ditingkatkan</v>
      </c>
      <c r="J9" s="52">
        <v>88</v>
      </c>
      <c r="K9" s="52" t="s">
        <v>151</v>
      </c>
      <c r="L9" s="52" t="s">
        <v>1006</v>
      </c>
      <c r="M9" s="52">
        <v>84</v>
      </c>
      <c r="N9" s="52" t="s">
        <v>152</v>
      </c>
      <c r="O9" s="52" t="s">
        <v>1019</v>
      </c>
      <c r="P9" s="54">
        <v>84</v>
      </c>
      <c r="Q9" s="54" t="s">
        <v>152</v>
      </c>
      <c r="R9" s="54" t="s">
        <v>1023</v>
      </c>
      <c r="S9" s="54">
        <v>85</v>
      </c>
      <c r="T9" s="54" t="s">
        <v>152</v>
      </c>
      <c r="U9" s="54" t="s">
        <v>1063</v>
      </c>
      <c r="V9" s="182">
        <v>84</v>
      </c>
      <c r="W9" s="179" t="s">
        <v>152</v>
      </c>
      <c r="X9" s="180" t="s">
        <v>1025</v>
      </c>
      <c r="Y9" s="182">
        <v>83</v>
      </c>
      <c r="Z9" s="179" t="s">
        <v>152</v>
      </c>
      <c r="AA9" s="181" t="s">
        <v>1026</v>
      </c>
      <c r="AB9" s="54">
        <v>80</v>
      </c>
      <c r="AC9" s="54" t="s">
        <v>152</v>
      </c>
      <c r="AD9" s="54" t="s">
        <v>1041</v>
      </c>
      <c r="AE9" s="54">
        <v>82</v>
      </c>
      <c r="AF9" s="54" t="s">
        <v>152</v>
      </c>
      <c r="AG9" s="54" t="s">
        <v>1042</v>
      </c>
      <c r="AH9" s="52">
        <v>84</v>
      </c>
      <c r="AI9" s="52" t="s">
        <v>152</v>
      </c>
      <c r="AJ9" s="52" t="s">
        <v>1051</v>
      </c>
      <c r="AK9" s="52">
        <v>80</v>
      </c>
      <c r="AL9" s="52" t="s">
        <v>152</v>
      </c>
      <c r="AM9" s="52" t="s">
        <v>1052</v>
      </c>
      <c r="AN9" s="54">
        <v>84</v>
      </c>
      <c r="AO9" s="54" t="s">
        <v>152</v>
      </c>
      <c r="AP9" s="54" t="s">
        <v>1108</v>
      </c>
      <c r="AQ9" s="54">
        <v>80</v>
      </c>
      <c r="AR9" s="54" t="s">
        <v>152</v>
      </c>
      <c r="AS9" s="54" t="s">
        <v>1109</v>
      </c>
      <c r="AT9" s="52">
        <v>80</v>
      </c>
      <c r="AU9" s="52" t="s">
        <v>152</v>
      </c>
      <c r="AV9" s="52" t="s">
        <v>1061</v>
      </c>
      <c r="AW9" s="52">
        <v>80</v>
      </c>
      <c r="AX9" s="52" t="s">
        <v>152</v>
      </c>
      <c r="AY9" s="52" t="s">
        <v>1062</v>
      </c>
      <c r="AZ9" s="54">
        <v>88</v>
      </c>
      <c r="BA9" s="54" t="s">
        <v>151</v>
      </c>
      <c r="BB9" s="54" t="s">
        <v>1115</v>
      </c>
      <c r="BC9" s="54">
        <v>87</v>
      </c>
      <c r="BD9" s="54" t="s">
        <v>152</v>
      </c>
      <c r="BE9" s="54" t="s">
        <v>1116</v>
      </c>
      <c r="BF9" s="52">
        <v>83</v>
      </c>
      <c r="BG9" s="52" t="s">
        <v>152</v>
      </c>
      <c r="BH9" s="52" t="s">
        <v>1119</v>
      </c>
      <c r="BI9" s="52">
        <v>93</v>
      </c>
      <c r="BJ9" s="52" t="s">
        <v>151</v>
      </c>
      <c r="BK9" s="52" t="s">
        <v>1064</v>
      </c>
      <c r="BL9" s="54">
        <v>87</v>
      </c>
      <c r="BM9" s="54" t="s">
        <v>152</v>
      </c>
      <c r="BN9" s="54" t="s">
        <v>1121</v>
      </c>
      <c r="BO9" s="54">
        <v>82</v>
      </c>
      <c r="BP9" s="54" t="s">
        <v>152</v>
      </c>
      <c r="BQ9" s="54" t="s">
        <v>1122</v>
      </c>
      <c r="BR9" s="52">
        <v>80</v>
      </c>
      <c r="BS9" s="52" t="s">
        <v>152</v>
      </c>
      <c r="BT9" s="52" t="s">
        <v>1125</v>
      </c>
      <c r="BU9" s="52">
        <v>84</v>
      </c>
      <c r="BV9" s="52" t="s">
        <v>152</v>
      </c>
      <c r="BW9" s="52" t="s">
        <v>1066</v>
      </c>
      <c r="BX9" s="54">
        <v>84</v>
      </c>
      <c r="BY9" s="54" t="s">
        <v>152</v>
      </c>
      <c r="BZ9" s="54" t="s">
        <v>1067</v>
      </c>
      <c r="CA9" s="54">
        <v>80</v>
      </c>
      <c r="CB9" s="54" t="s">
        <v>152</v>
      </c>
      <c r="CC9" s="54" t="s">
        <v>1068</v>
      </c>
      <c r="CD9" s="52">
        <v>82</v>
      </c>
      <c r="CE9" s="52" t="s">
        <v>152</v>
      </c>
      <c r="CF9" s="52" t="s">
        <v>1076</v>
      </c>
      <c r="CG9" s="52">
        <v>89</v>
      </c>
      <c r="CH9" s="52" t="s">
        <v>151</v>
      </c>
      <c r="CI9" s="52" t="s">
        <v>1077</v>
      </c>
      <c r="CJ9" s="54">
        <v>80</v>
      </c>
      <c r="CK9" s="54" t="s">
        <v>152</v>
      </c>
      <c r="CL9" s="54" t="s">
        <v>1081</v>
      </c>
      <c r="CM9" s="54">
        <v>81</v>
      </c>
      <c r="CN9" s="54" t="s">
        <v>152</v>
      </c>
      <c r="CO9" s="54" t="s">
        <v>1082</v>
      </c>
      <c r="CP9" s="52">
        <v>82</v>
      </c>
      <c r="CQ9" s="52" t="s">
        <v>152</v>
      </c>
      <c r="CR9" s="52" t="s">
        <v>1085</v>
      </c>
      <c r="CS9" s="52">
        <v>80</v>
      </c>
      <c r="CT9" s="52" t="s">
        <v>152</v>
      </c>
      <c r="CU9" s="52" t="s">
        <v>1086</v>
      </c>
      <c r="CV9" s="52">
        <v>92</v>
      </c>
      <c r="CW9" s="52" t="s">
        <v>151</v>
      </c>
      <c r="CX9" s="52" t="s">
        <v>1098</v>
      </c>
      <c r="CY9" s="52">
        <v>95</v>
      </c>
      <c r="CZ9" s="52" t="s">
        <v>151</v>
      </c>
      <c r="DA9" s="52" t="s">
        <v>1099</v>
      </c>
      <c r="DB9" s="15" t="str">
        <f>'Input Ekstra'!E5</f>
        <v>Pramuka</v>
      </c>
      <c r="DC9" s="15" t="str">
        <f>'Input Ekstra'!F5</f>
        <v>Baik</v>
      </c>
      <c r="DD9" s="15" t="str">
        <f>'Input Ekstra'!G5</f>
        <v>Peserta didik mampu menjelaskan tentang sejarah kepramukaan dan implementasi materi kepemimpinan dalam kehidupan sehari-hari</v>
      </c>
      <c r="DE9" s="15">
        <f>'Input Ekstra'!H5</f>
        <v>0</v>
      </c>
      <c r="DF9" s="15">
        <f>'Input Ekstra'!I5</f>
        <v>0</v>
      </c>
      <c r="DG9" s="15">
        <f>'Input Ekstra'!J5</f>
        <v>0</v>
      </c>
      <c r="DH9" s="15">
        <f>'Input Kehadiran'!E5</f>
        <v>0</v>
      </c>
      <c r="DI9" s="15">
        <f>'Input Kehadiran'!F5</f>
        <v>5</v>
      </c>
      <c r="DJ9" s="15" t="str">
        <f>'Input Kehadiran'!G5</f>
        <v xml:space="preserve"> -</v>
      </c>
      <c r="DK9" s="48">
        <f>'Input Prestasi'!D6</f>
        <v>0</v>
      </c>
      <c r="DL9" s="48">
        <f>'Input Prestasi'!E6</f>
        <v>0</v>
      </c>
      <c r="DM9" s="48">
        <f>'Input Prestasi'!F6</f>
        <v>0</v>
      </c>
      <c r="DN9" s="48">
        <f>'Input Prestasi'!G6</f>
        <v>0</v>
      </c>
      <c r="DO9" s="48">
        <f>'Input Prestasi'!H6</f>
        <v>0</v>
      </c>
      <c r="DP9" s="48">
        <f>'Input Prestasi'!I6</f>
        <v>0</v>
      </c>
      <c r="DQ9" s="48">
        <f>'Input Prestasi'!J6</f>
        <v>0</v>
      </c>
      <c r="DR9" s="48">
        <f>'Input Prestasi'!K6</f>
        <v>0</v>
      </c>
      <c r="DS9" s="15" t="str">
        <f>'Input Nilai Sikap dan Catatan'!H4</f>
        <v>Peserta didik sudah menunjukkan sikap mengamalkan ajaran agamanya, konsisten menerapkan sikap santun, jujur, dan mandiri. Tingkatkan rasa ingin tahu dan sikap baik di dalam maupun di luar pembelajaran.</v>
      </c>
    </row>
    <row r="10" spans="1:123">
      <c r="A10" s="12">
        <v>2</v>
      </c>
      <c r="B10" s="23" t="str">
        <f>IF(Setting!J7="","",Setting!J7)</f>
        <v>Adam Zidane Danata Pranugroho</v>
      </c>
      <c r="C10" s="28">
        <f>IF(Setting!K7="","",Setting!K7)</f>
        <v>2008009</v>
      </c>
      <c r="D10" s="28" t="str">
        <f>IF(Setting!L7="","",Setting!L7)</f>
        <v>0051700957</v>
      </c>
      <c r="E10" s="15" t="str">
        <f>IF(Setting!$E$11="","",Setting!$E$11)</f>
        <v>X.MIPA 4</v>
      </c>
      <c r="F10" s="15" t="str">
        <f>'Input Nilai Sikap dan Catatan'!D5</f>
        <v>A</v>
      </c>
      <c r="G10" s="15" t="str">
        <f>'Input Nilai Sikap dan Catatan'!E5</f>
        <v>Berpartisipasi dengan baik dalam kegiatan keagamaan di sekolah.</v>
      </c>
      <c r="H10" s="15" t="str">
        <f>'Input Nilai Sikap dan Catatan'!F5</f>
        <v>B</v>
      </c>
      <c r="I10" s="15" t="str">
        <f>'Input Nilai Sikap dan Catatan'!G5</f>
        <v>Memiliki kemampuan kolaborasi yang baik dalam kelompok tetapi inisiatif individu masih perlu ditingkatkan</v>
      </c>
      <c r="J10" s="52">
        <v>91</v>
      </c>
      <c r="K10" s="52" t="s">
        <v>151</v>
      </c>
      <c r="L10" s="52" t="s">
        <v>1007</v>
      </c>
      <c r="M10" s="52">
        <v>89</v>
      </c>
      <c r="N10" s="52" t="s">
        <v>151</v>
      </c>
      <c r="O10" s="52" t="s">
        <v>1020</v>
      </c>
      <c r="P10" s="54">
        <v>89</v>
      </c>
      <c r="Q10" s="54" t="s">
        <v>151</v>
      </c>
      <c r="R10" s="54" t="s">
        <v>1024</v>
      </c>
      <c r="S10" s="54">
        <v>90</v>
      </c>
      <c r="T10" s="54" t="s">
        <v>151</v>
      </c>
      <c r="U10" s="54" t="s">
        <v>1063</v>
      </c>
      <c r="V10" s="182">
        <v>91</v>
      </c>
      <c r="W10" s="179" t="s">
        <v>151</v>
      </c>
      <c r="X10" s="180" t="s">
        <v>1027</v>
      </c>
      <c r="Y10" s="182">
        <v>88</v>
      </c>
      <c r="Z10" s="179" t="s">
        <v>151</v>
      </c>
      <c r="AA10" s="181" t="s">
        <v>1026</v>
      </c>
      <c r="AB10" s="54">
        <v>85</v>
      </c>
      <c r="AC10" s="54" t="s">
        <v>152</v>
      </c>
      <c r="AD10" s="54" t="s">
        <v>1043</v>
      </c>
      <c r="AE10" s="54">
        <v>80</v>
      </c>
      <c r="AF10" s="54" t="s">
        <v>152</v>
      </c>
      <c r="AG10" s="54" t="s">
        <v>1042</v>
      </c>
      <c r="AH10" s="52">
        <v>94</v>
      </c>
      <c r="AI10" s="52" t="s">
        <v>151</v>
      </c>
      <c r="AJ10" s="52" t="s">
        <v>1053</v>
      </c>
      <c r="AK10" s="52">
        <v>93</v>
      </c>
      <c r="AL10" s="52" t="s">
        <v>151</v>
      </c>
      <c r="AM10" s="52" t="s">
        <v>1052</v>
      </c>
      <c r="AN10" s="54">
        <v>92</v>
      </c>
      <c r="AO10" s="54" t="s">
        <v>151</v>
      </c>
      <c r="AP10" s="54" t="s">
        <v>1059</v>
      </c>
      <c r="AQ10" s="54">
        <v>94</v>
      </c>
      <c r="AR10" s="54" t="s">
        <v>151</v>
      </c>
      <c r="AS10" s="54" t="s">
        <v>1109</v>
      </c>
      <c r="AT10" s="52">
        <v>88</v>
      </c>
      <c r="AU10" s="52" t="s">
        <v>151</v>
      </c>
      <c r="AV10" s="52" t="s">
        <v>1061</v>
      </c>
      <c r="AW10" s="52">
        <v>88</v>
      </c>
      <c r="AX10" s="52" t="s">
        <v>151</v>
      </c>
      <c r="AY10" s="52" t="s">
        <v>1062</v>
      </c>
      <c r="AZ10" s="54">
        <v>89</v>
      </c>
      <c r="BA10" s="54" t="s">
        <v>151</v>
      </c>
      <c r="BB10" s="54" t="s">
        <v>1115</v>
      </c>
      <c r="BC10" s="54">
        <v>87</v>
      </c>
      <c r="BD10" s="54" t="s">
        <v>152</v>
      </c>
      <c r="BE10" s="54" t="s">
        <v>1116</v>
      </c>
      <c r="BF10" s="52">
        <v>92</v>
      </c>
      <c r="BG10" s="52" t="s">
        <v>151</v>
      </c>
      <c r="BH10" s="52" t="s">
        <v>1119</v>
      </c>
      <c r="BI10" s="52">
        <v>94</v>
      </c>
      <c r="BJ10" s="52" t="s">
        <v>151</v>
      </c>
      <c r="BK10" s="52" t="s">
        <v>1064</v>
      </c>
      <c r="BL10" s="54">
        <v>89</v>
      </c>
      <c r="BM10" s="54" t="s">
        <v>151</v>
      </c>
      <c r="BN10" s="54" t="s">
        <v>1121</v>
      </c>
      <c r="BO10" s="54">
        <v>81</v>
      </c>
      <c r="BP10" s="54" t="s">
        <v>152</v>
      </c>
      <c r="BQ10" s="54" t="s">
        <v>1122</v>
      </c>
      <c r="BR10" s="52">
        <v>83</v>
      </c>
      <c r="BS10" s="52" t="s">
        <v>152</v>
      </c>
      <c r="BT10" s="52" t="s">
        <v>1125</v>
      </c>
      <c r="BU10" s="52">
        <v>80</v>
      </c>
      <c r="BV10" s="52" t="s">
        <v>152</v>
      </c>
      <c r="BW10" s="52" t="s">
        <v>1066</v>
      </c>
      <c r="BX10" s="54">
        <v>89</v>
      </c>
      <c r="BY10" s="54" t="s">
        <v>151</v>
      </c>
      <c r="BZ10" s="54" t="s">
        <v>1069</v>
      </c>
      <c r="CA10" s="54">
        <v>80</v>
      </c>
      <c r="CB10" s="54" t="s">
        <v>152</v>
      </c>
      <c r="CC10" s="54" t="s">
        <v>1068</v>
      </c>
      <c r="CD10" s="52">
        <v>91</v>
      </c>
      <c r="CE10" s="52" t="s">
        <v>151</v>
      </c>
      <c r="CF10" s="52" t="s">
        <v>1078</v>
      </c>
      <c r="CG10" s="52">
        <v>89</v>
      </c>
      <c r="CH10" s="52" t="s">
        <v>151</v>
      </c>
      <c r="CI10" s="52" t="s">
        <v>1077</v>
      </c>
      <c r="CJ10" s="54">
        <v>84</v>
      </c>
      <c r="CK10" s="54" t="s">
        <v>152</v>
      </c>
      <c r="CL10" s="54" t="s">
        <v>1081</v>
      </c>
      <c r="CM10" s="54">
        <v>81</v>
      </c>
      <c r="CN10" s="54" t="s">
        <v>152</v>
      </c>
      <c r="CO10" s="54" t="s">
        <v>1082</v>
      </c>
      <c r="CP10" s="52">
        <v>91</v>
      </c>
      <c r="CQ10" s="52" t="s">
        <v>151</v>
      </c>
      <c r="CR10" s="52" t="s">
        <v>1087</v>
      </c>
      <c r="CS10" s="52">
        <v>87</v>
      </c>
      <c r="CT10" s="52" t="s">
        <v>152</v>
      </c>
      <c r="CU10" s="52" t="s">
        <v>1086</v>
      </c>
      <c r="CV10" s="52">
        <v>88</v>
      </c>
      <c r="CW10" s="52" t="s">
        <v>151</v>
      </c>
      <c r="CX10" s="52" t="s">
        <v>1100</v>
      </c>
      <c r="CY10" s="52">
        <v>90</v>
      </c>
      <c r="CZ10" s="52" t="s">
        <v>151</v>
      </c>
      <c r="DA10" s="52" t="s">
        <v>1099</v>
      </c>
      <c r="DB10" s="15" t="str">
        <f>'Input Ekstra'!E6</f>
        <v>Pramuka</v>
      </c>
      <c r="DC10" s="15" t="str">
        <f>'Input Ekstra'!F6</f>
        <v>Baik</v>
      </c>
      <c r="DD10" s="15" t="str">
        <f>'Input Ekstra'!G6</f>
        <v>Peserta didik mampu menjelaskan tentang sejarah kepramukaan dan implementasi materi kepemimpinan dalam kehidupan sehari-hari</v>
      </c>
      <c r="DE10" s="15">
        <f>'Input Ekstra'!H6</f>
        <v>0</v>
      </c>
      <c r="DF10" s="15">
        <f>'Input Ekstra'!I6</f>
        <v>0</v>
      </c>
      <c r="DG10" s="15">
        <f>'Input Ekstra'!J6</f>
        <v>0</v>
      </c>
      <c r="DH10" s="15">
        <f>'Input Kehadiran'!E6</f>
        <v>1</v>
      </c>
      <c r="DI10" s="15">
        <f>'Input Kehadiran'!F6</f>
        <v>3</v>
      </c>
      <c r="DJ10" s="15" t="str">
        <f>'Input Kehadiran'!G6</f>
        <v xml:space="preserve"> -</v>
      </c>
      <c r="DK10" s="48">
        <f>'Input Prestasi'!D7</f>
        <v>0</v>
      </c>
      <c r="DL10" s="48">
        <f>'Input Prestasi'!E7</f>
        <v>0</v>
      </c>
      <c r="DM10" s="48">
        <f>'Input Prestasi'!F7</f>
        <v>0</v>
      </c>
      <c r="DN10" s="48">
        <f>'Input Prestasi'!G7</f>
        <v>0</v>
      </c>
      <c r="DO10" s="48">
        <f>'Input Prestasi'!H7</f>
        <v>0</v>
      </c>
      <c r="DP10" s="48">
        <f>'Input Prestasi'!I7</f>
        <v>0</v>
      </c>
      <c r="DQ10" s="48">
        <f>'Input Prestasi'!J7</f>
        <v>0</v>
      </c>
      <c r="DR10" s="48">
        <f>'Input Prestasi'!K7</f>
        <v>0</v>
      </c>
      <c r="DS10" s="15" t="str">
        <f>'Input Nilai Sikap dan Catatan'!H5</f>
        <v>Peserta didik sudah menunjukkan sikap mengamalkan ajaran agamanya, konsisten menerapkan sikap santun, jujur, dan mandiri. Tingkatkan rasa ingin tahu dan sikap baik di dalam maupun di luar pembelajaran.</v>
      </c>
    </row>
    <row r="11" spans="1:123">
      <c r="A11" s="12">
        <v>3</v>
      </c>
      <c r="B11" s="23" t="str">
        <f>IF(Setting!J8="","",Setting!J8)</f>
        <v>Ahmad Fikry</v>
      </c>
      <c r="C11" s="28">
        <f>IF(Setting!K8="","",Setting!K8)</f>
        <v>2008021</v>
      </c>
      <c r="D11" s="28" t="str">
        <f>IF(Setting!L8="","",Setting!L8)</f>
        <v xml:space="preserve">0050998196 </v>
      </c>
      <c r="E11" s="15" t="str">
        <f>IF(Setting!$E$11="","",Setting!$E$11)</f>
        <v>X.MIPA 4</v>
      </c>
      <c r="F11" s="15" t="str">
        <f>'Input Nilai Sikap dan Catatan'!D6</f>
        <v>A</v>
      </c>
      <c r="G11" s="15" t="str">
        <f>'Input Nilai Sikap dan Catatan'!E6</f>
        <v>Berpartisipasi dengan baik dalam kegiatan keagamaan di sekolah.</v>
      </c>
      <c r="H11" s="15" t="str">
        <f>'Input Nilai Sikap dan Catatan'!F6</f>
        <v>B</v>
      </c>
      <c r="I11" s="15" t="str">
        <f>'Input Nilai Sikap dan Catatan'!G6</f>
        <v>Memiliki kemampuan kolaborasi yang baik dalam kelompok tetapi inisiatif individu masih perlu ditingkatkan</v>
      </c>
      <c r="J11" s="52">
        <v>89</v>
      </c>
      <c r="K11" s="52" t="s">
        <v>151</v>
      </c>
      <c r="L11" s="52" t="s">
        <v>1007</v>
      </c>
      <c r="M11" s="52">
        <v>88</v>
      </c>
      <c r="N11" s="52" t="s">
        <v>151</v>
      </c>
      <c r="O11" s="52" t="s">
        <v>1021</v>
      </c>
      <c r="P11" s="54">
        <v>85</v>
      </c>
      <c r="Q11" s="54" t="s">
        <v>152</v>
      </c>
      <c r="R11" s="54" t="s">
        <v>1024</v>
      </c>
      <c r="S11" s="54">
        <v>90</v>
      </c>
      <c r="T11" s="54" t="s">
        <v>151</v>
      </c>
      <c r="U11" s="54" t="s">
        <v>1063</v>
      </c>
      <c r="V11" s="182">
        <v>87</v>
      </c>
      <c r="W11" s="179" t="s">
        <v>152</v>
      </c>
      <c r="X11" s="180" t="s">
        <v>1028</v>
      </c>
      <c r="Y11" s="182">
        <v>89</v>
      </c>
      <c r="Z11" s="179" t="s">
        <v>151</v>
      </c>
      <c r="AA11" s="181" t="s">
        <v>1026</v>
      </c>
      <c r="AB11" s="54">
        <v>83</v>
      </c>
      <c r="AC11" s="54" t="s">
        <v>152</v>
      </c>
      <c r="AD11" s="54" t="s">
        <v>1043</v>
      </c>
      <c r="AE11" s="54">
        <v>86</v>
      </c>
      <c r="AF11" s="54" t="s">
        <v>152</v>
      </c>
      <c r="AG11" s="54" t="s">
        <v>1042</v>
      </c>
      <c r="AH11" s="52">
        <v>92</v>
      </c>
      <c r="AI11" s="52" t="s">
        <v>151</v>
      </c>
      <c r="AJ11" s="52" t="s">
        <v>1054</v>
      </c>
      <c r="AK11" s="52">
        <v>93</v>
      </c>
      <c r="AL11" s="52" t="s">
        <v>151</v>
      </c>
      <c r="AM11" s="52" t="s">
        <v>1052</v>
      </c>
      <c r="AN11" s="54">
        <v>85</v>
      </c>
      <c r="AO11" s="54" t="s">
        <v>152</v>
      </c>
      <c r="AP11" s="54" t="s">
        <v>1110</v>
      </c>
      <c r="AQ11" s="54">
        <v>80</v>
      </c>
      <c r="AR11" s="54" t="s">
        <v>152</v>
      </c>
      <c r="AS11" s="54" t="s">
        <v>1109</v>
      </c>
      <c r="AT11" s="52">
        <v>80</v>
      </c>
      <c r="AU11" s="52" t="s">
        <v>152</v>
      </c>
      <c r="AV11" s="52" t="s">
        <v>1061</v>
      </c>
      <c r="AW11" s="52">
        <v>80</v>
      </c>
      <c r="AX11" s="52" t="s">
        <v>152</v>
      </c>
      <c r="AY11" s="52" t="s">
        <v>1062</v>
      </c>
      <c r="AZ11" s="54">
        <v>88</v>
      </c>
      <c r="BA11" s="54" t="s">
        <v>151</v>
      </c>
      <c r="BB11" s="54" t="s">
        <v>1115</v>
      </c>
      <c r="BC11" s="54">
        <v>87</v>
      </c>
      <c r="BD11" s="54" t="s">
        <v>152</v>
      </c>
      <c r="BE11" s="54" t="s">
        <v>1116</v>
      </c>
      <c r="BF11" s="52">
        <v>92</v>
      </c>
      <c r="BG11" s="52" t="s">
        <v>151</v>
      </c>
      <c r="BH11" s="52" t="s">
        <v>1119</v>
      </c>
      <c r="BI11" s="52">
        <v>95</v>
      </c>
      <c r="BJ11" s="52" t="s">
        <v>151</v>
      </c>
      <c r="BK11" s="52" t="s">
        <v>1064</v>
      </c>
      <c r="BL11" s="54">
        <v>90</v>
      </c>
      <c r="BM11" s="54" t="s">
        <v>151</v>
      </c>
      <c r="BN11" s="54" t="s">
        <v>1121</v>
      </c>
      <c r="BO11" s="54">
        <v>80</v>
      </c>
      <c r="BP11" s="54" t="s">
        <v>152</v>
      </c>
      <c r="BQ11" s="54" t="s">
        <v>1122</v>
      </c>
      <c r="BR11" s="52">
        <v>81</v>
      </c>
      <c r="BS11" s="52" t="s">
        <v>152</v>
      </c>
      <c r="BT11" s="52" t="s">
        <v>1125</v>
      </c>
      <c r="BU11" s="52">
        <v>80</v>
      </c>
      <c r="BV11" s="52" t="s">
        <v>152</v>
      </c>
      <c r="BW11" s="52" t="s">
        <v>1066</v>
      </c>
      <c r="BX11" s="54">
        <v>87</v>
      </c>
      <c r="BY11" s="54" t="s">
        <v>152</v>
      </c>
      <c r="BZ11" s="54" t="s">
        <v>1070</v>
      </c>
      <c r="CA11" s="54">
        <v>81</v>
      </c>
      <c r="CB11" s="54" t="s">
        <v>152</v>
      </c>
      <c r="CC11" s="54" t="s">
        <v>1068</v>
      </c>
      <c r="CD11" s="52">
        <v>90</v>
      </c>
      <c r="CE11" s="52" t="s">
        <v>151</v>
      </c>
      <c r="CF11" s="52" t="s">
        <v>1078</v>
      </c>
      <c r="CG11" s="52">
        <v>89</v>
      </c>
      <c r="CH11" s="52" t="s">
        <v>151</v>
      </c>
      <c r="CI11" s="52" t="s">
        <v>1077</v>
      </c>
      <c r="CJ11" s="54">
        <v>80</v>
      </c>
      <c r="CK11" s="54" t="s">
        <v>152</v>
      </c>
      <c r="CL11" s="54" t="s">
        <v>1081</v>
      </c>
      <c r="CM11" s="54">
        <v>81</v>
      </c>
      <c r="CN11" s="54" t="s">
        <v>152</v>
      </c>
      <c r="CO11" s="54" t="s">
        <v>1082</v>
      </c>
      <c r="CP11" s="52">
        <v>88</v>
      </c>
      <c r="CQ11" s="52" t="s">
        <v>151</v>
      </c>
      <c r="CR11" s="52" t="s">
        <v>1088</v>
      </c>
      <c r="CS11" s="52">
        <v>81</v>
      </c>
      <c r="CT11" s="52" t="s">
        <v>152</v>
      </c>
      <c r="CU11" s="52" t="s">
        <v>1089</v>
      </c>
      <c r="CV11" s="52">
        <v>88</v>
      </c>
      <c r="CW11" s="52" t="s">
        <v>151</v>
      </c>
      <c r="CX11" s="52" t="s">
        <v>1101</v>
      </c>
      <c r="CY11" s="52">
        <v>95</v>
      </c>
      <c r="CZ11" s="52" t="s">
        <v>151</v>
      </c>
      <c r="DA11" s="52" t="s">
        <v>1099</v>
      </c>
      <c r="DB11" s="15" t="str">
        <f>'Input Ekstra'!E7</f>
        <v>Pramuka</v>
      </c>
      <c r="DC11" s="15" t="str">
        <f>'Input Ekstra'!F7</f>
        <v>Amat Baik</v>
      </c>
      <c r="DD11" s="15" t="str">
        <f>'Input Ekstra'!G7</f>
        <v>Peserta didik mampu menjelaskan tentang sejarah kepramukaan dan implementasi materi kepemimpinan dalam kehidupan sehari-hari</v>
      </c>
      <c r="DE11" s="15">
        <f>'Input Ekstra'!H7</f>
        <v>0</v>
      </c>
      <c r="DF11" s="15">
        <f>'Input Ekstra'!I7</f>
        <v>0</v>
      </c>
      <c r="DG11" s="15">
        <f>'Input Ekstra'!J7</f>
        <v>0</v>
      </c>
      <c r="DH11" s="15">
        <f>'Input Kehadiran'!E7</f>
        <v>0</v>
      </c>
      <c r="DI11" s="15">
        <f>'Input Kehadiran'!F7</f>
        <v>3</v>
      </c>
      <c r="DJ11" s="15" t="str">
        <f>'Input Kehadiran'!G7</f>
        <v xml:space="preserve"> -</v>
      </c>
      <c r="DK11" s="48">
        <f>'Input Prestasi'!D8</f>
        <v>0</v>
      </c>
      <c r="DL11" s="48">
        <f>'Input Prestasi'!E8</f>
        <v>0</v>
      </c>
      <c r="DM11" s="48">
        <f>'Input Prestasi'!F8</f>
        <v>0</v>
      </c>
      <c r="DN11" s="48">
        <f>'Input Prestasi'!G8</f>
        <v>0</v>
      </c>
      <c r="DO11" s="48">
        <f>'Input Prestasi'!H8</f>
        <v>0</v>
      </c>
      <c r="DP11" s="48">
        <f>'Input Prestasi'!I8</f>
        <v>0</v>
      </c>
      <c r="DQ11" s="48">
        <f>'Input Prestasi'!J8</f>
        <v>0</v>
      </c>
      <c r="DR11" s="48">
        <f>'Input Prestasi'!K8</f>
        <v>0</v>
      </c>
      <c r="DS11" s="15" t="str">
        <f>'Input Nilai Sikap dan Catatan'!H6</f>
        <v>Peserta didik sudah menunjukkan sikap mengamalkan ajaran agamanya, konsisten menerapkan sikap santun, jujur, dan mandiri. Tingkatkan rasa ingin tahu dan sikap baik di dalam maupun di luar pembelajaran.</v>
      </c>
    </row>
    <row r="12" spans="1:123">
      <c r="A12" s="12">
        <v>4</v>
      </c>
      <c r="B12" s="23" t="str">
        <f>IF(Setting!J9="","",Setting!J9)</f>
        <v>Akhmad Rifki Assegaf</v>
      </c>
      <c r="C12" s="28">
        <f>IF(Setting!K9="","",Setting!K9)</f>
        <v>2008029</v>
      </c>
      <c r="D12" s="28" t="str">
        <f>IF(Setting!L9="","",Setting!L9)</f>
        <v xml:space="preserve">0058425358 </v>
      </c>
      <c r="E12" s="15" t="str">
        <f>IF(Setting!$E$11="","",Setting!$E$11)</f>
        <v>X.MIPA 4</v>
      </c>
      <c r="F12" s="15" t="str">
        <f>'Input Nilai Sikap dan Catatan'!D7</f>
        <v>B</v>
      </c>
      <c r="G12" s="15" t="str">
        <f>'Input Nilai Sikap dan Catatan'!E7</f>
        <v>Berpartisipasi dengan baik dalam kegiatan keagamaan di sekolah.</v>
      </c>
      <c r="H12" s="15" t="str">
        <f>'Input Nilai Sikap dan Catatan'!F7</f>
        <v>B</v>
      </c>
      <c r="I12" s="15" t="str">
        <f>'Input Nilai Sikap dan Catatan'!G7</f>
        <v>Memiliki kemampuan kolaborasi yang baik dalam kelompok tetapi inisiatif individu masih perlu ditingkatkan</v>
      </c>
      <c r="J12" s="52">
        <v>81</v>
      </c>
      <c r="K12" s="52" t="s">
        <v>152</v>
      </c>
      <c r="L12" s="52" t="s">
        <v>1008</v>
      </c>
      <c r="M12" s="52">
        <v>80</v>
      </c>
      <c r="N12" s="52" t="s">
        <v>152</v>
      </c>
      <c r="O12" s="52" t="s">
        <v>1021</v>
      </c>
      <c r="P12" s="54">
        <v>86</v>
      </c>
      <c r="Q12" s="54" t="s">
        <v>152</v>
      </c>
      <c r="R12" s="54" t="s">
        <v>1024</v>
      </c>
      <c r="S12" s="54">
        <v>85</v>
      </c>
      <c r="T12" s="54" t="s">
        <v>152</v>
      </c>
      <c r="U12" s="54" t="s">
        <v>1063</v>
      </c>
      <c r="V12" s="182">
        <v>80</v>
      </c>
      <c r="W12" s="179" t="s">
        <v>152</v>
      </c>
      <c r="X12" s="180" t="s">
        <v>1025</v>
      </c>
      <c r="Y12" s="182">
        <v>88</v>
      </c>
      <c r="Z12" s="179" t="s">
        <v>151</v>
      </c>
      <c r="AA12" s="181" t="s">
        <v>1029</v>
      </c>
      <c r="AB12" s="54">
        <v>87</v>
      </c>
      <c r="AC12" s="54" t="s">
        <v>152</v>
      </c>
      <c r="AD12" s="54" t="s">
        <v>1044</v>
      </c>
      <c r="AE12" s="54">
        <v>89</v>
      </c>
      <c r="AF12" s="54" t="s">
        <v>151</v>
      </c>
      <c r="AG12" s="54" t="s">
        <v>1042</v>
      </c>
      <c r="AH12" s="52">
        <v>86</v>
      </c>
      <c r="AI12" s="52" t="s">
        <v>152</v>
      </c>
      <c r="AJ12" s="52" t="s">
        <v>1053</v>
      </c>
      <c r="AK12" s="52">
        <v>86</v>
      </c>
      <c r="AL12" s="52" t="s">
        <v>152</v>
      </c>
      <c r="AM12" s="52" t="s">
        <v>1052</v>
      </c>
      <c r="AN12" s="54">
        <v>47</v>
      </c>
      <c r="AO12" s="54" t="s">
        <v>154</v>
      </c>
      <c r="AP12" s="54" t="s">
        <v>1111</v>
      </c>
      <c r="AQ12" s="54">
        <v>75</v>
      </c>
      <c r="AR12" s="54" t="s">
        <v>153</v>
      </c>
      <c r="AS12" s="54" t="s">
        <v>1109</v>
      </c>
      <c r="AT12" s="52"/>
      <c r="AU12" s="52"/>
      <c r="AV12" s="52"/>
      <c r="AW12" s="52"/>
      <c r="AX12" s="52"/>
      <c r="AY12" s="52"/>
      <c r="AZ12" s="54" t="e">
        <v>#DIV/0!</v>
      </c>
      <c r="BA12" s="54" t="e">
        <v>#DIV/0!</v>
      </c>
      <c r="BB12" s="54" t="e">
        <v>#DIV/0!</v>
      </c>
      <c r="BC12" s="54">
        <v>87</v>
      </c>
      <c r="BD12" s="54" t="s">
        <v>152</v>
      </c>
      <c r="BE12" s="54" t="s">
        <v>1116</v>
      </c>
      <c r="BF12" s="52">
        <v>88</v>
      </c>
      <c r="BG12" s="52" t="s">
        <v>151</v>
      </c>
      <c r="BH12" s="52" t="s">
        <v>1119</v>
      </c>
      <c r="BI12" s="52">
        <v>97</v>
      </c>
      <c r="BJ12" s="52" t="s">
        <v>151</v>
      </c>
      <c r="BK12" s="52" t="s">
        <v>1064</v>
      </c>
      <c r="BL12" s="54">
        <v>85</v>
      </c>
      <c r="BM12" s="54" t="s">
        <v>152</v>
      </c>
      <c r="BN12" s="54" t="s">
        <v>1121</v>
      </c>
      <c r="BO12" s="54">
        <v>82</v>
      </c>
      <c r="BP12" s="54" t="s">
        <v>152</v>
      </c>
      <c r="BQ12" s="54" t="s">
        <v>1122</v>
      </c>
      <c r="BR12" s="52">
        <v>84</v>
      </c>
      <c r="BS12" s="52" t="s">
        <v>152</v>
      </c>
      <c r="BT12" s="52" t="s">
        <v>1125</v>
      </c>
      <c r="BU12" s="52">
        <v>84</v>
      </c>
      <c r="BV12" s="52" t="s">
        <v>152</v>
      </c>
      <c r="BW12" s="52" t="s">
        <v>1066</v>
      </c>
      <c r="BX12" s="54">
        <v>81</v>
      </c>
      <c r="BY12" s="54" t="s">
        <v>152</v>
      </c>
      <c r="BZ12" s="54" t="s">
        <v>1071</v>
      </c>
      <c r="CA12" s="54">
        <v>81</v>
      </c>
      <c r="CB12" s="54" t="s">
        <v>152</v>
      </c>
      <c r="CC12" s="54" t="s">
        <v>1068</v>
      </c>
      <c r="CD12" s="52">
        <v>90</v>
      </c>
      <c r="CE12" s="52" t="s">
        <v>151</v>
      </c>
      <c r="CF12" s="52" t="s">
        <v>1078</v>
      </c>
      <c r="CG12" s="52">
        <v>89</v>
      </c>
      <c r="CH12" s="52" t="s">
        <v>151</v>
      </c>
      <c r="CI12" s="52" t="s">
        <v>1077</v>
      </c>
      <c r="CJ12" s="54">
        <v>81</v>
      </c>
      <c r="CK12" s="54" t="s">
        <v>152</v>
      </c>
      <c r="CL12" s="54" t="s">
        <v>1081</v>
      </c>
      <c r="CM12" s="54">
        <v>81</v>
      </c>
      <c r="CN12" s="54" t="s">
        <v>152</v>
      </c>
      <c r="CO12" s="54" t="s">
        <v>1082</v>
      </c>
      <c r="CP12" s="52">
        <v>44</v>
      </c>
      <c r="CQ12" s="52" t="s">
        <v>154</v>
      </c>
      <c r="CR12" s="52" t="s">
        <v>1090</v>
      </c>
      <c r="CS12" s="52">
        <v>82</v>
      </c>
      <c r="CT12" s="52" t="s">
        <v>152</v>
      </c>
      <c r="CU12" s="52" t="s">
        <v>1089</v>
      </c>
      <c r="CV12" s="52">
        <v>47</v>
      </c>
      <c r="CW12" s="52" t="s">
        <v>154</v>
      </c>
      <c r="CX12" s="52" t="s">
        <v>1098</v>
      </c>
      <c r="CY12" s="52">
        <v>0</v>
      </c>
      <c r="CZ12" s="52" t="s">
        <v>154</v>
      </c>
      <c r="DA12" s="52" t="s">
        <v>1099</v>
      </c>
      <c r="DB12" s="15" t="str">
        <f>'Input Ekstra'!E8</f>
        <v>Pramuka</v>
      </c>
      <c r="DC12" s="15" t="str">
        <f>'Input Ekstra'!F8</f>
        <v>Amat Baik</v>
      </c>
      <c r="DD12" s="15" t="str">
        <f>'Input Ekstra'!G8</f>
        <v>Peserta didik mampu menjelaskan tentang sejarah kepramukaan dan implementasi materi kepemimpinan dalam kehidupan sehari-hari</v>
      </c>
      <c r="DE12" s="15">
        <f>'Input Ekstra'!H8</f>
        <v>0</v>
      </c>
      <c r="DF12" s="15">
        <f>'Input Ekstra'!I8</f>
        <v>0</v>
      </c>
      <c r="DG12" s="15">
        <f>'Input Ekstra'!J8</f>
        <v>0</v>
      </c>
      <c r="DH12" s="15">
        <f>'Input Kehadiran'!E8</f>
        <v>0</v>
      </c>
      <c r="DI12" s="15">
        <f>'Input Kehadiran'!F8</f>
        <v>5</v>
      </c>
      <c r="DJ12" s="15">
        <f>'Input Kehadiran'!G8</f>
        <v>0</v>
      </c>
      <c r="DK12" s="48">
        <f>'Input Prestasi'!D9</f>
        <v>0</v>
      </c>
      <c r="DL12" s="48">
        <f>'Input Prestasi'!E9</f>
        <v>0</v>
      </c>
      <c r="DM12" s="48">
        <f>'Input Prestasi'!F9</f>
        <v>0</v>
      </c>
      <c r="DN12" s="48">
        <f>'Input Prestasi'!G9</f>
        <v>0</v>
      </c>
      <c r="DO12" s="48">
        <f>'Input Prestasi'!H9</f>
        <v>0</v>
      </c>
      <c r="DP12" s="48">
        <f>'Input Prestasi'!I9</f>
        <v>0</v>
      </c>
      <c r="DQ12" s="48">
        <f>'Input Prestasi'!J9</f>
        <v>0</v>
      </c>
      <c r="DR12" s="48">
        <f>'Input Prestasi'!K9</f>
        <v>0</v>
      </c>
      <c r="DS12" s="15" t="str">
        <f>'Input Nilai Sikap dan Catatan'!H7</f>
        <v>Peserta didik sudah menunjukkan sikap mengamalkan ajaran agamanya, konsisten menerapkan sikap santun, jujur, dan mandiri. Tingkatkan rasa ingin tahu dan sikap baik di dalam maupun di luar pembelajaran.</v>
      </c>
    </row>
    <row r="13" spans="1:123">
      <c r="A13" s="12">
        <v>5</v>
      </c>
      <c r="B13" s="23" t="str">
        <f>IF(Setting!J10="","",Setting!J10)</f>
        <v>Almas Sabih Wahindra</v>
      </c>
      <c r="C13" s="28">
        <f>IF(Setting!K10="","",Setting!K10)</f>
        <v>2008034</v>
      </c>
      <c r="D13" s="28" t="str">
        <f>IF(Setting!L10="","",Setting!L10)</f>
        <v>0059000208</v>
      </c>
      <c r="E13" s="15" t="str">
        <f>IF(Setting!$E$11="","",Setting!$E$11)</f>
        <v>X.MIPA 4</v>
      </c>
      <c r="F13" s="15" t="str">
        <f>'Input Nilai Sikap dan Catatan'!D8</f>
        <v>B</v>
      </c>
      <c r="G13" s="15" t="str">
        <f>'Input Nilai Sikap dan Catatan'!E8</f>
        <v>Berpartisipasi dengan baik dalam kegiatan keagamaan di sekolah.</v>
      </c>
      <c r="H13" s="15" t="str">
        <f>'Input Nilai Sikap dan Catatan'!F8</f>
        <v>B</v>
      </c>
      <c r="I13" s="15" t="str">
        <f>'Input Nilai Sikap dan Catatan'!G8</f>
        <v>Memiliki kemampuan kolaborasi yang baik dalam kelompok tetapi inisiatif individu masih perlu ditingkatkan</v>
      </c>
      <c r="J13" s="52">
        <v>88</v>
      </c>
      <c r="K13" s="52" t="s">
        <v>151</v>
      </c>
      <c r="L13" s="52" t="s">
        <v>1009</v>
      </c>
      <c r="M13" s="52">
        <v>84</v>
      </c>
      <c r="N13" s="52" t="s">
        <v>152</v>
      </c>
      <c r="O13" s="52" t="s">
        <v>1022</v>
      </c>
      <c r="P13" s="54">
        <v>87</v>
      </c>
      <c r="Q13" s="54" t="s">
        <v>152</v>
      </c>
      <c r="R13" s="54" t="s">
        <v>1024</v>
      </c>
      <c r="S13" s="54">
        <v>80</v>
      </c>
      <c r="T13" s="54" t="s">
        <v>152</v>
      </c>
      <c r="U13" s="54" t="s">
        <v>1063</v>
      </c>
      <c r="V13" s="182">
        <v>86</v>
      </c>
      <c r="W13" s="179" t="s">
        <v>152</v>
      </c>
      <c r="X13" s="180" t="s">
        <v>1030</v>
      </c>
      <c r="Y13" s="182">
        <v>80</v>
      </c>
      <c r="Z13" s="179" t="s">
        <v>152</v>
      </c>
      <c r="AA13" s="181" t="s">
        <v>1026</v>
      </c>
      <c r="AB13" s="54">
        <v>80</v>
      </c>
      <c r="AC13" s="54" t="s">
        <v>152</v>
      </c>
      <c r="AD13" s="54" t="s">
        <v>1043</v>
      </c>
      <c r="AE13" s="54">
        <v>80</v>
      </c>
      <c r="AF13" s="54" t="s">
        <v>152</v>
      </c>
      <c r="AG13" s="54" t="s">
        <v>1042</v>
      </c>
      <c r="AH13" s="52">
        <v>93</v>
      </c>
      <c r="AI13" s="52" t="s">
        <v>151</v>
      </c>
      <c r="AJ13" s="52" t="s">
        <v>1054</v>
      </c>
      <c r="AK13" s="52">
        <v>93</v>
      </c>
      <c r="AL13" s="52" t="s">
        <v>151</v>
      </c>
      <c r="AM13" s="52" t="s">
        <v>1052</v>
      </c>
      <c r="AN13" s="54">
        <v>85</v>
      </c>
      <c r="AO13" s="54" t="s">
        <v>152</v>
      </c>
      <c r="AP13" s="54" t="s">
        <v>1110</v>
      </c>
      <c r="AQ13" s="54">
        <v>80</v>
      </c>
      <c r="AR13" s="54" t="s">
        <v>152</v>
      </c>
      <c r="AS13" s="54" t="s">
        <v>1109</v>
      </c>
      <c r="AT13" s="52">
        <v>80</v>
      </c>
      <c r="AU13" s="52" t="s">
        <v>152</v>
      </c>
      <c r="AV13" s="52" t="s">
        <v>1061</v>
      </c>
      <c r="AW13" s="52">
        <v>80</v>
      </c>
      <c r="AX13" s="52" t="s">
        <v>152</v>
      </c>
      <c r="AY13" s="52" t="s">
        <v>1062</v>
      </c>
      <c r="AZ13" s="54">
        <v>89</v>
      </c>
      <c r="BA13" s="54" t="s">
        <v>151</v>
      </c>
      <c r="BB13" s="54" t="s">
        <v>1115</v>
      </c>
      <c r="BC13" s="54">
        <v>87</v>
      </c>
      <c r="BD13" s="54" t="s">
        <v>152</v>
      </c>
      <c r="BE13" s="54" t="s">
        <v>1116</v>
      </c>
      <c r="BF13" s="52">
        <v>87</v>
      </c>
      <c r="BG13" s="52" t="s">
        <v>152</v>
      </c>
      <c r="BH13" s="52" t="s">
        <v>1120</v>
      </c>
      <c r="BI13" s="52">
        <v>80</v>
      </c>
      <c r="BJ13" s="52" t="s">
        <v>152</v>
      </c>
      <c r="BK13" s="52" t="s">
        <v>1064</v>
      </c>
      <c r="BL13" s="54">
        <v>90</v>
      </c>
      <c r="BM13" s="54" t="s">
        <v>151</v>
      </c>
      <c r="BN13" s="54" t="s">
        <v>1121</v>
      </c>
      <c r="BO13" s="54">
        <v>81</v>
      </c>
      <c r="BP13" s="54" t="s">
        <v>152</v>
      </c>
      <c r="BQ13" s="54" t="s">
        <v>1122</v>
      </c>
      <c r="BR13" s="52">
        <v>80</v>
      </c>
      <c r="BS13" s="52" t="s">
        <v>152</v>
      </c>
      <c r="BT13" s="52" t="s">
        <v>1126</v>
      </c>
      <c r="BU13" s="52">
        <v>80</v>
      </c>
      <c r="BV13" s="52" t="s">
        <v>152</v>
      </c>
      <c r="BW13" s="52" t="s">
        <v>1066</v>
      </c>
      <c r="BX13" s="54">
        <v>87</v>
      </c>
      <c r="BY13" s="54" t="s">
        <v>152</v>
      </c>
      <c r="BZ13" s="54" t="s">
        <v>1067</v>
      </c>
      <c r="CA13" s="54">
        <v>80</v>
      </c>
      <c r="CB13" s="54" t="s">
        <v>152</v>
      </c>
      <c r="CC13" s="54" t="s">
        <v>1068</v>
      </c>
      <c r="CD13" s="52">
        <v>91</v>
      </c>
      <c r="CE13" s="52" t="s">
        <v>151</v>
      </c>
      <c r="CF13" s="52" t="s">
        <v>1078</v>
      </c>
      <c r="CG13" s="52">
        <v>89</v>
      </c>
      <c r="CH13" s="52" t="s">
        <v>151</v>
      </c>
      <c r="CI13" s="52" t="s">
        <v>1077</v>
      </c>
      <c r="CJ13" s="54">
        <v>80</v>
      </c>
      <c r="CK13" s="54" t="s">
        <v>152</v>
      </c>
      <c r="CL13" s="54" t="s">
        <v>1081</v>
      </c>
      <c r="CM13" s="54">
        <v>80</v>
      </c>
      <c r="CN13" s="54" t="s">
        <v>152</v>
      </c>
      <c r="CO13" s="54" t="s">
        <v>1082</v>
      </c>
      <c r="CP13" s="52">
        <v>87</v>
      </c>
      <c r="CQ13" s="52" t="s">
        <v>152</v>
      </c>
      <c r="CR13" s="52" t="s">
        <v>1091</v>
      </c>
      <c r="CS13" s="52">
        <v>83</v>
      </c>
      <c r="CT13" s="52" t="s">
        <v>152</v>
      </c>
      <c r="CU13" s="52" t="s">
        <v>1092</v>
      </c>
      <c r="CV13" s="52">
        <v>85</v>
      </c>
      <c r="CW13" s="52" t="s">
        <v>152</v>
      </c>
      <c r="CX13" s="52" t="s">
        <v>1100</v>
      </c>
      <c r="CY13" s="52">
        <v>80</v>
      </c>
      <c r="CZ13" s="52" t="s">
        <v>152</v>
      </c>
      <c r="DA13" s="52" t="s">
        <v>1099</v>
      </c>
      <c r="DB13" s="15" t="str">
        <f>'Input Ekstra'!E9</f>
        <v>Pramuka</v>
      </c>
      <c r="DC13" s="15" t="str">
        <f>'Input Ekstra'!F9</f>
        <v>Baik</v>
      </c>
      <c r="DD13" s="15" t="str">
        <f>'Input Ekstra'!G9</f>
        <v>Peserta didik mampu menjelaskan tentang sejarah kepramukaan dan implementasi materi kepemimpinan dalam kehidupan sehari-hari</v>
      </c>
      <c r="DE13" s="15">
        <f>'Input Ekstra'!H9</f>
        <v>0</v>
      </c>
      <c r="DF13" s="15">
        <f>'Input Ekstra'!I9</f>
        <v>0</v>
      </c>
      <c r="DG13" s="15">
        <f>'Input Ekstra'!J9</f>
        <v>0</v>
      </c>
      <c r="DH13" s="15">
        <f>'Input Kehadiran'!E9</f>
        <v>0</v>
      </c>
      <c r="DI13" s="15">
        <f>'Input Kehadiran'!F9</f>
        <v>5</v>
      </c>
      <c r="DJ13" s="15" t="str">
        <f>'Input Kehadiran'!G9</f>
        <v xml:space="preserve"> -</v>
      </c>
      <c r="DK13" s="48">
        <f>'Input Prestasi'!D10</f>
        <v>0</v>
      </c>
      <c r="DL13" s="48">
        <f>'Input Prestasi'!E10</f>
        <v>0</v>
      </c>
      <c r="DM13" s="48">
        <f>'Input Prestasi'!F10</f>
        <v>0</v>
      </c>
      <c r="DN13" s="48">
        <f>'Input Prestasi'!G10</f>
        <v>0</v>
      </c>
      <c r="DO13" s="48">
        <f>'Input Prestasi'!H10</f>
        <v>0</v>
      </c>
      <c r="DP13" s="48">
        <f>'Input Prestasi'!I10</f>
        <v>0</v>
      </c>
      <c r="DQ13" s="48">
        <f>'Input Prestasi'!J10</f>
        <v>0</v>
      </c>
      <c r="DR13" s="48">
        <f>'Input Prestasi'!K10</f>
        <v>0</v>
      </c>
      <c r="DS13" s="15" t="str">
        <f>'Input Nilai Sikap dan Catatan'!H8</f>
        <v>Peserta didik sudah menunjukkan sikap mengamalkan ajaran agamanya, konsisten menerapkan sikap santun, jujur, dan mandiri. Tingkatkan rasa ingin tahu dan sikap baik di dalam maupun di luar pembelajaran.</v>
      </c>
    </row>
    <row r="14" spans="1:123">
      <c r="A14" s="12">
        <v>6</v>
      </c>
      <c r="B14" s="23" t="str">
        <f>IF(Setting!J11="","",Setting!J11)</f>
        <v>Aria Fenha Apri Buma</v>
      </c>
      <c r="C14" s="28">
        <f>IF(Setting!K11="","",Setting!K11)</f>
        <v>2008054</v>
      </c>
      <c r="D14" s="28" t="str">
        <f>IF(Setting!L11="","",Setting!L11)</f>
        <v>0058068365</v>
      </c>
      <c r="E14" s="15" t="str">
        <f>IF(Setting!$E$11="","",Setting!$E$11)</f>
        <v>X.MIPA 4</v>
      </c>
      <c r="F14" s="15" t="str">
        <f>'Input Nilai Sikap dan Catatan'!D9</f>
        <v>B</v>
      </c>
      <c r="G14" s="15" t="str">
        <f>'Input Nilai Sikap dan Catatan'!E9</f>
        <v>Berpartisipasi dengan baik dalam kegiatan keagamaan di sekolah.</v>
      </c>
      <c r="H14" s="15" t="str">
        <f>'Input Nilai Sikap dan Catatan'!F9</f>
        <v>B</v>
      </c>
      <c r="I14" s="15" t="str">
        <f>'Input Nilai Sikap dan Catatan'!G9</f>
        <v>Memiliki kemampuan kolaborasi yang baik dalam kelompok tetapi inisiatif individu masih perlu ditingkatkan</v>
      </c>
      <c r="J14" s="52">
        <v>91</v>
      </c>
      <c r="K14" s="52" t="s">
        <v>151</v>
      </c>
      <c r="L14" s="52" t="s">
        <v>1010</v>
      </c>
      <c r="M14" s="52">
        <v>93</v>
      </c>
      <c r="N14" s="52" t="s">
        <v>151</v>
      </c>
      <c r="O14" s="52" t="s">
        <v>1020</v>
      </c>
      <c r="P14" s="54">
        <v>89</v>
      </c>
      <c r="Q14" s="54" t="s">
        <v>151</v>
      </c>
      <c r="R14" s="54" t="s">
        <v>1024</v>
      </c>
      <c r="S14" s="54">
        <v>90</v>
      </c>
      <c r="T14" s="54" t="s">
        <v>151</v>
      </c>
      <c r="U14" s="54" t="s">
        <v>1063</v>
      </c>
      <c r="V14" s="182">
        <v>88</v>
      </c>
      <c r="W14" s="179" t="s">
        <v>151</v>
      </c>
      <c r="X14" s="180" t="s">
        <v>1028</v>
      </c>
      <c r="Y14" s="182">
        <v>84</v>
      </c>
      <c r="Z14" s="179" t="s">
        <v>152</v>
      </c>
      <c r="AA14" s="181" t="s">
        <v>1026</v>
      </c>
      <c r="AB14" s="54">
        <v>91</v>
      </c>
      <c r="AC14" s="54" t="s">
        <v>151</v>
      </c>
      <c r="AD14" s="54" t="s">
        <v>1043</v>
      </c>
      <c r="AE14" s="54">
        <v>84</v>
      </c>
      <c r="AF14" s="54" t="s">
        <v>152</v>
      </c>
      <c r="AG14" s="54" t="s">
        <v>1042</v>
      </c>
      <c r="AH14" s="52">
        <v>94</v>
      </c>
      <c r="AI14" s="52" t="s">
        <v>151</v>
      </c>
      <c r="AJ14" s="52" t="s">
        <v>1054</v>
      </c>
      <c r="AK14" s="52">
        <v>93</v>
      </c>
      <c r="AL14" s="52" t="s">
        <v>151</v>
      </c>
      <c r="AM14" s="52" t="s">
        <v>1052</v>
      </c>
      <c r="AN14" s="54">
        <v>92</v>
      </c>
      <c r="AO14" s="54" t="s">
        <v>151</v>
      </c>
      <c r="AP14" s="54" t="s">
        <v>1112</v>
      </c>
      <c r="AQ14" s="54">
        <v>94</v>
      </c>
      <c r="AR14" s="54" t="s">
        <v>151</v>
      </c>
      <c r="AS14" s="54" t="s">
        <v>1109</v>
      </c>
      <c r="AT14" s="52">
        <v>80</v>
      </c>
      <c r="AU14" s="52" t="s">
        <v>152</v>
      </c>
      <c r="AV14" s="52" t="s">
        <v>1061</v>
      </c>
      <c r="AW14" s="52">
        <v>80</v>
      </c>
      <c r="AX14" s="52" t="s">
        <v>152</v>
      </c>
      <c r="AY14" s="52" t="s">
        <v>1062</v>
      </c>
      <c r="AZ14" s="54">
        <v>89</v>
      </c>
      <c r="BA14" s="54" t="s">
        <v>151</v>
      </c>
      <c r="BB14" s="54" t="s">
        <v>1115</v>
      </c>
      <c r="BC14" s="54">
        <v>87</v>
      </c>
      <c r="BD14" s="54" t="s">
        <v>152</v>
      </c>
      <c r="BE14" s="54" t="s">
        <v>1116</v>
      </c>
      <c r="BF14" s="52">
        <v>92</v>
      </c>
      <c r="BG14" s="52" t="s">
        <v>151</v>
      </c>
      <c r="BH14" s="52" t="s">
        <v>1120</v>
      </c>
      <c r="BI14" s="52">
        <v>84</v>
      </c>
      <c r="BJ14" s="52" t="s">
        <v>152</v>
      </c>
      <c r="BK14" s="52" t="s">
        <v>1065</v>
      </c>
      <c r="BL14" s="54">
        <v>90</v>
      </c>
      <c r="BM14" s="54" t="s">
        <v>151</v>
      </c>
      <c r="BN14" s="54" t="s">
        <v>1121</v>
      </c>
      <c r="BO14" s="54">
        <v>80</v>
      </c>
      <c r="BP14" s="54" t="s">
        <v>152</v>
      </c>
      <c r="BQ14" s="54" t="s">
        <v>1122</v>
      </c>
      <c r="BR14" s="52">
        <v>90</v>
      </c>
      <c r="BS14" s="52" t="s">
        <v>151</v>
      </c>
      <c r="BT14" s="52" t="s">
        <v>1125</v>
      </c>
      <c r="BU14" s="52">
        <v>87</v>
      </c>
      <c r="BV14" s="52" t="s">
        <v>152</v>
      </c>
      <c r="BW14" s="52" t="s">
        <v>1127</v>
      </c>
      <c r="BX14" s="54">
        <v>92</v>
      </c>
      <c r="BY14" s="54" t="s">
        <v>151</v>
      </c>
      <c r="BZ14" s="54" t="s">
        <v>1072</v>
      </c>
      <c r="CA14" s="54">
        <v>81</v>
      </c>
      <c r="CB14" s="54" t="s">
        <v>152</v>
      </c>
      <c r="CC14" s="54" t="s">
        <v>1068</v>
      </c>
      <c r="CD14" s="52">
        <v>89</v>
      </c>
      <c r="CE14" s="52" t="s">
        <v>151</v>
      </c>
      <c r="CF14" s="52" t="s">
        <v>1078</v>
      </c>
      <c r="CG14" s="52">
        <v>89</v>
      </c>
      <c r="CH14" s="52" t="s">
        <v>151</v>
      </c>
      <c r="CI14" s="52" t="s">
        <v>1077</v>
      </c>
      <c r="CJ14" s="54">
        <v>80</v>
      </c>
      <c r="CK14" s="54" t="s">
        <v>152</v>
      </c>
      <c r="CL14" s="54" t="s">
        <v>1081</v>
      </c>
      <c r="CM14" s="54">
        <v>81</v>
      </c>
      <c r="CN14" s="54" t="s">
        <v>152</v>
      </c>
      <c r="CO14" s="54" t="s">
        <v>1082</v>
      </c>
      <c r="CP14" s="52">
        <v>88</v>
      </c>
      <c r="CQ14" s="52" t="s">
        <v>151</v>
      </c>
      <c r="CR14" s="52" t="s">
        <v>1093</v>
      </c>
      <c r="CS14" s="52">
        <v>81</v>
      </c>
      <c r="CT14" s="52" t="s">
        <v>152</v>
      </c>
      <c r="CU14" s="52" t="s">
        <v>1094</v>
      </c>
      <c r="CV14" s="52">
        <v>89</v>
      </c>
      <c r="CW14" s="52" t="s">
        <v>151</v>
      </c>
      <c r="CX14" s="52" t="s">
        <v>1100</v>
      </c>
      <c r="CY14" s="52">
        <v>95</v>
      </c>
      <c r="CZ14" s="52" t="s">
        <v>151</v>
      </c>
      <c r="DA14" s="52" t="s">
        <v>1099</v>
      </c>
      <c r="DB14" s="15" t="str">
        <f>'Input Ekstra'!E10</f>
        <v>Pramuka</v>
      </c>
      <c r="DC14" s="15" t="str">
        <f>'Input Ekstra'!F10</f>
        <v>Amat Baik</v>
      </c>
      <c r="DD14" s="15" t="str">
        <f>'Input Ekstra'!G10</f>
        <v>Peserta didik mampu menjelaskan tentang sejarah kepramukaan dan implementasi materi kepemimpinan dalam kehidupan sehari-hari</v>
      </c>
      <c r="DE14" s="15">
        <f>'Input Ekstra'!H10</f>
        <v>0</v>
      </c>
      <c r="DF14" s="15">
        <f>'Input Ekstra'!I10</f>
        <v>0</v>
      </c>
      <c r="DG14" s="15">
        <f>'Input Ekstra'!J10</f>
        <v>0</v>
      </c>
      <c r="DH14" s="15">
        <f>'Input Kehadiran'!E10</f>
        <v>1</v>
      </c>
      <c r="DI14" s="15">
        <f>'Input Kehadiran'!F10</f>
        <v>2</v>
      </c>
      <c r="DJ14" s="15" t="str">
        <f>'Input Kehadiran'!G10</f>
        <v xml:space="preserve"> -</v>
      </c>
      <c r="DK14" s="48">
        <f>'Input Prestasi'!D11</f>
        <v>0</v>
      </c>
      <c r="DL14" s="48">
        <f>'Input Prestasi'!E11</f>
        <v>0</v>
      </c>
      <c r="DM14" s="48">
        <f>'Input Prestasi'!F11</f>
        <v>0</v>
      </c>
      <c r="DN14" s="48">
        <f>'Input Prestasi'!G11</f>
        <v>0</v>
      </c>
      <c r="DO14" s="48">
        <f>'Input Prestasi'!H11</f>
        <v>0</v>
      </c>
      <c r="DP14" s="48">
        <f>'Input Prestasi'!I11</f>
        <v>0</v>
      </c>
      <c r="DQ14" s="48">
        <f>'Input Prestasi'!J11</f>
        <v>0</v>
      </c>
      <c r="DR14" s="48">
        <f>'Input Prestasi'!K11</f>
        <v>0</v>
      </c>
      <c r="DS14" s="15" t="str">
        <f>'Input Nilai Sikap dan Catatan'!H9</f>
        <v>Peserta didik sudah menunjukkan sikap mengamalkan ajaran agamanya, konsisten menerapkan sikap santun, jujur, dan mandiri. Tingkatkan rasa ingin tahu dan sikap baik di dalam maupun di luar pembelajaran.</v>
      </c>
    </row>
    <row r="15" spans="1:123">
      <c r="A15" s="12">
        <v>7</v>
      </c>
      <c r="B15" s="23" t="str">
        <f>IF(Setting!J12="","",Setting!J12)</f>
        <v>Baharuddin Barkah Pratama</v>
      </c>
      <c r="C15" s="28">
        <f>IF(Setting!K12="","",Setting!K12)</f>
        <v>2008075</v>
      </c>
      <c r="D15" s="28" t="str">
        <f>IF(Setting!L12="","",Setting!L12)</f>
        <v>0024374235</v>
      </c>
      <c r="E15" s="15" t="str">
        <f>IF(Setting!$E$11="","",Setting!$E$11)</f>
        <v>X.MIPA 4</v>
      </c>
      <c r="F15" s="15" t="str">
        <f>'Input Nilai Sikap dan Catatan'!D10</f>
        <v>B</v>
      </c>
      <c r="G15" s="15" t="str">
        <f>'Input Nilai Sikap dan Catatan'!E10</f>
        <v>Berpartisipasi dengan baik dalam kegiatan keagamaan di sekolah.</v>
      </c>
      <c r="H15" s="15" t="str">
        <f>'Input Nilai Sikap dan Catatan'!F10</f>
        <v>B</v>
      </c>
      <c r="I15" s="15" t="str">
        <f>'Input Nilai Sikap dan Catatan'!G10</f>
        <v>Memiliki kemampuan kolaborasi yang baik dalam kelompok tetapi inisiatif individu masih perlu ditingkatkan</v>
      </c>
      <c r="J15" s="52">
        <v>80</v>
      </c>
      <c r="K15" s="52" t="s">
        <v>152</v>
      </c>
      <c r="L15" s="52" t="s">
        <v>1009</v>
      </c>
      <c r="M15" s="52">
        <v>80</v>
      </c>
      <c r="N15" s="52" t="s">
        <v>152</v>
      </c>
      <c r="O15" s="52" t="s">
        <v>1021</v>
      </c>
      <c r="P15" s="54">
        <v>87</v>
      </c>
      <c r="Q15" s="54" t="s">
        <v>152</v>
      </c>
      <c r="R15" s="54" t="s">
        <v>1024</v>
      </c>
      <c r="S15" s="54">
        <v>90</v>
      </c>
      <c r="T15" s="54" t="s">
        <v>151</v>
      </c>
      <c r="U15" s="54" t="s">
        <v>1063</v>
      </c>
      <c r="V15" s="182">
        <v>86</v>
      </c>
      <c r="W15" s="179" t="s">
        <v>152</v>
      </c>
      <c r="X15" s="180" t="s">
        <v>1031</v>
      </c>
      <c r="Y15" s="182">
        <v>80</v>
      </c>
      <c r="Z15" s="179" t="s">
        <v>152</v>
      </c>
      <c r="AA15" s="181" t="s">
        <v>1026</v>
      </c>
      <c r="AB15" s="54">
        <v>80</v>
      </c>
      <c r="AC15" s="54" t="s">
        <v>152</v>
      </c>
      <c r="AD15" s="54" t="s">
        <v>1043</v>
      </c>
      <c r="AE15" s="54">
        <v>80</v>
      </c>
      <c r="AF15" s="54" t="s">
        <v>152</v>
      </c>
      <c r="AG15" s="54" t="s">
        <v>1042</v>
      </c>
      <c r="AH15" s="52">
        <v>91</v>
      </c>
      <c r="AI15" s="52" t="s">
        <v>151</v>
      </c>
      <c r="AJ15" s="52" t="s">
        <v>1055</v>
      </c>
      <c r="AK15" s="52">
        <v>93</v>
      </c>
      <c r="AL15" s="52" t="s">
        <v>151</v>
      </c>
      <c r="AM15" s="52" t="s">
        <v>1052</v>
      </c>
      <c r="AN15" s="54">
        <v>83</v>
      </c>
      <c r="AO15" s="54" t="s">
        <v>152</v>
      </c>
      <c r="AP15" s="54" t="s">
        <v>1108</v>
      </c>
      <c r="AQ15" s="54">
        <v>80</v>
      </c>
      <c r="AR15" s="54" t="s">
        <v>152</v>
      </c>
      <c r="AS15" s="54" t="s">
        <v>1109</v>
      </c>
      <c r="AT15" s="52">
        <v>80</v>
      </c>
      <c r="AU15" s="52" t="s">
        <v>152</v>
      </c>
      <c r="AV15" s="52" t="s">
        <v>1061</v>
      </c>
      <c r="AW15" s="52">
        <v>80</v>
      </c>
      <c r="AX15" s="52" t="s">
        <v>152</v>
      </c>
      <c r="AY15" s="52" t="s">
        <v>1062</v>
      </c>
      <c r="AZ15" s="54">
        <v>88</v>
      </c>
      <c r="BA15" s="54" t="s">
        <v>151</v>
      </c>
      <c r="BB15" s="54" t="s">
        <v>1115</v>
      </c>
      <c r="BC15" s="54">
        <v>87</v>
      </c>
      <c r="BD15" s="54" t="s">
        <v>152</v>
      </c>
      <c r="BE15" s="54" t="s">
        <v>1116</v>
      </c>
      <c r="BF15" s="52">
        <v>83</v>
      </c>
      <c r="BG15" s="52" t="s">
        <v>152</v>
      </c>
      <c r="BH15" s="52" t="s">
        <v>1120</v>
      </c>
      <c r="BI15" s="52">
        <v>80</v>
      </c>
      <c r="BJ15" s="52" t="s">
        <v>152</v>
      </c>
      <c r="BK15" s="52" t="s">
        <v>1064</v>
      </c>
      <c r="BL15" s="54">
        <v>87</v>
      </c>
      <c r="BM15" s="54" t="s">
        <v>152</v>
      </c>
      <c r="BN15" s="54" t="s">
        <v>1121</v>
      </c>
      <c r="BO15" s="54">
        <v>82</v>
      </c>
      <c r="BP15" s="54" t="s">
        <v>152</v>
      </c>
      <c r="BQ15" s="54" t="s">
        <v>1122</v>
      </c>
      <c r="BR15" s="52">
        <v>80</v>
      </c>
      <c r="BS15" s="52" t="s">
        <v>152</v>
      </c>
      <c r="BT15" s="52" t="s">
        <v>1125</v>
      </c>
      <c r="BU15" s="52">
        <v>80</v>
      </c>
      <c r="BV15" s="52" t="s">
        <v>152</v>
      </c>
      <c r="BW15" s="52" t="s">
        <v>1066</v>
      </c>
      <c r="BX15" s="54">
        <v>82</v>
      </c>
      <c r="BY15" s="54" t="s">
        <v>152</v>
      </c>
      <c r="BZ15" s="54" t="s">
        <v>1067</v>
      </c>
      <c r="CA15" s="54">
        <v>80</v>
      </c>
      <c r="CB15" s="54" t="s">
        <v>152</v>
      </c>
      <c r="CC15" s="54" t="s">
        <v>1068</v>
      </c>
      <c r="CD15" s="52">
        <v>82</v>
      </c>
      <c r="CE15" s="52" t="s">
        <v>152</v>
      </c>
      <c r="CF15" s="52" t="s">
        <v>1079</v>
      </c>
      <c r="CG15" s="52">
        <v>89</v>
      </c>
      <c r="CH15" s="52" t="s">
        <v>151</v>
      </c>
      <c r="CI15" s="52" t="s">
        <v>1077</v>
      </c>
      <c r="CJ15" s="54">
        <v>80</v>
      </c>
      <c r="CK15" s="54" t="s">
        <v>152</v>
      </c>
      <c r="CL15" s="54" t="s">
        <v>1083</v>
      </c>
      <c r="CM15" s="54">
        <v>80</v>
      </c>
      <c r="CN15" s="54" t="s">
        <v>152</v>
      </c>
      <c r="CO15" s="54" t="s">
        <v>1082</v>
      </c>
      <c r="CP15" s="52">
        <v>85</v>
      </c>
      <c r="CQ15" s="52" t="s">
        <v>152</v>
      </c>
      <c r="CR15" s="52" t="s">
        <v>1091</v>
      </c>
      <c r="CS15" s="52">
        <v>81</v>
      </c>
      <c r="CT15" s="52" t="s">
        <v>152</v>
      </c>
      <c r="CU15" s="52" t="s">
        <v>1089</v>
      </c>
      <c r="CV15" s="52">
        <v>85</v>
      </c>
      <c r="CW15" s="52" t="s">
        <v>152</v>
      </c>
      <c r="CX15" s="52" t="s">
        <v>1101</v>
      </c>
      <c r="CY15" s="52">
        <v>80</v>
      </c>
      <c r="CZ15" s="52" t="s">
        <v>152</v>
      </c>
      <c r="DA15" s="52" t="s">
        <v>1099</v>
      </c>
      <c r="DB15" s="15" t="str">
        <f>'Input Ekstra'!E11</f>
        <v>Pramuka</v>
      </c>
      <c r="DC15" s="15" t="str">
        <f>'Input Ekstra'!F11</f>
        <v>Baik</v>
      </c>
      <c r="DD15" s="15" t="str">
        <f>'Input Ekstra'!G11</f>
        <v>Peserta didik mampu menjelaskan tentang sejarah kepramukaan dan implementasi materi kepemimpinan dalam kehidupan sehari-hari</v>
      </c>
      <c r="DE15" s="15">
        <f>'Input Ekstra'!H11</f>
        <v>0</v>
      </c>
      <c r="DF15" s="15">
        <f>'Input Ekstra'!I11</f>
        <v>0</v>
      </c>
      <c r="DG15" s="15">
        <f>'Input Ekstra'!J11</f>
        <v>0</v>
      </c>
      <c r="DH15" s="15">
        <f>'Input Kehadiran'!E11</f>
        <v>0</v>
      </c>
      <c r="DI15" s="15">
        <f>'Input Kehadiran'!F11</f>
        <v>5</v>
      </c>
      <c r="DJ15" s="15" t="str">
        <f>'Input Kehadiran'!G11</f>
        <v xml:space="preserve"> -</v>
      </c>
      <c r="DK15" s="48">
        <f>'Input Prestasi'!D12</f>
        <v>0</v>
      </c>
      <c r="DL15" s="48">
        <f>'Input Prestasi'!E12</f>
        <v>0</v>
      </c>
      <c r="DM15" s="48">
        <f>'Input Prestasi'!F12</f>
        <v>0</v>
      </c>
      <c r="DN15" s="48">
        <f>'Input Prestasi'!G12</f>
        <v>0</v>
      </c>
      <c r="DO15" s="48">
        <f>'Input Prestasi'!H12</f>
        <v>0</v>
      </c>
      <c r="DP15" s="48">
        <f>'Input Prestasi'!I12</f>
        <v>0</v>
      </c>
      <c r="DQ15" s="48">
        <f>'Input Prestasi'!J12</f>
        <v>0</v>
      </c>
      <c r="DR15" s="48">
        <f>'Input Prestasi'!K12</f>
        <v>0</v>
      </c>
      <c r="DS15" s="15" t="str">
        <f>'Input Nilai Sikap dan Catatan'!H10</f>
        <v>Peserta didik sudah menunjukkan sikap mengamalkan ajaran agamanya, konsisten menerapkan sikap santun, jujur, dan mandiri. Tingkatkan rasa ingin tahu dan sikap baik di dalam maupun di luar pembelajaran.</v>
      </c>
    </row>
    <row r="16" spans="1:123">
      <c r="A16" s="12">
        <v>8</v>
      </c>
      <c r="B16" s="23" t="str">
        <f>IF(Setting!J13="","",Setting!J13)</f>
        <v>Daffa Arya Pudyastungkara</v>
      </c>
      <c r="C16" s="28">
        <f>IF(Setting!K13="","",Setting!K13)</f>
        <v>2008089</v>
      </c>
      <c r="D16" s="28" t="str">
        <f>IF(Setting!L13="","",Setting!L13)</f>
        <v>0043620048</v>
      </c>
      <c r="E16" s="15" t="str">
        <f>IF(Setting!$E$11="","",Setting!$E$11)</f>
        <v>X.MIPA 4</v>
      </c>
      <c r="F16" s="15" t="str">
        <f>'Input Nilai Sikap dan Catatan'!D11</f>
        <v>A</v>
      </c>
      <c r="G16" s="15" t="str">
        <f>'Input Nilai Sikap dan Catatan'!E11</f>
        <v>Berpartisipasi dengan baik dalam kegiatan keagamaan di sekolah.</v>
      </c>
      <c r="H16" s="15" t="str">
        <f>'Input Nilai Sikap dan Catatan'!F11</f>
        <v>B</v>
      </c>
      <c r="I16" s="15" t="str">
        <f>'Input Nilai Sikap dan Catatan'!G11</f>
        <v>Memiliki kemampuan kolaborasi yang baik dalam kelompok tetapi inisiatif individu masih perlu ditingkatkan</v>
      </c>
      <c r="J16" s="52">
        <v>90</v>
      </c>
      <c r="K16" s="52" t="s">
        <v>151</v>
      </c>
      <c r="L16" s="52" t="s">
        <v>1011</v>
      </c>
      <c r="M16" s="52">
        <v>92</v>
      </c>
      <c r="N16" s="52" t="s">
        <v>151</v>
      </c>
      <c r="O16" s="52" t="s">
        <v>1020</v>
      </c>
      <c r="P16" s="54">
        <v>89</v>
      </c>
      <c r="Q16" s="54" t="s">
        <v>151</v>
      </c>
      <c r="R16" s="54" t="s">
        <v>1024</v>
      </c>
      <c r="S16" s="54">
        <v>85</v>
      </c>
      <c r="T16" s="54" t="s">
        <v>152</v>
      </c>
      <c r="U16" s="54" t="s">
        <v>1063</v>
      </c>
      <c r="V16" s="182">
        <v>89</v>
      </c>
      <c r="W16" s="179" t="s">
        <v>151</v>
      </c>
      <c r="X16" s="180" t="s">
        <v>1032</v>
      </c>
      <c r="Y16" s="182">
        <v>84</v>
      </c>
      <c r="Z16" s="179" t="s">
        <v>152</v>
      </c>
      <c r="AA16" s="181" t="s">
        <v>1026</v>
      </c>
      <c r="AB16" s="54">
        <v>88</v>
      </c>
      <c r="AC16" s="54" t="s">
        <v>151</v>
      </c>
      <c r="AD16" s="54" t="s">
        <v>1045</v>
      </c>
      <c r="AE16" s="54">
        <v>82</v>
      </c>
      <c r="AF16" s="54" t="s">
        <v>152</v>
      </c>
      <c r="AG16" s="54" t="s">
        <v>1042</v>
      </c>
      <c r="AH16" s="52">
        <v>93</v>
      </c>
      <c r="AI16" s="52" t="s">
        <v>151</v>
      </c>
      <c r="AJ16" s="52" t="s">
        <v>1054</v>
      </c>
      <c r="AK16" s="52">
        <v>93</v>
      </c>
      <c r="AL16" s="52" t="s">
        <v>151</v>
      </c>
      <c r="AM16" s="52" t="s">
        <v>1052</v>
      </c>
      <c r="AN16" s="54">
        <v>88</v>
      </c>
      <c r="AO16" s="54" t="s">
        <v>151</v>
      </c>
      <c r="AP16" s="54" t="s">
        <v>1108</v>
      </c>
      <c r="AQ16" s="54">
        <v>80</v>
      </c>
      <c r="AR16" s="54" t="s">
        <v>152</v>
      </c>
      <c r="AS16" s="54" t="s">
        <v>1109</v>
      </c>
      <c r="AT16" s="52">
        <v>80</v>
      </c>
      <c r="AU16" s="52" t="s">
        <v>152</v>
      </c>
      <c r="AV16" s="52" t="s">
        <v>1061</v>
      </c>
      <c r="AW16" s="52">
        <v>80</v>
      </c>
      <c r="AX16" s="52" t="s">
        <v>152</v>
      </c>
      <c r="AY16" s="52" t="s">
        <v>1062</v>
      </c>
      <c r="AZ16" s="54">
        <v>89</v>
      </c>
      <c r="BA16" s="54" t="s">
        <v>151</v>
      </c>
      <c r="BB16" s="54" t="s">
        <v>1115</v>
      </c>
      <c r="BC16" s="54">
        <v>87</v>
      </c>
      <c r="BD16" s="54" t="s">
        <v>152</v>
      </c>
      <c r="BE16" s="54" t="s">
        <v>1116</v>
      </c>
      <c r="BF16" s="52">
        <v>91</v>
      </c>
      <c r="BG16" s="52" t="s">
        <v>151</v>
      </c>
      <c r="BH16" s="52" t="s">
        <v>1120</v>
      </c>
      <c r="BI16" s="52">
        <v>86</v>
      </c>
      <c r="BJ16" s="52" t="s">
        <v>152</v>
      </c>
      <c r="BK16" s="52" t="s">
        <v>1065</v>
      </c>
      <c r="BL16" s="54">
        <v>90</v>
      </c>
      <c r="BM16" s="54" t="s">
        <v>151</v>
      </c>
      <c r="BN16" s="54" t="s">
        <v>1123</v>
      </c>
      <c r="BO16" s="54">
        <v>81</v>
      </c>
      <c r="BP16" s="54" t="s">
        <v>152</v>
      </c>
      <c r="BQ16" s="54" t="s">
        <v>1122</v>
      </c>
      <c r="BR16" s="52">
        <v>86</v>
      </c>
      <c r="BS16" s="52" t="s">
        <v>152</v>
      </c>
      <c r="BT16" s="52" t="s">
        <v>1125</v>
      </c>
      <c r="BU16" s="52">
        <v>84</v>
      </c>
      <c r="BV16" s="52" t="s">
        <v>152</v>
      </c>
      <c r="BW16" s="52" t="s">
        <v>1066</v>
      </c>
      <c r="BX16" s="54">
        <v>92</v>
      </c>
      <c r="BY16" s="54" t="s">
        <v>151</v>
      </c>
      <c r="BZ16" s="54" t="s">
        <v>1072</v>
      </c>
      <c r="CA16" s="54">
        <v>81</v>
      </c>
      <c r="CB16" s="54" t="s">
        <v>152</v>
      </c>
      <c r="CC16" s="54" t="s">
        <v>1068</v>
      </c>
      <c r="CD16" s="52">
        <v>91</v>
      </c>
      <c r="CE16" s="52" t="s">
        <v>151</v>
      </c>
      <c r="CF16" s="52" t="s">
        <v>1078</v>
      </c>
      <c r="CG16" s="52">
        <v>89</v>
      </c>
      <c r="CH16" s="52" t="s">
        <v>151</v>
      </c>
      <c r="CI16" s="52" t="s">
        <v>1077</v>
      </c>
      <c r="CJ16" s="54">
        <v>80</v>
      </c>
      <c r="CK16" s="54" t="s">
        <v>152</v>
      </c>
      <c r="CL16" s="54" t="s">
        <v>1081</v>
      </c>
      <c r="CM16" s="54">
        <v>81</v>
      </c>
      <c r="CN16" s="54" t="s">
        <v>152</v>
      </c>
      <c r="CO16" s="54" t="s">
        <v>1082</v>
      </c>
      <c r="CP16" s="52">
        <v>90</v>
      </c>
      <c r="CQ16" s="52" t="s">
        <v>151</v>
      </c>
      <c r="CR16" s="52" t="s">
        <v>1095</v>
      </c>
      <c r="CS16" s="52">
        <v>85</v>
      </c>
      <c r="CT16" s="52" t="s">
        <v>152</v>
      </c>
      <c r="CU16" s="52" t="s">
        <v>1094</v>
      </c>
      <c r="CV16" s="52">
        <v>84</v>
      </c>
      <c r="CW16" s="52" t="s">
        <v>152</v>
      </c>
      <c r="CX16" s="52" t="s">
        <v>1100</v>
      </c>
      <c r="CY16" s="52">
        <v>80</v>
      </c>
      <c r="CZ16" s="52" t="s">
        <v>152</v>
      </c>
      <c r="DA16" s="52" t="s">
        <v>1102</v>
      </c>
      <c r="DB16" s="15" t="str">
        <f>'Input Ekstra'!E12</f>
        <v>Pramuka</v>
      </c>
      <c r="DC16" s="15" t="str">
        <f>'Input Ekstra'!F12</f>
        <v>Amat Baik</v>
      </c>
      <c r="DD16" s="15" t="str">
        <f>'Input Ekstra'!G12</f>
        <v>Peserta didik mampu menjelaskan tentang sejarah kepramukaan dan implementasi materi kepemimpinan dalam kehidupan sehari-hari</v>
      </c>
      <c r="DE16" s="15">
        <f>'Input Ekstra'!H12</f>
        <v>0</v>
      </c>
      <c r="DF16" s="15">
        <f>'Input Ekstra'!I12</f>
        <v>0</v>
      </c>
      <c r="DG16" s="15">
        <f>'Input Ekstra'!J12</f>
        <v>0</v>
      </c>
      <c r="DH16" s="15">
        <f>'Input Kehadiran'!E12</f>
        <v>0</v>
      </c>
      <c r="DI16" s="15">
        <f>'Input Kehadiran'!F12</f>
        <v>1</v>
      </c>
      <c r="DJ16" s="15" t="str">
        <f>'Input Kehadiran'!G12</f>
        <v xml:space="preserve"> -</v>
      </c>
      <c r="DK16" s="48">
        <f>'Input Prestasi'!D13</f>
        <v>0</v>
      </c>
      <c r="DL16" s="48">
        <f>'Input Prestasi'!E13</f>
        <v>0</v>
      </c>
      <c r="DM16" s="48">
        <f>'Input Prestasi'!F13</f>
        <v>0</v>
      </c>
      <c r="DN16" s="48">
        <f>'Input Prestasi'!G13</f>
        <v>0</v>
      </c>
      <c r="DO16" s="48">
        <f>'Input Prestasi'!H13</f>
        <v>0</v>
      </c>
      <c r="DP16" s="48">
        <f>'Input Prestasi'!I13</f>
        <v>0</v>
      </c>
      <c r="DQ16" s="48">
        <f>'Input Prestasi'!J13</f>
        <v>0</v>
      </c>
      <c r="DR16" s="48">
        <f>'Input Prestasi'!K13</f>
        <v>0</v>
      </c>
      <c r="DS16" s="15" t="str">
        <f>'Input Nilai Sikap dan Catatan'!H11</f>
        <v>Peserta didik sudah menunjukkan sikap mengamalkan ajaran agamanya, konsisten menerapkan sikap santun, jujur, dan mandiri. Tingkatkan rasa ingin tahu dan sikap baik di dalam maupun di luar pembelajaran.</v>
      </c>
    </row>
    <row r="17" spans="1:123">
      <c r="A17" s="12">
        <v>9</v>
      </c>
      <c r="B17" s="23" t="str">
        <f>IF(Setting!J14="","",Setting!J14)</f>
        <v>Dody Muhammad Pasha</v>
      </c>
      <c r="C17" s="28">
        <f>IF(Setting!K14="","",Setting!K14)</f>
        <v>2008095</v>
      </c>
      <c r="D17" s="28" t="str">
        <f>IF(Setting!L14="","",Setting!L14)</f>
        <v>0053814584</v>
      </c>
      <c r="E17" s="15" t="str">
        <f>IF(Setting!$E$11="","",Setting!$E$11)</f>
        <v>X.MIPA 4</v>
      </c>
      <c r="F17" s="15" t="str">
        <f>'Input Nilai Sikap dan Catatan'!D12</f>
        <v>A</v>
      </c>
      <c r="G17" s="15" t="str">
        <f>'Input Nilai Sikap dan Catatan'!E12</f>
        <v>Berpartisipasi dengan baik dalam kegiatan keagamaan di sekolah.</v>
      </c>
      <c r="H17" s="15" t="str">
        <f>'Input Nilai Sikap dan Catatan'!F12</f>
        <v>B</v>
      </c>
      <c r="I17" s="15" t="str">
        <f>'Input Nilai Sikap dan Catatan'!G12</f>
        <v>Memiliki kemampuan kolaborasi yang baik dalam kelompok tetapi inisiatif individu masih perlu ditingkatkan</v>
      </c>
      <c r="J17" s="52">
        <v>92</v>
      </c>
      <c r="K17" s="52" t="s">
        <v>151</v>
      </c>
      <c r="L17" s="52" t="s">
        <v>1012</v>
      </c>
      <c r="M17" s="52">
        <v>93</v>
      </c>
      <c r="N17" s="52" t="s">
        <v>151</v>
      </c>
      <c r="O17" s="52" t="s">
        <v>1021</v>
      </c>
      <c r="P17" s="54">
        <v>91</v>
      </c>
      <c r="Q17" s="54" t="s">
        <v>151</v>
      </c>
      <c r="R17" s="54" t="s">
        <v>1024</v>
      </c>
      <c r="S17" s="54">
        <v>85</v>
      </c>
      <c r="T17" s="54" t="s">
        <v>152</v>
      </c>
      <c r="U17" s="54" t="s">
        <v>1063</v>
      </c>
      <c r="V17" s="182">
        <v>87</v>
      </c>
      <c r="W17" s="179" t="s">
        <v>152</v>
      </c>
      <c r="X17" s="180" t="s">
        <v>1033</v>
      </c>
      <c r="Y17" s="182">
        <v>90</v>
      </c>
      <c r="Z17" s="179" t="s">
        <v>151</v>
      </c>
      <c r="AA17" s="181" t="s">
        <v>1026</v>
      </c>
      <c r="AB17" s="54">
        <v>90</v>
      </c>
      <c r="AC17" s="54" t="s">
        <v>151</v>
      </c>
      <c r="AD17" s="54" t="s">
        <v>1041</v>
      </c>
      <c r="AE17" s="54">
        <v>90</v>
      </c>
      <c r="AF17" s="54" t="s">
        <v>151</v>
      </c>
      <c r="AG17" s="54" t="s">
        <v>1042</v>
      </c>
      <c r="AH17" s="52">
        <v>93</v>
      </c>
      <c r="AI17" s="52" t="s">
        <v>151</v>
      </c>
      <c r="AJ17" s="52" t="s">
        <v>1056</v>
      </c>
      <c r="AK17" s="52">
        <v>91</v>
      </c>
      <c r="AL17" s="52" t="s">
        <v>151</v>
      </c>
      <c r="AM17" s="52" t="s">
        <v>1052</v>
      </c>
      <c r="AN17" s="54">
        <v>91</v>
      </c>
      <c r="AO17" s="54" t="s">
        <v>151</v>
      </c>
      <c r="AP17" s="54" t="s">
        <v>1113</v>
      </c>
      <c r="AQ17" s="54">
        <v>90</v>
      </c>
      <c r="AR17" s="54" t="s">
        <v>151</v>
      </c>
      <c r="AS17" s="54" t="s">
        <v>1109</v>
      </c>
      <c r="AT17" s="52">
        <v>90</v>
      </c>
      <c r="AU17" s="52" t="s">
        <v>151</v>
      </c>
      <c r="AV17" s="52" t="s">
        <v>1061</v>
      </c>
      <c r="AW17" s="52">
        <v>92</v>
      </c>
      <c r="AX17" s="52" t="s">
        <v>151</v>
      </c>
      <c r="AY17" s="52" t="s">
        <v>1062</v>
      </c>
      <c r="AZ17" s="54">
        <v>92</v>
      </c>
      <c r="BA17" s="54" t="s">
        <v>151</v>
      </c>
      <c r="BB17" s="54" t="s">
        <v>1117</v>
      </c>
      <c r="BC17" s="54">
        <v>92</v>
      </c>
      <c r="BD17" s="54" t="s">
        <v>151</v>
      </c>
      <c r="BE17" s="54" t="s">
        <v>1116</v>
      </c>
      <c r="BF17" s="52">
        <v>92</v>
      </c>
      <c r="BG17" s="52" t="s">
        <v>151</v>
      </c>
      <c r="BH17" s="52" t="s">
        <v>1119</v>
      </c>
      <c r="BI17" s="52">
        <v>97</v>
      </c>
      <c r="BJ17" s="52" t="s">
        <v>151</v>
      </c>
      <c r="BK17" s="52" t="s">
        <v>1064</v>
      </c>
      <c r="BL17" s="54">
        <v>85</v>
      </c>
      <c r="BM17" s="54" t="s">
        <v>152</v>
      </c>
      <c r="BN17" s="54" t="s">
        <v>1121</v>
      </c>
      <c r="BO17" s="54">
        <v>80</v>
      </c>
      <c r="BP17" s="54" t="s">
        <v>152</v>
      </c>
      <c r="BQ17" s="54" t="s">
        <v>1122</v>
      </c>
      <c r="BR17" s="52">
        <v>91</v>
      </c>
      <c r="BS17" s="52" t="s">
        <v>151</v>
      </c>
      <c r="BT17" s="52" t="s">
        <v>1125</v>
      </c>
      <c r="BU17" s="52">
        <v>90</v>
      </c>
      <c r="BV17" s="52" t="s">
        <v>151</v>
      </c>
      <c r="BW17" s="52" t="s">
        <v>1066</v>
      </c>
      <c r="BX17" s="54">
        <v>92</v>
      </c>
      <c r="BY17" s="54" t="s">
        <v>151</v>
      </c>
      <c r="BZ17" s="54" t="s">
        <v>1072</v>
      </c>
      <c r="CA17" s="54">
        <v>91</v>
      </c>
      <c r="CB17" s="54" t="s">
        <v>151</v>
      </c>
      <c r="CC17" s="54" t="s">
        <v>1068</v>
      </c>
      <c r="CD17" s="52">
        <v>92</v>
      </c>
      <c r="CE17" s="52" t="s">
        <v>151</v>
      </c>
      <c r="CF17" s="52" t="s">
        <v>1078</v>
      </c>
      <c r="CG17" s="52">
        <v>93</v>
      </c>
      <c r="CH17" s="52" t="s">
        <v>151</v>
      </c>
      <c r="CI17" s="52" t="s">
        <v>1077</v>
      </c>
      <c r="CJ17" s="54">
        <v>85</v>
      </c>
      <c r="CK17" s="54" t="s">
        <v>152</v>
      </c>
      <c r="CL17" s="54" t="s">
        <v>1081</v>
      </c>
      <c r="CM17" s="54">
        <v>83</v>
      </c>
      <c r="CN17" s="54" t="s">
        <v>152</v>
      </c>
      <c r="CO17" s="54" t="s">
        <v>1082</v>
      </c>
      <c r="CP17" s="52">
        <v>91</v>
      </c>
      <c r="CQ17" s="52" t="s">
        <v>151</v>
      </c>
      <c r="CR17" s="52" t="s">
        <v>1096</v>
      </c>
      <c r="CS17" s="52">
        <v>86</v>
      </c>
      <c r="CT17" s="52" t="s">
        <v>152</v>
      </c>
      <c r="CU17" s="52" t="s">
        <v>1086</v>
      </c>
      <c r="CV17" s="52">
        <v>90</v>
      </c>
      <c r="CW17" s="52" t="s">
        <v>151</v>
      </c>
      <c r="CX17" s="52" t="s">
        <v>1101</v>
      </c>
      <c r="CY17" s="52">
        <v>90</v>
      </c>
      <c r="CZ17" s="52" t="s">
        <v>151</v>
      </c>
      <c r="DA17" s="52" t="s">
        <v>1099</v>
      </c>
      <c r="DB17" s="15" t="str">
        <f>'Input Ekstra'!E13</f>
        <v>Pramuka</v>
      </c>
      <c r="DC17" s="15" t="str">
        <f>'Input Ekstra'!F13</f>
        <v>Amat Baik</v>
      </c>
      <c r="DD17" s="15" t="str">
        <f>'Input Ekstra'!G13</f>
        <v>Peserta didik mampu menjelaskan tentang sejarah kepramukaan dan implementasi materi kepemimpinan dalam kehidupan sehari-hari</v>
      </c>
      <c r="DE17" s="15">
        <f>'Input Ekstra'!H13</f>
        <v>0</v>
      </c>
      <c r="DF17" s="15">
        <f>'Input Ekstra'!I13</f>
        <v>0</v>
      </c>
      <c r="DG17" s="15">
        <f>'Input Ekstra'!J13</f>
        <v>0</v>
      </c>
      <c r="DH17" s="15">
        <f>'Input Kehadiran'!E13</f>
        <v>0</v>
      </c>
      <c r="DI17" s="15">
        <f>'Input Kehadiran'!F13</f>
        <v>1</v>
      </c>
      <c r="DJ17" s="15" t="str">
        <f>'Input Kehadiran'!G13</f>
        <v xml:space="preserve"> -</v>
      </c>
      <c r="DK17" s="48">
        <f>'Input Prestasi'!D14</f>
        <v>0</v>
      </c>
      <c r="DL17" s="48">
        <f>'Input Prestasi'!E14</f>
        <v>0</v>
      </c>
      <c r="DM17" s="48">
        <f>'Input Prestasi'!F14</f>
        <v>0</v>
      </c>
      <c r="DN17" s="48">
        <f>'Input Prestasi'!G14</f>
        <v>0</v>
      </c>
      <c r="DO17" s="48">
        <f>'Input Prestasi'!H14</f>
        <v>0</v>
      </c>
      <c r="DP17" s="48">
        <f>'Input Prestasi'!I14</f>
        <v>0</v>
      </c>
      <c r="DQ17" s="48">
        <f>'Input Prestasi'!J14</f>
        <v>0</v>
      </c>
      <c r="DR17" s="48">
        <f>'Input Prestasi'!K14</f>
        <v>0</v>
      </c>
      <c r="DS17" s="15" t="str">
        <f>'Input Nilai Sikap dan Catatan'!H12</f>
        <v>Peserta didik sudah menunjukkan sikap mengamalkan ajaran agamanya, konsisten menerapkan sikap santun, jujur, dan mandiri. Tingkatkan rasa ingin tahu dan sikap baik di dalam maupun di luar pembelajaran.</v>
      </c>
    </row>
    <row r="18" spans="1:123">
      <c r="A18" s="12">
        <v>10</v>
      </c>
      <c r="B18" s="23" t="str">
        <f>IF(Setting!J15="","",Setting!J15)</f>
        <v>Elga Perdana</v>
      </c>
      <c r="C18" s="28">
        <f>IF(Setting!K15="","",Setting!K15)</f>
        <v>2008099</v>
      </c>
      <c r="D18" s="28" t="str">
        <f>IF(Setting!L15="","",Setting!L15)</f>
        <v>0054718584</v>
      </c>
      <c r="E18" s="15" t="str">
        <f>IF(Setting!$E$11="","",Setting!$E$11)</f>
        <v>X.MIPA 4</v>
      </c>
      <c r="F18" s="15" t="str">
        <f>'Input Nilai Sikap dan Catatan'!D13</f>
        <v>B</v>
      </c>
      <c r="G18" s="15" t="str">
        <f>'Input Nilai Sikap dan Catatan'!E13</f>
        <v>Berpartisipasi dengan baik dalam kegiatan keagamaan di sekolah.</v>
      </c>
      <c r="H18" s="15" t="str">
        <f>'Input Nilai Sikap dan Catatan'!F13</f>
        <v>B</v>
      </c>
      <c r="I18" s="15" t="str">
        <f>'Input Nilai Sikap dan Catatan'!G13</f>
        <v>Memiliki kemampuan kolaborasi yang baik dalam kelompok tetapi inisiatif individu masih perlu ditingkatkan</v>
      </c>
      <c r="J18" s="52">
        <v>86</v>
      </c>
      <c r="K18" s="52" t="s">
        <v>152</v>
      </c>
      <c r="L18" s="52" t="s">
        <v>1009</v>
      </c>
      <c r="M18" s="52">
        <v>80</v>
      </c>
      <c r="N18" s="52" t="s">
        <v>152</v>
      </c>
      <c r="O18" s="52" t="s">
        <v>1019</v>
      </c>
      <c r="P18" s="54">
        <v>88</v>
      </c>
      <c r="Q18" s="54" t="s">
        <v>151</v>
      </c>
      <c r="R18" s="54" t="s">
        <v>1024</v>
      </c>
      <c r="S18" s="54">
        <v>90</v>
      </c>
      <c r="T18" s="54" t="s">
        <v>151</v>
      </c>
      <c r="U18" s="54" t="s">
        <v>1063</v>
      </c>
      <c r="V18" s="182">
        <v>80</v>
      </c>
      <c r="W18" s="179" t="s">
        <v>152</v>
      </c>
      <c r="X18" s="180" t="s">
        <v>1032</v>
      </c>
      <c r="Y18" s="182">
        <v>80</v>
      </c>
      <c r="Z18" s="179" t="s">
        <v>152</v>
      </c>
      <c r="AA18" s="181" t="s">
        <v>1026</v>
      </c>
      <c r="AB18" s="54">
        <v>80</v>
      </c>
      <c r="AC18" s="54" t="s">
        <v>152</v>
      </c>
      <c r="AD18" s="54" t="s">
        <v>1043</v>
      </c>
      <c r="AE18" s="54">
        <v>80</v>
      </c>
      <c r="AF18" s="54" t="s">
        <v>152</v>
      </c>
      <c r="AG18" s="54" t="s">
        <v>1042</v>
      </c>
      <c r="AH18" s="52">
        <v>91</v>
      </c>
      <c r="AI18" s="52" t="s">
        <v>151</v>
      </c>
      <c r="AJ18" s="52" t="s">
        <v>1057</v>
      </c>
      <c r="AK18" s="52">
        <v>83</v>
      </c>
      <c r="AL18" s="52" t="s">
        <v>152</v>
      </c>
      <c r="AM18" s="52" t="s">
        <v>1052</v>
      </c>
      <c r="AN18" s="54">
        <v>82</v>
      </c>
      <c r="AO18" s="54" t="s">
        <v>152</v>
      </c>
      <c r="AP18" s="54" t="s">
        <v>1112</v>
      </c>
      <c r="AQ18" s="54">
        <v>80</v>
      </c>
      <c r="AR18" s="54" t="s">
        <v>152</v>
      </c>
      <c r="AS18" s="54" t="s">
        <v>1109</v>
      </c>
      <c r="AT18" s="52">
        <v>93</v>
      </c>
      <c r="AU18" s="52" t="s">
        <v>151</v>
      </c>
      <c r="AV18" s="52" t="s">
        <v>1061</v>
      </c>
      <c r="AW18" s="52">
        <v>93</v>
      </c>
      <c r="AX18" s="52" t="s">
        <v>151</v>
      </c>
      <c r="AY18" s="52" t="s">
        <v>1062</v>
      </c>
      <c r="AZ18" s="54">
        <v>88</v>
      </c>
      <c r="BA18" s="54" t="s">
        <v>151</v>
      </c>
      <c r="BB18" s="54" t="s">
        <v>1115</v>
      </c>
      <c r="BC18" s="54">
        <v>87</v>
      </c>
      <c r="BD18" s="54" t="s">
        <v>152</v>
      </c>
      <c r="BE18" s="54" t="s">
        <v>1116</v>
      </c>
      <c r="BF18" s="52">
        <v>81</v>
      </c>
      <c r="BG18" s="52" t="s">
        <v>152</v>
      </c>
      <c r="BH18" s="52" t="s">
        <v>1119</v>
      </c>
      <c r="BI18" s="52">
        <v>80</v>
      </c>
      <c r="BJ18" s="52" t="s">
        <v>152</v>
      </c>
      <c r="BK18" s="52" t="s">
        <v>1064</v>
      </c>
      <c r="BL18" s="54">
        <v>90</v>
      </c>
      <c r="BM18" s="54" t="s">
        <v>151</v>
      </c>
      <c r="BN18" s="54" t="s">
        <v>1121</v>
      </c>
      <c r="BO18" s="54">
        <v>82</v>
      </c>
      <c r="BP18" s="54" t="s">
        <v>152</v>
      </c>
      <c r="BQ18" s="54" t="s">
        <v>1122</v>
      </c>
      <c r="BR18" s="52">
        <v>80</v>
      </c>
      <c r="BS18" s="52" t="s">
        <v>152</v>
      </c>
      <c r="BT18" s="52" t="s">
        <v>1125</v>
      </c>
      <c r="BU18" s="52">
        <v>80</v>
      </c>
      <c r="BV18" s="52" t="s">
        <v>152</v>
      </c>
      <c r="BW18" s="52" t="s">
        <v>1066</v>
      </c>
      <c r="BX18" s="54">
        <v>87</v>
      </c>
      <c r="BY18" s="54" t="s">
        <v>152</v>
      </c>
      <c r="BZ18" s="54" t="s">
        <v>1073</v>
      </c>
      <c r="CA18" s="54">
        <v>80</v>
      </c>
      <c r="CB18" s="54" t="s">
        <v>152</v>
      </c>
      <c r="CC18" s="54" t="s">
        <v>1068</v>
      </c>
      <c r="CD18" s="52">
        <v>90</v>
      </c>
      <c r="CE18" s="52" t="s">
        <v>151</v>
      </c>
      <c r="CF18" s="52" t="s">
        <v>1078</v>
      </c>
      <c r="CG18" s="52">
        <v>89</v>
      </c>
      <c r="CH18" s="52" t="s">
        <v>151</v>
      </c>
      <c r="CI18" s="52" t="s">
        <v>1077</v>
      </c>
      <c r="CJ18" s="54">
        <v>80</v>
      </c>
      <c r="CK18" s="54" t="s">
        <v>152</v>
      </c>
      <c r="CL18" s="54" t="s">
        <v>1081</v>
      </c>
      <c r="CM18" s="54">
        <v>80</v>
      </c>
      <c r="CN18" s="54" t="s">
        <v>152</v>
      </c>
      <c r="CO18" s="54" t="s">
        <v>1082</v>
      </c>
      <c r="CP18" s="52">
        <v>88</v>
      </c>
      <c r="CQ18" s="52" t="s">
        <v>151</v>
      </c>
      <c r="CR18" s="52" t="s">
        <v>1091</v>
      </c>
      <c r="CS18" s="52">
        <v>83</v>
      </c>
      <c r="CT18" s="52" t="s">
        <v>152</v>
      </c>
      <c r="CU18" s="52" t="s">
        <v>1092</v>
      </c>
      <c r="CV18" s="52">
        <v>86</v>
      </c>
      <c r="CW18" s="52" t="s">
        <v>152</v>
      </c>
      <c r="CX18" s="52" t="s">
        <v>1100</v>
      </c>
      <c r="CY18" s="52">
        <v>80</v>
      </c>
      <c r="CZ18" s="52" t="s">
        <v>152</v>
      </c>
      <c r="DA18" s="52" t="s">
        <v>1099</v>
      </c>
      <c r="DB18" s="15" t="str">
        <f>'Input Ekstra'!E14</f>
        <v>Pramuka</v>
      </c>
      <c r="DC18" s="15" t="str">
        <f>'Input Ekstra'!F14</f>
        <v>Baik</v>
      </c>
      <c r="DD18" s="15" t="str">
        <f>'Input Ekstra'!G14</f>
        <v>Peserta didik mampu menjelaskan tentang sejarah kepramukaan dan implementasi materi kepemimpinan dalam kehidupan sehari-hari</v>
      </c>
      <c r="DE18" s="15">
        <f>'Input Ekstra'!H14</f>
        <v>0</v>
      </c>
      <c r="DF18" s="15">
        <f>'Input Ekstra'!I14</f>
        <v>0</v>
      </c>
      <c r="DG18" s="15">
        <f>'Input Ekstra'!J14</f>
        <v>0</v>
      </c>
      <c r="DH18" s="15">
        <f>'Input Kehadiran'!E14</f>
        <v>0</v>
      </c>
      <c r="DI18" s="15">
        <f>'Input Kehadiran'!F14</f>
        <v>5</v>
      </c>
      <c r="DJ18" s="15" t="str">
        <f>'Input Kehadiran'!G14</f>
        <v xml:space="preserve"> -</v>
      </c>
      <c r="DK18" s="48">
        <f>'Input Prestasi'!D15</f>
        <v>0</v>
      </c>
      <c r="DL18" s="48">
        <f>'Input Prestasi'!E15</f>
        <v>0</v>
      </c>
      <c r="DM18" s="48">
        <f>'Input Prestasi'!F15</f>
        <v>0</v>
      </c>
      <c r="DN18" s="48">
        <f>'Input Prestasi'!G15</f>
        <v>0</v>
      </c>
      <c r="DO18" s="48">
        <f>'Input Prestasi'!H15</f>
        <v>0</v>
      </c>
      <c r="DP18" s="48">
        <f>'Input Prestasi'!I15</f>
        <v>0</v>
      </c>
      <c r="DQ18" s="48">
        <f>'Input Prestasi'!J15</f>
        <v>0</v>
      </c>
      <c r="DR18" s="48">
        <f>'Input Prestasi'!K15</f>
        <v>0</v>
      </c>
      <c r="DS18" s="15" t="str">
        <f>'Input Nilai Sikap dan Catatan'!H13</f>
        <v>Peserta didik sudah menunjukkan sikap mengamalkan ajaran agamanya, konsisten menerapkan sikap santun, jujur, dan mandiri. Tingkatkan rasa ingin tahu dan sikap baik di dalam maupun di luar pembelajaran.</v>
      </c>
    </row>
    <row r="19" spans="1:123">
      <c r="A19" s="12">
        <v>11</v>
      </c>
      <c r="B19" s="23" t="str">
        <f>IF(Setting!J16="","",Setting!J16)</f>
        <v>Fathoni Daniswara</v>
      </c>
      <c r="C19" s="28">
        <f>IF(Setting!K16="","",Setting!K16)</f>
        <v>2008118</v>
      </c>
      <c r="D19" s="28" t="str">
        <f>IF(Setting!L16="","",Setting!L16)</f>
        <v>0057882873</v>
      </c>
      <c r="E19" s="15" t="str">
        <f>IF(Setting!$E$11="","",Setting!$E$11)</f>
        <v>X.MIPA 4</v>
      </c>
      <c r="F19" s="15" t="str">
        <f>'Input Nilai Sikap dan Catatan'!D14</f>
        <v>A</v>
      </c>
      <c r="G19" s="15" t="str">
        <f>'Input Nilai Sikap dan Catatan'!E14</f>
        <v>Berpartisipasi dengan baik dalam kegiatan keagamaan di sekolah.</v>
      </c>
      <c r="H19" s="15" t="str">
        <f>'Input Nilai Sikap dan Catatan'!F14</f>
        <v>B</v>
      </c>
      <c r="I19" s="15" t="str">
        <f>'Input Nilai Sikap dan Catatan'!G14</f>
        <v>Memiliki kemampuan kolaborasi yang baik dalam kelompok tetapi inisiatif individu masih perlu ditingkatkan</v>
      </c>
      <c r="J19" s="52">
        <v>93</v>
      </c>
      <c r="K19" s="52" t="s">
        <v>151</v>
      </c>
      <c r="L19" s="52" t="s">
        <v>1013</v>
      </c>
      <c r="M19" s="52">
        <v>89</v>
      </c>
      <c r="N19" s="52" t="s">
        <v>151</v>
      </c>
      <c r="O19" s="52" t="s">
        <v>1022</v>
      </c>
      <c r="P19" s="54">
        <v>90</v>
      </c>
      <c r="Q19" s="54" t="s">
        <v>151</v>
      </c>
      <c r="R19" s="54" t="s">
        <v>1024</v>
      </c>
      <c r="S19" s="54">
        <v>90</v>
      </c>
      <c r="T19" s="54" t="s">
        <v>151</v>
      </c>
      <c r="U19" s="54" t="s">
        <v>1063</v>
      </c>
      <c r="V19" s="182">
        <v>89</v>
      </c>
      <c r="W19" s="179" t="s">
        <v>151</v>
      </c>
      <c r="X19" s="180" t="s">
        <v>1028</v>
      </c>
      <c r="Y19" s="182">
        <v>84</v>
      </c>
      <c r="Z19" s="179" t="s">
        <v>152</v>
      </c>
      <c r="AA19" s="181" t="s">
        <v>1026</v>
      </c>
      <c r="AB19" s="54">
        <v>88</v>
      </c>
      <c r="AC19" s="54" t="s">
        <v>151</v>
      </c>
      <c r="AD19" s="54" t="s">
        <v>1046</v>
      </c>
      <c r="AE19" s="54">
        <v>83</v>
      </c>
      <c r="AF19" s="54" t="s">
        <v>152</v>
      </c>
      <c r="AG19" s="54" t="s">
        <v>1042</v>
      </c>
      <c r="AH19" s="52">
        <v>93</v>
      </c>
      <c r="AI19" s="52" t="s">
        <v>151</v>
      </c>
      <c r="AJ19" s="52" t="s">
        <v>1056</v>
      </c>
      <c r="AK19" s="52">
        <v>93</v>
      </c>
      <c r="AL19" s="52" t="s">
        <v>151</v>
      </c>
      <c r="AM19" s="52" t="s">
        <v>1052</v>
      </c>
      <c r="AN19" s="54">
        <v>88</v>
      </c>
      <c r="AO19" s="54" t="s">
        <v>151</v>
      </c>
      <c r="AP19" s="54" t="s">
        <v>1110</v>
      </c>
      <c r="AQ19" s="54">
        <v>80</v>
      </c>
      <c r="AR19" s="54" t="s">
        <v>152</v>
      </c>
      <c r="AS19" s="54" t="s">
        <v>1109</v>
      </c>
      <c r="AT19" s="52">
        <v>83</v>
      </c>
      <c r="AU19" s="52" t="s">
        <v>152</v>
      </c>
      <c r="AV19" s="52" t="s">
        <v>1061</v>
      </c>
      <c r="AW19" s="52">
        <v>83</v>
      </c>
      <c r="AX19" s="52" t="s">
        <v>152</v>
      </c>
      <c r="AY19" s="52" t="s">
        <v>1062</v>
      </c>
      <c r="AZ19" s="54">
        <v>89</v>
      </c>
      <c r="BA19" s="54" t="s">
        <v>151</v>
      </c>
      <c r="BB19" s="54" t="s">
        <v>1115</v>
      </c>
      <c r="BC19" s="54">
        <v>87</v>
      </c>
      <c r="BD19" s="54" t="s">
        <v>152</v>
      </c>
      <c r="BE19" s="54" t="s">
        <v>1116</v>
      </c>
      <c r="BF19" s="52">
        <v>92</v>
      </c>
      <c r="BG19" s="52" t="s">
        <v>151</v>
      </c>
      <c r="BH19" s="52" t="s">
        <v>1119</v>
      </c>
      <c r="BI19" s="52">
        <v>95</v>
      </c>
      <c r="BJ19" s="52" t="s">
        <v>151</v>
      </c>
      <c r="BK19" s="52" t="s">
        <v>1064</v>
      </c>
      <c r="BL19" s="54">
        <v>90</v>
      </c>
      <c r="BM19" s="54" t="s">
        <v>151</v>
      </c>
      <c r="BN19" s="54" t="s">
        <v>1124</v>
      </c>
      <c r="BO19" s="54">
        <v>81</v>
      </c>
      <c r="BP19" s="54" t="s">
        <v>152</v>
      </c>
      <c r="BQ19" s="54" t="s">
        <v>1122</v>
      </c>
      <c r="BR19" s="52">
        <v>81</v>
      </c>
      <c r="BS19" s="52" t="s">
        <v>152</v>
      </c>
      <c r="BT19" s="52" t="s">
        <v>1125</v>
      </c>
      <c r="BU19" s="52">
        <v>80</v>
      </c>
      <c r="BV19" s="52" t="s">
        <v>152</v>
      </c>
      <c r="BW19" s="52" t="s">
        <v>1066</v>
      </c>
      <c r="BX19" s="54">
        <v>90</v>
      </c>
      <c r="BY19" s="54" t="s">
        <v>151</v>
      </c>
      <c r="BZ19" s="54" t="s">
        <v>1074</v>
      </c>
      <c r="CA19" s="54">
        <v>80</v>
      </c>
      <c r="CB19" s="54" t="s">
        <v>152</v>
      </c>
      <c r="CC19" s="54" t="s">
        <v>1068</v>
      </c>
      <c r="CD19" s="52">
        <v>88</v>
      </c>
      <c r="CE19" s="52" t="s">
        <v>151</v>
      </c>
      <c r="CF19" s="52" t="s">
        <v>1078</v>
      </c>
      <c r="CG19" s="52">
        <v>89</v>
      </c>
      <c r="CH19" s="52" t="s">
        <v>151</v>
      </c>
      <c r="CI19" s="52" t="s">
        <v>1077</v>
      </c>
      <c r="CJ19" s="54">
        <v>81</v>
      </c>
      <c r="CK19" s="54" t="s">
        <v>152</v>
      </c>
      <c r="CL19" s="54" t="s">
        <v>1081</v>
      </c>
      <c r="CM19" s="54">
        <v>81</v>
      </c>
      <c r="CN19" s="54" t="s">
        <v>152</v>
      </c>
      <c r="CO19" s="54" t="s">
        <v>1082</v>
      </c>
      <c r="CP19" s="52">
        <v>88</v>
      </c>
      <c r="CQ19" s="52" t="s">
        <v>151</v>
      </c>
      <c r="CR19" s="52" t="s">
        <v>1093</v>
      </c>
      <c r="CS19" s="52">
        <v>82</v>
      </c>
      <c r="CT19" s="52" t="s">
        <v>152</v>
      </c>
      <c r="CU19" s="52" t="s">
        <v>1089</v>
      </c>
      <c r="CV19" s="52">
        <v>82</v>
      </c>
      <c r="CW19" s="52" t="s">
        <v>152</v>
      </c>
      <c r="CX19" s="52" t="s">
        <v>1100</v>
      </c>
      <c r="CY19" s="52">
        <v>80</v>
      </c>
      <c r="CZ19" s="52" t="s">
        <v>152</v>
      </c>
      <c r="DA19" s="52" t="s">
        <v>1102</v>
      </c>
      <c r="DB19" s="15" t="str">
        <f>'Input Ekstra'!E15</f>
        <v>Pramuka</v>
      </c>
      <c r="DC19" s="15" t="str">
        <f>'Input Ekstra'!F15</f>
        <v>Amat Baik</v>
      </c>
      <c r="DD19" s="15" t="str">
        <f>'Input Ekstra'!G15</f>
        <v>Peserta didik mampu menjelaskan tentang sejarah kepramukaan dan implementasi materi kepemimpinan dalam kehidupan sehari-hari</v>
      </c>
      <c r="DE19" s="15">
        <f>'Input Ekstra'!H15</f>
        <v>0</v>
      </c>
      <c r="DF19" s="15">
        <f>'Input Ekstra'!I15</f>
        <v>0</v>
      </c>
      <c r="DG19" s="15">
        <f>'Input Ekstra'!J15</f>
        <v>0</v>
      </c>
      <c r="DH19" s="15">
        <f>'Input Kehadiran'!E15</f>
        <v>0</v>
      </c>
      <c r="DI19" s="15">
        <f>'Input Kehadiran'!F15</f>
        <v>0</v>
      </c>
      <c r="DJ19" s="15" t="str">
        <f>'Input Kehadiran'!G15</f>
        <v xml:space="preserve"> -</v>
      </c>
      <c r="DK19" s="48">
        <f>'Input Prestasi'!D16</f>
        <v>0</v>
      </c>
      <c r="DL19" s="48">
        <f>'Input Prestasi'!E16</f>
        <v>0</v>
      </c>
      <c r="DM19" s="48">
        <f>'Input Prestasi'!F16</f>
        <v>0</v>
      </c>
      <c r="DN19" s="48">
        <f>'Input Prestasi'!G16</f>
        <v>0</v>
      </c>
      <c r="DO19" s="48">
        <f>'Input Prestasi'!H16</f>
        <v>0</v>
      </c>
      <c r="DP19" s="48">
        <f>'Input Prestasi'!I16</f>
        <v>0</v>
      </c>
      <c r="DQ19" s="48">
        <f>'Input Prestasi'!J16</f>
        <v>0</v>
      </c>
      <c r="DR19" s="48">
        <f>'Input Prestasi'!K16</f>
        <v>0</v>
      </c>
      <c r="DS19" s="15" t="str">
        <f>'Input Nilai Sikap dan Catatan'!H14</f>
        <v>Peserta didik sudah menunjukkan sikap mengamalkan ajaran agamanya, konsisten menerapkan sikap santun, jujur, dan mandiri. Tingkatkan rasa ingin tahu dan sikap baik di dalam maupun di luar pembelajaran.</v>
      </c>
    </row>
    <row r="20" spans="1:123">
      <c r="A20" s="12">
        <v>12</v>
      </c>
      <c r="B20" s="23" t="str">
        <f>IF(Setting!J17="","",Setting!J17)</f>
        <v>Gading Setyo Manunggal</v>
      </c>
      <c r="C20" s="28">
        <f>IF(Setting!K17="","",Setting!K17)</f>
        <v>2008127</v>
      </c>
      <c r="D20" s="28" t="str">
        <f>IF(Setting!L17="","",Setting!L17)</f>
        <v>0052532940</v>
      </c>
      <c r="E20" s="15" t="str">
        <f>IF(Setting!$E$11="","",Setting!$E$11)</f>
        <v>X.MIPA 4</v>
      </c>
      <c r="F20" s="15" t="str">
        <f>'Input Nilai Sikap dan Catatan'!D15</f>
        <v>B</v>
      </c>
      <c r="G20" s="15" t="str">
        <f>'Input Nilai Sikap dan Catatan'!E15</f>
        <v>Berpartisipasi dengan baik dalam kegiatan keagamaan di sekolah.</v>
      </c>
      <c r="H20" s="15" t="str">
        <f>'Input Nilai Sikap dan Catatan'!F15</f>
        <v>B</v>
      </c>
      <c r="I20" s="15" t="str">
        <f>'Input Nilai Sikap dan Catatan'!G15</f>
        <v>Memiliki kemampuan kolaborasi yang baik dalam kelompok tetapi inisiatif individu masih perlu ditingkatkan</v>
      </c>
      <c r="J20" s="52">
        <v>86</v>
      </c>
      <c r="K20" s="52" t="s">
        <v>152</v>
      </c>
      <c r="L20" s="52" t="s">
        <v>1013</v>
      </c>
      <c r="M20" s="52">
        <v>82</v>
      </c>
      <c r="N20" s="52" t="s">
        <v>152</v>
      </c>
      <c r="O20" s="52" t="s">
        <v>1021</v>
      </c>
      <c r="P20" s="54">
        <v>85</v>
      </c>
      <c r="Q20" s="54" t="s">
        <v>152</v>
      </c>
      <c r="R20" s="54" t="s">
        <v>1024</v>
      </c>
      <c r="S20" s="54">
        <v>85</v>
      </c>
      <c r="T20" s="54" t="s">
        <v>152</v>
      </c>
      <c r="U20" s="54" t="s">
        <v>1063</v>
      </c>
      <c r="V20" s="182">
        <v>85</v>
      </c>
      <c r="W20" s="179" t="s">
        <v>152</v>
      </c>
      <c r="X20" s="180" t="s">
        <v>1034</v>
      </c>
      <c r="Y20" s="182">
        <v>81</v>
      </c>
      <c r="Z20" s="179" t="s">
        <v>152</v>
      </c>
      <c r="AA20" s="181" t="s">
        <v>1035</v>
      </c>
      <c r="AB20" s="54">
        <v>80</v>
      </c>
      <c r="AC20" s="54" t="s">
        <v>152</v>
      </c>
      <c r="AD20" s="54" t="s">
        <v>1047</v>
      </c>
      <c r="AE20" s="54">
        <v>80</v>
      </c>
      <c r="AF20" s="54" t="s">
        <v>152</v>
      </c>
      <c r="AG20" s="54" t="s">
        <v>1042</v>
      </c>
      <c r="AH20" s="52">
        <v>88</v>
      </c>
      <c r="AI20" s="52" t="s">
        <v>151</v>
      </c>
      <c r="AJ20" s="52" t="s">
        <v>1055</v>
      </c>
      <c r="AK20" s="52">
        <v>93</v>
      </c>
      <c r="AL20" s="52" t="s">
        <v>151</v>
      </c>
      <c r="AM20" s="52" t="s">
        <v>1052</v>
      </c>
      <c r="AN20" s="54">
        <v>82</v>
      </c>
      <c r="AO20" s="54" t="s">
        <v>152</v>
      </c>
      <c r="AP20" s="54" t="s">
        <v>1108</v>
      </c>
      <c r="AQ20" s="54">
        <v>80</v>
      </c>
      <c r="AR20" s="54" t="s">
        <v>152</v>
      </c>
      <c r="AS20" s="54" t="s">
        <v>1109</v>
      </c>
      <c r="AT20" s="52">
        <v>80</v>
      </c>
      <c r="AU20" s="52" t="s">
        <v>152</v>
      </c>
      <c r="AV20" s="52" t="s">
        <v>1061</v>
      </c>
      <c r="AW20" s="52">
        <v>80</v>
      </c>
      <c r="AX20" s="52" t="s">
        <v>152</v>
      </c>
      <c r="AY20" s="52" t="s">
        <v>1062</v>
      </c>
      <c r="AZ20" s="54">
        <v>86</v>
      </c>
      <c r="BA20" s="54" t="s">
        <v>152</v>
      </c>
      <c r="BB20" s="54" t="s">
        <v>1118</v>
      </c>
      <c r="BC20" s="54">
        <v>87</v>
      </c>
      <c r="BD20" s="54" t="s">
        <v>152</v>
      </c>
      <c r="BE20" s="54" t="s">
        <v>1116</v>
      </c>
      <c r="BF20" s="52">
        <v>85</v>
      </c>
      <c r="BG20" s="52" t="s">
        <v>152</v>
      </c>
      <c r="BH20" s="52" t="s">
        <v>1119</v>
      </c>
      <c r="BI20" s="52">
        <v>85</v>
      </c>
      <c r="BJ20" s="52" t="s">
        <v>152</v>
      </c>
      <c r="BK20" s="52" t="s">
        <v>1065</v>
      </c>
      <c r="BL20" s="54">
        <v>88</v>
      </c>
      <c r="BM20" s="54" t="s">
        <v>151</v>
      </c>
      <c r="BN20" s="54" t="s">
        <v>1121</v>
      </c>
      <c r="BO20" s="54">
        <v>80</v>
      </c>
      <c r="BP20" s="54" t="s">
        <v>152</v>
      </c>
      <c r="BQ20" s="54" t="s">
        <v>1122</v>
      </c>
      <c r="BR20" s="52">
        <v>80</v>
      </c>
      <c r="BS20" s="52" t="s">
        <v>152</v>
      </c>
      <c r="BT20" s="52" t="s">
        <v>1125</v>
      </c>
      <c r="BU20" s="52">
        <v>80</v>
      </c>
      <c r="BV20" s="52" t="s">
        <v>152</v>
      </c>
      <c r="BW20" s="52" t="s">
        <v>1066</v>
      </c>
      <c r="BX20" s="54">
        <v>84</v>
      </c>
      <c r="BY20" s="54" t="s">
        <v>152</v>
      </c>
      <c r="BZ20" s="54" t="s">
        <v>1069</v>
      </c>
      <c r="CA20" s="54">
        <v>80</v>
      </c>
      <c r="CB20" s="54" t="s">
        <v>152</v>
      </c>
      <c r="CC20" s="54" t="s">
        <v>1068</v>
      </c>
      <c r="CD20" s="52">
        <v>82</v>
      </c>
      <c r="CE20" s="52" t="s">
        <v>152</v>
      </c>
      <c r="CF20" s="52" t="s">
        <v>1080</v>
      </c>
      <c r="CG20" s="52">
        <v>89</v>
      </c>
      <c r="CH20" s="52" t="s">
        <v>151</v>
      </c>
      <c r="CI20" s="52" t="s">
        <v>1077</v>
      </c>
      <c r="CJ20" s="54">
        <v>80</v>
      </c>
      <c r="CK20" s="54" t="s">
        <v>152</v>
      </c>
      <c r="CL20" s="54" t="s">
        <v>1081</v>
      </c>
      <c r="CM20" s="54">
        <v>80</v>
      </c>
      <c r="CN20" s="54" t="s">
        <v>152</v>
      </c>
      <c r="CO20" s="54" t="s">
        <v>1082</v>
      </c>
      <c r="CP20" s="52">
        <v>82</v>
      </c>
      <c r="CQ20" s="52" t="s">
        <v>152</v>
      </c>
      <c r="CR20" s="52" t="s">
        <v>1085</v>
      </c>
      <c r="CS20" s="52">
        <v>81</v>
      </c>
      <c r="CT20" s="52" t="s">
        <v>152</v>
      </c>
      <c r="CU20" s="52" t="s">
        <v>1089</v>
      </c>
      <c r="CV20" s="52">
        <v>80</v>
      </c>
      <c r="CW20" s="52" t="s">
        <v>152</v>
      </c>
      <c r="CX20" s="52" t="s">
        <v>1101</v>
      </c>
      <c r="CY20" s="52">
        <v>80</v>
      </c>
      <c r="CZ20" s="52" t="s">
        <v>152</v>
      </c>
      <c r="DA20" s="52" t="s">
        <v>1099</v>
      </c>
      <c r="DB20" s="15" t="str">
        <f>'Input Ekstra'!E16</f>
        <v>Pramuka</v>
      </c>
      <c r="DC20" s="15" t="str">
        <f>'Input Ekstra'!F16</f>
        <v>Baik</v>
      </c>
      <c r="DD20" s="15" t="str">
        <f>'Input Ekstra'!G16</f>
        <v>Peserta didik mampu menjelaskan tentang sejarah kepramukaan dan implementasi materi kepemimpinan dalam kehidupan sehari-hari</v>
      </c>
      <c r="DE20" s="15">
        <f>'Input Ekstra'!H16</f>
        <v>0</v>
      </c>
      <c r="DF20" s="15">
        <f>'Input Ekstra'!I16</f>
        <v>0</v>
      </c>
      <c r="DG20" s="15">
        <f>'Input Ekstra'!J16</f>
        <v>0</v>
      </c>
      <c r="DH20" s="15">
        <f>'Input Kehadiran'!E16</f>
        <v>1</v>
      </c>
      <c r="DI20" s="15">
        <f>'Input Kehadiran'!F16</f>
        <v>3</v>
      </c>
      <c r="DJ20" s="15" t="str">
        <f>'Input Kehadiran'!G16</f>
        <v xml:space="preserve"> -</v>
      </c>
      <c r="DK20" s="48">
        <f>'Input Prestasi'!D17</f>
        <v>0</v>
      </c>
      <c r="DL20" s="48">
        <f>'Input Prestasi'!E17</f>
        <v>0</v>
      </c>
      <c r="DM20" s="48">
        <f>'Input Prestasi'!F17</f>
        <v>0</v>
      </c>
      <c r="DN20" s="48">
        <f>'Input Prestasi'!G17</f>
        <v>0</v>
      </c>
      <c r="DO20" s="48">
        <f>'Input Prestasi'!H17</f>
        <v>0</v>
      </c>
      <c r="DP20" s="48">
        <f>'Input Prestasi'!I17</f>
        <v>0</v>
      </c>
      <c r="DQ20" s="48">
        <f>'Input Prestasi'!J17</f>
        <v>0</v>
      </c>
      <c r="DR20" s="48">
        <f>'Input Prestasi'!K17</f>
        <v>0</v>
      </c>
      <c r="DS20" s="15" t="str">
        <f>'Input Nilai Sikap dan Catatan'!H15</f>
        <v>Peserta didik sudah menunjukkan sikap mengamalkan ajaran agamanya, konsisten menerapkan sikap santun, jujur, dan mandiri. Tingkatkan rasa ingin tahu dan sikap baik di dalam maupun di luar pembelajaran.</v>
      </c>
    </row>
    <row r="21" spans="1:123">
      <c r="A21" s="12">
        <v>13</v>
      </c>
      <c r="B21" s="23" t="str">
        <f>IF(Setting!J18="","",Setting!J18)</f>
        <v>Ghifari Mabrur Al Burhani</v>
      </c>
      <c r="C21" s="28">
        <f>IF(Setting!K18="","",Setting!K18)</f>
        <v>2008128</v>
      </c>
      <c r="D21" s="28" t="str">
        <f>IF(Setting!L18="","",Setting!L18)</f>
        <v>0068080234</v>
      </c>
      <c r="E21" s="15" t="str">
        <f>IF(Setting!$E$11="","",Setting!$E$11)</f>
        <v>X.MIPA 4</v>
      </c>
      <c r="F21" s="15" t="str">
        <f>'Input Nilai Sikap dan Catatan'!D16</f>
        <v>B</v>
      </c>
      <c r="G21" s="15" t="str">
        <f>'Input Nilai Sikap dan Catatan'!E16</f>
        <v>Berpartisipasi dengan baik dalam kegiatan keagamaan di sekolah.</v>
      </c>
      <c r="H21" s="15" t="str">
        <f>'Input Nilai Sikap dan Catatan'!F16</f>
        <v>B</v>
      </c>
      <c r="I21" s="15" t="str">
        <f>'Input Nilai Sikap dan Catatan'!G16</f>
        <v>Memiliki kemampuan kolaborasi yang baik dalam kelompok tetapi inisiatif individu masih perlu ditingkatkan</v>
      </c>
      <c r="J21" s="52">
        <v>84</v>
      </c>
      <c r="K21" s="52" t="s">
        <v>152</v>
      </c>
      <c r="L21" s="52" t="s">
        <v>1013</v>
      </c>
      <c r="M21" s="52">
        <v>80</v>
      </c>
      <c r="N21" s="52" t="s">
        <v>152</v>
      </c>
      <c r="O21" s="52" t="s">
        <v>1021</v>
      </c>
      <c r="P21" s="54">
        <v>86</v>
      </c>
      <c r="Q21" s="54" t="s">
        <v>152</v>
      </c>
      <c r="R21" s="54" t="s">
        <v>1023</v>
      </c>
      <c r="S21" s="54">
        <v>80</v>
      </c>
      <c r="T21" s="54" t="s">
        <v>152</v>
      </c>
      <c r="U21" s="54" t="s">
        <v>1063</v>
      </c>
      <c r="V21" s="182">
        <v>88</v>
      </c>
      <c r="W21" s="179" t="s">
        <v>151</v>
      </c>
      <c r="X21" s="180" t="s">
        <v>1036</v>
      </c>
      <c r="Y21" s="182">
        <v>83</v>
      </c>
      <c r="Z21" s="179" t="s">
        <v>152</v>
      </c>
      <c r="AA21" s="181" t="s">
        <v>1026</v>
      </c>
      <c r="AB21" s="54">
        <v>80</v>
      </c>
      <c r="AC21" s="54" t="s">
        <v>152</v>
      </c>
      <c r="AD21" s="54" t="s">
        <v>1044</v>
      </c>
      <c r="AE21" s="54">
        <v>82</v>
      </c>
      <c r="AF21" s="54" t="s">
        <v>152</v>
      </c>
      <c r="AG21" s="54" t="s">
        <v>1042</v>
      </c>
      <c r="AH21" s="52">
        <v>86</v>
      </c>
      <c r="AI21" s="52" t="s">
        <v>152</v>
      </c>
      <c r="AJ21" s="52" t="s">
        <v>1056</v>
      </c>
      <c r="AK21" s="52">
        <v>81</v>
      </c>
      <c r="AL21" s="52" t="s">
        <v>152</v>
      </c>
      <c r="AM21" s="52" t="s">
        <v>1052</v>
      </c>
      <c r="AN21" s="54">
        <v>87</v>
      </c>
      <c r="AO21" s="54" t="s">
        <v>152</v>
      </c>
      <c r="AP21" s="54" t="s">
        <v>1110</v>
      </c>
      <c r="AQ21" s="54">
        <v>84</v>
      </c>
      <c r="AR21" s="54" t="s">
        <v>152</v>
      </c>
      <c r="AS21" s="54" t="s">
        <v>1109</v>
      </c>
      <c r="AT21" s="52">
        <v>80</v>
      </c>
      <c r="AU21" s="52" t="s">
        <v>152</v>
      </c>
      <c r="AV21" s="52" t="s">
        <v>1061</v>
      </c>
      <c r="AW21" s="52">
        <v>80</v>
      </c>
      <c r="AX21" s="52" t="s">
        <v>152</v>
      </c>
      <c r="AY21" s="52" t="s">
        <v>1062</v>
      </c>
      <c r="AZ21" s="54">
        <v>87</v>
      </c>
      <c r="BA21" s="54" t="s">
        <v>152</v>
      </c>
      <c r="BB21" s="54" t="s">
        <v>1115</v>
      </c>
      <c r="BC21" s="54">
        <v>87</v>
      </c>
      <c r="BD21" s="54" t="s">
        <v>152</v>
      </c>
      <c r="BE21" s="54" t="s">
        <v>1116</v>
      </c>
      <c r="BF21" s="52">
        <v>87</v>
      </c>
      <c r="BG21" s="52" t="s">
        <v>152</v>
      </c>
      <c r="BH21" s="52" t="s">
        <v>1119</v>
      </c>
      <c r="BI21" s="52">
        <v>96</v>
      </c>
      <c r="BJ21" s="52" t="s">
        <v>151</v>
      </c>
      <c r="BK21" s="52" t="s">
        <v>1064</v>
      </c>
      <c r="BL21" s="54">
        <v>87</v>
      </c>
      <c r="BM21" s="54" t="s">
        <v>152</v>
      </c>
      <c r="BN21" s="54" t="s">
        <v>1124</v>
      </c>
      <c r="BO21" s="54">
        <v>82</v>
      </c>
      <c r="BP21" s="54" t="s">
        <v>152</v>
      </c>
      <c r="BQ21" s="54" t="s">
        <v>1122</v>
      </c>
      <c r="BR21" s="52">
        <v>83</v>
      </c>
      <c r="BS21" s="52" t="s">
        <v>152</v>
      </c>
      <c r="BT21" s="52" t="s">
        <v>1125</v>
      </c>
      <c r="BU21" s="52">
        <v>82</v>
      </c>
      <c r="BV21" s="52" t="s">
        <v>152</v>
      </c>
      <c r="BW21" s="52" t="s">
        <v>1066</v>
      </c>
      <c r="BX21" s="54">
        <v>82</v>
      </c>
      <c r="BY21" s="54" t="s">
        <v>152</v>
      </c>
      <c r="BZ21" s="54" t="s">
        <v>1070</v>
      </c>
      <c r="CA21" s="54">
        <v>80</v>
      </c>
      <c r="CB21" s="54" t="s">
        <v>152</v>
      </c>
      <c r="CC21" s="54" t="s">
        <v>1068</v>
      </c>
      <c r="CD21" s="52">
        <v>80</v>
      </c>
      <c r="CE21" s="52" t="s">
        <v>152</v>
      </c>
      <c r="CF21" s="52" t="s">
        <v>1079</v>
      </c>
      <c r="CG21" s="52">
        <v>89</v>
      </c>
      <c r="CH21" s="52" t="s">
        <v>151</v>
      </c>
      <c r="CI21" s="52" t="s">
        <v>1077</v>
      </c>
      <c r="CJ21" s="54">
        <v>86</v>
      </c>
      <c r="CK21" s="54" t="s">
        <v>152</v>
      </c>
      <c r="CL21" s="54" t="s">
        <v>1081</v>
      </c>
      <c r="CM21" s="54">
        <v>85</v>
      </c>
      <c r="CN21" s="54" t="s">
        <v>152</v>
      </c>
      <c r="CO21" s="54" t="s">
        <v>1084</v>
      </c>
      <c r="CP21" s="52">
        <v>88</v>
      </c>
      <c r="CQ21" s="52" t="s">
        <v>151</v>
      </c>
      <c r="CR21" s="52" t="s">
        <v>1085</v>
      </c>
      <c r="CS21" s="52">
        <v>82</v>
      </c>
      <c r="CT21" s="52" t="s">
        <v>152</v>
      </c>
      <c r="CU21" s="52" t="s">
        <v>1089</v>
      </c>
      <c r="CV21" s="52">
        <v>80</v>
      </c>
      <c r="CW21" s="52" t="s">
        <v>152</v>
      </c>
      <c r="CX21" s="52" t="s">
        <v>1100</v>
      </c>
      <c r="CY21" s="52">
        <v>80</v>
      </c>
      <c r="CZ21" s="52" t="s">
        <v>152</v>
      </c>
      <c r="DA21" s="52" t="s">
        <v>1102</v>
      </c>
      <c r="DB21" s="15" t="str">
        <f>'Input Ekstra'!E17</f>
        <v>Pramuka</v>
      </c>
      <c r="DC21" s="15" t="str">
        <f>'Input Ekstra'!F17</f>
        <v>Amat Baik</v>
      </c>
      <c r="DD21" s="15" t="str">
        <f>'Input Ekstra'!G17</f>
        <v>Peserta didik mampu menjelaskan tentang sejarah kepramukaan dan implementasi materi kepemimpinan dalam kehidupan sehari-hari</v>
      </c>
      <c r="DE21" s="15">
        <f>'Input Ekstra'!H17</f>
        <v>0</v>
      </c>
      <c r="DF21" s="15">
        <f>'Input Ekstra'!I17</f>
        <v>0</v>
      </c>
      <c r="DG21" s="15">
        <f>'Input Ekstra'!J17</f>
        <v>0</v>
      </c>
      <c r="DH21" s="15">
        <f>'Input Kehadiran'!E17</f>
        <v>0</v>
      </c>
      <c r="DI21" s="15">
        <f>'Input Kehadiran'!F17</f>
        <v>5</v>
      </c>
      <c r="DJ21" s="15" t="str">
        <f>'Input Kehadiran'!G17</f>
        <v xml:space="preserve"> -</v>
      </c>
      <c r="DK21" s="48">
        <f>'Input Prestasi'!D18</f>
        <v>0</v>
      </c>
      <c r="DL21" s="48">
        <f>'Input Prestasi'!E18</f>
        <v>0</v>
      </c>
      <c r="DM21" s="48">
        <f>'Input Prestasi'!F18</f>
        <v>0</v>
      </c>
      <c r="DN21" s="48">
        <f>'Input Prestasi'!G18</f>
        <v>0</v>
      </c>
      <c r="DO21" s="48">
        <f>'Input Prestasi'!H18</f>
        <v>0</v>
      </c>
      <c r="DP21" s="48">
        <f>'Input Prestasi'!I18</f>
        <v>0</v>
      </c>
      <c r="DQ21" s="48">
        <f>'Input Prestasi'!J18</f>
        <v>0</v>
      </c>
      <c r="DR21" s="48">
        <f>'Input Prestasi'!K18</f>
        <v>0</v>
      </c>
      <c r="DS21" s="15" t="str">
        <f>'Input Nilai Sikap dan Catatan'!H16</f>
        <v>Peserta didik sudah menunjukkan sikap mengamalkan ajaran agamanya, konsisten menerapkan sikap santun, jujur, dan mandiri. Tingkatkan rasa ingin tahu dan sikap baik di dalam maupun di luar pembelajaran.</v>
      </c>
    </row>
    <row r="22" spans="1:123">
      <c r="A22" s="12">
        <v>14</v>
      </c>
      <c r="B22" s="23" t="str">
        <f>IF(Setting!J19="","",Setting!J19)</f>
        <v>Hafid Mahreza Ilham</v>
      </c>
      <c r="C22" s="28">
        <f>IF(Setting!K19="","",Setting!K19)</f>
        <v>2008131</v>
      </c>
      <c r="D22" s="28" t="str">
        <f>IF(Setting!L19="","",Setting!L19)</f>
        <v xml:space="preserve"> 0058288476</v>
      </c>
      <c r="E22" s="15" t="str">
        <f>IF(Setting!$E$11="","",Setting!$E$11)</f>
        <v>X.MIPA 4</v>
      </c>
      <c r="F22" s="15" t="str">
        <f>'Input Nilai Sikap dan Catatan'!D17</f>
        <v>B</v>
      </c>
      <c r="G22" s="15" t="str">
        <f>'Input Nilai Sikap dan Catatan'!E17</f>
        <v>Berpartisipasi dengan baik dalam kegiatan keagamaan di sekolah.</v>
      </c>
      <c r="H22" s="15" t="str">
        <f>'Input Nilai Sikap dan Catatan'!F17</f>
        <v>B</v>
      </c>
      <c r="I22" s="15" t="str">
        <f>'Input Nilai Sikap dan Catatan'!G17</f>
        <v>Memiliki kemampuan kolaborasi yang baik dalam kelompok tetapi inisiatif individu masih perlu ditingkatkan</v>
      </c>
      <c r="J22" s="52">
        <v>80</v>
      </c>
      <c r="K22" s="52" t="s">
        <v>152</v>
      </c>
      <c r="L22" s="52" t="s">
        <v>1011</v>
      </c>
      <c r="M22" s="52">
        <v>80</v>
      </c>
      <c r="N22" s="52" t="s">
        <v>152</v>
      </c>
      <c r="O22" s="52" t="s">
        <v>1021</v>
      </c>
      <c r="P22" s="54">
        <v>85</v>
      </c>
      <c r="Q22" s="54" t="s">
        <v>152</v>
      </c>
      <c r="R22" s="54" t="s">
        <v>1024</v>
      </c>
      <c r="S22" s="54">
        <v>90</v>
      </c>
      <c r="T22" s="54" t="s">
        <v>151</v>
      </c>
      <c r="U22" s="54" t="s">
        <v>1063</v>
      </c>
      <c r="V22" s="182">
        <v>85</v>
      </c>
      <c r="W22" s="179" t="s">
        <v>152</v>
      </c>
      <c r="X22" s="180" t="s">
        <v>1025</v>
      </c>
      <c r="Y22" s="182">
        <v>80</v>
      </c>
      <c r="Z22" s="179" t="s">
        <v>152</v>
      </c>
      <c r="AA22" s="181" t="s">
        <v>1026</v>
      </c>
      <c r="AB22" s="54">
        <v>80</v>
      </c>
      <c r="AC22" s="54" t="s">
        <v>152</v>
      </c>
      <c r="AD22" s="54" t="s">
        <v>1041</v>
      </c>
      <c r="AE22" s="54">
        <v>80</v>
      </c>
      <c r="AF22" s="54" t="s">
        <v>152</v>
      </c>
      <c r="AG22" s="54" t="s">
        <v>1042</v>
      </c>
      <c r="AH22" s="52">
        <v>82</v>
      </c>
      <c r="AI22" s="52" t="s">
        <v>152</v>
      </c>
      <c r="AJ22" s="52" t="s">
        <v>1058</v>
      </c>
      <c r="AK22" s="52">
        <v>80</v>
      </c>
      <c r="AL22" s="52" t="s">
        <v>152</v>
      </c>
      <c r="AM22" s="52" t="s">
        <v>1052</v>
      </c>
      <c r="AN22" s="54">
        <v>80</v>
      </c>
      <c r="AO22" s="54" t="s">
        <v>152</v>
      </c>
      <c r="AP22" s="54" t="s">
        <v>1114</v>
      </c>
      <c r="AQ22" s="54">
        <v>80</v>
      </c>
      <c r="AR22" s="54" t="s">
        <v>152</v>
      </c>
      <c r="AS22" s="54" t="s">
        <v>1109</v>
      </c>
      <c r="AT22" s="52">
        <v>80</v>
      </c>
      <c r="AU22" s="52" t="s">
        <v>152</v>
      </c>
      <c r="AV22" s="52" t="s">
        <v>1061</v>
      </c>
      <c r="AW22" s="52">
        <v>80</v>
      </c>
      <c r="AX22" s="52" t="s">
        <v>152</v>
      </c>
      <c r="AY22" s="52" t="s">
        <v>1062</v>
      </c>
      <c r="AZ22" s="54">
        <v>85</v>
      </c>
      <c r="BA22" s="54" t="s">
        <v>152</v>
      </c>
      <c r="BB22" s="54" t="s">
        <v>1118</v>
      </c>
      <c r="BC22" s="54">
        <v>87</v>
      </c>
      <c r="BD22" s="54" t="s">
        <v>152</v>
      </c>
      <c r="BE22" s="54" t="s">
        <v>1116</v>
      </c>
      <c r="BF22" s="52">
        <v>81</v>
      </c>
      <c r="BG22" s="52" t="s">
        <v>152</v>
      </c>
      <c r="BH22" s="52" t="s">
        <v>1120</v>
      </c>
      <c r="BI22" s="52">
        <v>80</v>
      </c>
      <c r="BJ22" s="52" t="s">
        <v>152</v>
      </c>
      <c r="BK22" s="52" t="s">
        <v>1064</v>
      </c>
      <c r="BL22" s="54">
        <v>87</v>
      </c>
      <c r="BM22" s="54" t="s">
        <v>152</v>
      </c>
      <c r="BN22" s="54" t="s">
        <v>1124</v>
      </c>
      <c r="BO22" s="54">
        <v>81</v>
      </c>
      <c r="BP22" s="54" t="s">
        <v>152</v>
      </c>
      <c r="BQ22" s="54" t="s">
        <v>1122</v>
      </c>
      <c r="BR22" s="52">
        <v>80</v>
      </c>
      <c r="BS22" s="52" t="s">
        <v>152</v>
      </c>
      <c r="BT22" s="52" t="s">
        <v>1125</v>
      </c>
      <c r="BU22" s="52">
        <v>80</v>
      </c>
      <c r="BV22" s="52" t="s">
        <v>152</v>
      </c>
      <c r="BW22" s="52" t="s">
        <v>1066</v>
      </c>
      <c r="BX22" s="54">
        <v>82</v>
      </c>
      <c r="BY22" s="54" t="s">
        <v>152</v>
      </c>
      <c r="BZ22" s="54" t="s">
        <v>1067</v>
      </c>
      <c r="CA22" s="54">
        <v>80</v>
      </c>
      <c r="CB22" s="54" t="s">
        <v>152</v>
      </c>
      <c r="CC22" s="54" t="s">
        <v>1068</v>
      </c>
      <c r="CD22" s="52">
        <v>82</v>
      </c>
      <c r="CE22" s="52" t="s">
        <v>152</v>
      </c>
      <c r="CF22" s="52" t="s">
        <v>1078</v>
      </c>
      <c r="CG22" s="52">
        <v>89</v>
      </c>
      <c r="CH22" s="52" t="s">
        <v>151</v>
      </c>
      <c r="CI22" s="52" t="s">
        <v>1077</v>
      </c>
      <c r="CJ22" s="54">
        <v>80</v>
      </c>
      <c r="CK22" s="54" t="s">
        <v>152</v>
      </c>
      <c r="CL22" s="54" t="s">
        <v>1083</v>
      </c>
      <c r="CM22" s="54">
        <v>80</v>
      </c>
      <c r="CN22" s="54" t="s">
        <v>152</v>
      </c>
      <c r="CO22" s="54" t="s">
        <v>1082</v>
      </c>
      <c r="CP22" s="52">
        <v>80</v>
      </c>
      <c r="CQ22" s="52" t="s">
        <v>152</v>
      </c>
      <c r="CR22" s="52" t="s">
        <v>1085</v>
      </c>
      <c r="CS22" s="52">
        <v>82</v>
      </c>
      <c r="CT22" s="52" t="s">
        <v>152</v>
      </c>
      <c r="CU22" s="52" t="s">
        <v>1089</v>
      </c>
      <c r="CV22" s="52">
        <v>80</v>
      </c>
      <c r="CW22" s="52" t="s">
        <v>152</v>
      </c>
      <c r="CX22" s="52" t="s">
        <v>1100</v>
      </c>
      <c r="CY22" s="52">
        <v>80</v>
      </c>
      <c r="CZ22" s="52" t="s">
        <v>152</v>
      </c>
      <c r="DA22" s="52" t="s">
        <v>1102</v>
      </c>
      <c r="DB22" s="15" t="str">
        <f>'Input Ekstra'!E18</f>
        <v>Pramuka</v>
      </c>
      <c r="DC22" s="15" t="str">
        <f>'Input Ekstra'!F18</f>
        <v>Baik</v>
      </c>
      <c r="DD22" s="15" t="str">
        <f>'Input Ekstra'!G18</f>
        <v>Peserta didik mampu menjelaskan tentang sejarah kepramukaan dan implementasi materi kepemimpinan dalam kehidupan sehari-hari</v>
      </c>
      <c r="DE22" s="15">
        <f>'Input Ekstra'!H18</f>
        <v>0</v>
      </c>
      <c r="DF22" s="15">
        <f>'Input Ekstra'!I18</f>
        <v>0</v>
      </c>
      <c r="DG22" s="15">
        <f>'Input Ekstra'!J18</f>
        <v>0</v>
      </c>
      <c r="DH22" s="15">
        <f>'Input Kehadiran'!E18</f>
        <v>0</v>
      </c>
      <c r="DI22" s="15">
        <f>'Input Kehadiran'!F18</f>
        <v>5</v>
      </c>
      <c r="DJ22" s="15" t="str">
        <f>'Input Kehadiran'!G18</f>
        <v xml:space="preserve"> -</v>
      </c>
      <c r="DK22" s="48">
        <f>'Input Prestasi'!D19</f>
        <v>0</v>
      </c>
      <c r="DL22" s="48">
        <f>'Input Prestasi'!E19</f>
        <v>0</v>
      </c>
      <c r="DM22" s="48">
        <f>'Input Prestasi'!F19</f>
        <v>0</v>
      </c>
      <c r="DN22" s="48">
        <f>'Input Prestasi'!G19</f>
        <v>0</v>
      </c>
      <c r="DO22" s="48">
        <f>'Input Prestasi'!H19</f>
        <v>0</v>
      </c>
      <c r="DP22" s="48">
        <f>'Input Prestasi'!I19</f>
        <v>0</v>
      </c>
      <c r="DQ22" s="48">
        <f>'Input Prestasi'!J19</f>
        <v>0</v>
      </c>
      <c r="DR22" s="48">
        <f>'Input Prestasi'!K19</f>
        <v>0</v>
      </c>
      <c r="DS22" s="15" t="str">
        <f>'Input Nilai Sikap dan Catatan'!H17</f>
        <v>Peserta didik sudah menunjukkan sikap mengamalkan ajaran agamanya, konsisten menerapkan sikap santun, jujur, dan mandiri. Tingkatkan rasa ingin tahu dan sikap baik di dalam maupun di luar pembelajaran.</v>
      </c>
    </row>
    <row r="23" spans="1:123">
      <c r="A23" s="12">
        <v>15</v>
      </c>
      <c r="B23" s="23" t="str">
        <f>IF(Setting!J20="","",Setting!J20)</f>
        <v>Haidar Rafif Hibatulloh</v>
      </c>
      <c r="C23" s="28">
        <f>IF(Setting!K20="","",Setting!K20)</f>
        <v>2008132</v>
      </c>
      <c r="D23" s="28" t="str">
        <f>IF(Setting!L20="","",Setting!L20)</f>
        <v>0054005743</v>
      </c>
      <c r="E23" s="15" t="str">
        <f>IF(Setting!$E$11="","",Setting!$E$11)</f>
        <v>X.MIPA 4</v>
      </c>
      <c r="F23" s="15" t="str">
        <f>'Input Nilai Sikap dan Catatan'!D18</f>
        <v>B</v>
      </c>
      <c r="G23" s="15" t="str">
        <f>'Input Nilai Sikap dan Catatan'!E18</f>
        <v>Berpartisipasi dengan baik dalam kegiatan keagamaan di sekolah.</v>
      </c>
      <c r="H23" s="15" t="str">
        <f>'Input Nilai Sikap dan Catatan'!F18</f>
        <v>B</v>
      </c>
      <c r="I23" s="15" t="str">
        <f>'Input Nilai Sikap dan Catatan'!G18</f>
        <v>Memiliki kemampuan kolaborasi yang baik dalam kelompok tetapi inisiatif individu masih perlu ditingkatkan</v>
      </c>
      <c r="J23" s="52">
        <v>88</v>
      </c>
      <c r="K23" s="52" t="s">
        <v>151</v>
      </c>
      <c r="L23" s="52" t="s">
        <v>1009</v>
      </c>
      <c r="M23" s="52">
        <v>90</v>
      </c>
      <c r="N23" s="52" t="s">
        <v>151</v>
      </c>
      <c r="O23" s="52" t="s">
        <v>1022</v>
      </c>
      <c r="P23" s="54">
        <v>88</v>
      </c>
      <c r="Q23" s="54" t="s">
        <v>151</v>
      </c>
      <c r="R23" s="54" t="s">
        <v>1024</v>
      </c>
      <c r="S23" s="54">
        <v>90</v>
      </c>
      <c r="T23" s="54" t="s">
        <v>151</v>
      </c>
      <c r="U23" s="54" t="s">
        <v>1063</v>
      </c>
      <c r="V23" s="182">
        <v>87</v>
      </c>
      <c r="W23" s="179" t="s">
        <v>152</v>
      </c>
      <c r="X23" s="180" t="s">
        <v>1037</v>
      </c>
      <c r="Y23" s="182">
        <v>84</v>
      </c>
      <c r="Z23" s="179" t="s">
        <v>152</v>
      </c>
      <c r="AA23" s="181" t="s">
        <v>1026</v>
      </c>
      <c r="AB23" s="54">
        <v>85</v>
      </c>
      <c r="AC23" s="54" t="s">
        <v>152</v>
      </c>
      <c r="AD23" s="54" t="s">
        <v>1048</v>
      </c>
      <c r="AE23" s="54">
        <v>80</v>
      </c>
      <c r="AF23" s="54" t="s">
        <v>152</v>
      </c>
      <c r="AG23" s="54" t="s">
        <v>1042</v>
      </c>
      <c r="AH23" s="52">
        <v>93</v>
      </c>
      <c r="AI23" s="52" t="s">
        <v>151</v>
      </c>
      <c r="AJ23" s="52" t="s">
        <v>1054</v>
      </c>
      <c r="AK23" s="52">
        <v>93</v>
      </c>
      <c r="AL23" s="52" t="s">
        <v>151</v>
      </c>
      <c r="AM23" s="52" t="s">
        <v>1052</v>
      </c>
      <c r="AN23" s="54">
        <v>84</v>
      </c>
      <c r="AO23" s="54" t="s">
        <v>152</v>
      </c>
      <c r="AP23" s="54" t="s">
        <v>1112</v>
      </c>
      <c r="AQ23" s="54">
        <v>80</v>
      </c>
      <c r="AR23" s="54" t="s">
        <v>152</v>
      </c>
      <c r="AS23" s="54" t="s">
        <v>1109</v>
      </c>
      <c r="AT23" s="52">
        <v>80</v>
      </c>
      <c r="AU23" s="52" t="s">
        <v>152</v>
      </c>
      <c r="AV23" s="52" t="s">
        <v>1061</v>
      </c>
      <c r="AW23" s="52">
        <v>80</v>
      </c>
      <c r="AX23" s="52" t="s">
        <v>152</v>
      </c>
      <c r="AY23" s="52" t="s">
        <v>1062</v>
      </c>
      <c r="AZ23" s="54">
        <v>89</v>
      </c>
      <c r="BA23" s="54" t="s">
        <v>151</v>
      </c>
      <c r="BB23" s="54" t="s">
        <v>1115</v>
      </c>
      <c r="BC23" s="54">
        <v>87</v>
      </c>
      <c r="BD23" s="54" t="s">
        <v>152</v>
      </c>
      <c r="BE23" s="54" t="s">
        <v>1116</v>
      </c>
      <c r="BF23" s="52">
        <v>90</v>
      </c>
      <c r="BG23" s="52" t="s">
        <v>151</v>
      </c>
      <c r="BH23" s="52" t="s">
        <v>1120</v>
      </c>
      <c r="BI23" s="52">
        <v>83</v>
      </c>
      <c r="BJ23" s="52" t="s">
        <v>152</v>
      </c>
      <c r="BK23" s="52" t="s">
        <v>1065</v>
      </c>
      <c r="BL23" s="54">
        <v>90</v>
      </c>
      <c r="BM23" s="54" t="s">
        <v>151</v>
      </c>
      <c r="BN23" s="54" t="s">
        <v>1121</v>
      </c>
      <c r="BO23" s="54">
        <v>80</v>
      </c>
      <c r="BP23" s="54" t="s">
        <v>152</v>
      </c>
      <c r="BQ23" s="54" t="s">
        <v>1122</v>
      </c>
      <c r="BR23" s="52">
        <v>80</v>
      </c>
      <c r="BS23" s="52" t="s">
        <v>152</v>
      </c>
      <c r="BT23" s="52" t="s">
        <v>1125</v>
      </c>
      <c r="BU23" s="52">
        <v>80</v>
      </c>
      <c r="BV23" s="52" t="s">
        <v>152</v>
      </c>
      <c r="BW23" s="52" t="s">
        <v>1066</v>
      </c>
      <c r="BX23" s="54">
        <v>88</v>
      </c>
      <c r="BY23" s="54" t="s">
        <v>151</v>
      </c>
      <c r="BZ23" s="54" t="s">
        <v>1073</v>
      </c>
      <c r="CA23" s="54">
        <v>80</v>
      </c>
      <c r="CB23" s="54" t="s">
        <v>152</v>
      </c>
      <c r="CC23" s="54" t="s">
        <v>1068</v>
      </c>
      <c r="CD23" s="52">
        <v>90</v>
      </c>
      <c r="CE23" s="52" t="s">
        <v>151</v>
      </c>
      <c r="CF23" s="52" t="s">
        <v>1079</v>
      </c>
      <c r="CG23" s="52">
        <v>89</v>
      </c>
      <c r="CH23" s="52" t="s">
        <v>151</v>
      </c>
      <c r="CI23" s="52" t="s">
        <v>1077</v>
      </c>
      <c r="CJ23" s="54">
        <v>80</v>
      </c>
      <c r="CK23" s="54" t="s">
        <v>152</v>
      </c>
      <c r="CL23" s="54" t="s">
        <v>1081</v>
      </c>
      <c r="CM23" s="54">
        <v>80</v>
      </c>
      <c r="CN23" s="54" t="s">
        <v>152</v>
      </c>
      <c r="CO23" s="54" t="s">
        <v>1082</v>
      </c>
      <c r="CP23" s="52">
        <v>88</v>
      </c>
      <c r="CQ23" s="52" t="s">
        <v>151</v>
      </c>
      <c r="CR23" s="52" t="s">
        <v>1091</v>
      </c>
      <c r="CS23" s="52">
        <v>84</v>
      </c>
      <c r="CT23" s="52" t="s">
        <v>152</v>
      </c>
      <c r="CU23" s="52" t="s">
        <v>1089</v>
      </c>
      <c r="CV23" s="52">
        <v>85</v>
      </c>
      <c r="CW23" s="52" t="s">
        <v>152</v>
      </c>
      <c r="CX23" s="52" t="s">
        <v>1100</v>
      </c>
      <c r="CY23" s="52">
        <v>80</v>
      </c>
      <c r="CZ23" s="52" t="s">
        <v>152</v>
      </c>
      <c r="DA23" s="52" t="s">
        <v>1099</v>
      </c>
      <c r="DB23" s="15" t="str">
        <f>'Input Ekstra'!E19</f>
        <v>Pramuka</v>
      </c>
      <c r="DC23" s="15" t="str">
        <f>'Input Ekstra'!F19</f>
        <v>Baik</v>
      </c>
      <c r="DD23" s="15" t="str">
        <f>'Input Ekstra'!G19</f>
        <v>Peserta didik mampu menjelaskan tentang sejarah kepramukaan dan implementasi materi kepemimpinan dalam kehidupan sehari-hari</v>
      </c>
      <c r="DE23" s="15">
        <f>'Input Ekstra'!H19</f>
        <v>0</v>
      </c>
      <c r="DF23" s="15">
        <f>'Input Ekstra'!I19</f>
        <v>0</v>
      </c>
      <c r="DG23" s="15">
        <f>'Input Ekstra'!J19</f>
        <v>0</v>
      </c>
      <c r="DH23" s="15">
        <f>'Input Kehadiran'!E19</f>
        <v>0</v>
      </c>
      <c r="DI23" s="15">
        <f>'Input Kehadiran'!F19</f>
        <v>5</v>
      </c>
      <c r="DJ23" s="15" t="str">
        <f>'Input Kehadiran'!G19</f>
        <v xml:space="preserve"> -</v>
      </c>
      <c r="DK23" s="48">
        <f>'Input Prestasi'!D20</f>
        <v>0</v>
      </c>
      <c r="DL23" s="48">
        <f>'Input Prestasi'!E20</f>
        <v>0</v>
      </c>
      <c r="DM23" s="48">
        <f>'Input Prestasi'!F20</f>
        <v>0</v>
      </c>
      <c r="DN23" s="48">
        <f>'Input Prestasi'!G20</f>
        <v>0</v>
      </c>
      <c r="DO23" s="48">
        <f>'Input Prestasi'!H20</f>
        <v>0</v>
      </c>
      <c r="DP23" s="48">
        <f>'Input Prestasi'!I20</f>
        <v>0</v>
      </c>
      <c r="DQ23" s="48">
        <f>'Input Prestasi'!J20</f>
        <v>0</v>
      </c>
      <c r="DR23" s="48">
        <f>'Input Prestasi'!K20</f>
        <v>0</v>
      </c>
      <c r="DS23" s="15" t="str">
        <f>'Input Nilai Sikap dan Catatan'!H18</f>
        <v>Peserta didik sudah menunjukkan sikap mengamalkan ajaran agamanya, konsisten menerapkan sikap santun, jujur, dan mandiri. Tingkatkan rasa ingin tahu dan sikap baik di dalam maupun di luar pembelajaran.</v>
      </c>
    </row>
    <row r="24" spans="1:123">
      <c r="A24" s="12">
        <v>16</v>
      </c>
      <c r="B24" s="23" t="str">
        <f>IF(Setting!J21="","",Setting!J21)</f>
        <v>Kelvin Oktabrian Ramadhan</v>
      </c>
      <c r="C24" s="28">
        <f>IF(Setting!K21="","",Setting!K21)</f>
        <v>2008169</v>
      </c>
      <c r="D24" s="28" t="str">
        <f>IF(Setting!L21="","",Setting!L21)</f>
        <v>0045893001</v>
      </c>
      <c r="E24" s="15" t="str">
        <f>IF(Setting!$E$11="","",Setting!$E$11)</f>
        <v>X.MIPA 4</v>
      </c>
      <c r="F24" s="15" t="str">
        <f>'Input Nilai Sikap dan Catatan'!D19</f>
        <v>B</v>
      </c>
      <c r="G24" s="15" t="str">
        <f>'Input Nilai Sikap dan Catatan'!E19</f>
        <v>Berpartisipasi dengan baik dalam kegiatan keagamaan di sekolah.</v>
      </c>
      <c r="H24" s="15" t="str">
        <f>'Input Nilai Sikap dan Catatan'!F19</f>
        <v>B</v>
      </c>
      <c r="I24" s="15" t="str">
        <f>'Input Nilai Sikap dan Catatan'!G19</f>
        <v>Memiliki kemampuan kolaborasi yang baik dalam kelompok tetapi inisiatif individu masih perlu ditingkatkan</v>
      </c>
      <c r="J24" s="52">
        <v>93</v>
      </c>
      <c r="K24" s="52" t="s">
        <v>151</v>
      </c>
      <c r="L24" s="52" t="s">
        <v>1006</v>
      </c>
      <c r="M24" s="52">
        <v>88</v>
      </c>
      <c r="N24" s="52" t="s">
        <v>151</v>
      </c>
      <c r="O24" s="52" t="s">
        <v>1019</v>
      </c>
      <c r="P24" s="54">
        <v>88</v>
      </c>
      <c r="Q24" s="54" t="s">
        <v>151</v>
      </c>
      <c r="R24" s="54" t="s">
        <v>1024</v>
      </c>
      <c r="S24" s="54">
        <v>85</v>
      </c>
      <c r="T24" s="54" t="s">
        <v>152</v>
      </c>
      <c r="U24" s="54" t="s">
        <v>1063</v>
      </c>
      <c r="V24" s="182">
        <v>89</v>
      </c>
      <c r="W24" s="179" t="s">
        <v>151</v>
      </c>
      <c r="X24" s="180" t="s">
        <v>1036</v>
      </c>
      <c r="Y24" s="182">
        <v>81</v>
      </c>
      <c r="Z24" s="179" t="s">
        <v>152</v>
      </c>
      <c r="AA24" s="181" t="s">
        <v>1035</v>
      </c>
      <c r="AB24" s="54">
        <v>88</v>
      </c>
      <c r="AC24" s="54" t="s">
        <v>151</v>
      </c>
      <c r="AD24" s="54" t="s">
        <v>1041</v>
      </c>
      <c r="AE24" s="54">
        <v>80</v>
      </c>
      <c r="AF24" s="54" t="s">
        <v>152</v>
      </c>
      <c r="AG24" s="54" t="s">
        <v>1042</v>
      </c>
      <c r="AH24" s="52">
        <v>94</v>
      </c>
      <c r="AI24" s="52" t="s">
        <v>151</v>
      </c>
      <c r="AJ24" s="52" t="s">
        <v>1053</v>
      </c>
      <c r="AK24" s="52">
        <v>93</v>
      </c>
      <c r="AL24" s="52" t="s">
        <v>151</v>
      </c>
      <c r="AM24" s="52" t="s">
        <v>1052</v>
      </c>
      <c r="AN24" s="54">
        <v>89</v>
      </c>
      <c r="AO24" s="54" t="s">
        <v>151</v>
      </c>
      <c r="AP24" s="54" t="s">
        <v>1113</v>
      </c>
      <c r="AQ24" s="54">
        <v>80</v>
      </c>
      <c r="AR24" s="54" t="s">
        <v>152</v>
      </c>
      <c r="AS24" s="54" t="s">
        <v>1109</v>
      </c>
      <c r="AT24" s="52">
        <v>93</v>
      </c>
      <c r="AU24" s="52" t="s">
        <v>151</v>
      </c>
      <c r="AV24" s="52" t="s">
        <v>1061</v>
      </c>
      <c r="AW24" s="52">
        <v>93</v>
      </c>
      <c r="AX24" s="52" t="s">
        <v>151</v>
      </c>
      <c r="AY24" s="52" t="s">
        <v>1062</v>
      </c>
      <c r="AZ24" s="54">
        <v>89</v>
      </c>
      <c r="BA24" s="54" t="s">
        <v>151</v>
      </c>
      <c r="BB24" s="54" t="s">
        <v>1115</v>
      </c>
      <c r="BC24" s="54">
        <v>87</v>
      </c>
      <c r="BD24" s="54" t="s">
        <v>152</v>
      </c>
      <c r="BE24" s="54" t="s">
        <v>1116</v>
      </c>
      <c r="BF24" s="52">
        <v>93</v>
      </c>
      <c r="BG24" s="52" t="s">
        <v>151</v>
      </c>
      <c r="BH24" s="52" t="s">
        <v>1120</v>
      </c>
      <c r="BI24" s="52">
        <v>97</v>
      </c>
      <c r="BJ24" s="52" t="s">
        <v>151</v>
      </c>
      <c r="BK24" s="52" t="s">
        <v>1064</v>
      </c>
      <c r="BL24" s="54">
        <v>90</v>
      </c>
      <c r="BM24" s="54" t="s">
        <v>151</v>
      </c>
      <c r="BN24" s="54" t="s">
        <v>1124</v>
      </c>
      <c r="BO24" s="54">
        <v>82</v>
      </c>
      <c r="BP24" s="54" t="s">
        <v>152</v>
      </c>
      <c r="BQ24" s="54" t="s">
        <v>1122</v>
      </c>
      <c r="BR24" s="52">
        <v>88</v>
      </c>
      <c r="BS24" s="52" t="s">
        <v>151</v>
      </c>
      <c r="BT24" s="52" t="s">
        <v>1125</v>
      </c>
      <c r="BU24" s="52">
        <v>88</v>
      </c>
      <c r="BV24" s="52" t="s">
        <v>151</v>
      </c>
      <c r="BW24" s="52" t="s">
        <v>1066</v>
      </c>
      <c r="BX24" s="54">
        <v>88</v>
      </c>
      <c r="BY24" s="54" t="s">
        <v>151</v>
      </c>
      <c r="BZ24" s="54" t="s">
        <v>1075</v>
      </c>
      <c r="CA24" s="54">
        <v>86</v>
      </c>
      <c r="CB24" s="54" t="s">
        <v>152</v>
      </c>
      <c r="CC24" s="54" t="s">
        <v>1068</v>
      </c>
      <c r="CD24" s="52">
        <v>90</v>
      </c>
      <c r="CE24" s="52" t="s">
        <v>151</v>
      </c>
      <c r="CF24" s="52" t="s">
        <v>1078</v>
      </c>
      <c r="CG24" s="52">
        <v>89</v>
      </c>
      <c r="CH24" s="52" t="s">
        <v>151</v>
      </c>
      <c r="CI24" s="52" t="s">
        <v>1077</v>
      </c>
      <c r="CJ24" s="54">
        <v>84</v>
      </c>
      <c r="CK24" s="54" t="s">
        <v>152</v>
      </c>
      <c r="CL24" s="54" t="s">
        <v>1081</v>
      </c>
      <c r="CM24" s="54">
        <v>81</v>
      </c>
      <c r="CN24" s="54" t="s">
        <v>152</v>
      </c>
      <c r="CO24" s="54" t="s">
        <v>1082</v>
      </c>
      <c r="CP24" s="52">
        <v>91</v>
      </c>
      <c r="CQ24" s="52" t="s">
        <v>151</v>
      </c>
      <c r="CR24" s="52" t="s">
        <v>1091</v>
      </c>
      <c r="CS24" s="52">
        <v>87</v>
      </c>
      <c r="CT24" s="52" t="s">
        <v>152</v>
      </c>
      <c r="CU24" s="52" t="s">
        <v>1086</v>
      </c>
      <c r="CV24" s="52">
        <v>84</v>
      </c>
      <c r="CW24" s="52" t="s">
        <v>152</v>
      </c>
      <c r="CX24" s="52" t="s">
        <v>1100</v>
      </c>
      <c r="CY24" s="52">
        <v>80</v>
      </c>
      <c r="CZ24" s="52" t="s">
        <v>152</v>
      </c>
      <c r="DA24" s="52" t="s">
        <v>1099</v>
      </c>
      <c r="DB24" s="15" t="str">
        <f>'Input Ekstra'!E20</f>
        <v>Pramuka</v>
      </c>
      <c r="DC24" s="15" t="str">
        <f>'Input Ekstra'!F20</f>
        <v>Amat Baik</v>
      </c>
      <c r="DD24" s="15" t="str">
        <f>'Input Ekstra'!G20</f>
        <v>Peserta didik mampu menjelaskan tentang sejarah kepramukaan dan implementasi materi kepemimpinan dalam kehidupan sehari-hari</v>
      </c>
      <c r="DE24" s="15">
        <f>'Input Ekstra'!H20</f>
        <v>0</v>
      </c>
      <c r="DF24" s="15">
        <f>'Input Ekstra'!I20</f>
        <v>0</v>
      </c>
      <c r="DG24" s="15">
        <f>'Input Ekstra'!J20</f>
        <v>0</v>
      </c>
      <c r="DH24" s="15">
        <f>'Input Kehadiran'!E20</f>
        <v>0</v>
      </c>
      <c r="DI24" s="15">
        <f>'Input Kehadiran'!F20</f>
        <v>1</v>
      </c>
      <c r="DJ24" s="15" t="str">
        <f>'Input Kehadiran'!G20</f>
        <v xml:space="preserve"> -</v>
      </c>
      <c r="DK24" s="48">
        <f>'Input Prestasi'!D21</f>
        <v>0</v>
      </c>
      <c r="DL24" s="48">
        <f>'Input Prestasi'!E21</f>
        <v>0</v>
      </c>
      <c r="DM24" s="48">
        <f>'Input Prestasi'!F21</f>
        <v>0</v>
      </c>
      <c r="DN24" s="48">
        <f>'Input Prestasi'!G21</f>
        <v>0</v>
      </c>
      <c r="DO24" s="48">
        <f>'Input Prestasi'!H21</f>
        <v>0</v>
      </c>
      <c r="DP24" s="48">
        <f>'Input Prestasi'!I21</f>
        <v>0</v>
      </c>
      <c r="DQ24" s="48">
        <f>'Input Prestasi'!J21</f>
        <v>0</v>
      </c>
      <c r="DR24" s="48">
        <f>'Input Prestasi'!K21</f>
        <v>0</v>
      </c>
      <c r="DS24" s="15" t="str">
        <f>'Input Nilai Sikap dan Catatan'!H19</f>
        <v>Peserta didik sudah menunjukkan sikap mengamalkan ajaran agamanya, konsisten menerapkan sikap santun, jujur, dan mandiri. Tingkatkan rasa ingin tahu dan sikap baik di dalam maupun di luar pembelajaran.</v>
      </c>
    </row>
    <row r="25" spans="1:123">
      <c r="A25" s="12">
        <v>17</v>
      </c>
      <c r="B25" s="23" t="str">
        <f>IF(Setting!J22="","",Setting!J22)</f>
        <v>Mohamad Khoiril Afwa</v>
      </c>
      <c r="C25" s="28">
        <f>IF(Setting!K22="","",Setting!K22)</f>
        <v>2008197</v>
      </c>
      <c r="D25" s="28" t="str">
        <f>IF(Setting!L22="","",Setting!L22)</f>
        <v>0044910894</v>
      </c>
      <c r="E25" s="15" t="str">
        <f>IF(Setting!$E$11="","",Setting!$E$11)</f>
        <v>X.MIPA 4</v>
      </c>
      <c r="F25" s="15" t="str">
        <f>'Input Nilai Sikap dan Catatan'!D20</f>
        <v>B</v>
      </c>
      <c r="G25" s="15" t="str">
        <f>'Input Nilai Sikap dan Catatan'!E20</f>
        <v>Berpartisipasi dengan baik dalam kegiatan keagamaan di sekolah.</v>
      </c>
      <c r="H25" s="15" t="str">
        <f>'Input Nilai Sikap dan Catatan'!F20</f>
        <v>B</v>
      </c>
      <c r="I25" s="15" t="str">
        <f>'Input Nilai Sikap dan Catatan'!G20</f>
        <v>Memiliki kemampuan kolaborasi yang baik dalam kelompok tetapi inisiatif individu masih perlu ditingkatkan</v>
      </c>
      <c r="J25" s="52">
        <v>92</v>
      </c>
      <c r="K25" s="52" t="s">
        <v>151</v>
      </c>
      <c r="L25" s="52" t="s">
        <v>1007</v>
      </c>
      <c r="M25" s="52">
        <v>86</v>
      </c>
      <c r="N25" s="52" t="s">
        <v>152</v>
      </c>
      <c r="O25" s="52" t="s">
        <v>1022</v>
      </c>
      <c r="P25" s="54">
        <v>85</v>
      </c>
      <c r="Q25" s="54" t="s">
        <v>152</v>
      </c>
      <c r="R25" s="54" t="s">
        <v>1024</v>
      </c>
      <c r="S25" s="54">
        <v>85</v>
      </c>
      <c r="T25" s="54" t="s">
        <v>152</v>
      </c>
      <c r="U25" s="54" t="s">
        <v>1063</v>
      </c>
      <c r="V25" s="182">
        <v>87</v>
      </c>
      <c r="W25" s="179" t="s">
        <v>152</v>
      </c>
      <c r="X25" s="180" t="s">
        <v>1025</v>
      </c>
      <c r="Y25" s="182">
        <v>84</v>
      </c>
      <c r="Z25" s="179" t="s">
        <v>152</v>
      </c>
      <c r="AA25" s="181" t="s">
        <v>1026</v>
      </c>
      <c r="AB25" s="54">
        <v>80</v>
      </c>
      <c r="AC25" s="54" t="s">
        <v>152</v>
      </c>
      <c r="AD25" s="54" t="s">
        <v>1049</v>
      </c>
      <c r="AE25" s="54">
        <v>80</v>
      </c>
      <c r="AF25" s="54" t="s">
        <v>152</v>
      </c>
      <c r="AG25" s="54" t="s">
        <v>1042</v>
      </c>
      <c r="AH25" s="52">
        <v>92</v>
      </c>
      <c r="AI25" s="52" t="s">
        <v>151</v>
      </c>
      <c r="AJ25" s="52" t="s">
        <v>1051</v>
      </c>
      <c r="AK25" s="52">
        <v>93</v>
      </c>
      <c r="AL25" s="52" t="s">
        <v>151</v>
      </c>
      <c r="AM25" s="52" t="s">
        <v>1052</v>
      </c>
      <c r="AN25" s="54">
        <v>87</v>
      </c>
      <c r="AO25" s="54" t="s">
        <v>152</v>
      </c>
      <c r="AP25" s="54" t="s">
        <v>1108</v>
      </c>
      <c r="AQ25" s="54">
        <v>80</v>
      </c>
      <c r="AR25" s="54" t="s">
        <v>152</v>
      </c>
      <c r="AS25" s="54" t="s">
        <v>1109</v>
      </c>
      <c r="AT25" s="52">
        <v>93</v>
      </c>
      <c r="AU25" s="52" t="s">
        <v>151</v>
      </c>
      <c r="AV25" s="52" t="s">
        <v>1061</v>
      </c>
      <c r="AW25" s="52">
        <v>93</v>
      </c>
      <c r="AX25" s="52" t="s">
        <v>151</v>
      </c>
      <c r="AY25" s="52" t="s">
        <v>1062</v>
      </c>
      <c r="AZ25" s="54">
        <v>88</v>
      </c>
      <c r="BA25" s="54" t="s">
        <v>151</v>
      </c>
      <c r="BB25" s="54" t="s">
        <v>1118</v>
      </c>
      <c r="BC25" s="54">
        <v>87</v>
      </c>
      <c r="BD25" s="54" t="s">
        <v>152</v>
      </c>
      <c r="BE25" s="54" t="s">
        <v>1116</v>
      </c>
      <c r="BF25" s="52">
        <v>88</v>
      </c>
      <c r="BG25" s="52" t="s">
        <v>151</v>
      </c>
      <c r="BH25" s="52" t="s">
        <v>1120</v>
      </c>
      <c r="BI25" s="52">
        <v>84</v>
      </c>
      <c r="BJ25" s="52" t="s">
        <v>152</v>
      </c>
      <c r="BK25" s="52" t="s">
        <v>1065</v>
      </c>
      <c r="BL25" s="54">
        <v>90</v>
      </c>
      <c r="BM25" s="54" t="s">
        <v>151</v>
      </c>
      <c r="BN25" s="54" t="s">
        <v>1121</v>
      </c>
      <c r="BO25" s="54">
        <v>81</v>
      </c>
      <c r="BP25" s="54" t="s">
        <v>152</v>
      </c>
      <c r="BQ25" s="54" t="s">
        <v>1122</v>
      </c>
      <c r="BR25" s="52">
        <v>80</v>
      </c>
      <c r="BS25" s="52" t="s">
        <v>152</v>
      </c>
      <c r="BT25" s="52" t="s">
        <v>1125</v>
      </c>
      <c r="BU25" s="52">
        <v>80</v>
      </c>
      <c r="BV25" s="52" t="s">
        <v>152</v>
      </c>
      <c r="BW25" s="52" t="s">
        <v>1066</v>
      </c>
      <c r="BX25" s="54">
        <v>88</v>
      </c>
      <c r="BY25" s="54" t="s">
        <v>151</v>
      </c>
      <c r="BZ25" s="54" t="s">
        <v>1074</v>
      </c>
      <c r="CA25" s="54">
        <v>80</v>
      </c>
      <c r="CB25" s="54" t="s">
        <v>152</v>
      </c>
      <c r="CC25" s="54" t="s">
        <v>1068</v>
      </c>
      <c r="CD25" s="52">
        <v>86</v>
      </c>
      <c r="CE25" s="52" t="s">
        <v>152</v>
      </c>
      <c r="CF25" s="52" t="s">
        <v>1078</v>
      </c>
      <c r="CG25" s="52">
        <v>89</v>
      </c>
      <c r="CH25" s="52" t="s">
        <v>151</v>
      </c>
      <c r="CI25" s="52" t="s">
        <v>1077</v>
      </c>
      <c r="CJ25" s="54">
        <v>80</v>
      </c>
      <c r="CK25" s="54" t="s">
        <v>152</v>
      </c>
      <c r="CL25" s="54" t="s">
        <v>1081</v>
      </c>
      <c r="CM25" s="54">
        <v>81</v>
      </c>
      <c r="CN25" s="54" t="s">
        <v>152</v>
      </c>
      <c r="CO25" s="54" t="s">
        <v>1082</v>
      </c>
      <c r="CP25" s="52">
        <v>87</v>
      </c>
      <c r="CQ25" s="52" t="s">
        <v>152</v>
      </c>
      <c r="CR25" s="52" t="s">
        <v>1090</v>
      </c>
      <c r="CS25" s="52">
        <v>82</v>
      </c>
      <c r="CT25" s="52" t="s">
        <v>152</v>
      </c>
      <c r="CU25" s="52" t="s">
        <v>1086</v>
      </c>
      <c r="CV25" s="52">
        <v>83</v>
      </c>
      <c r="CW25" s="52" t="s">
        <v>152</v>
      </c>
      <c r="CX25" s="52" t="s">
        <v>1101</v>
      </c>
      <c r="CY25" s="52">
        <v>80</v>
      </c>
      <c r="CZ25" s="52" t="s">
        <v>152</v>
      </c>
      <c r="DA25" s="52" t="s">
        <v>1099</v>
      </c>
      <c r="DB25" s="15" t="str">
        <f>'Input Ekstra'!E21</f>
        <v>Pramuka</v>
      </c>
      <c r="DC25" s="15" t="str">
        <f>'Input Ekstra'!F21</f>
        <v>Baik</v>
      </c>
      <c r="DD25" s="15" t="str">
        <f>'Input Ekstra'!G21</f>
        <v>Peserta didik mampu menjelaskan tentang sejarah kepramukaan dan implementasi materi kepemimpinan dalam kehidupan sehari-hari</v>
      </c>
      <c r="DE25" s="15">
        <f>'Input Ekstra'!H21</f>
        <v>0</v>
      </c>
      <c r="DF25" s="15">
        <f>'Input Ekstra'!I21</f>
        <v>0</v>
      </c>
      <c r="DG25" s="15">
        <f>'Input Ekstra'!J21</f>
        <v>0</v>
      </c>
      <c r="DH25" s="15">
        <f>'Input Kehadiran'!E21</f>
        <v>1</v>
      </c>
      <c r="DI25" s="15">
        <f>'Input Kehadiran'!F21</f>
        <v>5</v>
      </c>
      <c r="DJ25" s="15" t="str">
        <f>'Input Kehadiran'!G21</f>
        <v xml:space="preserve"> -</v>
      </c>
      <c r="DK25" s="48">
        <f>'Input Prestasi'!D22</f>
        <v>0</v>
      </c>
      <c r="DL25" s="48">
        <f>'Input Prestasi'!E22</f>
        <v>0</v>
      </c>
      <c r="DM25" s="48">
        <f>'Input Prestasi'!F22</f>
        <v>0</v>
      </c>
      <c r="DN25" s="48">
        <f>'Input Prestasi'!G22</f>
        <v>0</v>
      </c>
      <c r="DO25" s="48">
        <f>'Input Prestasi'!H22</f>
        <v>0</v>
      </c>
      <c r="DP25" s="48">
        <f>'Input Prestasi'!I22</f>
        <v>0</v>
      </c>
      <c r="DQ25" s="48">
        <f>'Input Prestasi'!J22</f>
        <v>0</v>
      </c>
      <c r="DR25" s="48">
        <f>'Input Prestasi'!K22</f>
        <v>0</v>
      </c>
      <c r="DS25" s="15" t="str">
        <f>'Input Nilai Sikap dan Catatan'!H20</f>
        <v>Peserta didik sudah menunjukkan sikap mengamalkan ajaran agamanya, konsisten menerapkan sikap santun, jujur, dan mandiri. Tingkatkan rasa ingin tahu dan sikap baik di dalam maupun di luar pembelajaran.</v>
      </c>
    </row>
    <row r="26" spans="1:123">
      <c r="A26" s="12">
        <v>18</v>
      </c>
      <c r="B26" s="23" t="str">
        <f>IF(Setting!J23="","",Setting!J23)</f>
        <v>Muhammad Hanif Pearlyaradja</v>
      </c>
      <c r="C26" s="28">
        <f>IF(Setting!K23="","",Setting!K23)</f>
        <v>2008214</v>
      </c>
      <c r="D26" s="28" t="str">
        <f>IF(Setting!L23="","",Setting!L23)</f>
        <v>0052096412</v>
      </c>
      <c r="E26" s="15" t="str">
        <f>IF(Setting!$E$11="","",Setting!$E$11)</f>
        <v>X.MIPA 4</v>
      </c>
      <c r="F26" s="15" t="str">
        <f>'Input Nilai Sikap dan Catatan'!D21</f>
        <v>B</v>
      </c>
      <c r="G26" s="15" t="str">
        <f>'Input Nilai Sikap dan Catatan'!E21</f>
        <v>Berpartisipasi dengan baik dalam kegiatan keagamaan di sekolah.</v>
      </c>
      <c r="H26" s="15" t="str">
        <f>'Input Nilai Sikap dan Catatan'!F21</f>
        <v>B</v>
      </c>
      <c r="I26" s="15" t="str">
        <f>'Input Nilai Sikap dan Catatan'!G21</f>
        <v>Memiliki kemampuan kolaborasi yang baik dalam kelompok tetapi inisiatif individu masih perlu ditingkatkan</v>
      </c>
      <c r="J26" s="52">
        <v>89</v>
      </c>
      <c r="K26" s="52" t="s">
        <v>151</v>
      </c>
      <c r="L26" s="52" t="s">
        <v>1014</v>
      </c>
      <c r="M26" s="52">
        <v>86</v>
      </c>
      <c r="N26" s="52" t="s">
        <v>152</v>
      </c>
      <c r="O26" s="52" t="s">
        <v>1020</v>
      </c>
      <c r="P26" s="54">
        <v>87</v>
      </c>
      <c r="Q26" s="54" t="s">
        <v>152</v>
      </c>
      <c r="R26" s="54" t="s">
        <v>1024</v>
      </c>
      <c r="S26" s="54">
        <v>90</v>
      </c>
      <c r="T26" s="54" t="s">
        <v>151</v>
      </c>
      <c r="U26" s="54" t="s">
        <v>1063</v>
      </c>
      <c r="V26" s="182">
        <v>87</v>
      </c>
      <c r="W26" s="179" t="s">
        <v>152</v>
      </c>
      <c r="X26" s="180" t="s">
        <v>1028</v>
      </c>
      <c r="Y26" s="182">
        <v>80</v>
      </c>
      <c r="Z26" s="179" t="s">
        <v>152</v>
      </c>
      <c r="AA26" s="181" t="s">
        <v>1026</v>
      </c>
      <c r="AB26" s="54">
        <v>80</v>
      </c>
      <c r="AC26" s="54" t="s">
        <v>152</v>
      </c>
      <c r="AD26" s="54" t="s">
        <v>1050</v>
      </c>
      <c r="AE26" s="54">
        <v>80</v>
      </c>
      <c r="AF26" s="54" t="s">
        <v>152</v>
      </c>
      <c r="AG26" s="54" t="s">
        <v>1042</v>
      </c>
      <c r="AH26" s="52">
        <v>92</v>
      </c>
      <c r="AI26" s="52" t="s">
        <v>151</v>
      </c>
      <c r="AJ26" s="52" t="s">
        <v>1053</v>
      </c>
      <c r="AK26" s="52">
        <v>93</v>
      </c>
      <c r="AL26" s="52" t="s">
        <v>151</v>
      </c>
      <c r="AM26" s="52" t="s">
        <v>1052</v>
      </c>
      <c r="AN26" s="54">
        <v>87</v>
      </c>
      <c r="AO26" s="54" t="s">
        <v>152</v>
      </c>
      <c r="AP26" s="54" t="s">
        <v>1108</v>
      </c>
      <c r="AQ26" s="54">
        <v>80</v>
      </c>
      <c r="AR26" s="54" t="s">
        <v>152</v>
      </c>
      <c r="AS26" s="54" t="s">
        <v>1109</v>
      </c>
      <c r="AT26" s="52">
        <v>80</v>
      </c>
      <c r="AU26" s="52" t="s">
        <v>152</v>
      </c>
      <c r="AV26" s="52" t="s">
        <v>1061</v>
      </c>
      <c r="AW26" s="52">
        <v>80</v>
      </c>
      <c r="AX26" s="52" t="s">
        <v>152</v>
      </c>
      <c r="AY26" s="52" t="s">
        <v>1062</v>
      </c>
      <c r="AZ26" s="54">
        <v>89</v>
      </c>
      <c r="BA26" s="54" t="s">
        <v>151</v>
      </c>
      <c r="BB26" s="54" t="s">
        <v>1115</v>
      </c>
      <c r="BC26" s="54">
        <v>87</v>
      </c>
      <c r="BD26" s="54" t="s">
        <v>152</v>
      </c>
      <c r="BE26" s="54" t="s">
        <v>1116</v>
      </c>
      <c r="BF26" s="52">
        <v>91</v>
      </c>
      <c r="BG26" s="52" t="s">
        <v>151</v>
      </c>
      <c r="BH26" s="52" t="s">
        <v>1120</v>
      </c>
      <c r="BI26" s="52">
        <v>85</v>
      </c>
      <c r="BJ26" s="52" t="s">
        <v>152</v>
      </c>
      <c r="BK26" s="52" t="s">
        <v>1065</v>
      </c>
      <c r="BL26" s="54">
        <v>90</v>
      </c>
      <c r="BM26" s="54" t="s">
        <v>151</v>
      </c>
      <c r="BN26" s="54" t="s">
        <v>1123</v>
      </c>
      <c r="BO26" s="54">
        <v>80</v>
      </c>
      <c r="BP26" s="54" t="s">
        <v>152</v>
      </c>
      <c r="BQ26" s="54" t="s">
        <v>1122</v>
      </c>
      <c r="BR26" s="52">
        <v>81</v>
      </c>
      <c r="BS26" s="52" t="s">
        <v>152</v>
      </c>
      <c r="BT26" s="52" t="s">
        <v>1125</v>
      </c>
      <c r="BU26" s="52">
        <v>80</v>
      </c>
      <c r="BV26" s="52" t="s">
        <v>152</v>
      </c>
      <c r="BW26" s="52" t="s">
        <v>1066</v>
      </c>
      <c r="BX26" s="54">
        <v>82</v>
      </c>
      <c r="BY26" s="54" t="s">
        <v>152</v>
      </c>
      <c r="BZ26" s="54" t="s">
        <v>1070</v>
      </c>
      <c r="CA26" s="54">
        <v>80</v>
      </c>
      <c r="CB26" s="54" t="s">
        <v>152</v>
      </c>
      <c r="CC26" s="54" t="s">
        <v>1068</v>
      </c>
      <c r="CD26" s="52">
        <v>89</v>
      </c>
      <c r="CE26" s="52" t="s">
        <v>151</v>
      </c>
      <c r="CF26" s="52" t="s">
        <v>1078</v>
      </c>
      <c r="CG26" s="52">
        <v>89</v>
      </c>
      <c r="CH26" s="52" t="s">
        <v>151</v>
      </c>
      <c r="CI26" s="52" t="s">
        <v>1077</v>
      </c>
      <c r="CJ26" s="54">
        <v>81</v>
      </c>
      <c r="CK26" s="54" t="s">
        <v>152</v>
      </c>
      <c r="CL26" s="54" t="s">
        <v>1081</v>
      </c>
      <c r="CM26" s="54">
        <v>81</v>
      </c>
      <c r="CN26" s="54" t="s">
        <v>152</v>
      </c>
      <c r="CO26" s="54" t="s">
        <v>1082</v>
      </c>
      <c r="CP26" s="52">
        <v>86</v>
      </c>
      <c r="CQ26" s="52" t="s">
        <v>152</v>
      </c>
      <c r="CR26" s="52" t="s">
        <v>1097</v>
      </c>
      <c r="CS26" s="52">
        <v>85</v>
      </c>
      <c r="CT26" s="52" t="s">
        <v>152</v>
      </c>
      <c r="CU26" s="52" t="s">
        <v>1086</v>
      </c>
      <c r="CV26" s="52">
        <v>85</v>
      </c>
      <c r="CW26" s="52" t="s">
        <v>152</v>
      </c>
      <c r="CX26" s="52" t="s">
        <v>1101</v>
      </c>
      <c r="CY26" s="52">
        <v>80</v>
      </c>
      <c r="CZ26" s="52" t="s">
        <v>152</v>
      </c>
      <c r="DA26" s="52" t="s">
        <v>1099</v>
      </c>
      <c r="DB26" s="15" t="str">
        <f>'Input Ekstra'!E22</f>
        <v>Pramuka</v>
      </c>
      <c r="DC26" s="15" t="str">
        <f>'Input Ekstra'!F22</f>
        <v>Baik</v>
      </c>
      <c r="DD26" s="15" t="str">
        <f>'Input Ekstra'!G22</f>
        <v>Peserta didik mampu menjelaskan tentang sejarah kepramukaan dan implementasi materi kepemimpinan dalam kehidupan sehari-hari</v>
      </c>
      <c r="DE26" s="15">
        <f>'Input Ekstra'!H22</f>
        <v>0</v>
      </c>
      <c r="DF26" s="15">
        <f>'Input Ekstra'!I22</f>
        <v>0</v>
      </c>
      <c r="DG26" s="15">
        <f>'Input Ekstra'!J22</f>
        <v>0</v>
      </c>
      <c r="DH26" s="15">
        <f>'Input Kehadiran'!E22</f>
        <v>0</v>
      </c>
      <c r="DI26" s="15">
        <f>'Input Kehadiran'!F22</f>
        <v>2</v>
      </c>
      <c r="DJ26" s="15" t="str">
        <f>'Input Kehadiran'!G22</f>
        <v xml:space="preserve"> -</v>
      </c>
      <c r="DK26" s="48">
        <f>'Input Prestasi'!D23</f>
        <v>0</v>
      </c>
      <c r="DL26" s="48">
        <f>'Input Prestasi'!E23</f>
        <v>0</v>
      </c>
      <c r="DM26" s="48">
        <f>'Input Prestasi'!F23</f>
        <v>0</v>
      </c>
      <c r="DN26" s="48">
        <f>'Input Prestasi'!G23</f>
        <v>0</v>
      </c>
      <c r="DO26" s="48">
        <f>'Input Prestasi'!H23</f>
        <v>0</v>
      </c>
      <c r="DP26" s="48">
        <f>'Input Prestasi'!I23</f>
        <v>0</v>
      </c>
      <c r="DQ26" s="48">
        <f>'Input Prestasi'!J23</f>
        <v>0</v>
      </c>
      <c r="DR26" s="48">
        <f>'Input Prestasi'!K23</f>
        <v>0</v>
      </c>
      <c r="DS26" s="15" t="str">
        <f>'Input Nilai Sikap dan Catatan'!H21</f>
        <v>Peserta didik sudah menunjukkan sikap mengamalkan ajaran agamanya, konsisten menerapkan sikap santun, jujur, dan mandiri. Tingkatkan rasa ingin tahu dan sikap baik di dalam maupun di luar pembelajaran.</v>
      </c>
    </row>
    <row r="27" spans="1:123">
      <c r="A27" s="12">
        <v>19</v>
      </c>
      <c r="B27" s="23" t="str">
        <f>IF(Setting!J24="","",Setting!J24)</f>
        <v>Muhammad Maurel Han</v>
      </c>
      <c r="C27" s="28">
        <f>IF(Setting!K24="","",Setting!K24)</f>
        <v>2008218</v>
      </c>
      <c r="D27" s="28" t="str">
        <f>IF(Setting!L24="","",Setting!L24)</f>
        <v>9015578324</v>
      </c>
      <c r="E27" s="15" t="str">
        <f>IF(Setting!$E$11="","",Setting!$E$11)</f>
        <v>X.MIPA 4</v>
      </c>
      <c r="F27" s="15" t="str">
        <f>'Input Nilai Sikap dan Catatan'!D22</f>
        <v>B</v>
      </c>
      <c r="G27" s="15" t="str">
        <f>'Input Nilai Sikap dan Catatan'!E22</f>
        <v>Berpartisipasi dengan baik dalam kegiatan keagamaan di sekolah.</v>
      </c>
      <c r="H27" s="15" t="str">
        <f>'Input Nilai Sikap dan Catatan'!F22</f>
        <v>B</v>
      </c>
      <c r="I27" s="15" t="str">
        <f>'Input Nilai Sikap dan Catatan'!G22</f>
        <v>Memiliki kemampuan kolaborasi yang baik dalam kelompok tetapi inisiatif individu masih perlu ditingkatkan</v>
      </c>
      <c r="J27" s="52">
        <v>81</v>
      </c>
      <c r="K27" s="52" t="s">
        <v>152</v>
      </c>
      <c r="L27" s="52" t="s">
        <v>1013</v>
      </c>
      <c r="M27" s="52">
        <v>80</v>
      </c>
      <c r="N27" s="52" t="s">
        <v>152</v>
      </c>
      <c r="O27" s="52" t="s">
        <v>1021</v>
      </c>
      <c r="P27" s="54">
        <v>86</v>
      </c>
      <c r="Q27" s="54" t="s">
        <v>152</v>
      </c>
      <c r="R27" s="54" t="s">
        <v>1024</v>
      </c>
      <c r="S27" s="54">
        <v>90</v>
      </c>
      <c r="T27" s="54" t="s">
        <v>151</v>
      </c>
      <c r="U27" s="54" t="s">
        <v>1063</v>
      </c>
      <c r="V27" s="182">
        <v>83</v>
      </c>
      <c r="W27" s="179" t="s">
        <v>152</v>
      </c>
      <c r="X27" s="180" t="s">
        <v>1033</v>
      </c>
      <c r="Y27" s="182">
        <v>80</v>
      </c>
      <c r="Z27" s="179" t="s">
        <v>152</v>
      </c>
      <c r="AA27" s="181" t="s">
        <v>1026</v>
      </c>
      <c r="AB27" s="54">
        <v>80</v>
      </c>
      <c r="AC27" s="54" t="s">
        <v>152</v>
      </c>
      <c r="AD27" s="54" t="s">
        <v>1043</v>
      </c>
      <c r="AE27" s="54">
        <v>80</v>
      </c>
      <c r="AF27" s="54" t="s">
        <v>152</v>
      </c>
      <c r="AG27" s="54" t="s">
        <v>1042</v>
      </c>
      <c r="AH27" s="52">
        <v>84</v>
      </c>
      <c r="AI27" s="52" t="s">
        <v>152</v>
      </c>
      <c r="AJ27" s="52" t="s">
        <v>1054</v>
      </c>
      <c r="AK27" s="52">
        <v>83</v>
      </c>
      <c r="AL27" s="52" t="s">
        <v>152</v>
      </c>
      <c r="AM27" s="52" t="s">
        <v>1052</v>
      </c>
      <c r="AN27" s="54">
        <v>80</v>
      </c>
      <c r="AO27" s="54" t="s">
        <v>152</v>
      </c>
      <c r="AP27" s="54" t="s">
        <v>1108</v>
      </c>
      <c r="AQ27" s="54">
        <v>80</v>
      </c>
      <c r="AR27" s="54" t="s">
        <v>152</v>
      </c>
      <c r="AS27" s="54" t="s">
        <v>1109</v>
      </c>
      <c r="AT27" s="52">
        <v>93</v>
      </c>
      <c r="AU27" s="52" t="s">
        <v>151</v>
      </c>
      <c r="AV27" s="52" t="s">
        <v>1061</v>
      </c>
      <c r="AW27" s="52">
        <v>93</v>
      </c>
      <c r="AX27" s="52" t="s">
        <v>151</v>
      </c>
      <c r="AY27" s="52" t="s">
        <v>1062</v>
      </c>
      <c r="AZ27" s="54">
        <v>89</v>
      </c>
      <c r="BA27" s="54" t="s">
        <v>151</v>
      </c>
      <c r="BB27" s="54" t="s">
        <v>1115</v>
      </c>
      <c r="BC27" s="54">
        <v>87</v>
      </c>
      <c r="BD27" s="54" t="s">
        <v>152</v>
      </c>
      <c r="BE27" s="54" t="s">
        <v>1116</v>
      </c>
      <c r="BF27" s="52">
        <v>82</v>
      </c>
      <c r="BG27" s="52" t="s">
        <v>152</v>
      </c>
      <c r="BH27" s="52" t="s">
        <v>1119</v>
      </c>
      <c r="BI27" s="52">
        <v>80</v>
      </c>
      <c r="BJ27" s="52" t="s">
        <v>152</v>
      </c>
      <c r="BK27" s="52" t="s">
        <v>1064</v>
      </c>
      <c r="BL27" s="54">
        <v>90</v>
      </c>
      <c r="BM27" s="54" t="s">
        <v>151</v>
      </c>
      <c r="BN27" s="54" t="s">
        <v>1121</v>
      </c>
      <c r="BO27" s="54">
        <v>82</v>
      </c>
      <c r="BP27" s="54" t="s">
        <v>152</v>
      </c>
      <c r="BQ27" s="54" t="s">
        <v>1122</v>
      </c>
      <c r="BR27" s="52">
        <v>80</v>
      </c>
      <c r="BS27" s="52" t="s">
        <v>152</v>
      </c>
      <c r="BT27" s="52" t="s">
        <v>1125</v>
      </c>
      <c r="BU27" s="52">
        <v>80</v>
      </c>
      <c r="BV27" s="52" t="s">
        <v>152</v>
      </c>
      <c r="BW27" s="52" t="s">
        <v>1066</v>
      </c>
      <c r="BX27" s="54">
        <v>83</v>
      </c>
      <c r="BY27" s="54" t="s">
        <v>152</v>
      </c>
      <c r="BZ27" s="54" t="s">
        <v>1067</v>
      </c>
      <c r="CA27" s="54">
        <v>80</v>
      </c>
      <c r="CB27" s="54" t="s">
        <v>152</v>
      </c>
      <c r="CC27" s="54" t="s">
        <v>1068</v>
      </c>
      <c r="CD27" s="52">
        <v>81</v>
      </c>
      <c r="CE27" s="52" t="s">
        <v>152</v>
      </c>
      <c r="CF27" s="52" t="s">
        <v>1079</v>
      </c>
      <c r="CG27" s="52">
        <v>89</v>
      </c>
      <c r="CH27" s="52" t="s">
        <v>151</v>
      </c>
      <c r="CI27" s="52" t="s">
        <v>1077</v>
      </c>
      <c r="CJ27" s="54">
        <v>80</v>
      </c>
      <c r="CK27" s="54" t="s">
        <v>152</v>
      </c>
      <c r="CL27" s="54" t="s">
        <v>1081</v>
      </c>
      <c r="CM27" s="54">
        <v>80</v>
      </c>
      <c r="CN27" s="54" t="s">
        <v>152</v>
      </c>
      <c r="CO27" s="54" t="s">
        <v>1082</v>
      </c>
      <c r="CP27" s="52">
        <v>89</v>
      </c>
      <c r="CQ27" s="52" t="s">
        <v>151</v>
      </c>
      <c r="CR27" s="52" t="s">
        <v>1091</v>
      </c>
      <c r="CS27" s="52">
        <v>83</v>
      </c>
      <c r="CT27" s="52" t="s">
        <v>152</v>
      </c>
      <c r="CU27" s="52" t="s">
        <v>1092</v>
      </c>
      <c r="CV27" s="52">
        <v>84</v>
      </c>
      <c r="CW27" s="52" t="s">
        <v>152</v>
      </c>
      <c r="CX27" s="52" t="s">
        <v>1100</v>
      </c>
      <c r="CY27" s="52">
        <v>80</v>
      </c>
      <c r="CZ27" s="52" t="s">
        <v>152</v>
      </c>
      <c r="DA27" s="52" t="s">
        <v>1102</v>
      </c>
      <c r="DB27" s="15" t="str">
        <f>'Input Ekstra'!E23</f>
        <v>Pramuka</v>
      </c>
      <c r="DC27" s="15" t="str">
        <f>'Input Ekstra'!F23</f>
        <v>Baik</v>
      </c>
      <c r="DD27" s="15" t="str">
        <f>'Input Ekstra'!G23</f>
        <v>Peserta didik mampu menjelaskan tentang sejarah kepramukaan dan implementasi materi kepemimpinan dalam kehidupan sehari-hari</v>
      </c>
      <c r="DE27" s="15">
        <f>'Input Ekstra'!H23</f>
        <v>0</v>
      </c>
      <c r="DF27" s="15">
        <f>'Input Ekstra'!I23</f>
        <v>0</v>
      </c>
      <c r="DG27" s="15">
        <f>'Input Ekstra'!J23</f>
        <v>0</v>
      </c>
      <c r="DH27" s="15">
        <f>'Input Kehadiran'!E23</f>
        <v>0</v>
      </c>
      <c r="DI27" s="15">
        <f>'Input Kehadiran'!F23</f>
        <v>5</v>
      </c>
      <c r="DJ27" s="15" t="str">
        <f>'Input Kehadiran'!G23</f>
        <v xml:space="preserve"> -</v>
      </c>
      <c r="DK27" s="48">
        <f>'Input Prestasi'!D24</f>
        <v>0</v>
      </c>
      <c r="DL27" s="48">
        <f>'Input Prestasi'!E24</f>
        <v>0</v>
      </c>
      <c r="DM27" s="48">
        <f>'Input Prestasi'!F24</f>
        <v>0</v>
      </c>
      <c r="DN27" s="48">
        <f>'Input Prestasi'!G24</f>
        <v>0</v>
      </c>
      <c r="DO27" s="48">
        <f>'Input Prestasi'!H24</f>
        <v>0</v>
      </c>
      <c r="DP27" s="48">
        <f>'Input Prestasi'!I24</f>
        <v>0</v>
      </c>
      <c r="DQ27" s="48">
        <f>'Input Prestasi'!J24</f>
        <v>0</v>
      </c>
      <c r="DR27" s="48">
        <f>'Input Prestasi'!K24</f>
        <v>0</v>
      </c>
      <c r="DS27" s="15" t="str">
        <f>'Input Nilai Sikap dan Catatan'!H22</f>
        <v>Peserta didik sudah menunjukkan sikap mengamalkan ajaran agamanya, konsisten menerapkan sikap santun, jujur, dan mandiri. Tingkatkan rasa ingin tahu dan sikap baik di dalam maupun di luar pembelajaran.</v>
      </c>
    </row>
    <row r="28" spans="1:123">
      <c r="A28" s="12">
        <v>20</v>
      </c>
      <c r="B28" s="23" t="str">
        <f>IF(Setting!J25="","",Setting!J25)</f>
        <v>Muhammad Niam Masykuri</v>
      </c>
      <c r="C28" s="28">
        <f>IF(Setting!K25="","",Setting!K25)</f>
        <v>2008220</v>
      </c>
      <c r="D28" s="28" t="str">
        <f>IF(Setting!L25="","",Setting!L25)</f>
        <v xml:space="preserve"> 0044193368</v>
      </c>
      <c r="E28" s="15" t="str">
        <f>IF(Setting!$E$11="","",Setting!$E$11)</f>
        <v>X.MIPA 4</v>
      </c>
      <c r="F28" s="15" t="str">
        <f>'Input Nilai Sikap dan Catatan'!D23</f>
        <v>B</v>
      </c>
      <c r="G28" s="15" t="str">
        <f>'Input Nilai Sikap dan Catatan'!E23</f>
        <v>Berpartisipasi dengan baik dalam kegiatan keagamaan di sekolah.</v>
      </c>
      <c r="H28" s="15" t="str">
        <f>'Input Nilai Sikap dan Catatan'!F23</f>
        <v>B</v>
      </c>
      <c r="I28" s="15" t="str">
        <f>'Input Nilai Sikap dan Catatan'!G23</f>
        <v>Memiliki kemampuan kolaborasi yang baik dalam kelompok tetapi inisiatif individu masih perlu ditingkatkan</v>
      </c>
      <c r="J28" s="52">
        <v>91</v>
      </c>
      <c r="K28" s="52" t="s">
        <v>151</v>
      </c>
      <c r="L28" s="52" t="s">
        <v>1007</v>
      </c>
      <c r="M28" s="52">
        <v>89</v>
      </c>
      <c r="N28" s="52" t="s">
        <v>151</v>
      </c>
      <c r="O28" s="52" t="s">
        <v>1020</v>
      </c>
      <c r="P28" s="54">
        <v>88</v>
      </c>
      <c r="Q28" s="54" t="s">
        <v>151</v>
      </c>
      <c r="R28" s="54" t="s">
        <v>1024</v>
      </c>
      <c r="S28" s="54">
        <v>85</v>
      </c>
      <c r="T28" s="54" t="s">
        <v>152</v>
      </c>
      <c r="U28" s="54" t="s">
        <v>1063</v>
      </c>
      <c r="V28" s="182">
        <v>87</v>
      </c>
      <c r="W28" s="179" t="s">
        <v>152</v>
      </c>
      <c r="X28" s="180" t="s">
        <v>1032</v>
      </c>
      <c r="Y28" s="182">
        <v>84</v>
      </c>
      <c r="Z28" s="179" t="s">
        <v>152</v>
      </c>
      <c r="AA28" s="181" t="s">
        <v>1026</v>
      </c>
      <c r="AB28" s="54">
        <v>82</v>
      </c>
      <c r="AC28" s="54" t="s">
        <v>152</v>
      </c>
      <c r="AD28" s="54" t="s">
        <v>1043</v>
      </c>
      <c r="AE28" s="54">
        <v>80</v>
      </c>
      <c r="AF28" s="54" t="s">
        <v>152</v>
      </c>
      <c r="AG28" s="54" t="s">
        <v>1042</v>
      </c>
      <c r="AH28" s="52">
        <v>93</v>
      </c>
      <c r="AI28" s="52" t="s">
        <v>151</v>
      </c>
      <c r="AJ28" s="52" t="s">
        <v>1054</v>
      </c>
      <c r="AK28" s="52">
        <v>93</v>
      </c>
      <c r="AL28" s="52" t="s">
        <v>151</v>
      </c>
      <c r="AM28" s="52" t="s">
        <v>1052</v>
      </c>
      <c r="AN28" s="54">
        <v>84</v>
      </c>
      <c r="AO28" s="54" t="s">
        <v>152</v>
      </c>
      <c r="AP28" s="54" t="s">
        <v>1112</v>
      </c>
      <c r="AQ28" s="54">
        <v>80</v>
      </c>
      <c r="AR28" s="54" t="s">
        <v>152</v>
      </c>
      <c r="AS28" s="54" t="s">
        <v>1109</v>
      </c>
      <c r="AT28" s="52">
        <v>80</v>
      </c>
      <c r="AU28" s="52" t="s">
        <v>152</v>
      </c>
      <c r="AV28" s="52" t="s">
        <v>1061</v>
      </c>
      <c r="AW28" s="52">
        <v>80</v>
      </c>
      <c r="AX28" s="52" t="s">
        <v>152</v>
      </c>
      <c r="AY28" s="52" t="s">
        <v>1062</v>
      </c>
      <c r="AZ28" s="54">
        <v>89</v>
      </c>
      <c r="BA28" s="54" t="s">
        <v>151</v>
      </c>
      <c r="BB28" s="54" t="s">
        <v>1115</v>
      </c>
      <c r="BC28" s="54">
        <v>87</v>
      </c>
      <c r="BD28" s="54" t="s">
        <v>152</v>
      </c>
      <c r="BE28" s="54" t="s">
        <v>1116</v>
      </c>
      <c r="BF28" s="52">
        <v>88</v>
      </c>
      <c r="BG28" s="52" t="s">
        <v>151</v>
      </c>
      <c r="BH28" s="52" t="s">
        <v>1120</v>
      </c>
      <c r="BI28" s="52">
        <v>80</v>
      </c>
      <c r="BJ28" s="52" t="s">
        <v>152</v>
      </c>
      <c r="BK28" s="52" t="s">
        <v>1064</v>
      </c>
      <c r="BL28" s="54">
        <v>90</v>
      </c>
      <c r="BM28" s="54" t="s">
        <v>151</v>
      </c>
      <c r="BN28" s="54" t="s">
        <v>1121</v>
      </c>
      <c r="BO28" s="54">
        <v>81</v>
      </c>
      <c r="BP28" s="54" t="s">
        <v>152</v>
      </c>
      <c r="BQ28" s="54" t="s">
        <v>1122</v>
      </c>
      <c r="BR28" s="52">
        <v>80</v>
      </c>
      <c r="BS28" s="52" t="s">
        <v>152</v>
      </c>
      <c r="BT28" s="52" t="s">
        <v>1125</v>
      </c>
      <c r="BU28" s="52">
        <v>80</v>
      </c>
      <c r="BV28" s="52" t="s">
        <v>152</v>
      </c>
      <c r="BW28" s="52" t="s">
        <v>1066</v>
      </c>
      <c r="BX28" s="54">
        <v>88</v>
      </c>
      <c r="BY28" s="54" t="s">
        <v>151</v>
      </c>
      <c r="BZ28" s="54" t="s">
        <v>1067</v>
      </c>
      <c r="CA28" s="54">
        <v>81</v>
      </c>
      <c r="CB28" s="54" t="s">
        <v>152</v>
      </c>
      <c r="CC28" s="54" t="s">
        <v>1068</v>
      </c>
      <c r="CD28" s="52">
        <v>88</v>
      </c>
      <c r="CE28" s="52" t="s">
        <v>151</v>
      </c>
      <c r="CF28" s="52" t="s">
        <v>1078</v>
      </c>
      <c r="CG28" s="52">
        <v>89</v>
      </c>
      <c r="CH28" s="52" t="s">
        <v>151</v>
      </c>
      <c r="CI28" s="52" t="s">
        <v>1077</v>
      </c>
      <c r="CJ28" s="54">
        <v>80</v>
      </c>
      <c r="CK28" s="54" t="s">
        <v>152</v>
      </c>
      <c r="CL28" s="54" t="s">
        <v>1083</v>
      </c>
      <c r="CM28" s="54">
        <v>80</v>
      </c>
      <c r="CN28" s="54" t="s">
        <v>152</v>
      </c>
      <c r="CO28" s="54" t="s">
        <v>1082</v>
      </c>
      <c r="CP28" s="52">
        <v>88</v>
      </c>
      <c r="CQ28" s="52" t="s">
        <v>151</v>
      </c>
      <c r="CR28" s="52" t="s">
        <v>1091</v>
      </c>
      <c r="CS28" s="52">
        <v>82</v>
      </c>
      <c r="CT28" s="52" t="s">
        <v>152</v>
      </c>
      <c r="CU28" s="52" t="s">
        <v>1092</v>
      </c>
      <c r="CV28" s="52">
        <v>85</v>
      </c>
      <c r="CW28" s="52" t="s">
        <v>152</v>
      </c>
      <c r="CX28" s="52" t="s">
        <v>1100</v>
      </c>
      <c r="CY28" s="52">
        <v>80</v>
      </c>
      <c r="CZ28" s="52" t="s">
        <v>152</v>
      </c>
      <c r="DA28" s="52" t="s">
        <v>1099</v>
      </c>
      <c r="DB28" s="15" t="str">
        <f>'Input Ekstra'!E24</f>
        <v>Pramuka</v>
      </c>
      <c r="DC28" s="15" t="str">
        <f>'Input Ekstra'!F24</f>
        <v>Baik</v>
      </c>
      <c r="DD28" s="15" t="str">
        <f>'Input Ekstra'!G24</f>
        <v>Peserta didik mampu menjelaskan tentang sejarah kepramukaan dan implementasi materi kepemimpinan dalam kehidupan sehari-hari</v>
      </c>
      <c r="DE28" s="15">
        <f>'Input Ekstra'!H24</f>
        <v>0</v>
      </c>
      <c r="DF28" s="15">
        <f>'Input Ekstra'!I24</f>
        <v>0</v>
      </c>
      <c r="DG28" s="15">
        <f>'Input Ekstra'!J24</f>
        <v>0</v>
      </c>
      <c r="DH28" s="15">
        <f>'Input Kehadiran'!E24</f>
        <v>0</v>
      </c>
      <c r="DI28" s="15">
        <f>'Input Kehadiran'!F24</f>
        <v>5</v>
      </c>
      <c r="DJ28" s="15" t="str">
        <f>'Input Kehadiran'!G24</f>
        <v xml:space="preserve"> -</v>
      </c>
      <c r="DK28" s="48">
        <f>'Input Prestasi'!D25</f>
        <v>0</v>
      </c>
      <c r="DL28" s="48">
        <f>'Input Prestasi'!E25</f>
        <v>0</v>
      </c>
      <c r="DM28" s="48">
        <f>'Input Prestasi'!F25</f>
        <v>0</v>
      </c>
      <c r="DN28" s="48">
        <f>'Input Prestasi'!G25</f>
        <v>0</v>
      </c>
      <c r="DO28" s="48">
        <f>'Input Prestasi'!H25</f>
        <v>0</v>
      </c>
      <c r="DP28" s="48">
        <f>'Input Prestasi'!I25</f>
        <v>0</v>
      </c>
      <c r="DQ28" s="48">
        <f>'Input Prestasi'!J25</f>
        <v>0</v>
      </c>
      <c r="DR28" s="48">
        <f>'Input Prestasi'!K25</f>
        <v>0</v>
      </c>
      <c r="DS28" s="15" t="str">
        <f>'Input Nilai Sikap dan Catatan'!H23</f>
        <v>Peserta didik sudah menunjukkan sikap mengamalkan ajaran agamanya, konsisten menerapkan sikap santun, jujur, dan mandiri. Tingkatkan rasa ingin tahu dan sikap baik di dalam maupun di luar pembelajaran.</v>
      </c>
    </row>
    <row r="29" spans="1:123">
      <c r="A29" s="12">
        <v>21</v>
      </c>
      <c r="B29" s="23" t="str">
        <f>IF(Setting!J26="","",Setting!J26)</f>
        <v>Muhammad Nur Arzhian Kusuma</v>
      </c>
      <c r="C29" s="28">
        <f>IF(Setting!K26="","",Setting!K26)</f>
        <v>2008221</v>
      </c>
      <c r="D29" s="28" t="str">
        <f>IF(Setting!L26="","",Setting!L26)</f>
        <v>0053421781</v>
      </c>
      <c r="E29" s="15" t="str">
        <f>IF(Setting!$E$11="","",Setting!$E$11)</f>
        <v>X.MIPA 4</v>
      </c>
      <c r="F29" s="15" t="str">
        <f>'Input Nilai Sikap dan Catatan'!D24</f>
        <v>A</v>
      </c>
      <c r="G29" s="15" t="str">
        <f>'Input Nilai Sikap dan Catatan'!E24</f>
        <v>Berpartisipasi dengan baik dalam kegiatan keagamaan di sekolah.</v>
      </c>
      <c r="H29" s="15" t="str">
        <f>'Input Nilai Sikap dan Catatan'!F24</f>
        <v>B</v>
      </c>
      <c r="I29" s="15" t="str">
        <f>'Input Nilai Sikap dan Catatan'!G24</f>
        <v>Memiliki kemampuan kolaborasi yang baik dalam kelompok tetapi inisiatif individu masih perlu ditingkatkan</v>
      </c>
      <c r="J29" s="52">
        <v>88</v>
      </c>
      <c r="K29" s="52" t="s">
        <v>151</v>
      </c>
      <c r="L29" s="52" t="s">
        <v>1010</v>
      </c>
      <c r="M29" s="52">
        <v>86</v>
      </c>
      <c r="N29" s="52" t="s">
        <v>152</v>
      </c>
      <c r="O29" s="52" t="s">
        <v>1022</v>
      </c>
      <c r="P29" s="54">
        <v>86</v>
      </c>
      <c r="Q29" s="54" t="s">
        <v>152</v>
      </c>
      <c r="R29" s="54" t="s">
        <v>1024</v>
      </c>
      <c r="S29" s="54">
        <v>80</v>
      </c>
      <c r="T29" s="54" t="s">
        <v>152</v>
      </c>
      <c r="U29" s="54" t="s">
        <v>1063</v>
      </c>
      <c r="V29" s="182">
        <v>88</v>
      </c>
      <c r="W29" s="179" t="s">
        <v>151</v>
      </c>
      <c r="X29" s="180" t="s">
        <v>1038</v>
      </c>
      <c r="Y29" s="182">
        <v>84</v>
      </c>
      <c r="Z29" s="179" t="s">
        <v>152</v>
      </c>
      <c r="AA29" s="181" t="s">
        <v>1026</v>
      </c>
      <c r="AB29" s="54">
        <v>80</v>
      </c>
      <c r="AC29" s="54" t="s">
        <v>152</v>
      </c>
      <c r="AD29" s="54" t="s">
        <v>1043</v>
      </c>
      <c r="AE29" s="54">
        <v>80</v>
      </c>
      <c r="AF29" s="54" t="s">
        <v>152</v>
      </c>
      <c r="AG29" s="54" t="s">
        <v>1042</v>
      </c>
      <c r="AH29" s="52">
        <v>91</v>
      </c>
      <c r="AI29" s="52" t="s">
        <v>151</v>
      </c>
      <c r="AJ29" s="52" t="s">
        <v>1057</v>
      </c>
      <c r="AK29" s="52">
        <v>80</v>
      </c>
      <c r="AL29" s="52" t="s">
        <v>152</v>
      </c>
      <c r="AM29" s="52" t="s">
        <v>1052</v>
      </c>
      <c r="AN29" s="54">
        <v>84</v>
      </c>
      <c r="AO29" s="54" t="s">
        <v>152</v>
      </c>
      <c r="AP29" s="54" t="s">
        <v>1110</v>
      </c>
      <c r="AQ29" s="54">
        <v>80</v>
      </c>
      <c r="AR29" s="54" t="s">
        <v>152</v>
      </c>
      <c r="AS29" s="54" t="s">
        <v>1109</v>
      </c>
      <c r="AT29" s="52">
        <v>80</v>
      </c>
      <c r="AU29" s="52" t="s">
        <v>152</v>
      </c>
      <c r="AV29" s="52" t="s">
        <v>1061</v>
      </c>
      <c r="AW29" s="52">
        <v>80</v>
      </c>
      <c r="AX29" s="52" t="s">
        <v>152</v>
      </c>
      <c r="AY29" s="52" t="s">
        <v>1062</v>
      </c>
      <c r="AZ29" s="54">
        <v>88</v>
      </c>
      <c r="BA29" s="54" t="s">
        <v>151</v>
      </c>
      <c r="BB29" s="54" t="s">
        <v>1115</v>
      </c>
      <c r="BC29" s="54">
        <v>87</v>
      </c>
      <c r="BD29" s="54" t="s">
        <v>152</v>
      </c>
      <c r="BE29" s="54" t="s">
        <v>1116</v>
      </c>
      <c r="BF29" s="52">
        <v>90</v>
      </c>
      <c r="BG29" s="52" t="s">
        <v>151</v>
      </c>
      <c r="BH29" s="52" t="s">
        <v>1120</v>
      </c>
      <c r="BI29" s="52">
        <v>80</v>
      </c>
      <c r="BJ29" s="52" t="s">
        <v>152</v>
      </c>
      <c r="BK29" s="52" t="s">
        <v>1064</v>
      </c>
      <c r="BL29" s="54">
        <v>89</v>
      </c>
      <c r="BM29" s="54" t="s">
        <v>151</v>
      </c>
      <c r="BN29" s="54" t="s">
        <v>1121</v>
      </c>
      <c r="BO29" s="54">
        <v>80</v>
      </c>
      <c r="BP29" s="54" t="s">
        <v>152</v>
      </c>
      <c r="BQ29" s="54" t="s">
        <v>1122</v>
      </c>
      <c r="BR29" s="52">
        <v>80</v>
      </c>
      <c r="BS29" s="52" t="s">
        <v>152</v>
      </c>
      <c r="BT29" s="52" t="s">
        <v>1125</v>
      </c>
      <c r="BU29" s="52">
        <v>80</v>
      </c>
      <c r="BV29" s="52" t="s">
        <v>152</v>
      </c>
      <c r="BW29" s="52" t="s">
        <v>1066</v>
      </c>
      <c r="BX29" s="54">
        <v>84</v>
      </c>
      <c r="BY29" s="54" t="s">
        <v>152</v>
      </c>
      <c r="BZ29" s="54" t="s">
        <v>1073</v>
      </c>
      <c r="CA29" s="54">
        <v>82</v>
      </c>
      <c r="CB29" s="54" t="s">
        <v>152</v>
      </c>
      <c r="CC29" s="54" t="s">
        <v>1068</v>
      </c>
      <c r="CD29" s="52">
        <v>89</v>
      </c>
      <c r="CE29" s="52" t="s">
        <v>151</v>
      </c>
      <c r="CF29" s="52" t="s">
        <v>1079</v>
      </c>
      <c r="CG29" s="52">
        <v>89</v>
      </c>
      <c r="CH29" s="52" t="s">
        <v>151</v>
      </c>
      <c r="CI29" s="52" t="s">
        <v>1077</v>
      </c>
      <c r="CJ29" s="54">
        <v>80</v>
      </c>
      <c r="CK29" s="54" t="s">
        <v>152</v>
      </c>
      <c r="CL29" s="54" t="s">
        <v>1081</v>
      </c>
      <c r="CM29" s="54">
        <v>81</v>
      </c>
      <c r="CN29" s="54" t="s">
        <v>152</v>
      </c>
      <c r="CO29" s="54" t="s">
        <v>1082</v>
      </c>
      <c r="CP29" s="52">
        <v>86</v>
      </c>
      <c r="CQ29" s="52" t="s">
        <v>152</v>
      </c>
      <c r="CR29" s="52" t="s">
        <v>1093</v>
      </c>
      <c r="CS29" s="52">
        <v>81</v>
      </c>
      <c r="CT29" s="52" t="s">
        <v>152</v>
      </c>
      <c r="CU29" s="52" t="s">
        <v>1089</v>
      </c>
      <c r="CV29" s="52">
        <v>85</v>
      </c>
      <c r="CW29" s="52" t="s">
        <v>152</v>
      </c>
      <c r="CX29" s="52" t="s">
        <v>1101</v>
      </c>
      <c r="CY29" s="52">
        <v>80</v>
      </c>
      <c r="CZ29" s="52" t="s">
        <v>152</v>
      </c>
      <c r="DA29" s="52" t="s">
        <v>1099</v>
      </c>
      <c r="DB29" s="15" t="str">
        <f>'Input Ekstra'!E25</f>
        <v>Pramuka</v>
      </c>
      <c r="DC29" s="15" t="str">
        <f>'Input Ekstra'!F25</f>
        <v>Baik</v>
      </c>
      <c r="DD29" s="15" t="str">
        <f>'Input Ekstra'!G25</f>
        <v>Peserta didik mampu menjelaskan tentang sejarah kepramukaan dan implementasi materi kepemimpinan dalam kehidupan sehari-hari</v>
      </c>
      <c r="DE29" s="15">
        <f>'Input Ekstra'!H25</f>
        <v>0</v>
      </c>
      <c r="DF29" s="15">
        <f>'Input Ekstra'!I25</f>
        <v>0</v>
      </c>
      <c r="DG29" s="15">
        <f>'Input Ekstra'!J25</f>
        <v>0</v>
      </c>
      <c r="DH29" s="15">
        <f>'Input Kehadiran'!E25</f>
        <v>0</v>
      </c>
      <c r="DI29" s="15">
        <f>'Input Kehadiran'!F25</f>
        <v>1</v>
      </c>
      <c r="DJ29" s="15" t="str">
        <f>'Input Kehadiran'!G25</f>
        <v xml:space="preserve"> -</v>
      </c>
      <c r="DK29" s="48">
        <f>'Input Prestasi'!D26</f>
        <v>0</v>
      </c>
      <c r="DL29" s="48">
        <f>'Input Prestasi'!E26</f>
        <v>0</v>
      </c>
      <c r="DM29" s="48">
        <f>'Input Prestasi'!F26</f>
        <v>0</v>
      </c>
      <c r="DN29" s="48">
        <f>'Input Prestasi'!G26</f>
        <v>0</v>
      </c>
      <c r="DO29" s="48">
        <f>'Input Prestasi'!H26</f>
        <v>0</v>
      </c>
      <c r="DP29" s="48">
        <f>'Input Prestasi'!I26</f>
        <v>0</v>
      </c>
      <c r="DQ29" s="48">
        <f>'Input Prestasi'!J26</f>
        <v>0</v>
      </c>
      <c r="DR29" s="48">
        <f>'Input Prestasi'!K26</f>
        <v>0</v>
      </c>
      <c r="DS29" s="15" t="str">
        <f>'Input Nilai Sikap dan Catatan'!H24</f>
        <v>Peserta didik sudah menunjukkan sikap mengamalkan ajaran agamanya, konsisten menerapkan sikap santun, jujur, dan mandiri. Tingkatkan rasa ingin tahu dan sikap baik di dalam maupun di luar pembelajaran.</v>
      </c>
    </row>
    <row r="30" spans="1:123">
      <c r="A30" s="12">
        <v>22</v>
      </c>
      <c r="B30" s="23" t="str">
        <f>IF(Setting!J27="","",Setting!J27)</f>
        <v>Muhammad Rafif Rizqullah</v>
      </c>
      <c r="C30" s="28">
        <f>IF(Setting!K27="","",Setting!K27)</f>
        <v>2008222</v>
      </c>
      <c r="D30" s="28" t="str">
        <f>IF(Setting!L27="","",Setting!L27)</f>
        <v>0044559979</v>
      </c>
      <c r="E30" s="15" t="str">
        <f>IF(Setting!$E$11="","",Setting!$E$11)</f>
        <v>X.MIPA 4</v>
      </c>
      <c r="F30" s="15" t="str">
        <f>'Input Nilai Sikap dan Catatan'!D25</f>
        <v>B</v>
      </c>
      <c r="G30" s="15" t="str">
        <f>'Input Nilai Sikap dan Catatan'!E25</f>
        <v>Berpartisipasi dengan baik dalam kegiatan keagamaan di sekolah.</v>
      </c>
      <c r="H30" s="15" t="str">
        <f>'Input Nilai Sikap dan Catatan'!F25</f>
        <v>B</v>
      </c>
      <c r="I30" s="15" t="str">
        <f>'Input Nilai Sikap dan Catatan'!G25</f>
        <v>Memiliki kemampuan kolaborasi yang baik dalam kelompok tetapi inisiatif individu masih perlu ditingkatkan</v>
      </c>
      <c r="J30" s="52">
        <v>88</v>
      </c>
      <c r="K30" s="52" t="s">
        <v>151</v>
      </c>
      <c r="L30" s="52" t="s">
        <v>1015</v>
      </c>
      <c r="M30" s="52">
        <v>84</v>
      </c>
      <c r="N30" s="52" t="s">
        <v>152</v>
      </c>
      <c r="O30" s="52" t="s">
        <v>1021</v>
      </c>
      <c r="P30" s="54">
        <v>87</v>
      </c>
      <c r="Q30" s="54" t="s">
        <v>152</v>
      </c>
      <c r="R30" s="54" t="s">
        <v>1024</v>
      </c>
      <c r="S30" s="54">
        <v>90</v>
      </c>
      <c r="T30" s="54" t="s">
        <v>151</v>
      </c>
      <c r="U30" s="54" t="s">
        <v>1063</v>
      </c>
      <c r="V30" s="182">
        <v>85</v>
      </c>
      <c r="W30" s="179" t="s">
        <v>152</v>
      </c>
      <c r="X30" s="180" t="s">
        <v>1028</v>
      </c>
      <c r="Y30" s="182">
        <v>84</v>
      </c>
      <c r="Z30" s="179" t="s">
        <v>152</v>
      </c>
      <c r="AA30" s="181" t="s">
        <v>1026</v>
      </c>
      <c r="AB30" s="54">
        <v>85</v>
      </c>
      <c r="AC30" s="54" t="s">
        <v>152</v>
      </c>
      <c r="AD30" s="54" t="s">
        <v>1041</v>
      </c>
      <c r="AE30" s="54">
        <v>87</v>
      </c>
      <c r="AF30" s="54" t="s">
        <v>152</v>
      </c>
      <c r="AG30" s="54" t="s">
        <v>1042</v>
      </c>
      <c r="AH30" s="52">
        <v>89</v>
      </c>
      <c r="AI30" s="52" t="s">
        <v>151</v>
      </c>
      <c r="AJ30" s="52" t="s">
        <v>1055</v>
      </c>
      <c r="AK30" s="52">
        <v>93</v>
      </c>
      <c r="AL30" s="52" t="s">
        <v>151</v>
      </c>
      <c r="AM30" s="52" t="s">
        <v>1052</v>
      </c>
      <c r="AN30" s="54">
        <v>85</v>
      </c>
      <c r="AO30" s="54" t="s">
        <v>152</v>
      </c>
      <c r="AP30" s="54" t="s">
        <v>1108</v>
      </c>
      <c r="AQ30" s="54">
        <v>80</v>
      </c>
      <c r="AR30" s="54" t="s">
        <v>152</v>
      </c>
      <c r="AS30" s="54" t="s">
        <v>1109</v>
      </c>
      <c r="AT30" s="52">
        <v>80</v>
      </c>
      <c r="AU30" s="52" t="s">
        <v>152</v>
      </c>
      <c r="AV30" s="52" t="s">
        <v>1061</v>
      </c>
      <c r="AW30" s="52">
        <v>80</v>
      </c>
      <c r="AX30" s="52" t="s">
        <v>152</v>
      </c>
      <c r="AY30" s="52" t="s">
        <v>1062</v>
      </c>
      <c r="AZ30" s="54">
        <v>87</v>
      </c>
      <c r="BA30" s="54" t="s">
        <v>152</v>
      </c>
      <c r="BB30" s="54" t="s">
        <v>1115</v>
      </c>
      <c r="BC30" s="54">
        <v>87</v>
      </c>
      <c r="BD30" s="54" t="s">
        <v>152</v>
      </c>
      <c r="BE30" s="54" t="s">
        <v>1116</v>
      </c>
      <c r="BF30" s="52">
        <v>92</v>
      </c>
      <c r="BG30" s="52" t="s">
        <v>151</v>
      </c>
      <c r="BH30" s="52" t="s">
        <v>1120</v>
      </c>
      <c r="BI30" s="52">
        <v>98</v>
      </c>
      <c r="BJ30" s="52" t="s">
        <v>151</v>
      </c>
      <c r="BK30" s="52" t="s">
        <v>1064</v>
      </c>
      <c r="BL30" s="54">
        <v>88</v>
      </c>
      <c r="BM30" s="54" t="s">
        <v>151</v>
      </c>
      <c r="BN30" s="54" t="s">
        <v>1123</v>
      </c>
      <c r="BO30" s="54">
        <v>82</v>
      </c>
      <c r="BP30" s="54" t="s">
        <v>152</v>
      </c>
      <c r="BQ30" s="54" t="s">
        <v>1122</v>
      </c>
      <c r="BR30" s="52">
        <v>88</v>
      </c>
      <c r="BS30" s="52" t="s">
        <v>151</v>
      </c>
      <c r="BT30" s="52" t="s">
        <v>1125</v>
      </c>
      <c r="BU30" s="52">
        <v>88</v>
      </c>
      <c r="BV30" s="52" t="s">
        <v>151</v>
      </c>
      <c r="BW30" s="52" t="s">
        <v>1066</v>
      </c>
      <c r="BX30" s="54">
        <v>88</v>
      </c>
      <c r="BY30" s="54" t="s">
        <v>151</v>
      </c>
      <c r="BZ30" s="54" t="s">
        <v>1073</v>
      </c>
      <c r="CA30" s="54">
        <v>81</v>
      </c>
      <c r="CB30" s="54" t="s">
        <v>152</v>
      </c>
      <c r="CC30" s="54" t="s">
        <v>1068</v>
      </c>
      <c r="CD30" s="52">
        <v>84</v>
      </c>
      <c r="CE30" s="52" t="s">
        <v>152</v>
      </c>
      <c r="CF30" s="52" t="s">
        <v>1076</v>
      </c>
      <c r="CG30" s="52">
        <v>89</v>
      </c>
      <c r="CH30" s="52" t="s">
        <v>151</v>
      </c>
      <c r="CI30" s="52" t="s">
        <v>1077</v>
      </c>
      <c r="CJ30" s="54">
        <v>82</v>
      </c>
      <c r="CK30" s="54" t="s">
        <v>152</v>
      </c>
      <c r="CL30" s="54" t="s">
        <v>1081</v>
      </c>
      <c r="CM30" s="54">
        <v>81</v>
      </c>
      <c r="CN30" s="54" t="s">
        <v>152</v>
      </c>
      <c r="CO30" s="54" t="s">
        <v>1082</v>
      </c>
      <c r="CP30" s="52">
        <v>81</v>
      </c>
      <c r="CQ30" s="52" t="s">
        <v>152</v>
      </c>
      <c r="CR30" s="52" t="s">
        <v>1093</v>
      </c>
      <c r="CS30" s="52">
        <v>81</v>
      </c>
      <c r="CT30" s="52" t="s">
        <v>152</v>
      </c>
      <c r="CU30" s="52" t="s">
        <v>1089</v>
      </c>
      <c r="CV30" s="52">
        <v>83</v>
      </c>
      <c r="CW30" s="52" t="s">
        <v>152</v>
      </c>
      <c r="CX30" s="52" t="s">
        <v>1098</v>
      </c>
      <c r="CY30" s="52">
        <v>80</v>
      </c>
      <c r="CZ30" s="52" t="s">
        <v>152</v>
      </c>
      <c r="DA30" s="52" t="s">
        <v>1099</v>
      </c>
      <c r="DB30" s="15" t="str">
        <f>'Input Ekstra'!E26</f>
        <v>Pramuka</v>
      </c>
      <c r="DC30" s="15" t="str">
        <f>'Input Ekstra'!F26</f>
        <v>Baik</v>
      </c>
      <c r="DD30" s="15" t="str">
        <f>'Input Ekstra'!G26</f>
        <v>Peserta didik mampu menjelaskan tentang sejarah kepramukaan dan implementasi materi kepemimpinan dalam kehidupan sehari-hari</v>
      </c>
      <c r="DE30" s="15">
        <f>'Input Ekstra'!H26</f>
        <v>0</v>
      </c>
      <c r="DF30" s="15">
        <f>'Input Ekstra'!I26</f>
        <v>0</v>
      </c>
      <c r="DG30" s="15">
        <f>'Input Ekstra'!J26</f>
        <v>0</v>
      </c>
      <c r="DH30" s="15">
        <f>'Input Kehadiran'!E26</f>
        <v>0</v>
      </c>
      <c r="DI30" s="15">
        <f>'Input Kehadiran'!F26</f>
        <v>3</v>
      </c>
      <c r="DJ30" s="15" t="str">
        <f>'Input Kehadiran'!G26</f>
        <v xml:space="preserve"> -</v>
      </c>
      <c r="DK30" s="48">
        <f>'Input Prestasi'!D27</f>
        <v>0</v>
      </c>
      <c r="DL30" s="48">
        <f>'Input Prestasi'!E27</f>
        <v>0</v>
      </c>
      <c r="DM30" s="48">
        <f>'Input Prestasi'!F27</f>
        <v>0</v>
      </c>
      <c r="DN30" s="48">
        <f>'Input Prestasi'!G27</f>
        <v>0</v>
      </c>
      <c r="DO30" s="48">
        <f>'Input Prestasi'!H27</f>
        <v>0</v>
      </c>
      <c r="DP30" s="48">
        <f>'Input Prestasi'!I27</f>
        <v>0</v>
      </c>
      <c r="DQ30" s="48">
        <f>'Input Prestasi'!J27</f>
        <v>0</v>
      </c>
      <c r="DR30" s="48">
        <f>'Input Prestasi'!K27</f>
        <v>0</v>
      </c>
      <c r="DS30" s="15" t="str">
        <f>'Input Nilai Sikap dan Catatan'!H25</f>
        <v>Peserta didik sudah menunjukkan sikap mengamalkan ajaran agamanya, konsisten menerapkan sikap santun, jujur, dan mandiri. Tingkatkan rasa ingin tahu dan sikap baik di dalam maupun di luar pembelajaran.</v>
      </c>
    </row>
    <row r="31" spans="1:123">
      <c r="A31" s="12">
        <v>23</v>
      </c>
      <c r="B31" s="23" t="str">
        <f>IF(Setting!J28="","",Setting!J28)</f>
        <v>Muhammad Raihan Al Faridzi</v>
      </c>
      <c r="C31" s="28">
        <f>IF(Setting!K28="","",Setting!K28)</f>
        <v>2008223</v>
      </c>
      <c r="D31" s="28" t="str">
        <f>IF(Setting!L28="","",Setting!L28)</f>
        <v>0047682955</v>
      </c>
      <c r="E31" s="15" t="str">
        <f>IF(Setting!$E$11="","",Setting!$E$11)</f>
        <v>X.MIPA 4</v>
      </c>
      <c r="F31" s="15" t="str">
        <f>'Input Nilai Sikap dan Catatan'!D26</f>
        <v>A</v>
      </c>
      <c r="G31" s="15" t="str">
        <f>'Input Nilai Sikap dan Catatan'!E26</f>
        <v>Berpartisipasi dengan baik dalam kegiatan keagamaan di sekolah.</v>
      </c>
      <c r="H31" s="15" t="str">
        <f>'Input Nilai Sikap dan Catatan'!F26</f>
        <v>B</v>
      </c>
      <c r="I31" s="15" t="str">
        <f>'Input Nilai Sikap dan Catatan'!G26</f>
        <v>Memiliki kemampuan kolaborasi yang baik dalam kelompok tetapi inisiatif individu masih perlu ditingkatkan</v>
      </c>
      <c r="J31" s="52">
        <v>80</v>
      </c>
      <c r="K31" s="52" t="s">
        <v>152</v>
      </c>
      <c r="L31" s="52" t="s">
        <v>1011</v>
      </c>
      <c r="M31" s="52">
        <v>80</v>
      </c>
      <c r="N31" s="52" t="s">
        <v>152</v>
      </c>
      <c r="O31" s="52" t="s">
        <v>1021</v>
      </c>
      <c r="P31" s="54">
        <v>91</v>
      </c>
      <c r="Q31" s="54" t="s">
        <v>151</v>
      </c>
      <c r="R31" s="54" t="s">
        <v>1023</v>
      </c>
      <c r="S31" s="54">
        <v>90</v>
      </c>
      <c r="T31" s="54" t="s">
        <v>151</v>
      </c>
      <c r="U31" s="54" t="s">
        <v>1063</v>
      </c>
      <c r="V31" s="182">
        <v>83</v>
      </c>
      <c r="W31" s="179" t="s">
        <v>152</v>
      </c>
      <c r="X31" s="180" t="s">
        <v>1033</v>
      </c>
      <c r="Y31" s="182">
        <v>84</v>
      </c>
      <c r="Z31" s="179" t="s">
        <v>152</v>
      </c>
      <c r="AA31" s="181" t="s">
        <v>1026</v>
      </c>
      <c r="AB31" s="54">
        <v>90</v>
      </c>
      <c r="AC31" s="54" t="s">
        <v>151</v>
      </c>
      <c r="AD31" s="54" t="s">
        <v>1043</v>
      </c>
      <c r="AE31" s="54">
        <v>80</v>
      </c>
      <c r="AF31" s="54" t="s">
        <v>152</v>
      </c>
      <c r="AG31" s="54" t="s">
        <v>1042</v>
      </c>
      <c r="AH31" s="52">
        <v>92</v>
      </c>
      <c r="AI31" s="52" t="s">
        <v>151</v>
      </c>
      <c r="AJ31" s="52" t="s">
        <v>1051</v>
      </c>
      <c r="AK31" s="52">
        <v>91</v>
      </c>
      <c r="AL31" s="52" t="s">
        <v>151</v>
      </c>
      <c r="AM31" s="52" t="s">
        <v>1052</v>
      </c>
      <c r="AN31" s="54">
        <v>90</v>
      </c>
      <c r="AO31" s="54" t="s">
        <v>151</v>
      </c>
      <c r="AP31" s="54" t="s">
        <v>1108</v>
      </c>
      <c r="AQ31" s="54">
        <v>90</v>
      </c>
      <c r="AR31" s="54" t="s">
        <v>151</v>
      </c>
      <c r="AS31" s="54" t="s">
        <v>1109</v>
      </c>
      <c r="AT31" s="52">
        <v>90</v>
      </c>
      <c r="AU31" s="52" t="s">
        <v>151</v>
      </c>
      <c r="AV31" s="52" t="s">
        <v>1061</v>
      </c>
      <c r="AW31" s="52">
        <v>92</v>
      </c>
      <c r="AX31" s="52" t="s">
        <v>151</v>
      </c>
      <c r="AY31" s="52" t="s">
        <v>1062</v>
      </c>
      <c r="AZ31" s="54">
        <v>92</v>
      </c>
      <c r="BA31" s="54" t="s">
        <v>151</v>
      </c>
      <c r="BB31" s="54" t="s">
        <v>1117</v>
      </c>
      <c r="BC31" s="54">
        <v>92</v>
      </c>
      <c r="BD31" s="54" t="s">
        <v>151</v>
      </c>
      <c r="BE31" s="54" t="s">
        <v>1116</v>
      </c>
      <c r="BF31" s="52">
        <v>91</v>
      </c>
      <c r="BG31" s="52" t="s">
        <v>151</v>
      </c>
      <c r="BH31" s="52" t="s">
        <v>1119</v>
      </c>
      <c r="BI31" s="52">
        <v>96</v>
      </c>
      <c r="BJ31" s="52" t="s">
        <v>151</v>
      </c>
      <c r="BK31" s="52" t="s">
        <v>1064</v>
      </c>
      <c r="BL31" s="54">
        <v>85</v>
      </c>
      <c r="BM31" s="54" t="s">
        <v>152</v>
      </c>
      <c r="BN31" s="54" t="s">
        <v>1121</v>
      </c>
      <c r="BO31" s="54">
        <v>81</v>
      </c>
      <c r="BP31" s="54" t="s">
        <v>152</v>
      </c>
      <c r="BQ31" s="54" t="s">
        <v>1122</v>
      </c>
      <c r="BR31" s="52">
        <v>90</v>
      </c>
      <c r="BS31" s="52" t="s">
        <v>151</v>
      </c>
      <c r="BT31" s="52" t="s">
        <v>1125</v>
      </c>
      <c r="BU31" s="52">
        <v>90</v>
      </c>
      <c r="BV31" s="52" t="s">
        <v>151</v>
      </c>
      <c r="BW31" s="52" t="s">
        <v>1066</v>
      </c>
      <c r="BX31" s="54">
        <v>91</v>
      </c>
      <c r="BY31" s="54" t="s">
        <v>151</v>
      </c>
      <c r="BZ31" s="54" t="s">
        <v>1071</v>
      </c>
      <c r="CA31" s="54">
        <v>91</v>
      </c>
      <c r="CB31" s="54" t="s">
        <v>151</v>
      </c>
      <c r="CC31" s="54" t="s">
        <v>1068</v>
      </c>
      <c r="CD31" s="52">
        <v>91</v>
      </c>
      <c r="CE31" s="52" t="s">
        <v>151</v>
      </c>
      <c r="CF31" s="52" t="s">
        <v>1076</v>
      </c>
      <c r="CG31" s="52">
        <v>93</v>
      </c>
      <c r="CH31" s="52" t="s">
        <v>151</v>
      </c>
      <c r="CI31" s="52" t="s">
        <v>1077</v>
      </c>
      <c r="CJ31" s="54">
        <v>80</v>
      </c>
      <c r="CK31" s="54" t="s">
        <v>152</v>
      </c>
      <c r="CL31" s="54" t="s">
        <v>1081</v>
      </c>
      <c r="CM31" s="54">
        <v>81</v>
      </c>
      <c r="CN31" s="54" t="s">
        <v>152</v>
      </c>
      <c r="CO31" s="54" t="s">
        <v>1082</v>
      </c>
      <c r="CP31" s="52">
        <v>91</v>
      </c>
      <c r="CQ31" s="52" t="s">
        <v>151</v>
      </c>
      <c r="CR31" s="52" t="s">
        <v>1096</v>
      </c>
      <c r="CS31" s="52">
        <v>84</v>
      </c>
      <c r="CT31" s="52" t="s">
        <v>152</v>
      </c>
      <c r="CU31" s="52" t="s">
        <v>1092</v>
      </c>
      <c r="CV31" s="52">
        <v>80</v>
      </c>
      <c r="CW31" s="52" t="s">
        <v>152</v>
      </c>
      <c r="CX31" s="52" t="s">
        <v>1101</v>
      </c>
      <c r="CY31" s="52">
        <v>80</v>
      </c>
      <c r="CZ31" s="52" t="s">
        <v>152</v>
      </c>
      <c r="DA31" s="52" t="s">
        <v>1099</v>
      </c>
      <c r="DB31" s="15" t="str">
        <f>'Input Ekstra'!E27</f>
        <v>Pramuka</v>
      </c>
      <c r="DC31" s="15" t="str">
        <f>'Input Ekstra'!F27</f>
        <v>Amat Baik</v>
      </c>
      <c r="DD31" s="15" t="str">
        <f>'Input Ekstra'!G27</f>
        <v>Peserta didik mampu menjelaskan tentang sejarah kepramukaan dan implementasi materi kepemimpinan dalam kehidupan sehari-hari</v>
      </c>
      <c r="DE31" s="15">
        <f>'Input Ekstra'!H27</f>
        <v>0</v>
      </c>
      <c r="DF31" s="15">
        <f>'Input Ekstra'!I27</f>
        <v>0</v>
      </c>
      <c r="DG31" s="15">
        <f>'Input Ekstra'!J27</f>
        <v>0</v>
      </c>
      <c r="DH31" s="15">
        <f>'Input Kehadiran'!E27</f>
        <v>0</v>
      </c>
      <c r="DI31" s="15">
        <f>'Input Kehadiran'!F27</f>
        <v>5</v>
      </c>
      <c r="DJ31" s="15" t="str">
        <f>'Input Kehadiran'!G27</f>
        <v xml:space="preserve"> -</v>
      </c>
      <c r="DK31" s="48">
        <f>'Input Prestasi'!D28</f>
        <v>0</v>
      </c>
      <c r="DL31" s="48">
        <f>'Input Prestasi'!E28</f>
        <v>0</v>
      </c>
      <c r="DM31" s="48">
        <f>'Input Prestasi'!F28</f>
        <v>0</v>
      </c>
      <c r="DN31" s="48">
        <f>'Input Prestasi'!G28</f>
        <v>0</v>
      </c>
      <c r="DO31" s="48">
        <f>'Input Prestasi'!H28</f>
        <v>0</v>
      </c>
      <c r="DP31" s="48">
        <f>'Input Prestasi'!I28</f>
        <v>0</v>
      </c>
      <c r="DQ31" s="48">
        <f>'Input Prestasi'!J28</f>
        <v>0</v>
      </c>
      <c r="DR31" s="48">
        <f>'Input Prestasi'!K28</f>
        <v>0</v>
      </c>
      <c r="DS31" s="15" t="str">
        <f>'Input Nilai Sikap dan Catatan'!H26</f>
        <v>Peserta didik sudah menunjukkan sikap mengamalkan ajaran agamanya, konsisten menerapkan sikap santun, jujur, dan mandiri. Tingkatkan rasa ingin tahu dan sikap baik di dalam maupun di luar pembelajaran.</v>
      </c>
    </row>
    <row r="32" spans="1:123">
      <c r="A32" s="12">
        <v>24</v>
      </c>
      <c r="B32" s="23" t="str">
        <f>IF(Setting!J29="","",Setting!J29)</f>
        <v>Muhammad Rakan Hafidh Al Ghalib</v>
      </c>
      <c r="C32" s="28">
        <f>IF(Setting!K29="","",Setting!K29)</f>
        <v>2008224</v>
      </c>
      <c r="D32" s="28" t="str">
        <f>IF(Setting!L29="","",Setting!L29)</f>
        <v>0053955049</v>
      </c>
      <c r="E32" s="15" t="str">
        <f>IF(Setting!$E$11="","",Setting!$E$11)</f>
        <v>X.MIPA 4</v>
      </c>
      <c r="F32" s="15" t="str">
        <f>'Input Nilai Sikap dan Catatan'!D27</f>
        <v>A</v>
      </c>
      <c r="G32" s="15" t="str">
        <f>'Input Nilai Sikap dan Catatan'!E27</f>
        <v>Berpartisipasi dengan baik dalam kegiatan keagamaan di sekolah.</v>
      </c>
      <c r="H32" s="15" t="str">
        <f>'Input Nilai Sikap dan Catatan'!F27</f>
        <v>B</v>
      </c>
      <c r="I32" s="15" t="str">
        <f>'Input Nilai Sikap dan Catatan'!G27</f>
        <v>Memiliki kemampuan kolaborasi yang baik dalam kelompok tetapi inisiatif individu masih perlu ditingkatkan</v>
      </c>
      <c r="J32" s="52">
        <v>91</v>
      </c>
      <c r="K32" s="52" t="s">
        <v>151</v>
      </c>
      <c r="L32" s="52" t="s">
        <v>1013</v>
      </c>
      <c r="M32" s="52">
        <v>84</v>
      </c>
      <c r="N32" s="52" t="s">
        <v>152</v>
      </c>
      <c r="O32" s="52" t="s">
        <v>1022</v>
      </c>
      <c r="P32" s="54">
        <v>90</v>
      </c>
      <c r="Q32" s="54" t="s">
        <v>151</v>
      </c>
      <c r="R32" s="54" t="s">
        <v>1024</v>
      </c>
      <c r="S32" s="54">
        <v>85</v>
      </c>
      <c r="T32" s="54" t="s">
        <v>152</v>
      </c>
      <c r="U32" s="54" t="s">
        <v>1063</v>
      </c>
      <c r="V32" s="182">
        <v>89</v>
      </c>
      <c r="W32" s="179" t="s">
        <v>151</v>
      </c>
      <c r="X32" s="180" t="s">
        <v>1025</v>
      </c>
      <c r="Y32" s="182">
        <v>86</v>
      </c>
      <c r="Z32" s="179" t="s">
        <v>152</v>
      </c>
      <c r="AA32" s="181" t="s">
        <v>1026</v>
      </c>
      <c r="AB32" s="54">
        <v>88</v>
      </c>
      <c r="AC32" s="54" t="s">
        <v>151</v>
      </c>
      <c r="AD32" s="54" t="s">
        <v>1043</v>
      </c>
      <c r="AE32" s="54">
        <v>84</v>
      </c>
      <c r="AF32" s="54" t="s">
        <v>152</v>
      </c>
      <c r="AG32" s="54" t="s">
        <v>1042</v>
      </c>
      <c r="AH32" s="52">
        <v>94</v>
      </c>
      <c r="AI32" s="52" t="s">
        <v>151</v>
      </c>
      <c r="AJ32" s="52" t="s">
        <v>1053</v>
      </c>
      <c r="AK32" s="52">
        <v>93</v>
      </c>
      <c r="AL32" s="52" t="s">
        <v>151</v>
      </c>
      <c r="AM32" s="52" t="s">
        <v>1052</v>
      </c>
      <c r="AN32" s="54">
        <v>88</v>
      </c>
      <c r="AO32" s="54" t="s">
        <v>151</v>
      </c>
      <c r="AP32" s="54" t="s">
        <v>1113</v>
      </c>
      <c r="AQ32" s="54">
        <v>80</v>
      </c>
      <c r="AR32" s="54" t="s">
        <v>152</v>
      </c>
      <c r="AS32" s="54" t="s">
        <v>1109</v>
      </c>
      <c r="AT32" s="52">
        <v>88</v>
      </c>
      <c r="AU32" s="52" t="s">
        <v>151</v>
      </c>
      <c r="AV32" s="52" t="s">
        <v>1061</v>
      </c>
      <c r="AW32" s="52">
        <v>88</v>
      </c>
      <c r="AX32" s="52" t="s">
        <v>151</v>
      </c>
      <c r="AY32" s="52" t="s">
        <v>1062</v>
      </c>
      <c r="AZ32" s="54">
        <v>89</v>
      </c>
      <c r="BA32" s="54" t="s">
        <v>151</v>
      </c>
      <c r="BB32" s="54" t="s">
        <v>1115</v>
      </c>
      <c r="BC32" s="54">
        <v>87</v>
      </c>
      <c r="BD32" s="54" t="s">
        <v>152</v>
      </c>
      <c r="BE32" s="54" t="s">
        <v>1116</v>
      </c>
      <c r="BF32" s="52">
        <v>94</v>
      </c>
      <c r="BG32" s="52" t="s">
        <v>151</v>
      </c>
      <c r="BH32" s="52" t="s">
        <v>1120</v>
      </c>
      <c r="BI32" s="52">
        <v>98</v>
      </c>
      <c r="BJ32" s="52" t="s">
        <v>151</v>
      </c>
      <c r="BK32" s="52" t="s">
        <v>1064</v>
      </c>
      <c r="BL32" s="54">
        <v>89</v>
      </c>
      <c r="BM32" s="54" t="s">
        <v>151</v>
      </c>
      <c r="BN32" s="54" t="s">
        <v>1123</v>
      </c>
      <c r="BO32" s="54">
        <v>80</v>
      </c>
      <c r="BP32" s="54" t="s">
        <v>152</v>
      </c>
      <c r="BQ32" s="54" t="s">
        <v>1122</v>
      </c>
      <c r="BR32" s="52">
        <v>91</v>
      </c>
      <c r="BS32" s="52" t="s">
        <v>151</v>
      </c>
      <c r="BT32" s="52" t="s">
        <v>1126</v>
      </c>
      <c r="BU32" s="52">
        <v>82</v>
      </c>
      <c r="BV32" s="52" t="s">
        <v>152</v>
      </c>
      <c r="BW32" s="52" t="s">
        <v>1066</v>
      </c>
      <c r="BX32" s="54">
        <v>90</v>
      </c>
      <c r="BY32" s="54" t="s">
        <v>151</v>
      </c>
      <c r="BZ32" s="54" t="s">
        <v>1070</v>
      </c>
      <c r="CA32" s="54">
        <v>85</v>
      </c>
      <c r="CB32" s="54" t="s">
        <v>152</v>
      </c>
      <c r="CC32" s="54" t="s">
        <v>1068</v>
      </c>
      <c r="CD32" s="52">
        <v>89</v>
      </c>
      <c r="CE32" s="52" t="s">
        <v>151</v>
      </c>
      <c r="CF32" s="52" t="s">
        <v>1079</v>
      </c>
      <c r="CG32" s="52">
        <v>89</v>
      </c>
      <c r="CH32" s="52" t="s">
        <v>151</v>
      </c>
      <c r="CI32" s="52" t="s">
        <v>1077</v>
      </c>
      <c r="CJ32" s="54">
        <v>81</v>
      </c>
      <c r="CK32" s="54" t="s">
        <v>152</v>
      </c>
      <c r="CL32" s="54" t="s">
        <v>1081</v>
      </c>
      <c r="CM32" s="54">
        <v>81</v>
      </c>
      <c r="CN32" s="54" t="s">
        <v>152</v>
      </c>
      <c r="CO32" s="54" t="s">
        <v>1082</v>
      </c>
      <c r="CP32" s="52">
        <v>91</v>
      </c>
      <c r="CQ32" s="52" t="s">
        <v>151</v>
      </c>
      <c r="CR32" s="52" t="s">
        <v>1093</v>
      </c>
      <c r="CS32" s="52">
        <v>86</v>
      </c>
      <c r="CT32" s="52" t="s">
        <v>152</v>
      </c>
      <c r="CU32" s="52" t="s">
        <v>1086</v>
      </c>
      <c r="CV32" s="52">
        <v>87</v>
      </c>
      <c r="CW32" s="52" t="s">
        <v>152</v>
      </c>
      <c r="CX32" s="52" t="s">
        <v>1100</v>
      </c>
      <c r="CY32" s="52">
        <v>83</v>
      </c>
      <c r="CZ32" s="52" t="s">
        <v>152</v>
      </c>
      <c r="DA32" s="52" t="s">
        <v>1102</v>
      </c>
      <c r="DB32" s="15" t="str">
        <f>'Input Ekstra'!E28</f>
        <v>Pramuka</v>
      </c>
      <c r="DC32" s="15" t="str">
        <f>'Input Ekstra'!F28</f>
        <v>Amat Baik</v>
      </c>
      <c r="DD32" s="15" t="str">
        <f>'Input Ekstra'!G28</f>
        <v>Peserta didik mampu menjelaskan tentang sejarah kepramukaan dan implementasi materi kepemimpinan dalam kehidupan sehari-hari</v>
      </c>
      <c r="DE32" s="15">
        <f>'Input Ekstra'!H28</f>
        <v>0</v>
      </c>
      <c r="DF32" s="15">
        <f>'Input Ekstra'!I28</f>
        <v>0</v>
      </c>
      <c r="DG32" s="15">
        <f>'Input Ekstra'!J28</f>
        <v>0</v>
      </c>
      <c r="DH32" s="15">
        <f>'Input Kehadiran'!E28</f>
        <v>0</v>
      </c>
      <c r="DI32" s="15">
        <f>'Input Kehadiran'!F28</f>
        <v>1</v>
      </c>
      <c r="DJ32" s="15" t="str">
        <f>'Input Kehadiran'!G28</f>
        <v xml:space="preserve"> -</v>
      </c>
      <c r="DK32" s="48">
        <f>'Input Prestasi'!D29</f>
        <v>0</v>
      </c>
      <c r="DL32" s="48">
        <f>'Input Prestasi'!E29</f>
        <v>0</v>
      </c>
      <c r="DM32" s="48">
        <f>'Input Prestasi'!F29</f>
        <v>0</v>
      </c>
      <c r="DN32" s="48">
        <f>'Input Prestasi'!G29</f>
        <v>0</v>
      </c>
      <c r="DO32" s="48">
        <f>'Input Prestasi'!H29</f>
        <v>0</v>
      </c>
      <c r="DP32" s="48">
        <f>'Input Prestasi'!I29</f>
        <v>0</v>
      </c>
      <c r="DQ32" s="48">
        <f>'Input Prestasi'!J29</f>
        <v>0</v>
      </c>
      <c r="DR32" s="48">
        <f>'Input Prestasi'!K29</f>
        <v>0</v>
      </c>
      <c r="DS32" s="15" t="str">
        <f>'Input Nilai Sikap dan Catatan'!H27</f>
        <v>Peserta didik sudah menunjukkan sikap mengamalkan ajaran agamanya, konsisten menerapkan sikap santun, jujur, dan mandiri. Tingkatkan rasa ingin tahu dan sikap baik di dalam maupun di luar pembelajaran.</v>
      </c>
    </row>
    <row r="33" spans="1:123">
      <c r="A33" s="12">
        <v>25</v>
      </c>
      <c r="B33" s="23" t="str">
        <f>IF(Setting!J30="","",Setting!J30)</f>
        <v>Muhammad Syamu Naufal</v>
      </c>
      <c r="C33" s="28">
        <f>IF(Setting!K30="","",Setting!K30)</f>
        <v>2008230</v>
      </c>
      <c r="D33" s="28" t="str">
        <f>IF(Setting!L30="","",Setting!L30)</f>
        <v>0045892500</v>
      </c>
      <c r="E33" s="15" t="str">
        <f>IF(Setting!$E$11="","",Setting!$E$11)</f>
        <v>X.MIPA 4</v>
      </c>
      <c r="F33" s="15" t="str">
        <f>'Input Nilai Sikap dan Catatan'!D28</f>
        <v>B</v>
      </c>
      <c r="G33" s="15" t="str">
        <f>'Input Nilai Sikap dan Catatan'!E28</f>
        <v>Berpartisipasi dengan baik dalam kegiatan keagamaan di sekolah.</v>
      </c>
      <c r="H33" s="15" t="str">
        <f>'Input Nilai Sikap dan Catatan'!F28</f>
        <v>B</v>
      </c>
      <c r="I33" s="15" t="str">
        <f>'Input Nilai Sikap dan Catatan'!G28</f>
        <v>Memiliki kemampuan kolaborasi yang baik dalam kelompok tetapi inisiatif individu masih perlu ditingkatkan</v>
      </c>
      <c r="J33" s="52">
        <v>91</v>
      </c>
      <c r="K33" s="52" t="s">
        <v>151</v>
      </c>
      <c r="L33" s="52" t="s">
        <v>1016</v>
      </c>
      <c r="M33" s="52">
        <v>86</v>
      </c>
      <c r="N33" s="52" t="s">
        <v>152</v>
      </c>
      <c r="O33" s="52" t="s">
        <v>1021</v>
      </c>
      <c r="P33" s="54">
        <v>87</v>
      </c>
      <c r="Q33" s="54" t="s">
        <v>152</v>
      </c>
      <c r="R33" s="54" t="s">
        <v>1024</v>
      </c>
      <c r="S33" s="54">
        <v>85</v>
      </c>
      <c r="T33" s="54" t="s">
        <v>152</v>
      </c>
      <c r="U33" s="54" t="s">
        <v>1063</v>
      </c>
      <c r="V33" s="182">
        <v>89</v>
      </c>
      <c r="W33" s="179" t="s">
        <v>151</v>
      </c>
      <c r="X33" s="180" t="s">
        <v>1034</v>
      </c>
      <c r="Y33" s="182">
        <v>80</v>
      </c>
      <c r="Z33" s="179" t="s">
        <v>152</v>
      </c>
      <c r="AA33" s="181" t="s">
        <v>1026</v>
      </c>
      <c r="AB33" s="54">
        <v>84</v>
      </c>
      <c r="AC33" s="54" t="s">
        <v>152</v>
      </c>
      <c r="AD33" s="54" t="s">
        <v>1041</v>
      </c>
      <c r="AE33" s="54">
        <v>86</v>
      </c>
      <c r="AF33" s="54" t="s">
        <v>152</v>
      </c>
      <c r="AG33" s="54" t="s">
        <v>1042</v>
      </c>
      <c r="AH33" s="52">
        <v>92</v>
      </c>
      <c r="AI33" s="52" t="s">
        <v>151</v>
      </c>
      <c r="AJ33" s="52" t="s">
        <v>1055</v>
      </c>
      <c r="AK33" s="52">
        <v>93</v>
      </c>
      <c r="AL33" s="52" t="s">
        <v>151</v>
      </c>
      <c r="AM33" s="52" t="s">
        <v>1052</v>
      </c>
      <c r="AN33" s="54">
        <v>87</v>
      </c>
      <c r="AO33" s="54" t="s">
        <v>152</v>
      </c>
      <c r="AP33" s="54" t="s">
        <v>1108</v>
      </c>
      <c r="AQ33" s="54">
        <v>80</v>
      </c>
      <c r="AR33" s="54" t="s">
        <v>152</v>
      </c>
      <c r="AS33" s="54" t="s">
        <v>1109</v>
      </c>
      <c r="AT33" s="52">
        <v>88</v>
      </c>
      <c r="AU33" s="52" t="s">
        <v>151</v>
      </c>
      <c r="AV33" s="52" t="s">
        <v>1061</v>
      </c>
      <c r="AW33" s="52">
        <v>88</v>
      </c>
      <c r="AX33" s="52" t="s">
        <v>151</v>
      </c>
      <c r="AY33" s="52" t="s">
        <v>1062</v>
      </c>
      <c r="AZ33" s="54">
        <v>88</v>
      </c>
      <c r="BA33" s="54" t="s">
        <v>151</v>
      </c>
      <c r="BB33" s="54" t="s">
        <v>1115</v>
      </c>
      <c r="BC33" s="54">
        <v>87</v>
      </c>
      <c r="BD33" s="54" t="s">
        <v>152</v>
      </c>
      <c r="BE33" s="54" t="s">
        <v>1116</v>
      </c>
      <c r="BF33" s="52">
        <v>91</v>
      </c>
      <c r="BG33" s="52" t="s">
        <v>151</v>
      </c>
      <c r="BH33" s="52" t="s">
        <v>1119</v>
      </c>
      <c r="BI33" s="52">
        <v>95</v>
      </c>
      <c r="BJ33" s="52" t="s">
        <v>151</v>
      </c>
      <c r="BK33" s="52" t="s">
        <v>1064</v>
      </c>
      <c r="BL33" s="54">
        <v>90</v>
      </c>
      <c r="BM33" s="54" t="s">
        <v>151</v>
      </c>
      <c r="BN33" s="54" t="s">
        <v>1123</v>
      </c>
      <c r="BO33" s="54">
        <v>82</v>
      </c>
      <c r="BP33" s="54" t="s">
        <v>152</v>
      </c>
      <c r="BQ33" s="54" t="s">
        <v>1122</v>
      </c>
      <c r="BR33" s="52">
        <v>89</v>
      </c>
      <c r="BS33" s="52" t="s">
        <v>151</v>
      </c>
      <c r="BT33" s="52" t="s">
        <v>1125</v>
      </c>
      <c r="BU33" s="52">
        <v>85</v>
      </c>
      <c r="BV33" s="52" t="s">
        <v>152</v>
      </c>
      <c r="BW33" s="52" t="s">
        <v>1066</v>
      </c>
      <c r="BX33" s="54">
        <v>90</v>
      </c>
      <c r="BY33" s="54" t="s">
        <v>151</v>
      </c>
      <c r="BZ33" s="54" t="s">
        <v>1074</v>
      </c>
      <c r="CA33" s="54">
        <v>80</v>
      </c>
      <c r="CB33" s="54" t="s">
        <v>152</v>
      </c>
      <c r="CC33" s="54" t="s">
        <v>1068</v>
      </c>
      <c r="CD33" s="52">
        <v>87</v>
      </c>
      <c r="CE33" s="52" t="s">
        <v>152</v>
      </c>
      <c r="CF33" s="52" t="s">
        <v>1079</v>
      </c>
      <c r="CG33" s="52">
        <v>89</v>
      </c>
      <c r="CH33" s="52" t="s">
        <v>151</v>
      </c>
      <c r="CI33" s="52" t="s">
        <v>1077</v>
      </c>
      <c r="CJ33" s="54">
        <v>82</v>
      </c>
      <c r="CK33" s="54" t="s">
        <v>152</v>
      </c>
      <c r="CL33" s="54" t="s">
        <v>1081</v>
      </c>
      <c r="CM33" s="54">
        <v>81</v>
      </c>
      <c r="CN33" s="54" t="s">
        <v>152</v>
      </c>
      <c r="CO33" s="54" t="s">
        <v>1082</v>
      </c>
      <c r="CP33" s="52">
        <v>87</v>
      </c>
      <c r="CQ33" s="52" t="s">
        <v>152</v>
      </c>
      <c r="CR33" s="52" t="s">
        <v>1093</v>
      </c>
      <c r="CS33" s="52">
        <v>82</v>
      </c>
      <c r="CT33" s="52" t="s">
        <v>152</v>
      </c>
      <c r="CU33" s="52" t="s">
        <v>1089</v>
      </c>
      <c r="CV33" s="52">
        <v>85</v>
      </c>
      <c r="CW33" s="52" t="s">
        <v>152</v>
      </c>
      <c r="CX33" s="52" t="s">
        <v>1100</v>
      </c>
      <c r="CY33" s="52">
        <v>80</v>
      </c>
      <c r="CZ33" s="52" t="s">
        <v>152</v>
      </c>
      <c r="DA33" s="52" t="s">
        <v>1102</v>
      </c>
      <c r="DB33" s="15" t="str">
        <f>'Input Ekstra'!E29</f>
        <v>Pramuka</v>
      </c>
      <c r="DC33" s="15" t="str">
        <f>'Input Ekstra'!F29</f>
        <v>Amat Baik</v>
      </c>
      <c r="DD33" s="15" t="str">
        <f>'Input Ekstra'!G29</f>
        <v>Peserta didik mampu menjelaskan tentang sejarah kepramukaan dan implementasi materi kepemimpinan dalam kehidupan sehari-hari</v>
      </c>
      <c r="DE33" s="15">
        <f>'Input Ekstra'!H29</f>
        <v>0</v>
      </c>
      <c r="DF33" s="15">
        <f>'Input Ekstra'!I29</f>
        <v>0</v>
      </c>
      <c r="DG33" s="15">
        <f>'Input Ekstra'!J29</f>
        <v>0</v>
      </c>
      <c r="DH33" s="15">
        <f>'Input Kehadiran'!E29</f>
        <v>1</v>
      </c>
      <c r="DI33" s="15">
        <f>'Input Kehadiran'!F29</f>
        <v>3</v>
      </c>
      <c r="DJ33" s="15" t="str">
        <f>'Input Kehadiran'!G29</f>
        <v xml:space="preserve"> -</v>
      </c>
      <c r="DK33" s="48">
        <f>'Input Prestasi'!D30</f>
        <v>0</v>
      </c>
      <c r="DL33" s="48">
        <f>'Input Prestasi'!E30</f>
        <v>0</v>
      </c>
      <c r="DM33" s="48">
        <f>'Input Prestasi'!F30</f>
        <v>0</v>
      </c>
      <c r="DN33" s="48">
        <f>'Input Prestasi'!G30</f>
        <v>0</v>
      </c>
      <c r="DO33" s="48">
        <f>'Input Prestasi'!H30</f>
        <v>0</v>
      </c>
      <c r="DP33" s="48">
        <f>'Input Prestasi'!I30</f>
        <v>0</v>
      </c>
      <c r="DQ33" s="48">
        <f>'Input Prestasi'!J30</f>
        <v>0</v>
      </c>
      <c r="DR33" s="48">
        <f>'Input Prestasi'!K30</f>
        <v>0</v>
      </c>
      <c r="DS33" s="15" t="str">
        <f>'Input Nilai Sikap dan Catatan'!H28</f>
        <v>Peserta didik sudah menunjukkan sikap mengamalkan ajaran agamanya, konsisten menerapkan sikap santun, jujur, dan mandiri. Tingkatkan rasa ingin tahu dan sikap baik di dalam maupun di luar pembelajaran.</v>
      </c>
    </row>
    <row r="34" spans="1:123">
      <c r="A34" s="12">
        <v>26</v>
      </c>
      <c r="B34" s="23" t="str">
        <f>IF(Setting!J31="","",Setting!J31)</f>
        <v>Naufal Muhammad Iqbal</v>
      </c>
      <c r="C34" s="28">
        <f>IF(Setting!K31="","",Setting!K31)</f>
        <v>2008251</v>
      </c>
      <c r="D34" s="28" t="str">
        <f>IF(Setting!L31="","",Setting!L31)</f>
        <v>0056904636</v>
      </c>
      <c r="E34" s="15" t="str">
        <f>IF(Setting!$E$11="","",Setting!$E$11)</f>
        <v>X.MIPA 4</v>
      </c>
      <c r="F34" s="15" t="str">
        <f>'Input Nilai Sikap dan Catatan'!D29</f>
        <v>B</v>
      </c>
      <c r="G34" s="15" t="str">
        <f>'Input Nilai Sikap dan Catatan'!E29</f>
        <v>Berpartisipasi dengan baik dalam kegiatan keagamaan di sekolah.</v>
      </c>
      <c r="H34" s="15" t="str">
        <f>'Input Nilai Sikap dan Catatan'!F29</f>
        <v>B</v>
      </c>
      <c r="I34" s="15" t="str">
        <f>'Input Nilai Sikap dan Catatan'!G29</f>
        <v>Memiliki kemampuan kolaborasi yang baik dalam kelompok tetapi inisiatif individu masih perlu ditingkatkan</v>
      </c>
      <c r="J34" s="52">
        <v>90</v>
      </c>
      <c r="K34" s="52" t="s">
        <v>151</v>
      </c>
      <c r="L34" s="52" t="s">
        <v>1014</v>
      </c>
      <c r="M34" s="52">
        <v>88</v>
      </c>
      <c r="N34" s="52" t="s">
        <v>151</v>
      </c>
      <c r="O34" s="52" t="s">
        <v>1022</v>
      </c>
      <c r="P34" s="54">
        <v>86</v>
      </c>
      <c r="Q34" s="54" t="s">
        <v>152</v>
      </c>
      <c r="R34" s="54" t="s">
        <v>1024</v>
      </c>
      <c r="S34" s="54">
        <v>90</v>
      </c>
      <c r="T34" s="54" t="s">
        <v>151</v>
      </c>
      <c r="U34" s="54" t="s">
        <v>1063</v>
      </c>
      <c r="V34" s="182">
        <v>87</v>
      </c>
      <c r="W34" s="179" t="s">
        <v>152</v>
      </c>
      <c r="X34" s="180" t="s">
        <v>1028</v>
      </c>
      <c r="Y34" s="182">
        <v>80</v>
      </c>
      <c r="Z34" s="179" t="s">
        <v>152</v>
      </c>
      <c r="AA34" s="181" t="s">
        <v>1026</v>
      </c>
      <c r="AB34" s="54">
        <v>84</v>
      </c>
      <c r="AC34" s="54" t="s">
        <v>152</v>
      </c>
      <c r="AD34" s="54" t="s">
        <v>1050</v>
      </c>
      <c r="AE34" s="54">
        <v>80</v>
      </c>
      <c r="AF34" s="54" t="s">
        <v>152</v>
      </c>
      <c r="AG34" s="54" t="s">
        <v>1042</v>
      </c>
      <c r="AH34" s="52">
        <v>90</v>
      </c>
      <c r="AI34" s="52" t="s">
        <v>151</v>
      </c>
      <c r="AJ34" s="52" t="s">
        <v>1054</v>
      </c>
      <c r="AK34" s="52">
        <v>93</v>
      </c>
      <c r="AL34" s="52" t="s">
        <v>151</v>
      </c>
      <c r="AM34" s="52" t="s">
        <v>1052</v>
      </c>
      <c r="AN34" s="54">
        <v>85</v>
      </c>
      <c r="AO34" s="54" t="s">
        <v>152</v>
      </c>
      <c r="AP34" s="54" t="s">
        <v>1059</v>
      </c>
      <c r="AQ34" s="54">
        <v>80</v>
      </c>
      <c r="AR34" s="54" t="s">
        <v>152</v>
      </c>
      <c r="AS34" s="54" t="s">
        <v>1109</v>
      </c>
      <c r="AT34" s="52">
        <v>83</v>
      </c>
      <c r="AU34" s="52" t="s">
        <v>152</v>
      </c>
      <c r="AV34" s="52" t="s">
        <v>1061</v>
      </c>
      <c r="AW34" s="52">
        <v>83</v>
      </c>
      <c r="AX34" s="52" t="s">
        <v>152</v>
      </c>
      <c r="AY34" s="52" t="s">
        <v>1062</v>
      </c>
      <c r="AZ34" s="54">
        <v>89</v>
      </c>
      <c r="BA34" s="54" t="s">
        <v>151</v>
      </c>
      <c r="BB34" s="54" t="s">
        <v>1115</v>
      </c>
      <c r="BC34" s="54">
        <v>87</v>
      </c>
      <c r="BD34" s="54" t="s">
        <v>152</v>
      </c>
      <c r="BE34" s="54" t="s">
        <v>1116</v>
      </c>
      <c r="BF34" s="52">
        <v>91</v>
      </c>
      <c r="BG34" s="52" t="s">
        <v>151</v>
      </c>
      <c r="BH34" s="52" t="s">
        <v>1120</v>
      </c>
      <c r="BI34" s="52">
        <v>85</v>
      </c>
      <c r="BJ34" s="52" t="s">
        <v>152</v>
      </c>
      <c r="BK34" s="52" t="s">
        <v>1065</v>
      </c>
      <c r="BL34" s="54">
        <v>90</v>
      </c>
      <c r="BM34" s="54" t="s">
        <v>151</v>
      </c>
      <c r="BN34" s="54" t="s">
        <v>1121</v>
      </c>
      <c r="BO34" s="54">
        <v>81</v>
      </c>
      <c r="BP34" s="54" t="s">
        <v>152</v>
      </c>
      <c r="BQ34" s="54" t="s">
        <v>1122</v>
      </c>
      <c r="BR34" s="52">
        <v>80</v>
      </c>
      <c r="BS34" s="52" t="s">
        <v>152</v>
      </c>
      <c r="BT34" s="52" t="s">
        <v>1125</v>
      </c>
      <c r="BU34" s="52">
        <v>80</v>
      </c>
      <c r="BV34" s="52" t="s">
        <v>152</v>
      </c>
      <c r="BW34" s="52" t="s">
        <v>1066</v>
      </c>
      <c r="BX34" s="54">
        <v>89</v>
      </c>
      <c r="BY34" s="54" t="s">
        <v>151</v>
      </c>
      <c r="BZ34" s="54" t="s">
        <v>1071</v>
      </c>
      <c r="CA34" s="54">
        <v>80</v>
      </c>
      <c r="CB34" s="54" t="s">
        <v>152</v>
      </c>
      <c r="CC34" s="54" t="s">
        <v>1068</v>
      </c>
      <c r="CD34" s="52">
        <v>89</v>
      </c>
      <c r="CE34" s="52" t="s">
        <v>151</v>
      </c>
      <c r="CF34" s="52" t="s">
        <v>1078</v>
      </c>
      <c r="CG34" s="52">
        <v>89</v>
      </c>
      <c r="CH34" s="52" t="s">
        <v>151</v>
      </c>
      <c r="CI34" s="52" t="s">
        <v>1077</v>
      </c>
      <c r="CJ34" s="54">
        <v>82</v>
      </c>
      <c r="CK34" s="54" t="s">
        <v>152</v>
      </c>
      <c r="CL34" s="54" t="s">
        <v>1081</v>
      </c>
      <c r="CM34" s="54">
        <v>81</v>
      </c>
      <c r="CN34" s="54" t="s">
        <v>152</v>
      </c>
      <c r="CO34" s="54" t="s">
        <v>1082</v>
      </c>
      <c r="CP34" s="52">
        <v>89</v>
      </c>
      <c r="CQ34" s="52" t="s">
        <v>151</v>
      </c>
      <c r="CR34" s="52" t="s">
        <v>1085</v>
      </c>
      <c r="CS34" s="52">
        <v>82</v>
      </c>
      <c r="CT34" s="52" t="s">
        <v>152</v>
      </c>
      <c r="CU34" s="52" t="s">
        <v>1089</v>
      </c>
      <c r="CV34" s="52">
        <v>89</v>
      </c>
      <c r="CW34" s="52" t="s">
        <v>151</v>
      </c>
      <c r="CX34" s="52" t="s">
        <v>1101</v>
      </c>
      <c r="CY34" s="52">
        <v>95</v>
      </c>
      <c r="CZ34" s="52" t="s">
        <v>151</v>
      </c>
      <c r="DA34" s="52" t="s">
        <v>1099</v>
      </c>
      <c r="DB34" s="15" t="str">
        <f>'Input Ekstra'!E30</f>
        <v>Pramuka</v>
      </c>
      <c r="DC34" s="15" t="str">
        <f>'Input Ekstra'!F30</f>
        <v>Amat Baik</v>
      </c>
      <c r="DD34" s="15" t="str">
        <f>'Input Ekstra'!G30</f>
        <v>Peserta didik mampu menjelaskan tentang sejarah kepramukaan dan implementasi materi kepemimpinan dalam kehidupan sehari-hari</v>
      </c>
      <c r="DE34" s="15">
        <f>'Input Ekstra'!H30</f>
        <v>0</v>
      </c>
      <c r="DF34" s="15">
        <f>'Input Ekstra'!I30</f>
        <v>0</v>
      </c>
      <c r="DG34" s="15">
        <f>'Input Ekstra'!J30</f>
        <v>0</v>
      </c>
      <c r="DH34" s="15">
        <f>'Input Kehadiran'!E30</f>
        <v>0</v>
      </c>
      <c r="DI34" s="15">
        <f>'Input Kehadiran'!F30</f>
        <v>3</v>
      </c>
      <c r="DJ34" s="15" t="str">
        <f>'Input Kehadiran'!G30</f>
        <v xml:space="preserve"> -</v>
      </c>
      <c r="DK34" s="48">
        <f>'Input Prestasi'!D31</f>
        <v>0</v>
      </c>
      <c r="DL34" s="48">
        <f>'Input Prestasi'!E31</f>
        <v>0</v>
      </c>
      <c r="DM34" s="48">
        <f>'Input Prestasi'!F31</f>
        <v>0</v>
      </c>
      <c r="DN34" s="48">
        <f>'Input Prestasi'!G31</f>
        <v>0</v>
      </c>
      <c r="DO34" s="48">
        <f>'Input Prestasi'!H31</f>
        <v>0</v>
      </c>
      <c r="DP34" s="48">
        <f>'Input Prestasi'!I31</f>
        <v>0</v>
      </c>
      <c r="DQ34" s="48">
        <f>'Input Prestasi'!J31</f>
        <v>0</v>
      </c>
      <c r="DR34" s="48">
        <f>'Input Prestasi'!K31</f>
        <v>0</v>
      </c>
      <c r="DS34" s="15" t="str">
        <f>'Input Nilai Sikap dan Catatan'!H29</f>
        <v>Peserta didik sudah menunjukkan sikap mengamalkan ajaran agamanya, konsisten menerapkan sikap santun, jujur, dan mandiri. Tingkatkan rasa ingin tahu dan sikap baik di dalam maupun di luar pembelajaran.</v>
      </c>
    </row>
    <row r="35" spans="1:123">
      <c r="A35" s="12">
        <v>27</v>
      </c>
      <c r="B35" s="23" t="str">
        <f>IF(Setting!J32="","",Setting!J32)</f>
        <v>Nauval Nur Mustafa</v>
      </c>
      <c r="C35" s="28">
        <f>IF(Setting!K32="","",Setting!K32)</f>
        <v>2008253</v>
      </c>
      <c r="D35" s="28" t="str">
        <f>IF(Setting!L32="","",Setting!L32)</f>
        <v>0061518278</v>
      </c>
      <c r="E35" s="15" t="str">
        <f>IF(Setting!$E$11="","",Setting!$E$11)</f>
        <v>X.MIPA 4</v>
      </c>
      <c r="F35" s="15" t="str">
        <f>'Input Nilai Sikap dan Catatan'!D30</f>
        <v>B</v>
      </c>
      <c r="G35" s="15" t="str">
        <f>'Input Nilai Sikap dan Catatan'!E30</f>
        <v>Berpartisipasi dengan baik dalam kegiatan keagamaan di sekolah.</v>
      </c>
      <c r="H35" s="15" t="str">
        <f>'Input Nilai Sikap dan Catatan'!F30</f>
        <v>B</v>
      </c>
      <c r="I35" s="15" t="str">
        <f>'Input Nilai Sikap dan Catatan'!G30</f>
        <v>Memiliki kemampuan kolaborasi yang baik dalam kelompok tetapi inisiatif individu masih perlu ditingkatkan</v>
      </c>
      <c r="J35" s="52">
        <v>89</v>
      </c>
      <c r="K35" s="52" t="s">
        <v>151</v>
      </c>
      <c r="L35" s="52" t="s">
        <v>1009</v>
      </c>
      <c r="M35" s="52">
        <v>87</v>
      </c>
      <c r="N35" s="52" t="s">
        <v>152</v>
      </c>
      <c r="O35" s="52" t="s">
        <v>1020</v>
      </c>
      <c r="P35" s="54">
        <v>88</v>
      </c>
      <c r="Q35" s="54" t="s">
        <v>151</v>
      </c>
      <c r="R35" s="54" t="s">
        <v>1024</v>
      </c>
      <c r="S35" s="54">
        <v>90</v>
      </c>
      <c r="T35" s="54" t="s">
        <v>151</v>
      </c>
      <c r="U35" s="54" t="s">
        <v>1063</v>
      </c>
      <c r="V35" s="182">
        <v>88</v>
      </c>
      <c r="W35" s="179" t="s">
        <v>151</v>
      </c>
      <c r="X35" s="180" t="s">
        <v>1031</v>
      </c>
      <c r="Y35" s="182">
        <v>80</v>
      </c>
      <c r="Z35" s="179" t="s">
        <v>152</v>
      </c>
      <c r="AA35" s="181" t="s">
        <v>1026</v>
      </c>
      <c r="AB35" s="54">
        <v>81</v>
      </c>
      <c r="AC35" s="54" t="s">
        <v>152</v>
      </c>
      <c r="AD35" s="54" t="s">
        <v>1050</v>
      </c>
      <c r="AE35" s="54">
        <v>80</v>
      </c>
      <c r="AF35" s="54" t="s">
        <v>152</v>
      </c>
      <c r="AG35" s="54" t="s">
        <v>1042</v>
      </c>
      <c r="AH35" s="52">
        <v>94</v>
      </c>
      <c r="AI35" s="52" t="s">
        <v>151</v>
      </c>
      <c r="AJ35" s="52" t="s">
        <v>1053</v>
      </c>
      <c r="AK35" s="52">
        <v>93</v>
      </c>
      <c r="AL35" s="52" t="s">
        <v>151</v>
      </c>
      <c r="AM35" s="52" t="s">
        <v>1052</v>
      </c>
      <c r="AN35" s="54">
        <v>85</v>
      </c>
      <c r="AO35" s="54" t="s">
        <v>152</v>
      </c>
      <c r="AP35" s="54" t="s">
        <v>1108</v>
      </c>
      <c r="AQ35" s="54">
        <v>80</v>
      </c>
      <c r="AR35" s="54" t="s">
        <v>152</v>
      </c>
      <c r="AS35" s="54" t="s">
        <v>1109</v>
      </c>
      <c r="AT35" s="52">
        <v>88</v>
      </c>
      <c r="AU35" s="52" t="s">
        <v>151</v>
      </c>
      <c r="AV35" s="52" t="s">
        <v>1061</v>
      </c>
      <c r="AW35" s="52">
        <v>88</v>
      </c>
      <c r="AX35" s="52" t="s">
        <v>151</v>
      </c>
      <c r="AY35" s="52" t="s">
        <v>1062</v>
      </c>
      <c r="AZ35" s="54">
        <v>89</v>
      </c>
      <c r="BA35" s="54" t="s">
        <v>151</v>
      </c>
      <c r="BB35" s="54" t="s">
        <v>1115</v>
      </c>
      <c r="BC35" s="54">
        <v>87</v>
      </c>
      <c r="BD35" s="54" t="s">
        <v>152</v>
      </c>
      <c r="BE35" s="54" t="s">
        <v>1116</v>
      </c>
      <c r="BF35" s="52">
        <v>87</v>
      </c>
      <c r="BG35" s="52" t="s">
        <v>152</v>
      </c>
      <c r="BH35" s="52" t="s">
        <v>1119</v>
      </c>
      <c r="BI35" s="52">
        <v>85</v>
      </c>
      <c r="BJ35" s="52" t="s">
        <v>152</v>
      </c>
      <c r="BK35" s="52" t="s">
        <v>1065</v>
      </c>
      <c r="BL35" s="54">
        <v>89</v>
      </c>
      <c r="BM35" s="54" t="s">
        <v>151</v>
      </c>
      <c r="BN35" s="54" t="s">
        <v>1123</v>
      </c>
      <c r="BO35" s="54">
        <v>80</v>
      </c>
      <c r="BP35" s="54" t="s">
        <v>152</v>
      </c>
      <c r="BQ35" s="54" t="s">
        <v>1122</v>
      </c>
      <c r="BR35" s="52">
        <v>80</v>
      </c>
      <c r="BS35" s="52" t="s">
        <v>152</v>
      </c>
      <c r="BT35" s="52" t="s">
        <v>1125</v>
      </c>
      <c r="BU35" s="52">
        <v>80</v>
      </c>
      <c r="BV35" s="52" t="s">
        <v>152</v>
      </c>
      <c r="BW35" s="52" t="s">
        <v>1066</v>
      </c>
      <c r="BX35" s="54">
        <v>87</v>
      </c>
      <c r="BY35" s="54" t="s">
        <v>152</v>
      </c>
      <c r="BZ35" s="54" t="s">
        <v>1069</v>
      </c>
      <c r="CA35" s="54">
        <v>85</v>
      </c>
      <c r="CB35" s="54" t="s">
        <v>152</v>
      </c>
      <c r="CC35" s="54" t="s">
        <v>1068</v>
      </c>
      <c r="CD35" s="52">
        <v>90</v>
      </c>
      <c r="CE35" s="52" t="s">
        <v>151</v>
      </c>
      <c r="CF35" s="52" t="s">
        <v>1078</v>
      </c>
      <c r="CG35" s="52">
        <v>89</v>
      </c>
      <c r="CH35" s="52" t="s">
        <v>151</v>
      </c>
      <c r="CI35" s="52" t="s">
        <v>1077</v>
      </c>
      <c r="CJ35" s="54">
        <v>80</v>
      </c>
      <c r="CK35" s="54" t="s">
        <v>152</v>
      </c>
      <c r="CL35" s="54" t="s">
        <v>1081</v>
      </c>
      <c r="CM35" s="54">
        <v>80</v>
      </c>
      <c r="CN35" s="54" t="s">
        <v>152</v>
      </c>
      <c r="CO35" s="54" t="s">
        <v>1082</v>
      </c>
      <c r="CP35" s="52">
        <v>88</v>
      </c>
      <c r="CQ35" s="52" t="s">
        <v>151</v>
      </c>
      <c r="CR35" s="52" t="s">
        <v>1085</v>
      </c>
      <c r="CS35" s="52">
        <v>82</v>
      </c>
      <c r="CT35" s="52" t="s">
        <v>152</v>
      </c>
      <c r="CU35" s="52" t="s">
        <v>1089</v>
      </c>
      <c r="CV35" s="52">
        <v>88</v>
      </c>
      <c r="CW35" s="52" t="s">
        <v>151</v>
      </c>
      <c r="CX35" s="52" t="s">
        <v>1101</v>
      </c>
      <c r="CY35" s="52">
        <v>93</v>
      </c>
      <c r="CZ35" s="52" t="s">
        <v>151</v>
      </c>
      <c r="DA35" s="52" t="s">
        <v>1099</v>
      </c>
      <c r="DB35" s="15" t="str">
        <f>'Input Ekstra'!E31</f>
        <v>Pramuka</v>
      </c>
      <c r="DC35" s="15" t="str">
        <f>'Input Ekstra'!F31</f>
        <v>Baik</v>
      </c>
      <c r="DD35" s="15" t="str">
        <f>'Input Ekstra'!G31</f>
        <v>Peserta didik mampu menjelaskan tentang sejarah kepramukaan dan implementasi materi kepemimpinan dalam kehidupan sehari-hari</v>
      </c>
      <c r="DE35" s="15">
        <f>'Input Ekstra'!H31</f>
        <v>0</v>
      </c>
      <c r="DF35" s="15">
        <f>'Input Ekstra'!I31</f>
        <v>0</v>
      </c>
      <c r="DG35" s="15">
        <f>'Input Ekstra'!J31</f>
        <v>0</v>
      </c>
      <c r="DH35" s="15">
        <f>'Input Kehadiran'!E31</f>
        <v>0</v>
      </c>
      <c r="DI35" s="15">
        <f>'Input Kehadiran'!F31</f>
        <v>5</v>
      </c>
      <c r="DJ35" s="15" t="str">
        <f>'Input Kehadiran'!G31</f>
        <v xml:space="preserve"> -</v>
      </c>
      <c r="DK35" s="48">
        <f>'Input Prestasi'!D32</f>
        <v>0</v>
      </c>
      <c r="DL35" s="48">
        <f>'Input Prestasi'!E32</f>
        <v>0</v>
      </c>
      <c r="DM35" s="48">
        <f>'Input Prestasi'!F32</f>
        <v>0</v>
      </c>
      <c r="DN35" s="48">
        <f>'Input Prestasi'!G32</f>
        <v>0</v>
      </c>
      <c r="DO35" s="48">
        <f>'Input Prestasi'!H32</f>
        <v>0</v>
      </c>
      <c r="DP35" s="48">
        <f>'Input Prestasi'!I32</f>
        <v>0</v>
      </c>
      <c r="DQ35" s="48">
        <f>'Input Prestasi'!J32</f>
        <v>0</v>
      </c>
      <c r="DR35" s="48">
        <f>'Input Prestasi'!K32</f>
        <v>0</v>
      </c>
      <c r="DS35" s="15" t="str">
        <f>'Input Nilai Sikap dan Catatan'!H30</f>
        <v>Peserta didik sudah menunjukkan sikap mengamalkan ajaran agamanya, konsisten menerapkan sikap santun, jujur, dan mandiri. Tingkatkan rasa ingin tahu dan sikap baik di dalam maupun di luar pembelajaran.</v>
      </c>
    </row>
    <row r="36" spans="1:123">
      <c r="A36" s="12">
        <v>28</v>
      </c>
      <c r="B36" s="23" t="str">
        <f>IF(Setting!J33="","",Setting!J33)</f>
        <v>Oriegano Kanahaya  Siagian</v>
      </c>
      <c r="C36" s="28">
        <f>IF(Setting!K33="","",Setting!K33)</f>
        <v>2008272</v>
      </c>
      <c r="D36" s="28" t="str">
        <f>IF(Setting!L33="","",Setting!L33)</f>
        <v xml:space="preserve"> 0051837216</v>
      </c>
      <c r="E36" s="15" t="str">
        <f>IF(Setting!$E$11="","",Setting!$E$11)</f>
        <v>X.MIPA 4</v>
      </c>
      <c r="F36" s="15" t="str">
        <f>'Input Nilai Sikap dan Catatan'!D31</f>
        <v>B</v>
      </c>
      <c r="G36" s="15" t="str">
        <f>'Input Nilai Sikap dan Catatan'!E31</f>
        <v>Berpartisipasi dengan baik dalam kegiatan keagamaan di sekolah.</v>
      </c>
      <c r="H36" s="15" t="str">
        <f>'Input Nilai Sikap dan Catatan'!F31</f>
        <v>B</v>
      </c>
      <c r="I36" s="15" t="str">
        <f>'Input Nilai Sikap dan Catatan'!G31</f>
        <v>Memiliki kemampuan kolaborasi yang baik dalam kelompok tetapi inisiatif individu masih perlu ditingkatkan</v>
      </c>
      <c r="J36" s="52">
        <v>88</v>
      </c>
      <c r="K36" s="52" t="s">
        <v>151</v>
      </c>
      <c r="L36" s="52" t="s">
        <v>1014</v>
      </c>
      <c r="M36" s="52">
        <v>82</v>
      </c>
      <c r="N36" s="52" t="s">
        <v>152</v>
      </c>
      <c r="O36" s="52" t="s">
        <v>1021</v>
      </c>
      <c r="P36" s="54">
        <v>86</v>
      </c>
      <c r="Q36" s="54" t="s">
        <v>152</v>
      </c>
      <c r="R36" s="54" t="s">
        <v>1024</v>
      </c>
      <c r="S36" s="54">
        <v>85</v>
      </c>
      <c r="T36" s="54" t="s">
        <v>152</v>
      </c>
      <c r="U36" s="54" t="s">
        <v>1063</v>
      </c>
      <c r="V36" s="182">
        <v>84</v>
      </c>
      <c r="W36" s="179" t="s">
        <v>152</v>
      </c>
      <c r="X36" s="180" t="s">
        <v>1039</v>
      </c>
      <c r="Y36" s="182">
        <v>80</v>
      </c>
      <c r="Z36" s="179" t="s">
        <v>152</v>
      </c>
      <c r="AA36" s="181" t="s">
        <v>1026</v>
      </c>
      <c r="AB36" s="54">
        <v>80</v>
      </c>
      <c r="AC36" s="54" t="s">
        <v>152</v>
      </c>
      <c r="AD36" s="54" t="s">
        <v>1041</v>
      </c>
      <c r="AE36" s="54">
        <v>80</v>
      </c>
      <c r="AF36" s="54" t="s">
        <v>152</v>
      </c>
      <c r="AG36" s="54" t="s">
        <v>1042</v>
      </c>
      <c r="AH36" s="52">
        <v>92</v>
      </c>
      <c r="AI36" s="52" t="s">
        <v>151</v>
      </c>
      <c r="AJ36" s="52" t="s">
        <v>1055</v>
      </c>
      <c r="AK36" s="52">
        <v>93</v>
      </c>
      <c r="AL36" s="52" t="s">
        <v>151</v>
      </c>
      <c r="AM36" s="52" t="s">
        <v>1052</v>
      </c>
      <c r="AN36" s="54">
        <v>83</v>
      </c>
      <c r="AO36" s="54" t="s">
        <v>152</v>
      </c>
      <c r="AP36" s="54" t="s">
        <v>1110</v>
      </c>
      <c r="AQ36" s="54">
        <v>80</v>
      </c>
      <c r="AR36" s="54" t="s">
        <v>152</v>
      </c>
      <c r="AS36" s="54" t="s">
        <v>1109</v>
      </c>
      <c r="AT36" s="52">
        <v>83</v>
      </c>
      <c r="AU36" s="52" t="s">
        <v>152</v>
      </c>
      <c r="AV36" s="52" t="s">
        <v>1061</v>
      </c>
      <c r="AW36" s="52">
        <v>83</v>
      </c>
      <c r="AX36" s="52" t="s">
        <v>152</v>
      </c>
      <c r="AY36" s="52" t="s">
        <v>1062</v>
      </c>
      <c r="AZ36" s="54">
        <v>87</v>
      </c>
      <c r="BA36" s="54" t="s">
        <v>152</v>
      </c>
      <c r="BB36" s="54" t="s">
        <v>1115</v>
      </c>
      <c r="BC36" s="54">
        <v>87</v>
      </c>
      <c r="BD36" s="54" t="s">
        <v>152</v>
      </c>
      <c r="BE36" s="54" t="s">
        <v>1116</v>
      </c>
      <c r="BF36" s="52">
        <v>84</v>
      </c>
      <c r="BG36" s="52" t="s">
        <v>152</v>
      </c>
      <c r="BH36" s="52" t="s">
        <v>1119</v>
      </c>
      <c r="BI36" s="52">
        <v>84</v>
      </c>
      <c r="BJ36" s="52" t="s">
        <v>152</v>
      </c>
      <c r="BK36" s="52" t="s">
        <v>1065</v>
      </c>
      <c r="BL36" s="54">
        <v>88</v>
      </c>
      <c r="BM36" s="54" t="s">
        <v>151</v>
      </c>
      <c r="BN36" s="54" t="s">
        <v>1121</v>
      </c>
      <c r="BO36" s="54">
        <v>82</v>
      </c>
      <c r="BP36" s="54" t="s">
        <v>152</v>
      </c>
      <c r="BQ36" s="54" t="s">
        <v>1122</v>
      </c>
      <c r="BR36" s="52">
        <v>80</v>
      </c>
      <c r="BS36" s="52" t="s">
        <v>152</v>
      </c>
      <c r="BT36" s="52" t="s">
        <v>1125</v>
      </c>
      <c r="BU36" s="52">
        <v>82</v>
      </c>
      <c r="BV36" s="52" t="s">
        <v>152</v>
      </c>
      <c r="BW36" s="52" t="s">
        <v>1066</v>
      </c>
      <c r="BX36" s="54">
        <v>84</v>
      </c>
      <c r="BY36" s="54" t="s">
        <v>152</v>
      </c>
      <c r="BZ36" s="54" t="s">
        <v>1073</v>
      </c>
      <c r="CA36" s="54">
        <v>80</v>
      </c>
      <c r="CB36" s="54" t="s">
        <v>152</v>
      </c>
      <c r="CC36" s="54" t="s">
        <v>1068</v>
      </c>
      <c r="CD36" s="52">
        <v>83</v>
      </c>
      <c r="CE36" s="52" t="s">
        <v>152</v>
      </c>
      <c r="CF36" s="52" t="s">
        <v>1078</v>
      </c>
      <c r="CG36" s="52">
        <v>89</v>
      </c>
      <c r="CH36" s="52" t="s">
        <v>151</v>
      </c>
      <c r="CI36" s="52" t="s">
        <v>1077</v>
      </c>
      <c r="CJ36" s="54">
        <v>80</v>
      </c>
      <c r="CK36" s="54" t="s">
        <v>152</v>
      </c>
      <c r="CL36" s="54" t="s">
        <v>1081</v>
      </c>
      <c r="CM36" s="54">
        <v>80</v>
      </c>
      <c r="CN36" s="54" t="s">
        <v>152</v>
      </c>
      <c r="CO36" s="54" t="s">
        <v>1082</v>
      </c>
      <c r="CP36" s="52">
        <v>87</v>
      </c>
      <c r="CQ36" s="52" t="s">
        <v>152</v>
      </c>
      <c r="CR36" s="52" t="s">
        <v>1085</v>
      </c>
      <c r="CS36" s="52">
        <v>82</v>
      </c>
      <c r="CT36" s="52" t="s">
        <v>152</v>
      </c>
      <c r="CU36" s="52" t="s">
        <v>1089</v>
      </c>
      <c r="CV36" s="54">
        <v>85</v>
      </c>
      <c r="CW36" s="54" t="s">
        <v>152</v>
      </c>
      <c r="CX36" s="54" t="s">
        <v>1101</v>
      </c>
      <c r="CY36" s="54">
        <v>80</v>
      </c>
      <c r="CZ36" s="54" t="s">
        <v>152</v>
      </c>
      <c r="DA36" s="54" t="s">
        <v>1099</v>
      </c>
      <c r="DB36" s="15" t="str">
        <f>'Input Ekstra'!E32</f>
        <v>Pramuka</v>
      </c>
      <c r="DC36" s="15" t="str">
        <f>'Input Ekstra'!F32</f>
        <v>Baik</v>
      </c>
      <c r="DD36" s="15" t="str">
        <f>'Input Ekstra'!G32</f>
        <v>Peserta didik mampu menjelaskan tentang sejarah kepramukaan dan implementasi materi kepemimpinan dalam kehidupan sehari-hari</v>
      </c>
      <c r="DE36" s="15">
        <f>'Input Ekstra'!H32</f>
        <v>0</v>
      </c>
      <c r="DF36" s="15">
        <f>'Input Ekstra'!I32</f>
        <v>0</v>
      </c>
      <c r="DG36" s="15">
        <f>'Input Ekstra'!J32</f>
        <v>0</v>
      </c>
      <c r="DH36" s="15">
        <f>'Input Kehadiran'!E32</f>
        <v>0</v>
      </c>
      <c r="DI36" s="15">
        <f>'Input Kehadiran'!F32</f>
        <v>5</v>
      </c>
      <c r="DJ36" s="15" t="str">
        <f>'Input Kehadiran'!G32</f>
        <v xml:space="preserve"> -</v>
      </c>
      <c r="DK36" s="48">
        <f>'Input Prestasi'!D33</f>
        <v>0</v>
      </c>
      <c r="DL36" s="48">
        <f>'Input Prestasi'!E33</f>
        <v>0</v>
      </c>
      <c r="DM36" s="48">
        <f>'Input Prestasi'!F33</f>
        <v>0</v>
      </c>
      <c r="DN36" s="48">
        <f>'Input Prestasi'!G33</f>
        <v>0</v>
      </c>
      <c r="DO36" s="48">
        <f>'Input Prestasi'!H33</f>
        <v>0</v>
      </c>
      <c r="DP36" s="48">
        <f>'Input Prestasi'!I33</f>
        <v>0</v>
      </c>
      <c r="DQ36" s="48">
        <f>'Input Prestasi'!J33</f>
        <v>0</v>
      </c>
      <c r="DR36" s="48">
        <f>'Input Prestasi'!K33</f>
        <v>0</v>
      </c>
      <c r="DS36" s="15" t="str">
        <f>'Input Nilai Sikap dan Catatan'!H31</f>
        <v>Peserta didik sudah menunjukkan sikap mengamalkan ajaran agamanya, konsisten menerapkan sikap santun, jujur, dan mandiri. Tingkatkan rasa ingin tahu dan sikap baik di dalam maupun di luar pembelajaran.</v>
      </c>
    </row>
    <row r="37" spans="1:123">
      <c r="A37" s="12">
        <v>29</v>
      </c>
      <c r="B37" s="23" t="str">
        <f>IF(Setting!J34="","",Setting!J34)</f>
        <v>Rafif Mahatma Indrastata</v>
      </c>
      <c r="C37" s="28">
        <f>IF(Setting!K34="","",Setting!K34)</f>
        <v>2008282</v>
      </c>
      <c r="D37" s="28" t="str">
        <f>IF(Setting!L34="","",Setting!L34)</f>
        <v>0045017851</v>
      </c>
      <c r="E37" s="15" t="str">
        <f>IF(Setting!$E$11="","",Setting!$E$11)</f>
        <v>X.MIPA 4</v>
      </c>
      <c r="F37" s="15" t="str">
        <f>'Input Nilai Sikap dan Catatan'!D32</f>
        <v>B</v>
      </c>
      <c r="G37" s="15" t="str">
        <f>'Input Nilai Sikap dan Catatan'!E32</f>
        <v>Berpartisipasi dengan baik dalam kegiatan keagamaan di sekolah.</v>
      </c>
      <c r="H37" s="15" t="str">
        <f>'Input Nilai Sikap dan Catatan'!F32</f>
        <v>B</v>
      </c>
      <c r="I37" s="15" t="str">
        <f>'Input Nilai Sikap dan Catatan'!G32</f>
        <v>Memiliki kemampuan kolaborasi yang baik dalam kelompok tetapi inisiatif individu masih perlu ditingkatkan</v>
      </c>
      <c r="J37" s="52">
        <v>88</v>
      </c>
      <c r="K37" s="52" t="s">
        <v>151</v>
      </c>
      <c r="L37" s="52" t="s">
        <v>1009</v>
      </c>
      <c r="M37" s="52">
        <v>86</v>
      </c>
      <c r="N37" s="52" t="s">
        <v>152</v>
      </c>
      <c r="O37" s="52" t="s">
        <v>1022</v>
      </c>
      <c r="P37" s="54">
        <v>88</v>
      </c>
      <c r="Q37" s="54" t="s">
        <v>151</v>
      </c>
      <c r="R37" s="54" t="s">
        <v>1024</v>
      </c>
      <c r="S37" s="54">
        <v>80</v>
      </c>
      <c r="T37" s="54" t="s">
        <v>152</v>
      </c>
      <c r="U37" s="54" t="s">
        <v>1063</v>
      </c>
      <c r="V37" s="182">
        <v>88</v>
      </c>
      <c r="W37" s="179" t="s">
        <v>151</v>
      </c>
      <c r="X37" s="180" t="s">
        <v>1028</v>
      </c>
      <c r="Y37" s="182">
        <v>81</v>
      </c>
      <c r="Z37" s="179" t="s">
        <v>152</v>
      </c>
      <c r="AA37" s="181" t="s">
        <v>1040</v>
      </c>
      <c r="AB37" s="54">
        <v>80</v>
      </c>
      <c r="AC37" s="54" t="s">
        <v>152</v>
      </c>
      <c r="AD37" s="54" t="s">
        <v>1043</v>
      </c>
      <c r="AE37" s="54">
        <v>83</v>
      </c>
      <c r="AF37" s="54" t="s">
        <v>152</v>
      </c>
      <c r="AG37" s="54" t="s">
        <v>1042</v>
      </c>
      <c r="AH37" s="52">
        <v>93</v>
      </c>
      <c r="AI37" s="52" t="s">
        <v>151</v>
      </c>
      <c r="AJ37" s="52" t="s">
        <v>1054</v>
      </c>
      <c r="AK37" s="52">
        <v>93</v>
      </c>
      <c r="AL37" s="52" t="s">
        <v>151</v>
      </c>
      <c r="AM37" s="52" t="s">
        <v>1052</v>
      </c>
      <c r="AN37" s="54">
        <v>81</v>
      </c>
      <c r="AO37" s="54" t="s">
        <v>152</v>
      </c>
      <c r="AP37" s="54" t="s">
        <v>1108</v>
      </c>
      <c r="AQ37" s="54">
        <v>80</v>
      </c>
      <c r="AR37" s="54" t="s">
        <v>152</v>
      </c>
      <c r="AS37" s="54" t="s">
        <v>1109</v>
      </c>
      <c r="AT37" s="52">
        <v>83</v>
      </c>
      <c r="AU37" s="52" t="s">
        <v>152</v>
      </c>
      <c r="AV37" s="52" t="s">
        <v>1061</v>
      </c>
      <c r="AW37" s="52">
        <v>83</v>
      </c>
      <c r="AX37" s="52" t="s">
        <v>152</v>
      </c>
      <c r="AY37" s="52" t="s">
        <v>1062</v>
      </c>
      <c r="AZ37" s="54">
        <v>89</v>
      </c>
      <c r="BA37" s="54" t="s">
        <v>151</v>
      </c>
      <c r="BB37" s="54" t="s">
        <v>1115</v>
      </c>
      <c r="BC37" s="54">
        <v>87</v>
      </c>
      <c r="BD37" s="54" t="s">
        <v>152</v>
      </c>
      <c r="BE37" s="54" t="s">
        <v>1116</v>
      </c>
      <c r="BF37" s="52">
        <v>85</v>
      </c>
      <c r="BG37" s="52" t="s">
        <v>152</v>
      </c>
      <c r="BH37" s="52" t="s">
        <v>1120</v>
      </c>
      <c r="BI37" s="52">
        <v>80</v>
      </c>
      <c r="BJ37" s="52" t="s">
        <v>152</v>
      </c>
      <c r="BK37" s="52" t="s">
        <v>1064</v>
      </c>
      <c r="BL37" s="54">
        <v>90</v>
      </c>
      <c r="BM37" s="54" t="s">
        <v>151</v>
      </c>
      <c r="BN37" s="54" t="s">
        <v>1123</v>
      </c>
      <c r="BO37" s="54">
        <v>84</v>
      </c>
      <c r="BP37" s="54" t="s">
        <v>152</v>
      </c>
      <c r="BQ37" s="54" t="s">
        <v>1122</v>
      </c>
      <c r="BR37" s="52">
        <v>80</v>
      </c>
      <c r="BS37" s="52" t="s">
        <v>152</v>
      </c>
      <c r="BT37" s="52" t="s">
        <v>1125</v>
      </c>
      <c r="BU37" s="52">
        <v>80</v>
      </c>
      <c r="BV37" s="52" t="s">
        <v>152</v>
      </c>
      <c r="BW37" s="52" t="s">
        <v>1066</v>
      </c>
      <c r="BX37" s="54">
        <v>83</v>
      </c>
      <c r="BY37" s="54" t="s">
        <v>152</v>
      </c>
      <c r="BZ37" s="54" t="s">
        <v>1067</v>
      </c>
      <c r="CA37" s="54">
        <v>80</v>
      </c>
      <c r="CB37" s="54" t="s">
        <v>152</v>
      </c>
      <c r="CC37" s="54" t="s">
        <v>1068</v>
      </c>
      <c r="CD37" s="52">
        <v>88</v>
      </c>
      <c r="CE37" s="52" t="s">
        <v>151</v>
      </c>
      <c r="CF37" s="52" t="s">
        <v>1079</v>
      </c>
      <c r="CG37" s="52">
        <v>89</v>
      </c>
      <c r="CH37" s="52" t="s">
        <v>151</v>
      </c>
      <c r="CI37" s="52" t="s">
        <v>1077</v>
      </c>
      <c r="CJ37" s="54">
        <v>80</v>
      </c>
      <c r="CK37" s="54" t="s">
        <v>152</v>
      </c>
      <c r="CL37" s="54" t="s">
        <v>1083</v>
      </c>
      <c r="CM37" s="54">
        <v>80</v>
      </c>
      <c r="CN37" s="54" t="s">
        <v>152</v>
      </c>
      <c r="CO37" s="54" t="s">
        <v>1082</v>
      </c>
      <c r="CP37" s="52">
        <v>87</v>
      </c>
      <c r="CQ37" s="52" t="s">
        <v>152</v>
      </c>
      <c r="CR37" s="52" t="s">
        <v>1091</v>
      </c>
      <c r="CS37" s="52">
        <v>81</v>
      </c>
      <c r="CT37" s="52" t="s">
        <v>152</v>
      </c>
      <c r="CU37" s="52" t="s">
        <v>1092</v>
      </c>
      <c r="CV37" s="54">
        <v>89</v>
      </c>
      <c r="CW37" s="54" t="s">
        <v>151</v>
      </c>
      <c r="CX37" s="54" t="s">
        <v>1101</v>
      </c>
      <c r="CY37" s="54">
        <v>95</v>
      </c>
      <c r="CZ37" s="54" t="s">
        <v>151</v>
      </c>
      <c r="DA37" s="54" t="s">
        <v>1099</v>
      </c>
      <c r="DB37" s="15" t="str">
        <f>'Input Ekstra'!E33</f>
        <v>Pramuka</v>
      </c>
      <c r="DC37" s="15" t="str">
        <f>'Input Ekstra'!F33</f>
        <v>Baik</v>
      </c>
      <c r="DD37" s="15" t="str">
        <f>'Input Ekstra'!G33</f>
        <v>Peserta didik mampu menjelaskan tentang sejarah kepramukaan dan implementasi materi kepemimpinan dalam kehidupan sehari-hari</v>
      </c>
      <c r="DE37" s="15">
        <f>'Input Ekstra'!H33</f>
        <v>0</v>
      </c>
      <c r="DF37" s="15">
        <f>'Input Ekstra'!I33</f>
        <v>0</v>
      </c>
      <c r="DG37" s="15">
        <f>'Input Ekstra'!J33</f>
        <v>0</v>
      </c>
      <c r="DH37" s="15">
        <f>'Input Kehadiran'!E33</f>
        <v>0</v>
      </c>
      <c r="DI37" s="15">
        <f>'Input Kehadiran'!F33</f>
        <v>0</v>
      </c>
      <c r="DJ37" s="15" t="str">
        <f>'Input Kehadiran'!G33</f>
        <v xml:space="preserve"> -</v>
      </c>
      <c r="DK37" s="48">
        <f>'Input Prestasi'!D34</f>
        <v>0</v>
      </c>
      <c r="DL37" s="48">
        <f>'Input Prestasi'!E34</f>
        <v>0</v>
      </c>
      <c r="DM37" s="48">
        <f>'Input Prestasi'!F34</f>
        <v>0</v>
      </c>
      <c r="DN37" s="48">
        <f>'Input Prestasi'!G34</f>
        <v>0</v>
      </c>
      <c r="DO37" s="48">
        <f>'Input Prestasi'!H34</f>
        <v>0</v>
      </c>
      <c r="DP37" s="48">
        <f>'Input Prestasi'!I34</f>
        <v>0</v>
      </c>
      <c r="DQ37" s="48">
        <f>'Input Prestasi'!J34</f>
        <v>0</v>
      </c>
      <c r="DR37" s="48">
        <f>'Input Prestasi'!K34</f>
        <v>0</v>
      </c>
      <c r="DS37" s="15" t="str">
        <f>'Input Nilai Sikap dan Catatan'!H32</f>
        <v>Peserta didik sudah menunjukkan sikap mengamalkan ajaran agamanya, konsisten menerapkan sikap santun, jujur, dan mandiri. Tingkatkan rasa ingin tahu dan sikap baik di dalam maupun di luar pembelajaran.</v>
      </c>
    </row>
    <row r="38" spans="1:123">
      <c r="A38" s="12">
        <v>30</v>
      </c>
      <c r="B38" s="23" t="str">
        <f>IF(Setting!J35="","",Setting!J35)</f>
        <v>Rayhan Yoga Edy Pratama</v>
      </c>
      <c r="C38" s="28">
        <f>IF(Setting!K35="","",Setting!K35)</f>
        <v>2008296</v>
      </c>
      <c r="D38" s="28" t="str">
        <f>IF(Setting!L35="","",Setting!L35)</f>
        <v xml:space="preserve">0041380949 </v>
      </c>
      <c r="E38" s="15" t="str">
        <f>IF(Setting!$E$11="","",Setting!$E$11)</f>
        <v>X.MIPA 4</v>
      </c>
      <c r="F38" s="15" t="str">
        <f>'Input Nilai Sikap dan Catatan'!D33</f>
        <v>B</v>
      </c>
      <c r="G38" s="15" t="str">
        <f>'Input Nilai Sikap dan Catatan'!E33</f>
        <v>Berpartisipasi dengan baik dalam kegiatan keagamaan di sekolah.</v>
      </c>
      <c r="H38" s="15" t="str">
        <f>'Input Nilai Sikap dan Catatan'!F33</f>
        <v>B</v>
      </c>
      <c r="I38" s="15" t="str">
        <f>'Input Nilai Sikap dan Catatan'!G33</f>
        <v>Memiliki kemampuan kolaborasi yang baik dalam kelompok tetapi inisiatif individu masih perlu ditingkatkan</v>
      </c>
      <c r="J38" s="52">
        <v>89</v>
      </c>
      <c r="K38" s="52" t="s">
        <v>151</v>
      </c>
      <c r="L38" s="52" t="s">
        <v>1014</v>
      </c>
      <c r="M38" s="52">
        <v>91</v>
      </c>
      <c r="N38" s="52" t="s">
        <v>151</v>
      </c>
      <c r="O38" s="52" t="s">
        <v>1020</v>
      </c>
      <c r="P38" s="54">
        <v>88</v>
      </c>
      <c r="Q38" s="54" t="s">
        <v>151</v>
      </c>
      <c r="R38" s="54" t="s">
        <v>1024</v>
      </c>
      <c r="S38" s="54">
        <v>90</v>
      </c>
      <c r="T38" s="54" t="s">
        <v>151</v>
      </c>
      <c r="U38" s="54" t="s">
        <v>1063</v>
      </c>
      <c r="V38" s="182">
        <v>88</v>
      </c>
      <c r="W38" s="179" t="s">
        <v>151</v>
      </c>
      <c r="X38" s="180" t="s">
        <v>1036</v>
      </c>
      <c r="Y38" s="182">
        <v>84</v>
      </c>
      <c r="Z38" s="179" t="s">
        <v>152</v>
      </c>
      <c r="AA38" s="181" t="s">
        <v>1026</v>
      </c>
      <c r="AB38" s="54">
        <v>88</v>
      </c>
      <c r="AC38" s="54" t="s">
        <v>151</v>
      </c>
      <c r="AD38" s="54" t="s">
        <v>1045</v>
      </c>
      <c r="AE38" s="54">
        <v>82</v>
      </c>
      <c r="AF38" s="54" t="s">
        <v>152</v>
      </c>
      <c r="AG38" s="54" t="s">
        <v>1042</v>
      </c>
      <c r="AH38" s="52">
        <v>93</v>
      </c>
      <c r="AI38" s="52" t="s">
        <v>151</v>
      </c>
      <c r="AJ38" s="52" t="s">
        <v>1054</v>
      </c>
      <c r="AK38" s="52">
        <v>93</v>
      </c>
      <c r="AL38" s="52" t="s">
        <v>151</v>
      </c>
      <c r="AM38" s="52" t="s">
        <v>1052</v>
      </c>
      <c r="AN38" s="54">
        <v>90</v>
      </c>
      <c r="AO38" s="54" t="s">
        <v>151</v>
      </c>
      <c r="AP38" s="54" t="s">
        <v>1114</v>
      </c>
      <c r="AQ38" s="54">
        <v>84</v>
      </c>
      <c r="AR38" s="54" t="s">
        <v>152</v>
      </c>
      <c r="AS38" s="54" t="s">
        <v>1060</v>
      </c>
      <c r="AT38" s="52">
        <v>83</v>
      </c>
      <c r="AU38" s="52" t="s">
        <v>152</v>
      </c>
      <c r="AV38" s="52" t="s">
        <v>1061</v>
      </c>
      <c r="AW38" s="52">
        <v>83</v>
      </c>
      <c r="AX38" s="52" t="s">
        <v>152</v>
      </c>
      <c r="AY38" s="52" t="s">
        <v>1062</v>
      </c>
      <c r="AZ38" s="54">
        <v>89</v>
      </c>
      <c r="BA38" s="54" t="s">
        <v>151</v>
      </c>
      <c r="BB38" s="54" t="s">
        <v>1115</v>
      </c>
      <c r="BC38" s="54">
        <v>87</v>
      </c>
      <c r="BD38" s="54" t="s">
        <v>152</v>
      </c>
      <c r="BE38" s="54" t="s">
        <v>1116</v>
      </c>
      <c r="BF38" s="52">
        <v>91</v>
      </c>
      <c r="BG38" s="52" t="s">
        <v>151</v>
      </c>
      <c r="BH38" s="52" t="s">
        <v>1119</v>
      </c>
      <c r="BI38" s="52">
        <v>95</v>
      </c>
      <c r="BJ38" s="52" t="s">
        <v>151</v>
      </c>
      <c r="BK38" s="52" t="s">
        <v>1064</v>
      </c>
      <c r="BL38" s="54">
        <v>90</v>
      </c>
      <c r="BM38" s="54" t="s">
        <v>151</v>
      </c>
      <c r="BN38" s="54" t="s">
        <v>1123</v>
      </c>
      <c r="BO38" s="54">
        <v>81</v>
      </c>
      <c r="BP38" s="54" t="s">
        <v>152</v>
      </c>
      <c r="BQ38" s="54" t="s">
        <v>1122</v>
      </c>
      <c r="BR38" s="52">
        <v>89</v>
      </c>
      <c r="BS38" s="52" t="s">
        <v>151</v>
      </c>
      <c r="BT38" s="52" t="s">
        <v>1125</v>
      </c>
      <c r="BU38" s="52">
        <v>82</v>
      </c>
      <c r="BV38" s="52" t="s">
        <v>152</v>
      </c>
      <c r="BW38" s="52" t="s">
        <v>1066</v>
      </c>
      <c r="BX38" s="54">
        <v>88</v>
      </c>
      <c r="BY38" s="54" t="s">
        <v>151</v>
      </c>
      <c r="BZ38" s="54" t="s">
        <v>1067</v>
      </c>
      <c r="CA38" s="54">
        <v>81</v>
      </c>
      <c r="CB38" s="54" t="s">
        <v>152</v>
      </c>
      <c r="CC38" s="54" t="s">
        <v>1068</v>
      </c>
      <c r="CD38" s="52">
        <v>89</v>
      </c>
      <c r="CE38" s="52" t="s">
        <v>151</v>
      </c>
      <c r="CF38" s="52" t="s">
        <v>1078</v>
      </c>
      <c r="CG38" s="52">
        <v>89</v>
      </c>
      <c r="CH38" s="52" t="s">
        <v>151</v>
      </c>
      <c r="CI38" s="52" t="s">
        <v>1077</v>
      </c>
      <c r="CJ38" s="54">
        <v>80</v>
      </c>
      <c r="CK38" s="54" t="s">
        <v>152</v>
      </c>
      <c r="CL38" s="54" t="s">
        <v>1081</v>
      </c>
      <c r="CM38" s="54">
        <v>81</v>
      </c>
      <c r="CN38" s="54" t="s">
        <v>152</v>
      </c>
      <c r="CO38" s="54" t="s">
        <v>1082</v>
      </c>
      <c r="CP38" s="52">
        <v>89</v>
      </c>
      <c r="CQ38" s="52" t="s">
        <v>151</v>
      </c>
      <c r="CR38" s="52" t="s">
        <v>1091</v>
      </c>
      <c r="CS38" s="52">
        <v>81</v>
      </c>
      <c r="CT38" s="52" t="s">
        <v>152</v>
      </c>
      <c r="CU38" s="52" t="s">
        <v>1092</v>
      </c>
      <c r="CV38" s="54">
        <v>91</v>
      </c>
      <c r="CW38" s="54" t="s">
        <v>151</v>
      </c>
      <c r="CX38" s="54" t="s">
        <v>1103</v>
      </c>
      <c r="CY38" s="54">
        <v>95</v>
      </c>
      <c r="CZ38" s="54" t="s">
        <v>151</v>
      </c>
      <c r="DA38" s="54" t="s">
        <v>1099</v>
      </c>
      <c r="DB38" s="15" t="str">
        <f>'Input Ekstra'!E34</f>
        <v>Pramuka</v>
      </c>
      <c r="DC38" s="15" t="str">
        <f>'Input Ekstra'!F34</f>
        <v>Amat Baik</v>
      </c>
      <c r="DD38" s="15" t="str">
        <f>'Input Ekstra'!G34</f>
        <v>Peserta didik mampu menjelaskan tentang sejarah kepramukaan dan implementasi materi kepemimpinan dalam kehidupan sehari-hari</v>
      </c>
      <c r="DE38" s="15">
        <f>'Input Ekstra'!H34</f>
        <v>0</v>
      </c>
      <c r="DF38" s="15">
        <f>'Input Ekstra'!I34</f>
        <v>0</v>
      </c>
      <c r="DG38" s="15">
        <f>'Input Ekstra'!J34</f>
        <v>0</v>
      </c>
      <c r="DH38" s="15">
        <f>'Input Kehadiran'!E34</f>
        <v>0</v>
      </c>
      <c r="DI38" s="15">
        <f>'Input Kehadiran'!F34</f>
        <v>5</v>
      </c>
      <c r="DJ38" s="15" t="str">
        <f>'Input Kehadiran'!G34</f>
        <v xml:space="preserve"> -</v>
      </c>
      <c r="DK38" s="48">
        <f>'Input Prestasi'!D35</f>
        <v>0</v>
      </c>
      <c r="DL38" s="48">
        <f>'Input Prestasi'!E35</f>
        <v>0</v>
      </c>
      <c r="DM38" s="48">
        <f>'Input Prestasi'!F35</f>
        <v>0</v>
      </c>
      <c r="DN38" s="48">
        <f>'Input Prestasi'!G35</f>
        <v>0</v>
      </c>
      <c r="DO38" s="48">
        <f>'Input Prestasi'!H35</f>
        <v>0</v>
      </c>
      <c r="DP38" s="48">
        <f>'Input Prestasi'!I35</f>
        <v>0</v>
      </c>
      <c r="DQ38" s="48">
        <f>'Input Prestasi'!J35</f>
        <v>0</v>
      </c>
      <c r="DR38" s="48">
        <f>'Input Prestasi'!K35</f>
        <v>0</v>
      </c>
      <c r="DS38" s="15" t="str">
        <f>'Input Nilai Sikap dan Catatan'!H33</f>
        <v>Peserta didik sudah menunjukkan sikap mengamalkan ajaran agamanya, konsisten menerapkan sikap santun, jujur, dan mandiri. Tingkatkan rasa ingin tahu dan sikap baik di dalam maupun di luar pembelajaran.</v>
      </c>
    </row>
    <row r="39" spans="1:123">
      <c r="A39" s="12">
        <v>31</v>
      </c>
      <c r="B39" s="23" t="str">
        <f>IF(Setting!J36="","",Setting!J36)</f>
        <v>Rusianto Munif</v>
      </c>
      <c r="C39" s="28">
        <f>IF(Setting!K36="","",Setting!K36)</f>
        <v>2008307</v>
      </c>
      <c r="D39" s="28" t="str">
        <f>IF(Setting!L36="","",Setting!L36)</f>
        <v>0060172183</v>
      </c>
      <c r="E39" s="15" t="str">
        <f>IF(Setting!$E$11="","",Setting!$E$11)</f>
        <v>X.MIPA 4</v>
      </c>
      <c r="F39" s="15" t="str">
        <f>'Input Nilai Sikap dan Catatan'!D34</f>
        <v>B</v>
      </c>
      <c r="G39" s="15" t="str">
        <f>'Input Nilai Sikap dan Catatan'!E34</f>
        <v>Berpartisipasi dengan baik dalam kegiatan keagamaan di sekolah.</v>
      </c>
      <c r="H39" s="15" t="str">
        <f>'Input Nilai Sikap dan Catatan'!F34</f>
        <v>B</v>
      </c>
      <c r="I39" s="15" t="str">
        <f>'Input Nilai Sikap dan Catatan'!G34</f>
        <v>Memiliki kemampuan kolaborasi yang baik dalam kelompok tetapi inisiatif individu masih perlu ditingkatkan</v>
      </c>
      <c r="J39" s="52">
        <v>84</v>
      </c>
      <c r="K39" s="52" t="s">
        <v>152</v>
      </c>
      <c r="L39" s="52" t="s">
        <v>1017</v>
      </c>
      <c r="M39" s="52">
        <v>80</v>
      </c>
      <c r="N39" s="52" t="s">
        <v>152</v>
      </c>
      <c r="O39" s="52" t="s">
        <v>1021</v>
      </c>
      <c r="P39" s="54">
        <v>84</v>
      </c>
      <c r="Q39" s="54" t="s">
        <v>152</v>
      </c>
      <c r="R39" s="54" t="s">
        <v>1024</v>
      </c>
      <c r="S39" s="54">
        <v>90</v>
      </c>
      <c r="T39" s="54" t="s">
        <v>151</v>
      </c>
      <c r="U39" s="54" t="s">
        <v>1063</v>
      </c>
      <c r="V39" s="182">
        <v>84</v>
      </c>
      <c r="W39" s="179" t="s">
        <v>152</v>
      </c>
      <c r="X39" s="180" t="s">
        <v>1025</v>
      </c>
      <c r="Y39" s="182">
        <v>80</v>
      </c>
      <c r="Z39" s="179" t="s">
        <v>152</v>
      </c>
      <c r="AA39" s="181" t="s">
        <v>1026</v>
      </c>
      <c r="AB39" s="54">
        <v>81</v>
      </c>
      <c r="AC39" s="54" t="s">
        <v>152</v>
      </c>
      <c r="AD39" s="54" t="s">
        <v>1041</v>
      </c>
      <c r="AE39" s="54">
        <v>80</v>
      </c>
      <c r="AF39" s="54" t="s">
        <v>152</v>
      </c>
      <c r="AG39" s="54" t="s">
        <v>1042</v>
      </c>
      <c r="AH39" s="52">
        <v>88</v>
      </c>
      <c r="AI39" s="52" t="s">
        <v>151</v>
      </c>
      <c r="AJ39" s="52" t="s">
        <v>1055</v>
      </c>
      <c r="AK39" s="52">
        <v>86</v>
      </c>
      <c r="AL39" s="52" t="s">
        <v>152</v>
      </c>
      <c r="AM39" s="52" t="s">
        <v>1052</v>
      </c>
      <c r="AN39" s="54">
        <v>81</v>
      </c>
      <c r="AO39" s="54" t="s">
        <v>152</v>
      </c>
      <c r="AP39" s="54" t="s">
        <v>1108</v>
      </c>
      <c r="AQ39" s="54">
        <v>80</v>
      </c>
      <c r="AR39" s="54" t="s">
        <v>152</v>
      </c>
      <c r="AS39" s="54" t="s">
        <v>1109</v>
      </c>
      <c r="AT39" s="52">
        <v>83</v>
      </c>
      <c r="AU39" s="52" t="s">
        <v>152</v>
      </c>
      <c r="AV39" s="52" t="s">
        <v>1061</v>
      </c>
      <c r="AW39" s="52">
        <v>83</v>
      </c>
      <c r="AX39" s="52" t="s">
        <v>152</v>
      </c>
      <c r="AY39" s="52" t="s">
        <v>1062</v>
      </c>
      <c r="AZ39" s="54">
        <v>85</v>
      </c>
      <c r="BA39" s="54" t="s">
        <v>152</v>
      </c>
      <c r="BB39" s="54" t="s">
        <v>1118</v>
      </c>
      <c r="BC39" s="54">
        <v>87</v>
      </c>
      <c r="BD39" s="54" t="s">
        <v>152</v>
      </c>
      <c r="BE39" s="54" t="s">
        <v>1116</v>
      </c>
      <c r="BF39" s="52">
        <v>88</v>
      </c>
      <c r="BG39" s="52" t="s">
        <v>151</v>
      </c>
      <c r="BH39" s="52" t="s">
        <v>1119</v>
      </c>
      <c r="BI39" s="52">
        <v>94</v>
      </c>
      <c r="BJ39" s="52" t="s">
        <v>151</v>
      </c>
      <c r="BK39" s="52" t="s">
        <v>1064</v>
      </c>
      <c r="BL39" s="54">
        <v>88</v>
      </c>
      <c r="BM39" s="54" t="s">
        <v>151</v>
      </c>
      <c r="BN39" s="54" t="s">
        <v>1123</v>
      </c>
      <c r="BO39" s="54">
        <v>80</v>
      </c>
      <c r="BP39" s="54" t="s">
        <v>152</v>
      </c>
      <c r="BQ39" s="54" t="s">
        <v>1122</v>
      </c>
      <c r="BR39" s="52">
        <v>82</v>
      </c>
      <c r="BS39" s="52" t="s">
        <v>152</v>
      </c>
      <c r="BT39" s="52" t="s">
        <v>1125</v>
      </c>
      <c r="BU39" s="52">
        <v>81</v>
      </c>
      <c r="BV39" s="52" t="s">
        <v>152</v>
      </c>
      <c r="BW39" s="52" t="s">
        <v>1066</v>
      </c>
      <c r="BX39" s="54">
        <v>88</v>
      </c>
      <c r="BY39" s="54" t="s">
        <v>151</v>
      </c>
      <c r="BZ39" s="54" t="s">
        <v>1067</v>
      </c>
      <c r="CA39" s="54">
        <v>83</v>
      </c>
      <c r="CB39" s="54" t="s">
        <v>152</v>
      </c>
      <c r="CC39" s="54" t="s">
        <v>1068</v>
      </c>
      <c r="CD39" s="52">
        <v>86</v>
      </c>
      <c r="CE39" s="52" t="s">
        <v>152</v>
      </c>
      <c r="CF39" s="52" t="s">
        <v>1076</v>
      </c>
      <c r="CG39" s="52">
        <v>89</v>
      </c>
      <c r="CH39" s="52" t="s">
        <v>151</v>
      </c>
      <c r="CI39" s="52" t="s">
        <v>1077</v>
      </c>
      <c r="CJ39" s="54">
        <v>80</v>
      </c>
      <c r="CK39" s="54" t="s">
        <v>152</v>
      </c>
      <c r="CL39" s="54" t="s">
        <v>1081</v>
      </c>
      <c r="CM39" s="54">
        <v>81</v>
      </c>
      <c r="CN39" s="54" t="s">
        <v>152</v>
      </c>
      <c r="CO39" s="54" t="s">
        <v>1082</v>
      </c>
      <c r="CP39" s="52">
        <v>83</v>
      </c>
      <c r="CQ39" s="52" t="s">
        <v>152</v>
      </c>
      <c r="CR39" s="52" t="s">
        <v>1087</v>
      </c>
      <c r="CS39" s="52">
        <v>80</v>
      </c>
      <c r="CT39" s="52" t="s">
        <v>152</v>
      </c>
      <c r="CU39" s="52" t="s">
        <v>1086</v>
      </c>
      <c r="CV39" s="54">
        <v>80</v>
      </c>
      <c r="CW39" s="54" t="s">
        <v>152</v>
      </c>
      <c r="CX39" s="54" t="s">
        <v>1101</v>
      </c>
      <c r="CY39" s="54">
        <v>80</v>
      </c>
      <c r="CZ39" s="54" t="s">
        <v>152</v>
      </c>
      <c r="DA39" s="54" t="s">
        <v>1099</v>
      </c>
      <c r="DB39" s="15" t="str">
        <f>'Input Ekstra'!E35</f>
        <v>Pramuka</v>
      </c>
      <c r="DC39" s="15" t="str">
        <f>'Input Ekstra'!F35</f>
        <v>Baik</v>
      </c>
      <c r="DD39" s="15" t="str">
        <f>'Input Ekstra'!G35</f>
        <v>Peserta didik mampu menjelaskan tentang sejarah kepramukaan dan implementasi materi kepemimpinan dalam kehidupan sehari-hari</v>
      </c>
      <c r="DE39" s="15">
        <f>'Input Ekstra'!H35</f>
        <v>0</v>
      </c>
      <c r="DF39" s="15">
        <f>'Input Ekstra'!I35</f>
        <v>0</v>
      </c>
      <c r="DG39" s="15">
        <f>'Input Ekstra'!J35</f>
        <v>0</v>
      </c>
      <c r="DH39" s="15">
        <f>'Input Kehadiran'!E35</f>
        <v>0</v>
      </c>
      <c r="DI39" s="15">
        <f>'Input Kehadiran'!F35</f>
        <v>5</v>
      </c>
      <c r="DJ39" s="15" t="str">
        <f>'Input Kehadiran'!G35</f>
        <v xml:space="preserve"> -</v>
      </c>
      <c r="DK39" s="48">
        <f>'Input Prestasi'!D36</f>
        <v>0</v>
      </c>
      <c r="DL39" s="48">
        <f>'Input Prestasi'!E36</f>
        <v>0</v>
      </c>
      <c r="DM39" s="48">
        <f>'Input Prestasi'!F36</f>
        <v>0</v>
      </c>
      <c r="DN39" s="48">
        <f>'Input Prestasi'!G36</f>
        <v>0</v>
      </c>
      <c r="DO39" s="48">
        <f>'Input Prestasi'!H36</f>
        <v>0</v>
      </c>
      <c r="DP39" s="48">
        <f>'Input Prestasi'!I36</f>
        <v>0</v>
      </c>
      <c r="DQ39" s="48">
        <f>'Input Prestasi'!J36</f>
        <v>0</v>
      </c>
      <c r="DR39" s="48">
        <f>'Input Prestasi'!K36</f>
        <v>0</v>
      </c>
      <c r="DS39" s="15" t="str">
        <f>'Input Nilai Sikap dan Catatan'!H34</f>
        <v>Peserta didik sudah menunjukkan sikap mengamalkan ajaran agamanya, konsisten menerapkan sikap santun, jujur, dan mandiri. Tingkatkan rasa ingin tahu dan sikap baik di dalam maupun di luar pembelajaran.</v>
      </c>
    </row>
    <row r="40" spans="1:123">
      <c r="A40" s="12">
        <v>32</v>
      </c>
      <c r="B40" s="23" t="str">
        <f>IF(Setting!J37="","",Setting!J37)</f>
        <v>Zaidan Mu'afy Althaf</v>
      </c>
      <c r="C40" s="28">
        <f>IF(Setting!K37="","",Setting!K37)</f>
        <v>2008347</v>
      </c>
      <c r="D40" s="28" t="str">
        <f>IF(Setting!L37="","",Setting!L37)</f>
        <v>0056182222</v>
      </c>
      <c r="E40" s="15" t="str">
        <f>IF(Setting!$E$11="","",Setting!$E$11)</f>
        <v>X.MIPA 4</v>
      </c>
      <c r="F40" s="15" t="str">
        <f>'Input Nilai Sikap dan Catatan'!D35</f>
        <v>A</v>
      </c>
      <c r="G40" s="15" t="str">
        <f>'Input Nilai Sikap dan Catatan'!E35</f>
        <v>Berpartisipasi dengan baik dalam kegiatan keagamaan di sekolah.</v>
      </c>
      <c r="H40" s="15" t="str">
        <f>'Input Nilai Sikap dan Catatan'!F35</f>
        <v>B</v>
      </c>
      <c r="I40" s="15" t="str">
        <f>'Input Nilai Sikap dan Catatan'!G35</f>
        <v>Memiliki kemampuan kolaborasi yang baik dalam kelompok tetapi inisiatif individu masih perlu ditingkatkan</v>
      </c>
      <c r="J40" s="52">
        <v>90</v>
      </c>
      <c r="K40" s="52" t="s">
        <v>151</v>
      </c>
      <c r="L40" s="52" t="s">
        <v>1018</v>
      </c>
      <c r="M40" s="52">
        <v>88</v>
      </c>
      <c r="N40" s="52" t="s">
        <v>151</v>
      </c>
      <c r="O40" s="52" t="s">
        <v>1022</v>
      </c>
      <c r="P40" s="54">
        <v>86</v>
      </c>
      <c r="Q40" s="54" t="s">
        <v>152</v>
      </c>
      <c r="R40" s="54" t="s">
        <v>1024</v>
      </c>
      <c r="S40" s="54">
        <v>85</v>
      </c>
      <c r="T40" s="54" t="s">
        <v>152</v>
      </c>
      <c r="U40" s="54" t="s">
        <v>1063</v>
      </c>
      <c r="V40" s="182">
        <v>88</v>
      </c>
      <c r="W40" s="179" t="s">
        <v>151</v>
      </c>
      <c r="X40" s="180" t="s">
        <v>1027</v>
      </c>
      <c r="Y40" s="182">
        <v>80</v>
      </c>
      <c r="Z40" s="179" t="s">
        <v>152</v>
      </c>
      <c r="AA40" s="181" t="s">
        <v>1026</v>
      </c>
      <c r="AB40" s="54">
        <v>84</v>
      </c>
      <c r="AC40" s="54" t="s">
        <v>152</v>
      </c>
      <c r="AD40" s="54" t="s">
        <v>1045</v>
      </c>
      <c r="AE40" s="54">
        <v>80</v>
      </c>
      <c r="AF40" s="54" t="s">
        <v>152</v>
      </c>
      <c r="AG40" s="54" t="s">
        <v>1042</v>
      </c>
      <c r="AH40" s="52">
        <v>93</v>
      </c>
      <c r="AI40" s="52" t="s">
        <v>151</v>
      </c>
      <c r="AJ40" s="52" t="s">
        <v>1054</v>
      </c>
      <c r="AK40" s="52">
        <v>93</v>
      </c>
      <c r="AL40" s="52" t="s">
        <v>151</v>
      </c>
      <c r="AM40" s="52" t="s">
        <v>1052</v>
      </c>
      <c r="AN40" s="54">
        <v>87</v>
      </c>
      <c r="AO40" s="54" t="s">
        <v>152</v>
      </c>
      <c r="AP40" s="54" t="s">
        <v>1110</v>
      </c>
      <c r="AQ40" s="54">
        <v>80</v>
      </c>
      <c r="AR40" s="54" t="s">
        <v>152</v>
      </c>
      <c r="AS40" s="54" t="s">
        <v>1109</v>
      </c>
      <c r="AT40" s="52">
        <v>80</v>
      </c>
      <c r="AU40" s="52" t="s">
        <v>152</v>
      </c>
      <c r="AV40" s="52" t="s">
        <v>1061</v>
      </c>
      <c r="AW40" s="52">
        <v>80</v>
      </c>
      <c r="AX40" s="52" t="s">
        <v>152</v>
      </c>
      <c r="AY40" s="52" t="s">
        <v>1062</v>
      </c>
      <c r="AZ40" s="54">
        <v>89</v>
      </c>
      <c r="BA40" s="54" t="s">
        <v>151</v>
      </c>
      <c r="BB40" s="54" t="s">
        <v>1115</v>
      </c>
      <c r="BC40" s="54">
        <v>87</v>
      </c>
      <c r="BD40" s="54" t="s">
        <v>152</v>
      </c>
      <c r="BE40" s="54" t="s">
        <v>1116</v>
      </c>
      <c r="BF40" s="52">
        <v>91</v>
      </c>
      <c r="BG40" s="52" t="s">
        <v>151</v>
      </c>
      <c r="BH40" s="52" t="s">
        <v>1120</v>
      </c>
      <c r="BI40" s="52">
        <v>80</v>
      </c>
      <c r="BJ40" s="52" t="s">
        <v>152</v>
      </c>
      <c r="BK40" s="52" t="s">
        <v>1064</v>
      </c>
      <c r="BL40" s="54">
        <v>90</v>
      </c>
      <c r="BM40" s="54" t="s">
        <v>151</v>
      </c>
      <c r="BN40" s="54" t="s">
        <v>1121</v>
      </c>
      <c r="BO40" s="54">
        <v>82</v>
      </c>
      <c r="BP40" s="54" t="s">
        <v>152</v>
      </c>
      <c r="BQ40" s="54" t="s">
        <v>1122</v>
      </c>
      <c r="BR40" s="52">
        <v>84</v>
      </c>
      <c r="BS40" s="52" t="s">
        <v>152</v>
      </c>
      <c r="BT40" s="52" t="s">
        <v>1125</v>
      </c>
      <c r="BU40" s="52">
        <v>81</v>
      </c>
      <c r="BV40" s="52" t="s">
        <v>152</v>
      </c>
      <c r="BW40" s="52" t="s">
        <v>1066</v>
      </c>
      <c r="BX40" s="54">
        <v>88</v>
      </c>
      <c r="BY40" s="54" t="s">
        <v>151</v>
      </c>
      <c r="BZ40" s="54" t="s">
        <v>1070</v>
      </c>
      <c r="CA40" s="54">
        <v>80</v>
      </c>
      <c r="CB40" s="54" t="s">
        <v>152</v>
      </c>
      <c r="CC40" s="54" t="s">
        <v>1068</v>
      </c>
      <c r="CD40" s="52">
        <v>91</v>
      </c>
      <c r="CE40" s="52" t="s">
        <v>151</v>
      </c>
      <c r="CF40" s="52" t="s">
        <v>1078</v>
      </c>
      <c r="CG40" s="52">
        <v>89</v>
      </c>
      <c r="CH40" s="52" t="s">
        <v>151</v>
      </c>
      <c r="CI40" s="52" t="s">
        <v>1077</v>
      </c>
      <c r="CJ40" s="54">
        <v>80</v>
      </c>
      <c r="CK40" s="54" t="s">
        <v>152</v>
      </c>
      <c r="CL40" s="54" t="s">
        <v>1081</v>
      </c>
      <c r="CM40" s="54">
        <v>80</v>
      </c>
      <c r="CN40" s="54" t="s">
        <v>152</v>
      </c>
      <c r="CO40" s="54" t="s">
        <v>1082</v>
      </c>
      <c r="CP40" s="52">
        <v>88</v>
      </c>
      <c r="CQ40" s="52" t="s">
        <v>151</v>
      </c>
      <c r="CR40" s="52" t="s">
        <v>1096</v>
      </c>
      <c r="CS40" s="52">
        <v>83</v>
      </c>
      <c r="CT40" s="52" t="s">
        <v>152</v>
      </c>
      <c r="CU40" s="52" t="s">
        <v>1092</v>
      </c>
      <c r="CV40" s="54">
        <v>85</v>
      </c>
      <c r="CW40" s="54" t="s">
        <v>152</v>
      </c>
      <c r="CX40" s="54" t="s">
        <v>1100</v>
      </c>
      <c r="CY40" s="54">
        <v>80</v>
      </c>
      <c r="CZ40" s="54" t="s">
        <v>152</v>
      </c>
      <c r="DA40" s="54" t="s">
        <v>1099</v>
      </c>
      <c r="DB40" s="15" t="str">
        <f>'Input Ekstra'!E36</f>
        <v>Pramuka</v>
      </c>
      <c r="DC40" s="15" t="str">
        <f>'Input Ekstra'!F36</f>
        <v>Baik</v>
      </c>
      <c r="DD40" s="15" t="str">
        <f>'Input Ekstra'!G36</f>
        <v>Peserta didik mampu menjelaskan tentang sejarah kepramukaan dan implementasi materi kepemimpinan dalam kehidupan sehari-hari</v>
      </c>
      <c r="DE40" s="15">
        <f>'Input Ekstra'!H36</f>
        <v>0</v>
      </c>
      <c r="DF40" s="15">
        <f>'Input Ekstra'!I36</f>
        <v>0</v>
      </c>
      <c r="DG40" s="15">
        <f>'Input Ekstra'!J36</f>
        <v>0</v>
      </c>
      <c r="DH40" s="15">
        <f>'Input Kehadiran'!E36</f>
        <v>0</v>
      </c>
      <c r="DI40" s="15">
        <f>'Input Kehadiran'!F36</f>
        <v>5</v>
      </c>
      <c r="DJ40" s="15" t="str">
        <f>'Input Kehadiran'!G36</f>
        <v xml:space="preserve"> -</v>
      </c>
      <c r="DK40" s="48">
        <f>'Input Prestasi'!D37</f>
        <v>0</v>
      </c>
      <c r="DL40" s="48">
        <f>'Input Prestasi'!E37</f>
        <v>0</v>
      </c>
      <c r="DM40" s="48">
        <f>'Input Prestasi'!F37</f>
        <v>0</v>
      </c>
      <c r="DN40" s="48">
        <f>'Input Prestasi'!G37</f>
        <v>0</v>
      </c>
      <c r="DO40" s="48">
        <f>'Input Prestasi'!H37</f>
        <v>0</v>
      </c>
      <c r="DP40" s="48">
        <f>'Input Prestasi'!I37</f>
        <v>0</v>
      </c>
      <c r="DQ40" s="48">
        <f>'Input Prestasi'!J37</f>
        <v>0</v>
      </c>
      <c r="DR40" s="48">
        <f>'Input Prestasi'!K37</f>
        <v>0</v>
      </c>
      <c r="DS40" s="15" t="str">
        <f>'Input Nilai Sikap dan Catatan'!H35</f>
        <v>Peserta didik sudah menunjukkan sikap mengamalkan ajaran agamanya, konsisten menerapkan sikap santun, jujur, dan mandiri. Tingkatkan rasa ingin tahu dan sikap baik di dalam maupun di luar pembelajaran.</v>
      </c>
    </row>
    <row r="41" spans="1:123">
      <c r="A41" s="12">
        <v>33</v>
      </c>
      <c r="B41" s="23" t="str">
        <f>IF(Setting!J38="","",Setting!J38)</f>
        <v/>
      </c>
      <c r="C41" s="28" t="str">
        <f>IF(Setting!K38="","",Setting!K38)</f>
        <v/>
      </c>
      <c r="D41" s="28" t="str">
        <f>IF(Setting!L38="","",Setting!L38)</f>
        <v/>
      </c>
      <c r="E41" s="15" t="str">
        <f>IF(Setting!$E$11="","",Setting!$E$11)</f>
        <v>X.MIPA 4</v>
      </c>
      <c r="F41" s="15">
        <f>'Input Nilai Sikap dan Catatan'!D36</f>
        <v>0</v>
      </c>
      <c r="G41" s="15">
        <f>'Input Nilai Sikap dan Catatan'!E36</f>
        <v>0</v>
      </c>
      <c r="H41" s="15">
        <f>'Input Nilai Sikap dan Catatan'!F36</f>
        <v>0</v>
      </c>
      <c r="I41" s="15">
        <f>'Input Nilai Sikap dan Catatan'!G36</f>
        <v>0</v>
      </c>
      <c r="J41" s="52"/>
      <c r="K41" s="52"/>
      <c r="L41" s="52"/>
      <c r="M41" s="52"/>
      <c r="N41" s="52"/>
      <c r="O41" s="52"/>
      <c r="P41" s="54" t="s">
        <v>182</v>
      </c>
      <c r="Q41" s="54" t="s">
        <v>182</v>
      </c>
      <c r="R41" s="54" t="s">
        <v>182</v>
      </c>
      <c r="S41" s="54" t="s">
        <v>182</v>
      </c>
      <c r="T41" s="54" t="s">
        <v>182</v>
      </c>
      <c r="U41" s="54" t="s">
        <v>182</v>
      </c>
      <c r="V41" s="166" t="s">
        <v>182</v>
      </c>
      <c r="W41" s="167" t="s">
        <v>182</v>
      </c>
      <c r="X41" s="168" t="s">
        <v>182</v>
      </c>
      <c r="Y41" s="166" t="s">
        <v>182</v>
      </c>
      <c r="Z41" s="167" t="s">
        <v>182</v>
      </c>
      <c r="AA41" s="169" t="s">
        <v>182</v>
      </c>
      <c r="AB41" s="54" t="s">
        <v>182</v>
      </c>
      <c r="AC41" s="54" t="s">
        <v>182</v>
      </c>
      <c r="AD41" s="54" t="s">
        <v>182</v>
      </c>
      <c r="AE41" s="54" t="s">
        <v>182</v>
      </c>
      <c r="AF41" s="54" t="s">
        <v>182</v>
      </c>
      <c r="AG41" s="54" t="s">
        <v>182</v>
      </c>
      <c r="AH41" s="52" t="s">
        <v>182</v>
      </c>
      <c r="AI41" s="52" t="s">
        <v>182</v>
      </c>
      <c r="AJ41" s="52" t="s">
        <v>182</v>
      </c>
      <c r="AK41" s="52" t="s">
        <v>182</v>
      </c>
      <c r="AL41" s="52" t="s">
        <v>182</v>
      </c>
      <c r="AM41" s="52" t="s">
        <v>182</v>
      </c>
      <c r="AN41" s="54" t="s">
        <v>182</v>
      </c>
      <c r="AO41" s="54" t="s">
        <v>182</v>
      </c>
      <c r="AP41" s="54" t="s">
        <v>182</v>
      </c>
      <c r="AQ41" s="54" t="s">
        <v>182</v>
      </c>
      <c r="AR41" s="54" t="s">
        <v>182</v>
      </c>
      <c r="AS41" s="54" t="s">
        <v>182</v>
      </c>
      <c r="AT41" s="52" t="s">
        <v>182</v>
      </c>
      <c r="AU41" s="52" t="s">
        <v>182</v>
      </c>
      <c r="AV41" s="52" t="s">
        <v>182</v>
      </c>
      <c r="AW41" s="52" t="s">
        <v>182</v>
      </c>
      <c r="AX41" s="52" t="s">
        <v>182</v>
      </c>
      <c r="AY41" s="52" t="s">
        <v>182</v>
      </c>
      <c r="AZ41" s="54" t="s">
        <v>182</v>
      </c>
      <c r="BA41" s="54" t="s">
        <v>182</v>
      </c>
      <c r="BB41" s="54" t="s">
        <v>182</v>
      </c>
      <c r="BC41" s="54" t="s">
        <v>182</v>
      </c>
      <c r="BD41" s="54" t="s">
        <v>182</v>
      </c>
      <c r="BE41" s="54" t="s">
        <v>182</v>
      </c>
      <c r="BF41" s="52" t="s">
        <v>182</v>
      </c>
      <c r="BG41" s="52" t="s">
        <v>182</v>
      </c>
      <c r="BH41" s="52" t="s">
        <v>182</v>
      </c>
      <c r="BI41" s="52" t="s">
        <v>182</v>
      </c>
      <c r="BJ41" s="52" t="s">
        <v>182</v>
      </c>
      <c r="BK41" s="52" t="s">
        <v>182</v>
      </c>
      <c r="BL41" s="54" t="s">
        <v>182</v>
      </c>
      <c r="BM41" s="54" t="s">
        <v>182</v>
      </c>
      <c r="BN41" s="54" t="s">
        <v>182</v>
      </c>
      <c r="BO41" s="54" t="s">
        <v>182</v>
      </c>
      <c r="BP41" s="54" t="s">
        <v>182</v>
      </c>
      <c r="BQ41" s="54" t="s">
        <v>182</v>
      </c>
      <c r="BR41" s="52" t="s">
        <v>182</v>
      </c>
      <c r="BS41" s="52" t="s">
        <v>182</v>
      </c>
      <c r="BT41" s="52" t="s">
        <v>182</v>
      </c>
      <c r="BU41" s="52" t="s">
        <v>182</v>
      </c>
      <c r="BV41" s="52" t="s">
        <v>182</v>
      </c>
      <c r="BW41" s="52" t="s">
        <v>182</v>
      </c>
      <c r="BX41" s="54" t="s">
        <v>182</v>
      </c>
      <c r="BY41" s="54" t="s">
        <v>182</v>
      </c>
      <c r="BZ41" s="54" t="s">
        <v>182</v>
      </c>
      <c r="CA41" s="54" t="s">
        <v>182</v>
      </c>
      <c r="CB41" s="54" t="s">
        <v>182</v>
      </c>
      <c r="CC41" s="54" t="s">
        <v>182</v>
      </c>
      <c r="CD41" s="52" t="s">
        <v>182</v>
      </c>
      <c r="CE41" s="52" t="s">
        <v>182</v>
      </c>
      <c r="CF41" s="52" t="s">
        <v>182</v>
      </c>
      <c r="CG41" s="52" t="s">
        <v>182</v>
      </c>
      <c r="CH41" s="52" t="s">
        <v>182</v>
      </c>
      <c r="CI41" s="52" t="s">
        <v>182</v>
      </c>
      <c r="CJ41" s="54" t="s">
        <v>182</v>
      </c>
      <c r="CK41" s="54" t="s">
        <v>182</v>
      </c>
      <c r="CL41" s="54" t="s">
        <v>182</v>
      </c>
      <c r="CM41" s="54" t="s">
        <v>182</v>
      </c>
      <c r="CN41" s="54" t="s">
        <v>182</v>
      </c>
      <c r="CO41" s="54" t="s">
        <v>182</v>
      </c>
      <c r="CP41" s="52"/>
      <c r="CQ41" s="52"/>
      <c r="CR41" s="52"/>
      <c r="CS41" s="52"/>
      <c r="CT41" s="52"/>
      <c r="CU41" s="52"/>
      <c r="CV41" s="54" t="s">
        <v>182</v>
      </c>
      <c r="CW41" s="54" t="s">
        <v>182</v>
      </c>
      <c r="CX41" s="54" t="s">
        <v>182</v>
      </c>
      <c r="CY41" s="54" t="s">
        <v>182</v>
      </c>
      <c r="CZ41" s="54" t="s">
        <v>182</v>
      </c>
      <c r="DA41" s="54" t="s">
        <v>182</v>
      </c>
      <c r="DB41" s="15">
        <f>'Input Ekstra'!E37</f>
        <v>0</v>
      </c>
      <c r="DC41" s="15">
        <f>'Input Ekstra'!F37</f>
        <v>0</v>
      </c>
      <c r="DD41" s="15">
        <f>'Input Ekstra'!G37</f>
        <v>0</v>
      </c>
      <c r="DE41" s="15">
        <f>'Input Ekstra'!H37</f>
        <v>0</v>
      </c>
      <c r="DF41" s="15">
        <f>'Input Ekstra'!I37</f>
        <v>0</v>
      </c>
      <c r="DG41" s="15">
        <f>'Input Ekstra'!J37</f>
        <v>0</v>
      </c>
      <c r="DH41" s="15">
        <f>'Input Kehadiran'!E37</f>
        <v>0</v>
      </c>
      <c r="DI41" s="15">
        <f>'Input Kehadiran'!F37</f>
        <v>0</v>
      </c>
      <c r="DJ41" s="15">
        <f>'Input Kehadiran'!G37</f>
        <v>0</v>
      </c>
      <c r="DK41" s="48">
        <f>'Input Prestasi'!D38</f>
        <v>0</v>
      </c>
      <c r="DL41" s="48">
        <f>'Input Prestasi'!E38</f>
        <v>0</v>
      </c>
      <c r="DM41" s="48">
        <f>'Input Prestasi'!F38</f>
        <v>0</v>
      </c>
      <c r="DN41" s="48">
        <f>'Input Prestasi'!G38</f>
        <v>0</v>
      </c>
      <c r="DO41" s="48">
        <f>'Input Prestasi'!H38</f>
        <v>0</v>
      </c>
      <c r="DP41" s="48">
        <f>'Input Prestasi'!I38</f>
        <v>0</v>
      </c>
      <c r="DQ41" s="48">
        <f>'Input Prestasi'!J38</f>
        <v>0</v>
      </c>
      <c r="DR41" s="48">
        <f>'Input Prestasi'!K38</f>
        <v>0</v>
      </c>
      <c r="DS41" s="15">
        <f>'Input Nilai Sikap dan Catatan'!H36</f>
        <v>0</v>
      </c>
    </row>
    <row r="42" spans="1:123">
      <c r="A42" s="12">
        <v>34</v>
      </c>
      <c r="B42" s="23" t="str">
        <f>IF(Setting!J39="","",Setting!J39)</f>
        <v/>
      </c>
      <c r="C42" s="28" t="str">
        <f>IF(Setting!K39="","",Setting!K39)</f>
        <v/>
      </c>
      <c r="D42" s="28" t="str">
        <f>IF(Setting!L39="","",Setting!L39)</f>
        <v/>
      </c>
      <c r="E42" s="15" t="str">
        <f>IF(Setting!$E$11="","",Setting!$E$11)</f>
        <v>X.MIPA 4</v>
      </c>
      <c r="F42" s="15">
        <f>'Input Nilai Sikap dan Catatan'!D37</f>
        <v>0</v>
      </c>
      <c r="G42" s="15">
        <f>'Input Nilai Sikap dan Catatan'!E37</f>
        <v>0</v>
      </c>
      <c r="H42" s="15">
        <f>'Input Nilai Sikap dan Catatan'!F37</f>
        <v>0</v>
      </c>
      <c r="I42" s="15">
        <f>'Input Nilai Sikap dan Catatan'!G37</f>
        <v>0</v>
      </c>
      <c r="J42" s="52"/>
      <c r="K42" s="52"/>
      <c r="L42" s="52"/>
      <c r="M42" s="52"/>
      <c r="N42" s="52"/>
      <c r="O42" s="52"/>
      <c r="P42" s="54" t="s">
        <v>182</v>
      </c>
      <c r="Q42" s="54" t="s">
        <v>182</v>
      </c>
      <c r="R42" s="54" t="s">
        <v>182</v>
      </c>
      <c r="S42" s="54" t="s">
        <v>182</v>
      </c>
      <c r="T42" s="54" t="s">
        <v>182</v>
      </c>
      <c r="U42" s="54" t="s">
        <v>182</v>
      </c>
      <c r="V42" s="166" t="s">
        <v>182</v>
      </c>
      <c r="W42" s="167" t="s">
        <v>182</v>
      </c>
      <c r="X42" s="168" t="s">
        <v>182</v>
      </c>
      <c r="Y42" s="166" t="s">
        <v>182</v>
      </c>
      <c r="Z42" s="167" t="s">
        <v>182</v>
      </c>
      <c r="AA42" s="169" t="s">
        <v>182</v>
      </c>
      <c r="AB42" s="54" t="s">
        <v>182</v>
      </c>
      <c r="AC42" s="54" t="s">
        <v>182</v>
      </c>
      <c r="AD42" s="54" t="s">
        <v>182</v>
      </c>
      <c r="AE42" s="54" t="s">
        <v>182</v>
      </c>
      <c r="AF42" s="54" t="s">
        <v>182</v>
      </c>
      <c r="AG42" s="54" t="s">
        <v>182</v>
      </c>
      <c r="AH42" s="52" t="s">
        <v>182</v>
      </c>
      <c r="AI42" s="52" t="s">
        <v>182</v>
      </c>
      <c r="AJ42" s="52" t="s">
        <v>182</v>
      </c>
      <c r="AK42" s="52" t="s">
        <v>182</v>
      </c>
      <c r="AL42" s="52" t="s">
        <v>182</v>
      </c>
      <c r="AM42" s="52" t="s">
        <v>182</v>
      </c>
      <c r="AN42" s="54" t="s">
        <v>182</v>
      </c>
      <c r="AO42" s="54" t="s">
        <v>182</v>
      </c>
      <c r="AP42" s="54" t="s">
        <v>182</v>
      </c>
      <c r="AQ42" s="54" t="s">
        <v>182</v>
      </c>
      <c r="AR42" s="54" t="s">
        <v>182</v>
      </c>
      <c r="AS42" s="54" t="s">
        <v>182</v>
      </c>
      <c r="AT42" s="52" t="s">
        <v>182</v>
      </c>
      <c r="AU42" s="52" t="s">
        <v>182</v>
      </c>
      <c r="AV42" s="52" t="s">
        <v>182</v>
      </c>
      <c r="AW42" s="52" t="s">
        <v>182</v>
      </c>
      <c r="AX42" s="52" t="s">
        <v>182</v>
      </c>
      <c r="AY42" s="52" t="s">
        <v>182</v>
      </c>
      <c r="AZ42" s="54" t="s">
        <v>182</v>
      </c>
      <c r="BA42" s="54" t="s">
        <v>182</v>
      </c>
      <c r="BB42" s="54" t="s">
        <v>182</v>
      </c>
      <c r="BC42" s="54" t="s">
        <v>182</v>
      </c>
      <c r="BD42" s="54" t="s">
        <v>182</v>
      </c>
      <c r="BE42" s="54" t="s">
        <v>182</v>
      </c>
      <c r="BF42" s="52" t="s">
        <v>182</v>
      </c>
      <c r="BG42" s="52" t="s">
        <v>182</v>
      </c>
      <c r="BH42" s="52" t="s">
        <v>182</v>
      </c>
      <c r="BI42" s="52" t="s">
        <v>182</v>
      </c>
      <c r="BJ42" s="52" t="s">
        <v>182</v>
      </c>
      <c r="BK42" s="52" t="s">
        <v>182</v>
      </c>
      <c r="BL42" s="54" t="s">
        <v>182</v>
      </c>
      <c r="BM42" s="54" t="s">
        <v>182</v>
      </c>
      <c r="BN42" s="54" t="s">
        <v>182</v>
      </c>
      <c r="BO42" s="54" t="s">
        <v>182</v>
      </c>
      <c r="BP42" s="54" t="s">
        <v>182</v>
      </c>
      <c r="BQ42" s="54" t="s">
        <v>182</v>
      </c>
      <c r="BR42" s="52" t="s">
        <v>182</v>
      </c>
      <c r="BS42" s="52" t="s">
        <v>182</v>
      </c>
      <c r="BT42" s="52" t="s">
        <v>182</v>
      </c>
      <c r="BU42" s="52" t="s">
        <v>182</v>
      </c>
      <c r="BV42" s="52" t="s">
        <v>182</v>
      </c>
      <c r="BW42" s="52" t="s">
        <v>182</v>
      </c>
      <c r="BX42" s="54" t="s">
        <v>182</v>
      </c>
      <c r="BY42" s="54" t="s">
        <v>182</v>
      </c>
      <c r="BZ42" s="54" t="s">
        <v>182</v>
      </c>
      <c r="CA42" s="54" t="s">
        <v>182</v>
      </c>
      <c r="CB42" s="54" t="s">
        <v>182</v>
      </c>
      <c r="CC42" s="54" t="s">
        <v>182</v>
      </c>
      <c r="CD42" s="52" t="s">
        <v>182</v>
      </c>
      <c r="CE42" s="52" t="s">
        <v>182</v>
      </c>
      <c r="CF42" s="52" t="s">
        <v>182</v>
      </c>
      <c r="CG42" s="52" t="s">
        <v>182</v>
      </c>
      <c r="CH42" s="52" t="s">
        <v>182</v>
      </c>
      <c r="CI42" s="52" t="s">
        <v>182</v>
      </c>
      <c r="CJ42" s="54" t="s">
        <v>182</v>
      </c>
      <c r="CK42" s="54" t="s">
        <v>182</v>
      </c>
      <c r="CL42" s="54" t="s">
        <v>182</v>
      </c>
      <c r="CM42" s="54" t="s">
        <v>182</v>
      </c>
      <c r="CN42" s="54" t="s">
        <v>182</v>
      </c>
      <c r="CO42" s="54" t="s">
        <v>182</v>
      </c>
      <c r="CP42" s="52"/>
      <c r="CQ42" s="52"/>
      <c r="CR42" s="52"/>
      <c r="CS42" s="52"/>
      <c r="CT42" s="52"/>
      <c r="CU42" s="52"/>
      <c r="CV42" s="54" t="s">
        <v>182</v>
      </c>
      <c r="CW42" s="54" t="s">
        <v>182</v>
      </c>
      <c r="CX42" s="54" t="s">
        <v>182</v>
      </c>
      <c r="CY42" s="54" t="s">
        <v>182</v>
      </c>
      <c r="CZ42" s="54" t="s">
        <v>182</v>
      </c>
      <c r="DA42" s="54" t="s">
        <v>182</v>
      </c>
      <c r="DB42" s="15">
        <f>'Input Ekstra'!E38</f>
        <v>0</v>
      </c>
      <c r="DC42" s="15">
        <f>'Input Ekstra'!F38</f>
        <v>0</v>
      </c>
      <c r="DD42" s="15">
        <f>'Input Ekstra'!G38</f>
        <v>0</v>
      </c>
      <c r="DE42" s="15">
        <f>'Input Ekstra'!H38</f>
        <v>0</v>
      </c>
      <c r="DF42" s="15">
        <f>'Input Ekstra'!I38</f>
        <v>0</v>
      </c>
      <c r="DG42" s="15">
        <f>'Input Ekstra'!J38</f>
        <v>0</v>
      </c>
      <c r="DH42" s="15">
        <f>'Input Kehadiran'!E38</f>
        <v>0</v>
      </c>
      <c r="DI42" s="15">
        <f>'Input Kehadiran'!F38</f>
        <v>0</v>
      </c>
      <c r="DJ42" s="15">
        <f>'Input Kehadiran'!G38</f>
        <v>0</v>
      </c>
      <c r="DK42" s="48">
        <f>'Input Prestasi'!D39</f>
        <v>0</v>
      </c>
      <c r="DL42" s="48">
        <f>'Input Prestasi'!E39</f>
        <v>0</v>
      </c>
      <c r="DM42" s="48">
        <f>'Input Prestasi'!F39</f>
        <v>0</v>
      </c>
      <c r="DN42" s="48">
        <f>'Input Prestasi'!G39</f>
        <v>0</v>
      </c>
      <c r="DO42" s="48">
        <f>'Input Prestasi'!H39</f>
        <v>0</v>
      </c>
      <c r="DP42" s="48">
        <f>'Input Prestasi'!I39</f>
        <v>0</v>
      </c>
      <c r="DQ42" s="48">
        <f>'Input Prestasi'!J39</f>
        <v>0</v>
      </c>
      <c r="DR42" s="48">
        <f>'Input Prestasi'!K39</f>
        <v>0</v>
      </c>
      <c r="DS42" s="15">
        <f>'Input Nilai Sikap dan Catatan'!H37</f>
        <v>0</v>
      </c>
    </row>
    <row r="43" spans="1:123">
      <c r="A43" s="12">
        <v>35</v>
      </c>
      <c r="B43" s="23" t="str">
        <f>IF(Setting!J40="","",Setting!J40)</f>
        <v/>
      </c>
      <c r="C43" s="28" t="str">
        <f>IF(Setting!K40="","",Setting!K40)</f>
        <v/>
      </c>
      <c r="D43" s="28" t="str">
        <f>IF(Setting!L40="","",Setting!L40)</f>
        <v/>
      </c>
      <c r="E43" s="15" t="str">
        <f>IF(Setting!$E$11="","",Setting!$E$11)</f>
        <v>X.MIPA 4</v>
      </c>
      <c r="F43" s="15">
        <f>'Input Nilai Sikap dan Catatan'!D38</f>
        <v>0</v>
      </c>
      <c r="G43" s="15">
        <f>'Input Nilai Sikap dan Catatan'!E38</f>
        <v>0</v>
      </c>
      <c r="H43" s="15">
        <f>'Input Nilai Sikap dan Catatan'!F38</f>
        <v>0</v>
      </c>
      <c r="I43" s="15">
        <f>'Input Nilai Sikap dan Catatan'!G38</f>
        <v>0</v>
      </c>
      <c r="J43" s="52"/>
      <c r="K43" s="52"/>
      <c r="L43" s="52"/>
      <c r="M43" s="52"/>
      <c r="N43" s="52"/>
      <c r="O43" s="52"/>
      <c r="P43" s="54" t="s">
        <v>182</v>
      </c>
      <c r="Q43" s="54" t="s">
        <v>182</v>
      </c>
      <c r="R43" s="54" t="s">
        <v>182</v>
      </c>
      <c r="S43" s="54" t="s">
        <v>182</v>
      </c>
      <c r="T43" s="54" t="s">
        <v>182</v>
      </c>
      <c r="U43" s="54" t="s">
        <v>182</v>
      </c>
      <c r="V43" s="166" t="s">
        <v>182</v>
      </c>
      <c r="W43" s="167" t="s">
        <v>182</v>
      </c>
      <c r="X43" s="168" t="s">
        <v>182</v>
      </c>
      <c r="Y43" s="166" t="s">
        <v>182</v>
      </c>
      <c r="Z43" s="167" t="s">
        <v>182</v>
      </c>
      <c r="AA43" s="169" t="s">
        <v>182</v>
      </c>
      <c r="AB43" s="54" t="s">
        <v>182</v>
      </c>
      <c r="AC43" s="54" t="s">
        <v>182</v>
      </c>
      <c r="AD43" s="54" t="s">
        <v>182</v>
      </c>
      <c r="AE43" s="54" t="s">
        <v>182</v>
      </c>
      <c r="AF43" s="54" t="s">
        <v>182</v>
      </c>
      <c r="AG43" s="54" t="s">
        <v>182</v>
      </c>
      <c r="AH43" s="52" t="s">
        <v>182</v>
      </c>
      <c r="AI43" s="52" t="s">
        <v>182</v>
      </c>
      <c r="AJ43" s="52" t="s">
        <v>182</v>
      </c>
      <c r="AK43" s="52" t="s">
        <v>182</v>
      </c>
      <c r="AL43" s="52" t="s">
        <v>182</v>
      </c>
      <c r="AM43" s="52" t="s">
        <v>182</v>
      </c>
      <c r="AN43" s="54" t="s">
        <v>182</v>
      </c>
      <c r="AO43" s="54" t="s">
        <v>182</v>
      </c>
      <c r="AP43" s="54" t="s">
        <v>182</v>
      </c>
      <c r="AQ43" s="54" t="s">
        <v>182</v>
      </c>
      <c r="AR43" s="54" t="s">
        <v>182</v>
      </c>
      <c r="AS43" s="54" t="s">
        <v>182</v>
      </c>
      <c r="AT43" s="52" t="s">
        <v>182</v>
      </c>
      <c r="AU43" s="52" t="s">
        <v>182</v>
      </c>
      <c r="AV43" s="52" t="s">
        <v>182</v>
      </c>
      <c r="AW43" s="52" t="s">
        <v>182</v>
      </c>
      <c r="AX43" s="52" t="s">
        <v>182</v>
      </c>
      <c r="AY43" s="52" t="s">
        <v>182</v>
      </c>
      <c r="AZ43" s="54" t="s">
        <v>182</v>
      </c>
      <c r="BA43" s="54" t="s">
        <v>182</v>
      </c>
      <c r="BB43" s="54" t="s">
        <v>182</v>
      </c>
      <c r="BC43" s="54" t="s">
        <v>182</v>
      </c>
      <c r="BD43" s="54" t="s">
        <v>182</v>
      </c>
      <c r="BE43" s="54" t="s">
        <v>182</v>
      </c>
      <c r="BF43" s="52" t="s">
        <v>182</v>
      </c>
      <c r="BG43" s="52" t="s">
        <v>182</v>
      </c>
      <c r="BH43" s="52" t="s">
        <v>182</v>
      </c>
      <c r="BI43" s="52" t="s">
        <v>182</v>
      </c>
      <c r="BJ43" s="52" t="s">
        <v>182</v>
      </c>
      <c r="BK43" s="52" t="s">
        <v>182</v>
      </c>
      <c r="BL43" s="54" t="s">
        <v>182</v>
      </c>
      <c r="BM43" s="54" t="s">
        <v>182</v>
      </c>
      <c r="BN43" s="54" t="s">
        <v>182</v>
      </c>
      <c r="BO43" s="54" t="s">
        <v>182</v>
      </c>
      <c r="BP43" s="54" t="s">
        <v>182</v>
      </c>
      <c r="BQ43" s="54" t="s">
        <v>182</v>
      </c>
      <c r="BR43" s="52" t="s">
        <v>182</v>
      </c>
      <c r="BS43" s="52" t="s">
        <v>182</v>
      </c>
      <c r="BT43" s="52" t="s">
        <v>182</v>
      </c>
      <c r="BU43" s="52" t="s">
        <v>182</v>
      </c>
      <c r="BV43" s="52" t="s">
        <v>182</v>
      </c>
      <c r="BW43" s="52" t="s">
        <v>182</v>
      </c>
      <c r="BX43" s="54" t="s">
        <v>182</v>
      </c>
      <c r="BY43" s="54" t="s">
        <v>182</v>
      </c>
      <c r="BZ43" s="54" t="s">
        <v>182</v>
      </c>
      <c r="CA43" s="54" t="s">
        <v>182</v>
      </c>
      <c r="CB43" s="54" t="s">
        <v>182</v>
      </c>
      <c r="CC43" s="54" t="s">
        <v>182</v>
      </c>
      <c r="CD43" s="52" t="s">
        <v>182</v>
      </c>
      <c r="CE43" s="52" t="s">
        <v>182</v>
      </c>
      <c r="CF43" s="52" t="s">
        <v>182</v>
      </c>
      <c r="CG43" s="52" t="s">
        <v>182</v>
      </c>
      <c r="CH43" s="52" t="s">
        <v>182</v>
      </c>
      <c r="CI43" s="52" t="s">
        <v>182</v>
      </c>
      <c r="CJ43" s="54" t="s">
        <v>182</v>
      </c>
      <c r="CK43" s="54" t="s">
        <v>182</v>
      </c>
      <c r="CL43" s="54" t="s">
        <v>182</v>
      </c>
      <c r="CM43" s="54" t="s">
        <v>182</v>
      </c>
      <c r="CN43" s="54" t="s">
        <v>182</v>
      </c>
      <c r="CO43" s="54" t="s">
        <v>182</v>
      </c>
      <c r="CP43" s="52"/>
      <c r="CQ43" s="52"/>
      <c r="CR43" s="52"/>
      <c r="CS43" s="52"/>
      <c r="CT43" s="52"/>
      <c r="CU43" s="52"/>
      <c r="CV43" s="54" t="s">
        <v>182</v>
      </c>
      <c r="CW43" s="54" t="s">
        <v>182</v>
      </c>
      <c r="CX43" s="54" t="s">
        <v>182</v>
      </c>
      <c r="CY43" s="54" t="s">
        <v>182</v>
      </c>
      <c r="CZ43" s="54" t="s">
        <v>182</v>
      </c>
      <c r="DA43" s="54" t="s">
        <v>182</v>
      </c>
      <c r="DB43" s="15">
        <f>'Input Ekstra'!E39</f>
        <v>0</v>
      </c>
      <c r="DC43" s="15">
        <f>'Input Ekstra'!F39</f>
        <v>0</v>
      </c>
      <c r="DD43" s="15">
        <f>'Input Ekstra'!G39</f>
        <v>0</v>
      </c>
      <c r="DE43" s="15">
        <f>'Input Ekstra'!H39</f>
        <v>0</v>
      </c>
      <c r="DF43" s="15">
        <f>'Input Ekstra'!I39</f>
        <v>0</v>
      </c>
      <c r="DG43" s="15">
        <f>'Input Ekstra'!J39</f>
        <v>0</v>
      </c>
      <c r="DH43" s="15">
        <f>'Input Kehadiran'!E39</f>
        <v>0</v>
      </c>
      <c r="DI43" s="15">
        <f>'Input Kehadiran'!F39</f>
        <v>0</v>
      </c>
      <c r="DJ43" s="15">
        <f>'Input Kehadiran'!G39</f>
        <v>0</v>
      </c>
      <c r="DK43" s="48">
        <f>'Input Prestasi'!D40</f>
        <v>0</v>
      </c>
      <c r="DL43" s="48">
        <f>'Input Prestasi'!E40</f>
        <v>0</v>
      </c>
      <c r="DM43" s="48">
        <f>'Input Prestasi'!F40</f>
        <v>0</v>
      </c>
      <c r="DN43" s="48">
        <f>'Input Prestasi'!G40</f>
        <v>0</v>
      </c>
      <c r="DO43" s="48">
        <f>'Input Prestasi'!H40</f>
        <v>0</v>
      </c>
      <c r="DP43" s="48">
        <f>'Input Prestasi'!I40</f>
        <v>0</v>
      </c>
      <c r="DQ43" s="48">
        <f>'Input Prestasi'!J40</f>
        <v>0</v>
      </c>
      <c r="DR43" s="48">
        <f>'Input Prestasi'!K40</f>
        <v>0</v>
      </c>
      <c r="DS43" s="15">
        <f>'Input Nilai Sikap dan Catatan'!H38</f>
        <v>0</v>
      </c>
    </row>
    <row r="44" spans="1:123">
      <c r="A44" s="12">
        <v>36</v>
      </c>
      <c r="B44" s="23" t="str">
        <f>IF(Setting!J41="","",Setting!J41)</f>
        <v/>
      </c>
      <c r="C44" s="28" t="str">
        <f>IF(Setting!K41="","",Setting!K41)</f>
        <v/>
      </c>
      <c r="D44" s="28" t="str">
        <f>IF(Setting!L41="","",Setting!L41)</f>
        <v/>
      </c>
      <c r="E44" s="15" t="str">
        <f>IF(Setting!$E$11="","",Setting!$E$11)</f>
        <v>X.MIPA 4</v>
      </c>
      <c r="F44" s="15">
        <f>'Input Nilai Sikap dan Catatan'!D39</f>
        <v>0</v>
      </c>
      <c r="G44" s="15">
        <f>'Input Nilai Sikap dan Catatan'!E39</f>
        <v>0</v>
      </c>
      <c r="H44" s="15">
        <f>'Input Nilai Sikap dan Catatan'!F39</f>
        <v>0</v>
      </c>
      <c r="I44" s="15">
        <f>'Input Nilai Sikap dan Catatan'!G39</f>
        <v>0</v>
      </c>
      <c r="J44" s="52"/>
      <c r="K44" s="52"/>
      <c r="L44" s="52"/>
      <c r="M44" s="52"/>
      <c r="N44" s="52"/>
      <c r="O44" s="52"/>
      <c r="P44" s="54"/>
      <c r="Q44" s="54"/>
      <c r="R44" s="54"/>
      <c r="S44" s="54"/>
      <c r="T44" s="54"/>
      <c r="U44" s="54"/>
      <c r="V44" s="52"/>
      <c r="W44" s="52"/>
      <c r="X44" s="52"/>
      <c r="Y44" s="52"/>
      <c r="Z44" s="52"/>
      <c r="AA44" s="52"/>
      <c r="AB44" s="54"/>
      <c r="AC44" s="54"/>
      <c r="AD44" s="54"/>
      <c r="AE44" s="54"/>
      <c r="AF44" s="54"/>
      <c r="AG44" s="54"/>
      <c r="AH44" s="52"/>
      <c r="AI44" s="52"/>
      <c r="AJ44" s="52"/>
      <c r="AK44" s="52"/>
      <c r="AL44" s="52"/>
      <c r="AM44" s="52"/>
      <c r="AN44" s="54"/>
      <c r="AO44" s="54"/>
      <c r="AP44" s="54"/>
      <c r="AQ44" s="54"/>
      <c r="AR44" s="54"/>
      <c r="AS44" s="54"/>
      <c r="AT44" s="52"/>
      <c r="AU44" s="52"/>
      <c r="AV44" s="52"/>
      <c r="AW44" s="52"/>
      <c r="AX44" s="52"/>
      <c r="AY44" s="52"/>
      <c r="AZ44" s="54"/>
      <c r="BA44" s="54"/>
      <c r="BB44" s="54"/>
      <c r="BC44" s="54"/>
      <c r="BD44" s="54"/>
      <c r="BE44" s="54"/>
      <c r="BF44" s="52"/>
      <c r="BG44" s="52"/>
      <c r="BH44" s="52"/>
      <c r="BI44" s="52"/>
      <c r="BJ44" s="52"/>
      <c r="BK44" s="52"/>
      <c r="BL44" s="54"/>
      <c r="BM44" s="54"/>
      <c r="BN44" s="54"/>
      <c r="BO44" s="54"/>
      <c r="BP44" s="54"/>
      <c r="BQ44" s="54"/>
      <c r="BR44" s="52"/>
      <c r="BS44" s="52"/>
      <c r="BT44" s="52"/>
      <c r="BU44" s="52"/>
      <c r="BV44" s="52"/>
      <c r="BW44" s="52"/>
      <c r="BX44" s="54"/>
      <c r="BY44" s="54"/>
      <c r="BZ44" s="54"/>
      <c r="CA44" s="54"/>
      <c r="CB44" s="54"/>
      <c r="CC44" s="54"/>
      <c r="CD44" s="52" t="s">
        <v>182</v>
      </c>
      <c r="CE44" s="52" t="s">
        <v>182</v>
      </c>
      <c r="CF44" s="52" t="s">
        <v>182</v>
      </c>
      <c r="CG44" s="52" t="s">
        <v>182</v>
      </c>
      <c r="CH44" s="52" t="s">
        <v>182</v>
      </c>
      <c r="CI44" s="52" t="s">
        <v>182</v>
      </c>
      <c r="CJ44" s="54"/>
      <c r="CK44" s="54"/>
      <c r="CL44" s="54"/>
      <c r="CM44" s="54"/>
      <c r="CN44" s="54"/>
      <c r="CO44" s="54"/>
      <c r="CP44" s="52"/>
      <c r="CQ44" s="52"/>
      <c r="CR44" s="52"/>
      <c r="CS44" s="52"/>
      <c r="CT44" s="52"/>
      <c r="CU44" s="52"/>
      <c r="CV44" s="54"/>
      <c r="CW44" s="54"/>
      <c r="CX44" s="54"/>
      <c r="CY44" s="54"/>
      <c r="CZ44" s="54"/>
      <c r="DA44" s="54"/>
      <c r="DB44" s="15">
        <f>'Input Ekstra'!E40</f>
        <v>0</v>
      </c>
      <c r="DC44" s="15">
        <f>'Input Ekstra'!F40</f>
        <v>0</v>
      </c>
      <c r="DD44" s="15">
        <f>'Input Ekstra'!G40</f>
        <v>0</v>
      </c>
      <c r="DE44" s="15">
        <f>'Input Ekstra'!H40</f>
        <v>0</v>
      </c>
      <c r="DF44" s="15">
        <f>'Input Ekstra'!I40</f>
        <v>0</v>
      </c>
      <c r="DG44" s="15">
        <f>'Input Ekstra'!J40</f>
        <v>0</v>
      </c>
      <c r="DH44" s="15">
        <f>'Input Kehadiran'!E40</f>
        <v>0</v>
      </c>
      <c r="DI44" s="15">
        <f>'Input Kehadiran'!F40</f>
        <v>0</v>
      </c>
      <c r="DJ44" s="15">
        <f>'Input Kehadiran'!G40</f>
        <v>0</v>
      </c>
      <c r="DK44" s="48">
        <f>'Input Prestasi'!D41</f>
        <v>0</v>
      </c>
      <c r="DL44" s="48">
        <f>'Input Prestasi'!E41</f>
        <v>0</v>
      </c>
      <c r="DM44" s="48">
        <f>'Input Prestasi'!F41</f>
        <v>0</v>
      </c>
      <c r="DN44" s="48">
        <f>'Input Prestasi'!G41</f>
        <v>0</v>
      </c>
      <c r="DO44" s="48">
        <f>'Input Prestasi'!H41</f>
        <v>0</v>
      </c>
      <c r="DP44" s="48">
        <f>'Input Prestasi'!I41</f>
        <v>0</v>
      </c>
      <c r="DQ44" s="48">
        <f>'Input Prestasi'!J41</f>
        <v>0</v>
      </c>
      <c r="DR44" s="48">
        <f>'Input Prestasi'!K41</f>
        <v>0</v>
      </c>
      <c r="DS44" s="15">
        <f>'Input Nilai Sikap dan Catatan'!H39</f>
        <v>0</v>
      </c>
    </row>
    <row r="45" spans="1:123">
      <c r="A45" s="12">
        <v>37</v>
      </c>
      <c r="B45" s="23" t="str">
        <f>IF(Setting!J42="","",Setting!J42)</f>
        <v/>
      </c>
      <c r="C45" s="28" t="str">
        <f>IF(Setting!K42="","",Setting!K42)</f>
        <v/>
      </c>
      <c r="D45" s="28" t="str">
        <f>IF(Setting!L42="","",Setting!L42)</f>
        <v/>
      </c>
      <c r="E45" s="15" t="str">
        <f>IF(Setting!$E$11="","",Setting!$E$11)</f>
        <v>X.MIPA 4</v>
      </c>
      <c r="F45" s="15">
        <f>'Input Nilai Sikap dan Catatan'!D40</f>
        <v>0</v>
      </c>
      <c r="G45" s="15">
        <f>'Input Nilai Sikap dan Catatan'!E40</f>
        <v>0</v>
      </c>
      <c r="H45" s="15">
        <f>'Input Nilai Sikap dan Catatan'!F40</f>
        <v>0</v>
      </c>
      <c r="I45" s="15">
        <f>'Input Nilai Sikap dan Catatan'!G40</f>
        <v>0</v>
      </c>
      <c r="J45" s="52"/>
      <c r="K45" s="52"/>
      <c r="L45" s="52"/>
      <c r="M45" s="52"/>
      <c r="N45" s="52"/>
      <c r="O45" s="52"/>
      <c r="P45" s="54"/>
      <c r="Q45" s="54"/>
      <c r="R45" s="54"/>
      <c r="S45" s="54"/>
      <c r="T45" s="54"/>
      <c r="U45" s="54"/>
      <c r="V45" s="52"/>
      <c r="W45" s="52"/>
      <c r="X45" s="52"/>
      <c r="Y45" s="52"/>
      <c r="Z45" s="52"/>
      <c r="AA45" s="52"/>
      <c r="AB45" s="54"/>
      <c r="AC45" s="54"/>
      <c r="AD45" s="54"/>
      <c r="AE45" s="54"/>
      <c r="AF45" s="54"/>
      <c r="AG45" s="54"/>
      <c r="AH45" s="52"/>
      <c r="AI45" s="52"/>
      <c r="AJ45" s="52"/>
      <c r="AK45" s="52"/>
      <c r="AL45" s="52"/>
      <c r="AM45" s="52"/>
      <c r="AN45" s="54"/>
      <c r="AO45" s="54"/>
      <c r="AP45" s="54"/>
      <c r="AQ45" s="54"/>
      <c r="AR45" s="54"/>
      <c r="AS45" s="54"/>
      <c r="AT45" s="52"/>
      <c r="AU45" s="52"/>
      <c r="AV45" s="52"/>
      <c r="AW45" s="52"/>
      <c r="AX45" s="52"/>
      <c r="AY45" s="52"/>
      <c r="AZ45" s="54"/>
      <c r="BA45" s="54"/>
      <c r="BB45" s="54"/>
      <c r="BC45" s="54"/>
      <c r="BD45" s="54"/>
      <c r="BE45" s="54"/>
      <c r="BF45" s="52"/>
      <c r="BG45" s="52"/>
      <c r="BH45" s="52"/>
      <c r="BI45" s="52"/>
      <c r="BJ45" s="52"/>
      <c r="BK45" s="52"/>
      <c r="BL45" s="54"/>
      <c r="BM45" s="54"/>
      <c r="BN45" s="54"/>
      <c r="BO45" s="54"/>
      <c r="BP45" s="54"/>
      <c r="BQ45" s="54"/>
      <c r="BR45" s="52"/>
      <c r="BS45" s="52"/>
      <c r="BT45" s="52"/>
      <c r="BU45" s="52"/>
      <c r="BV45" s="52"/>
      <c r="BW45" s="52"/>
      <c r="BX45" s="54"/>
      <c r="BY45" s="54"/>
      <c r="BZ45" s="54"/>
      <c r="CA45" s="54"/>
      <c r="CB45" s="54"/>
      <c r="CC45" s="54"/>
      <c r="CD45" s="52"/>
      <c r="CE45" s="52"/>
      <c r="CF45" s="52"/>
      <c r="CG45" s="52"/>
      <c r="CH45" s="52"/>
      <c r="CI45" s="52"/>
      <c r="CJ45" s="54"/>
      <c r="CK45" s="54"/>
      <c r="CL45" s="54"/>
      <c r="CM45" s="54"/>
      <c r="CN45" s="54"/>
      <c r="CO45" s="54"/>
      <c r="CP45" s="52"/>
      <c r="CQ45" s="52"/>
      <c r="CR45" s="52"/>
      <c r="CS45" s="52"/>
      <c r="CT45" s="52"/>
      <c r="CU45" s="52"/>
      <c r="CV45" s="54"/>
      <c r="CW45" s="54"/>
      <c r="CX45" s="54"/>
      <c r="CY45" s="54"/>
      <c r="CZ45" s="54"/>
      <c r="DA45" s="54"/>
      <c r="DB45" s="15">
        <f>'Input Ekstra'!E41</f>
        <v>0</v>
      </c>
      <c r="DC45" s="15">
        <f>'Input Ekstra'!F41</f>
        <v>0</v>
      </c>
      <c r="DD45" s="15">
        <f>'Input Ekstra'!G41</f>
        <v>0</v>
      </c>
      <c r="DE45" s="15">
        <f>'Input Ekstra'!H41</f>
        <v>0</v>
      </c>
      <c r="DF45" s="15">
        <f>'Input Ekstra'!I41</f>
        <v>0</v>
      </c>
      <c r="DG45" s="15">
        <f>'Input Ekstra'!J41</f>
        <v>0</v>
      </c>
      <c r="DH45" s="15">
        <f>'Input Kehadiran'!E41</f>
        <v>0</v>
      </c>
      <c r="DI45" s="15">
        <f>'Input Kehadiran'!F41</f>
        <v>0</v>
      </c>
      <c r="DJ45" s="15">
        <f>'Input Kehadiran'!G41</f>
        <v>0</v>
      </c>
      <c r="DK45" s="48">
        <f>'Input Prestasi'!D42</f>
        <v>0</v>
      </c>
      <c r="DL45" s="48">
        <f>'Input Prestasi'!E42</f>
        <v>0</v>
      </c>
      <c r="DM45" s="48">
        <f>'Input Prestasi'!F42</f>
        <v>0</v>
      </c>
      <c r="DN45" s="48">
        <f>'Input Prestasi'!G42</f>
        <v>0</v>
      </c>
      <c r="DO45" s="48">
        <f>'Input Prestasi'!H42</f>
        <v>0</v>
      </c>
      <c r="DP45" s="48">
        <f>'Input Prestasi'!I42</f>
        <v>0</v>
      </c>
      <c r="DQ45" s="48">
        <f>'Input Prestasi'!J42</f>
        <v>0</v>
      </c>
      <c r="DR45" s="48">
        <f>'Input Prestasi'!K42</f>
        <v>0</v>
      </c>
      <c r="DS45" s="15">
        <f>'Input Nilai Sikap dan Catatan'!H40</f>
        <v>0</v>
      </c>
    </row>
    <row r="46" spans="1:123">
      <c r="A46" s="12">
        <v>38</v>
      </c>
      <c r="B46" s="23" t="str">
        <f>IF(Setting!J43="","",Setting!J43)</f>
        <v/>
      </c>
      <c r="C46" s="28" t="str">
        <f>IF(Setting!K43="","",Setting!K43)</f>
        <v/>
      </c>
      <c r="D46" s="28" t="str">
        <f>IF(Setting!L43="","",Setting!L43)</f>
        <v/>
      </c>
      <c r="E46" s="15" t="str">
        <f>IF(Setting!$E$11="","",Setting!$E$11)</f>
        <v>X.MIPA 4</v>
      </c>
      <c r="F46" s="15">
        <f>'Input Nilai Sikap dan Catatan'!D41</f>
        <v>0</v>
      </c>
      <c r="G46" s="15">
        <f>'Input Nilai Sikap dan Catatan'!E41</f>
        <v>0</v>
      </c>
      <c r="H46" s="15">
        <f>'Input Nilai Sikap dan Catatan'!F41</f>
        <v>0</v>
      </c>
      <c r="I46" s="15">
        <f>'Input Nilai Sikap dan Catatan'!G41</f>
        <v>0</v>
      </c>
      <c r="J46" s="52"/>
      <c r="K46" s="52"/>
      <c r="L46" s="52"/>
      <c r="M46" s="52"/>
      <c r="N46" s="52"/>
      <c r="O46" s="52"/>
      <c r="P46" s="54"/>
      <c r="Q46" s="54"/>
      <c r="R46" s="54"/>
      <c r="S46" s="54"/>
      <c r="T46" s="54"/>
      <c r="U46" s="54"/>
      <c r="V46" s="52"/>
      <c r="W46" s="52"/>
      <c r="X46" s="52"/>
      <c r="Y46" s="52"/>
      <c r="Z46" s="52"/>
      <c r="AA46" s="52"/>
      <c r="AB46" s="54"/>
      <c r="AC46" s="54"/>
      <c r="AD46" s="54"/>
      <c r="AE46" s="54"/>
      <c r="AF46" s="54"/>
      <c r="AG46" s="54"/>
      <c r="AH46" s="52"/>
      <c r="AI46" s="52"/>
      <c r="AJ46" s="52"/>
      <c r="AK46" s="52"/>
      <c r="AL46" s="52"/>
      <c r="AM46" s="52"/>
      <c r="AN46" s="54"/>
      <c r="AO46" s="54"/>
      <c r="AP46" s="54"/>
      <c r="AQ46" s="54"/>
      <c r="AR46" s="54"/>
      <c r="AS46" s="54"/>
      <c r="AT46" s="52"/>
      <c r="AU46" s="52"/>
      <c r="AV46" s="52"/>
      <c r="AW46" s="52"/>
      <c r="AX46" s="52"/>
      <c r="AY46" s="52"/>
      <c r="AZ46" s="54"/>
      <c r="BA46" s="54"/>
      <c r="BB46" s="54"/>
      <c r="BC46" s="54"/>
      <c r="BD46" s="54"/>
      <c r="BE46" s="54"/>
      <c r="BF46" s="52"/>
      <c r="BG46" s="52"/>
      <c r="BH46" s="52"/>
      <c r="BI46" s="52"/>
      <c r="BJ46" s="52"/>
      <c r="BK46" s="52"/>
      <c r="BL46" s="54"/>
      <c r="BM46" s="54"/>
      <c r="BN46" s="54"/>
      <c r="BO46" s="54"/>
      <c r="BP46" s="54"/>
      <c r="BQ46" s="54"/>
      <c r="BR46" s="52"/>
      <c r="BS46" s="52"/>
      <c r="BT46" s="52"/>
      <c r="BU46" s="52"/>
      <c r="BV46" s="52"/>
      <c r="BW46" s="52"/>
      <c r="BX46" s="54"/>
      <c r="BY46" s="54"/>
      <c r="BZ46" s="54"/>
      <c r="CA46" s="54"/>
      <c r="CB46" s="54"/>
      <c r="CC46" s="54"/>
      <c r="CD46" s="52"/>
      <c r="CE46" s="52"/>
      <c r="CF46" s="52"/>
      <c r="CG46" s="52"/>
      <c r="CH46" s="52"/>
      <c r="CI46" s="52"/>
      <c r="CJ46" s="54"/>
      <c r="CK46" s="54"/>
      <c r="CL46" s="54"/>
      <c r="CM46" s="54"/>
      <c r="CN46" s="54"/>
      <c r="CO46" s="54"/>
      <c r="CP46" s="52"/>
      <c r="CQ46" s="52"/>
      <c r="CR46" s="52"/>
      <c r="CS46" s="52"/>
      <c r="CT46" s="52"/>
      <c r="CU46" s="52"/>
      <c r="CV46" s="54"/>
      <c r="CW46" s="54"/>
      <c r="CX46" s="54"/>
      <c r="CY46" s="54"/>
      <c r="CZ46" s="54"/>
      <c r="DA46" s="54"/>
      <c r="DB46" s="15">
        <f>'Input Ekstra'!E42</f>
        <v>0</v>
      </c>
      <c r="DC46" s="15">
        <f>'Input Ekstra'!F42</f>
        <v>0</v>
      </c>
      <c r="DD46" s="15">
        <f>'Input Ekstra'!G42</f>
        <v>0</v>
      </c>
      <c r="DE46" s="15">
        <f>'Input Ekstra'!H42</f>
        <v>0</v>
      </c>
      <c r="DF46" s="15">
        <f>'Input Ekstra'!I42</f>
        <v>0</v>
      </c>
      <c r="DG46" s="15">
        <f>'Input Ekstra'!J42</f>
        <v>0</v>
      </c>
      <c r="DH46" s="15">
        <f>'Input Kehadiran'!E42</f>
        <v>0</v>
      </c>
      <c r="DI46" s="15">
        <f>'Input Kehadiran'!F42</f>
        <v>0</v>
      </c>
      <c r="DJ46" s="15">
        <f>'Input Kehadiran'!G42</f>
        <v>0</v>
      </c>
      <c r="DK46" s="48">
        <f>'Input Prestasi'!D43</f>
        <v>0</v>
      </c>
      <c r="DL46" s="48">
        <f>'Input Prestasi'!E43</f>
        <v>0</v>
      </c>
      <c r="DM46" s="48">
        <f>'Input Prestasi'!F43</f>
        <v>0</v>
      </c>
      <c r="DN46" s="48">
        <f>'Input Prestasi'!G43</f>
        <v>0</v>
      </c>
      <c r="DO46" s="48">
        <f>'Input Prestasi'!H43</f>
        <v>0</v>
      </c>
      <c r="DP46" s="48">
        <f>'Input Prestasi'!I43</f>
        <v>0</v>
      </c>
      <c r="DQ46" s="48">
        <f>'Input Prestasi'!J43</f>
        <v>0</v>
      </c>
      <c r="DR46" s="48">
        <f>'Input Prestasi'!K43</f>
        <v>0</v>
      </c>
      <c r="DS46" s="15">
        <f>'Input Nilai Sikap dan Catatan'!H41</f>
        <v>0</v>
      </c>
    </row>
    <row r="47" spans="1:123">
      <c r="A47" s="12">
        <v>39</v>
      </c>
      <c r="B47" s="23" t="str">
        <f>IF(Setting!J44="","",Setting!J44)</f>
        <v/>
      </c>
      <c r="C47" s="28" t="str">
        <f>IF(Setting!K44="","",Setting!K44)</f>
        <v/>
      </c>
      <c r="D47" s="28" t="str">
        <f>IF(Setting!L44="","",Setting!L44)</f>
        <v/>
      </c>
      <c r="E47" s="15" t="str">
        <f>IF(Setting!$E$11="","",Setting!$E$11)</f>
        <v>X.MIPA 4</v>
      </c>
      <c r="F47" s="15">
        <f>'Input Nilai Sikap dan Catatan'!D42</f>
        <v>0</v>
      </c>
      <c r="G47" s="15">
        <f>'Input Nilai Sikap dan Catatan'!E42</f>
        <v>0</v>
      </c>
      <c r="H47" s="15">
        <f>'Input Nilai Sikap dan Catatan'!F42</f>
        <v>0</v>
      </c>
      <c r="I47" s="15">
        <f>'Input Nilai Sikap dan Catatan'!G42</f>
        <v>0</v>
      </c>
      <c r="J47" s="52"/>
      <c r="K47" s="52"/>
      <c r="L47" s="52"/>
      <c r="M47" s="52"/>
      <c r="N47" s="52"/>
      <c r="O47" s="52"/>
      <c r="P47" s="54"/>
      <c r="Q47" s="54"/>
      <c r="R47" s="54"/>
      <c r="S47" s="54"/>
      <c r="T47" s="54"/>
      <c r="U47" s="54"/>
      <c r="V47" s="52"/>
      <c r="W47" s="52"/>
      <c r="X47" s="52"/>
      <c r="Y47" s="52"/>
      <c r="Z47" s="52"/>
      <c r="AA47" s="52"/>
      <c r="AB47" s="54"/>
      <c r="AC47" s="54"/>
      <c r="AD47" s="54"/>
      <c r="AE47" s="54"/>
      <c r="AF47" s="54"/>
      <c r="AG47" s="54"/>
      <c r="AH47" s="52"/>
      <c r="AI47" s="52"/>
      <c r="AJ47" s="52"/>
      <c r="AK47" s="52"/>
      <c r="AL47" s="52"/>
      <c r="AM47" s="52"/>
      <c r="AN47" s="54"/>
      <c r="AO47" s="54"/>
      <c r="AP47" s="54"/>
      <c r="AQ47" s="54"/>
      <c r="AR47" s="54"/>
      <c r="AS47" s="54"/>
      <c r="AT47" s="52"/>
      <c r="AU47" s="52"/>
      <c r="AV47" s="52"/>
      <c r="AW47" s="52"/>
      <c r="AX47" s="52"/>
      <c r="AY47" s="52"/>
      <c r="AZ47" s="54"/>
      <c r="BA47" s="54"/>
      <c r="BB47" s="54"/>
      <c r="BC47" s="54"/>
      <c r="BD47" s="54"/>
      <c r="BE47" s="54"/>
      <c r="BF47" s="52"/>
      <c r="BG47" s="52"/>
      <c r="BH47" s="52"/>
      <c r="BI47" s="52"/>
      <c r="BJ47" s="52"/>
      <c r="BK47" s="52"/>
      <c r="BL47" s="54"/>
      <c r="BM47" s="54"/>
      <c r="BN47" s="54"/>
      <c r="BO47" s="54"/>
      <c r="BP47" s="54"/>
      <c r="BQ47" s="54"/>
      <c r="BR47" s="52"/>
      <c r="BS47" s="52"/>
      <c r="BT47" s="52"/>
      <c r="BU47" s="52"/>
      <c r="BV47" s="52"/>
      <c r="BW47" s="52"/>
      <c r="BX47" s="54"/>
      <c r="BY47" s="54"/>
      <c r="BZ47" s="54"/>
      <c r="CA47" s="54"/>
      <c r="CB47" s="54"/>
      <c r="CC47" s="54"/>
      <c r="CD47" s="52"/>
      <c r="CE47" s="52"/>
      <c r="CF47" s="52"/>
      <c r="CG47" s="52"/>
      <c r="CH47" s="52"/>
      <c r="CI47" s="52"/>
      <c r="CJ47" s="54"/>
      <c r="CK47" s="54"/>
      <c r="CL47" s="54"/>
      <c r="CM47" s="54"/>
      <c r="CN47" s="54"/>
      <c r="CO47" s="54"/>
      <c r="CP47" s="52"/>
      <c r="CQ47" s="52"/>
      <c r="CR47" s="52"/>
      <c r="CS47" s="52"/>
      <c r="CT47" s="52"/>
      <c r="CU47" s="52"/>
      <c r="CV47" s="54"/>
      <c r="CW47" s="54"/>
      <c r="CX47" s="54"/>
      <c r="CY47" s="54"/>
      <c r="CZ47" s="54"/>
      <c r="DA47" s="54"/>
      <c r="DB47" s="15">
        <f>'Input Ekstra'!E43</f>
        <v>0</v>
      </c>
      <c r="DC47" s="15">
        <f>'Input Ekstra'!F43</f>
        <v>0</v>
      </c>
      <c r="DD47" s="15">
        <f>'Input Ekstra'!G43</f>
        <v>0</v>
      </c>
      <c r="DE47" s="15">
        <f>'Input Ekstra'!H43</f>
        <v>0</v>
      </c>
      <c r="DF47" s="15">
        <f>'Input Ekstra'!I43</f>
        <v>0</v>
      </c>
      <c r="DG47" s="15">
        <f>'Input Ekstra'!J43</f>
        <v>0</v>
      </c>
      <c r="DH47" s="15">
        <f>'Input Kehadiran'!E43</f>
        <v>0</v>
      </c>
      <c r="DI47" s="15">
        <f>'Input Kehadiran'!F43</f>
        <v>0</v>
      </c>
      <c r="DJ47" s="15">
        <f>'Input Kehadiran'!G43</f>
        <v>0</v>
      </c>
      <c r="DK47" s="48">
        <f>'Input Prestasi'!D44</f>
        <v>0</v>
      </c>
      <c r="DL47" s="48">
        <f>'Input Prestasi'!E44</f>
        <v>0</v>
      </c>
      <c r="DM47" s="48">
        <f>'Input Prestasi'!F44</f>
        <v>0</v>
      </c>
      <c r="DN47" s="48">
        <f>'Input Prestasi'!G44</f>
        <v>0</v>
      </c>
      <c r="DO47" s="48">
        <f>'Input Prestasi'!H44</f>
        <v>0</v>
      </c>
      <c r="DP47" s="48">
        <f>'Input Prestasi'!I44</f>
        <v>0</v>
      </c>
      <c r="DQ47" s="48">
        <f>'Input Prestasi'!J44</f>
        <v>0</v>
      </c>
      <c r="DR47" s="48">
        <f>'Input Prestasi'!K44</f>
        <v>0</v>
      </c>
      <c r="DS47" s="15">
        <f>'Input Nilai Sikap dan Catatan'!H42</f>
        <v>0</v>
      </c>
    </row>
    <row r="48" spans="1:123">
      <c r="A48" s="12">
        <v>40</v>
      </c>
      <c r="B48" s="23" t="str">
        <f>IF(Setting!J45="","",Setting!J45)</f>
        <v/>
      </c>
      <c r="C48" s="28" t="str">
        <f>IF(Setting!K45="","",Setting!K45)</f>
        <v/>
      </c>
      <c r="D48" s="28" t="str">
        <f>IF(Setting!L45="","",Setting!L45)</f>
        <v/>
      </c>
      <c r="E48" s="15" t="str">
        <f>IF(Setting!$E$11="","",Setting!$E$11)</f>
        <v>X.MIPA 4</v>
      </c>
      <c r="F48" s="15">
        <f>'Input Nilai Sikap dan Catatan'!D43</f>
        <v>0</v>
      </c>
      <c r="G48" s="15">
        <f>'Input Nilai Sikap dan Catatan'!E43</f>
        <v>0</v>
      </c>
      <c r="H48" s="15">
        <f>'Input Nilai Sikap dan Catatan'!F43</f>
        <v>0</v>
      </c>
      <c r="I48" s="15">
        <f>'Input Nilai Sikap dan Catatan'!G43</f>
        <v>0</v>
      </c>
      <c r="J48" s="52"/>
      <c r="K48" s="52"/>
      <c r="L48" s="52"/>
      <c r="M48" s="52"/>
      <c r="N48" s="52"/>
      <c r="O48" s="52"/>
      <c r="P48" s="54"/>
      <c r="Q48" s="54"/>
      <c r="R48" s="54"/>
      <c r="S48" s="54"/>
      <c r="T48" s="54"/>
      <c r="U48" s="54"/>
      <c r="V48" s="52"/>
      <c r="W48" s="52"/>
      <c r="X48" s="52"/>
      <c r="Y48" s="52"/>
      <c r="Z48" s="52"/>
      <c r="AA48" s="52"/>
      <c r="AB48" s="54"/>
      <c r="AC48" s="54"/>
      <c r="AD48" s="54"/>
      <c r="AE48" s="54"/>
      <c r="AF48" s="54"/>
      <c r="AG48" s="54"/>
      <c r="AH48" s="52"/>
      <c r="AI48" s="52"/>
      <c r="AJ48" s="52"/>
      <c r="AK48" s="52"/>
      <c r="AL48" s="52"/>
      <c r="AM48" s="52"/>
      <c r="AN48" s="54"/>
      <c r="AO48" s="54"/>
      <c r="AP48" s="54"/>
      <c r="AQ48" s="54"/>
      <c r="AR48" s="54"/>
      <c r="AS48" s="54"/>
      <c r="AT48" s="52"/>
      <c r="AU48" s="52"/>
      <c r="AV48" s="52"/>
      <c r="AW48" s="52"/>
      <c r="AX48" s="52"/>
      <c r="AY48" s="52"/>
      <c r="AZ48" s="54"/>
      <c r="BA48" s="54"/>
      <c r="BB48" s="54"/>
      <c r="BC48" s="54"/>
      <c r="BD48" s="54"/>
      <c r="BE48" s="54"/>
      <c r="BF48" s="52"/>
      <c r="BG48" s="52"/>
      <c r="BH48" s="52"/>
      <c r="BI48" s="52"/>
      <c r="BJ48" s="52"/>
      <c r="BK48" s="52"/>
      <c r="BL48" s="54"/>
      <c r="BM48" s="54"/>
      <c r="BN48" s="54"/>
      <c r="BO48" s="54"/>
      <c r="BP48" s="54"/>
      <c r="BQ48" s="54"/>
      <c r="BR48" s="52"/>
      <c r="BS48" s="52"/>
      <c r="BT48" s="52"/>
      <c r="BU48" s="52"/>
      <c r="BV48" s="52"/>
      <c r="BW48" s="52"/>
      <c r="BX48" s="54"/>
      <c r="BY48" s="54"/>
      <c r="BZ48" s="54"/>
      <c r="CA48" s="54"/>
      <c r="CB48" s="54"/>
      <c r="CC48" s="54"/>
      <c r="CD48" s="52"/>
      <c r="CE48" s="52"/>
      <c r="CF48" s="52"/>
      <c r="CG48" s="52"/>
      <c r="CH48" s="52"/>
      <c r="CI48" s="52"/>
      <c r="CJ48" s="54"/>
      <c r="CK48" s="54"/>
      <c r="CL48" s="54"/>
      <c r="CM48" s="54"/>
      <c r="CN48" s="54"/>
      <c r="CO48" s="54"/>
      <c r="CP48" s="52"/>
      <c r="CQ48" s="52"/>
      <c r="CR48" s="52"/>
      <c r="CS48" s="52"/>
      <c r="CT48" s="52"/>
      <c r="CU48" s="52"/>
      <c r="CV48" s="54"/>
      <c r="CW48" s="54"/>
      <c r="CX48" s="54"/>
      <c r="CY48" s="54"/>
      <c r="CZ48" s="54"/>
      <c r="DA48" s="54"/>
      <c r="DB48" s="15">
        <f>'Input Ekstra'!E44</f>
        <v>0</v>
      </c>
      <c r="DC48" s="15">
        <f>'Input Ekstra'!F44</f>
        <v>0</v>
      </c>
      <c r="DD48" s="15">
        <f>'Input Ekstra'!G44</f>
        <v>0</v>
      </c>
      <c r="DE48" s="15">
        <f>'Input Ekstra'!H44</f>
        <v>0</v>
      </c>
      <c r="DF48" s="15">
        <f>'Input Ekstra'!I44</f>
        <v>0</v>
      </c>
      <c r="DG48" s="15">
        <f>'Input Ekstra'!J44</f>
        <v>0</v>
      </c>
      <c r="DH48" s="15">
        <f>'Input Kehadiran'!E44</f>
        <v>0</v>
      </c>
      <c r="DI48" s="15">
        <f>'Input Kehadiran'!F44</f>
        <v>0</v>
      </c>
      <c r="DJ48" s="15">
        <f>'Input Kehadiran'!G44</f>
        <v>0</v>
      </c>
      <c r="DK48" s="48">
        <f>'Input Prestasi'!D45</f>
        <v>0</v>
      </c>
      <c r="DL48" s="48">
        <f>'Input Prestasi'!E45</f>
        <v>0</v>
      </c>
      <c r="DM48" s="48">
        <f>'Input Prestasi'!F45</f>
        <v>0</v>
      </c>
      <c r="DN48" s="48">
        <f>'Input Prestasi'!G45</f>
        <v>0</v>
      </c>
      <c r="DO48" s="48">
        <f>'Input Prestasi'!H45</f>
        <v>0</v>
      </c>
      <c r="DP48" s="48">
        <f>'Input Prestasi'!I45</f>
        <v>0</v>
      </c>
      <c r="DQ48" s="48">
        <f>'Input Prestasi'!J45</f>
        <v>0</v>
      </c>
      <c r="DR48" s="48">
        <f>'Input Prestasi'!K45</f>
        <v>0</v>
      </c>
      <c r="DS48" s="15">
        <f>'Input Nilai Sikap dan Catatan'!H43</f>
        <v>0</v>
      </c>
    </row>
    <row r="49" spans="2:2">
      <c r="B49" s="4"/>
    </row>
  </sheetData>
  <sheetProtection sheet="1" objects="1" scenarios="1" selectLockedCells="1"/>
  <mergeCells count="75">
    <mergeCell ref="F4:I5"/>
    <mergeCell ref="A4:A7"/>
    <mergeCell ref="B4:B7"/>
    <mergeCell ref="C4:C7"/>
    <mergeCell ref="D4:D7"/>
    <mergeCell ref="E4:E7"/>
    <mergeCell ref="F6:G6"/>
    <mergeCell ref="H6:I6"/>
    <mergeCell ref="DH4:DJ5"/>
    <mergeCell ref="BF5:BK5"/>
    <mergeCell ref="BL5:BQ5"/>
    <mergeCell ref="BR5:BW5"/>
    <mergeCell ref="BX5:CC5"/>
    <mergeCell ref="CJ5:CO5"/>
    <mergeCell ref="CP5:CU5"/>
    <mergeCell ref="CV5:DA5"/>
    <mergeCell ref="S6:U6"/>
    <mergeCell ref="DK4:DR5"/>
    <mergeCell ref="DS4:DS7"/>
    <mergeCell ref="J5:O5"/>
    <mergeCell ref="P5:U5"/>
    <mergeCell ref="V5:AA5"/>
    <mergeCell ref="AB5:AG5"/>
    <mergeCell ref="AH5:AM5"/>
    <mergeCell ref="AN5:AS5"/>
    <mergeCell ref="AT5:AY5"/>
    <mergeCell ref="AZ5:BE5"/>
    <mergeCell ref="J4:AS4"/>
    <mergeCell ref="AT4:BQ4"/>
    <mergeCell ref="BR4:CO4"/>
    <mergeCell ref="CP4:DA4"/>
    <mergeCell ref="DB4:DG5"/>
    <mergeCell ref="J6:L6"/>
    <mergeCell ref="M6:O6"/>
    <mergeCell ref="P6:R6"/>
    <mergeCell ref="AK6:AM6"/>
    <mergeCell ref="CD5:CI5"/>
    <mergeCell ref="V6:X6"/>
    <mergeCell ref="Y6:AA6"/>
    <mergeCell ref="AB6:AD6"/>
    <mergeCell ref="AE6:AG6"/>
    <mergeCell ref="AH6:AJ6"/>
    <mergeCell ref="BU6:BW6"/>
    <mergeCell ref="AN6:AP6"/>
    <mergeCell ref="AQ6:AS6"/>
    <mergeCell ref="AT6:AV6"/>
    <mergeCell ref="AW6:AY6"/>
    <mergeCell ref="AZ6:BB6"/>
    <mergeCell ref="BC6:BE6"/>
    <mergeCell ref="BF6:BH6"/>
    <mergeCell ref="BI6:BK6"/>
    <mergeCell ref="BL6:BN6"/>
    <mergeCell ref="BO6:BQ6"/>
    <mergeCell ref="BR6:BT6"/>
    <mergeCell ref="DC6:DC7"/>
    <mergeCell ref="BX6:BZ6"/>
    <mergeCell ref="CA6:CC6"/>
    <mergeCell ref="CD6:CF6"/>
    <mergeCell ref="CG6:CI6"/>
    <mergeCell ref="CJ6:CL6"/>
    <mergeCell ref="CM6:CO6"/>
    <mergeCell ref="CP6:CR6"/>
    <mergeCell ref="CS6:CU6"/>
    <mergeCell ref="CV6:CX6"/>
    <mergeCell ref="CY6:DA6"/>
    <mergeCell ref="DB6:DB7"/>
    <mergeCell ref="DJ6:DJ7"/>
    <mergeCell ref="DK6:DN6"/>
    <mergeCell ref="DO6:DR6"/>
    <mergeCell ref="DD6:DD7"/>
    <mergeCell ref="DE6:DE7"/>
    <mergeCell ref="DF6:DF7"/>
    <mergeCell ref="DG6:DG7"/>
    <mergeCell ref="DH6:DH7"/>
    <mergeCell ref="DI6:DI7"/>
  </mergeCells>
  <conditionalFormatting sqref="V9:V43">
    <cfRule type="cellIs" dxfId="3" priority="4" operator="lessThan">
      <formula>50</formula>
    </cfRule>
  </conditionalFormatting>
  <conditionalFormatting sqref="Y9:Y43">
    <cfRule type="cellIs" dxfId="2" priority="3" operator="lessThan">
      <formula>50</formula>
    </cfRule>
  </conditionalFormatting>
  <conditionalFormatting sqref="V9:V35">
    <cfRule type="cellIs" dxfId="1" priority="2" operator="lessThan">
      <formula>50</formula>
    </cfRule>
  </conditionalFormatting>
  <conditionalFormatting sqref="Y9:Y35">
    <cfRule type="cellIs" dxfId="0" priority="1" operator="lessThan">
      <formula>50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82"/>
  <sheetViews>
    <sheetView view="pageBreakPreview" zoomScale="80" zoomScaleSheetLayoutView="80" workbookViewId="0">
      <pane xSplit="1" ySplit="8" topLeftCell="B9" activePane="bottomRight" state="frozenSplit"/>
      <selection pane="topRight" activeCell="E1" sqref="E1"/>
      <selection pane="bottomLeft" activeCell="A11" sqref="A11"/>
      <selection pane="bottomRight"/>
    </sheetView>
  </sheetViews>
  <sheetFormatPr defaultColWidth="9.140625" defaultRowHeight="15"/>
  <cols>
    <col min="1" max="1" width="15.28515625" style="8" customWidth="1"/>
    <col min="2" max="2" width="5.140625" style="9" customWidth="1"/>
    <col min="3" max="3" width="18.7109375" style="8" customWidth="1"/>
    <col min="4" max="4" width="26.42578125" style="8" customWidth="1"/>
    <col min="5" max="5" width="58.42578125" style="8" customWidth="1"/>
    <col min="6" max="6" width="16.28515625" style="8" customWidth="1"/>
    <col min="7" max="7" width="7.5703125" style="8" customWidth="1"/>
    <col min="8" max="8" width="19.85546875" style="8" customWidth="1"/>
    <col min="9" max="16384" width="9.140625" style="8"/>
  </cols>
  <sheetData>
    <row r="1" spans="2:13" ht="51" customHeight="1"/>
    <row r="2" spans="2:13" ht="21">
      <c r="B2" s="307" t="s">
        <v>125</v>
      </c>
      <c r="C2" s="307"/>
      <c r="D2" s="307"/>
      <c r="E2" s="307"/>
      <c r="F2" s="307"/>
      <c r="G2" s="307"/>
      <c r="H2" s="307"/>
      <c r="I2" s="77"/>
      <c r="J2" s="77"/>
      <c r="K2" s="77"/>
      <c r="L2" s="77"/>
      <c r="M2" s="77"/>
    </row>
    <row r="3" spans="2:13" ht="21">
      <c r="B3" s="307" t="str">
        <f>"SEMESTER "&amp;[1]Home!M19&amp;""</f>
        <v>SEMESTER GENAP</v>
      </c>
      <c r="C3" s="307"/>
      <c r="D3" s="307"/>
      <c r="E3" s="307"/>
      <c r="F3" s="307"/>
      <c r="G3" s="307"/>
      <c r="H3" s="307"/>
      <c r="I3" s="77"/>
      <c r="J3" s="77"/>
      <c r="K3" s="77"/>
      <c r="L3" s="77"/>
      <c r="M3" s="77"/>
    </row>
    <row r="4" spans="2:13" ht="21">
      <c r="B4" s="307" t="str">
        <f>"TAHUN PELAJARAN "&amp;[1]Home!L17&amp;""</f>
        <v>TAHUN PELAJARAN 2015/2016</v>
      </c>
      <c r="C4" s="307"/>
      <c r="D4" s="307"/>
      <c r="E4" s="307"/>
      <c r="F4" s="307"/>
      <c r="G4" s="307"/>
      <c r="H4" s="307"/>
      <c r="I4" s="77"/>
      <c r="J4" s="77"/>
      <c r="K4" s="77"/>
      <c r="L4" s="77"/>
      <c r="M4" s="77"/>
    </row>
    <row r="5" spans="2:13">
      <c r="B5" s="84"/>
      <c r="C5" s="66"/>
      <c r="D5" s="66"/>
      <c r="E5" s="66"/>
      <c r="F5" s="66"/>
      <c r="G5" s="66"/>
      <c r="H5" s="66"/>
      <c r="I5" s="66"/>
      <c r="J5" s="66"/>
      <c r="K5" s="66"/>
      <c r="L5" s="66"/>
      <c r="M5" s="78"/>
    </row>
    <row r="6" spans="2:13">
      <c r="B6" s="85" t="s">
        <v>126</v>
      </c>
      <c r="C6" s="86"/>
      <c r="D6" s="87" t="str">
        <f>": "&amp;[1]Home!$L$15&amp;""</f>
        <v>: XII.MIPA Khawarizmi</v>
      </c>
      <c r="F6" s="79"/>
      <c r="G6" s="79"/>
      <c r="H6" s="66"/>
      <c r="I6" s="66"/>
      <c r="J6" s="66"/>
      <c r="K6" s="66"/>
      <c r="L6" s="66"/>
      <c r="M6" s="78"/>
    </row>
    <row r="8" spans="2:13">
      <c r="B8" s="80" t="s">
        <v>30</v>
      </c>
      <c r="C8" s="80" t="s">
        <v>127</v>
      </c>
      <c r="D8" s="80" t="s">
        <v>42</v>
      </c>
      <c r="E8" s="80" t="s">
        <v>128</v>
      </c>
      <c r="F8" s="80" t="s">
        <v>129</v>
      </c>
      <c r="G8" s="80" t="s">
        <v>130</v>
      </c>
      <c r="H8" s="80" t="s">
        <v>131</v>
      </c>
    </row>
    <row r="9" spans="2:13">
      <c r="B9" s="76">
        <v>1</v>
      </c>
      <c r="C9" s="81" t="s">
        <v>101</v>
      </c>
      <c r="D9" s="81" t="s">
        <v>132</v>
      </c>
      <c r="E9" s="82" t="s">
        <v>133</v>
      </c>
      <c r="F9" s="81" t="s">
        <v>134</v>
      </c>
      <c r="G9" s="81" t="s">
        <v>135</v>
      </c>
      <c r="H9" s="81" t="s">
        <v>136</v>
      </c>
    </row>
    <row r="10" spans="2:13">
      <c r="B10" s="76"/>
      <c r="C10" s="81"/>
      <c r="D10" s="81"/>
      <c r="E10" s="82"/>
      <c r="F10" s="81"/>
      <c r="G10" s="81"/>
      <c r="H10" s="81"/>
    </row>
    <row r="11" spans="2:13">
      <c r="B11" s="76"/>
      <c r="C11" s="81"/>
      <c r="D11" s="81"/>
      <c r="E11" s="82"/>
      <c r="F11" s="81"/>
      <c r="G11" s="81"/>
      <c r="H11" s="81"/>
    </row>
    <row r="12" spans="2:13">
      <c r="B12" s="76"/>
      <c r="C12" s="81"/>
      <c r="D12" s="81"/>
      <c r="E12" s="82"/>
      <c r="F12" s="81"/>
      <c r="G12" s="81"/>
      <c r="H12" s="81"/>
    </row>
    <row r="13" spans="2:13">
      <c r="B13" s="76"/>
      <c r="C13" s="81"/>
      <c r="D13" s="81"/>
      <c r="E13" s="82"/>
      <c r="F13" s="81"/>
      <c r="G13" s="81"/>
      <c r="H13" s="81"/>
    </row>
    <row r="14" spans="2:13">
      <c r="B14" s="76"/>
      <c r="C14" s="81"/>
      <c r="D14" s="81"/>
      <c r="E14" s="82"/>
      <c r="F14" s="81"/>
      <c r="G14" s="81"/>
      <c r="H14" s="81"/>
    </row>
    <row r="15" spans="2:13">
      <c r="B15" s="76"/>
      <c r="C15" s="81"/>
      <c r="D15" s="81"/>
      <c r="E15" s="82"/>
      <c r="F15" s="81"/>
      <c r="G15" s="81"/>
      <c r="H15" s="81"/>
    </row>
    <row r="16" spans="2:13">
      <c r="B16" s="76"/>
      <c r="C16" s="81"/>
      <c r="D16" s="81"/>
      <c r="E16" s="82"/>
      <c r="F16" s="81"/>
      <c r="G16" s="81"/>
      <c r="H16" s="81"/>
    </row>
    <row r="17" spans="2:8">
      <c r="B17" s="76"/>
      <c r="C17" s="81"/>
      <c r="D17" s="81"/>
      <c r="E17" s="82"/>
      <c r="F17" s="81"/>
      <c r="G17" s="81"/>
      <c r="H17" s="81"/>
    </row>
    <row r="18" spans="2:8">
      <c r="B18" s="76"/>
      <c r="C18" s="81"/>
      <c r="D18" s="81"/>
      <c r="E18" s="82"/>
      <c r="F18" s="81"/>
      <c r="G18" s="81"/>
      <c r="H18" s="81"/>
    </row>
    <row r="19" spans="2:8">
      <c r="B19" s="76"/>
      <c r="C19" s="81"/>
      <c r="D19" s="81"/>
      <c r="E19" s="82"/>
      <c r="F19" s="81"/>
      <c r="G19" s="81"/>
      <c r="H19" s="81"/>
    </row>
    <row r="20" spans="2:8">
      <c r="B20" s="76"/>
      <c r="C20" s="81"/>
      <c r="D20" s="81"/>
      <c r="E20" s="82"/>
      <c r="F20" s="81"/>
      <c r="G20" s="81"/>
      <c r="H20" s="81"/>
    </row>
    <row r="21" spans="2:8">
      <c r="B21" s="76"/>
      <c r="C21" s="81"/>
      <c r="D21" s="81"/>
      <c r="E21" s="82"/>
      <c r="F21" s="81"/>
      <c r="G21" s="81"/>
      <c r="H21" s="81"/>
    </row>
    <row r="22" spans="2:8">
      <c r="B22" s="76"/>
      <c r="C22" s="81"/>
      <c r="D22" s="81"/>
      <c r="E22" s="82"/>
      <c r="F22" s="81"/>
      <c r="G22" s="81"/>
      <c r="H22" s="81"/>
    </row>
    <row r="23" spans="2:8">
      <c r="B23" s="76"/>
      <c r="C23" s="81"/>
      <c r="D23" s="81"/>
      <c r="E23" s="82"/>
      <c r="F23" s="81"/>
      <c r="G23" s="81"/>
      <c r="H23" s="81"/>
    </row>
    <row r="24" spans="2:8">
      <c r="B24" s="76"/>
      <c r="C24" s="81"/>
      <c r="D24" s="81"/>
      <c r="E24" s="82"/>
      <c r="F24" s="81"/>
      <c r="G24" s="81"/>
      <c r="H24" s="81"/>
    </row>
    <row r="25" spans="2:8">
      <c r="B25" s="76"/>
      <c r="C25" s="81"/>
      <c r="D25" s="81"/>
      <c r="E25" s="82"/>
      <c r="F25" s="81"/>
      <c r="G25" s="81"/>
      <c r="H25" s="81"/>
    </row>
    <row r="26" spans="2:8">
      <c r="B26" s="76"/>
      <c r="C26" s="81"/>
      <c r="D26" s="81"/>
      <c r="E26" s="82"/>
      <c r="F26" s="81"/>
      <c r="G26" s="81"/>
      <c r="H26" s="81"/>
    </row>
    <row r="27" spans="2:8">
      <c r="B27" s="76"/>
      <c r="C27" s="81"/>
      <c r="D27" s="81"/>
      <c r="E27" s="82"/>
      <c r="F27" s="81"/>
      <c r="G27" s="81"/>
      <c r="H27" s="81"/>
    </row>
    <row r="28" spans="2:8">
      <c r="B28" s="76"/>
      <c r="C28" s="81"/>
      <c r="D28" s="81"/>
      <c r="E28" s="82"/>
      <c r="F28" s="81"/>
      <c r="G28" s="81"/>
      <c r="H28" s="81"/>
    </row>
    <row r="29" spans="2:8">
      <c r="B29" s="76"/>
      <c r="C29" s="81"/>
      <c r="D29" s="81"/>
      <c r="E29" s="82"/>
      <c r="F29" s="81"/>
      <c r="G29" s="81"/>
      <c r="H29" s="81"/>
    </row>
    <row r="30" spans="2:8">
      <c r="B30" s="76"/>
      <c r="C30" s="81"/>
      <c r="D30" s="81"/>
      <c r="E30" s="82"/>
      <c r="F30" s="81"/>
      <c r="G30" s="81"/>
      <c r="H30" s="81"/>
    </row>
    <row r="31" spans="2:8">
      <c r="B31" s="76"/>
      <c r="C31" s="81"/>
      <c r="D31" s="81"/>
      <c r="E31" s="82"/>
      <c r="F31" s="81"/>
      <c r="G31" s="81"/>
      <c r="H31" s="81"/>
    </row>
    <row r="32" spans="2:8">
      <c r="B32" s="76"/>
      <c r="C32" s="81"/>
      <c r="D32" s="81"/>
      <c r="E32" s="82"/>
      <c r="F32" s="81"/>
      <c r="G32" s="81"/>
      <c r="H32" s="81"/>
    </row>
    <row r="33" spans="2:8">
      <c r="B33" s="76"/>
      <c r="C33" s="81"/>
      <c r="D33" s="81"/>
      <c r="E33" s="82"/>
      <c r="F33" s="81"/>
      <c r="G33" s="81"/>
      <c r="H33" s="81"/>
    </row>
    <row r="34" spans="2:8">
      <c r="B34" s="76"/>
      <c r="C34" s="81"/>
      <c r="D34" s="81"/>
      <c r="E34" s="82"/>
      <c r="F34" s="81"/>
      <c r="G34" s="81"/>
      <c r="H34" s="81"/>
    </row>
    <row r="35" spans="2:8">
      <c r="B35" s="76"/>
      <c r="C35" s="81"/>
      <c r="D35" s="81"/>
      <c r="E35" s="82"/>
      <c r="F35" s="81"/>
      <c r="G35" s="81"/>
      <c r="H35" s="81"/>
    </row>
    <row r="36" spans="2:8">
      <c r="B36" s="76"/>
      <c r="C36" s="81"/>
      <c r="D36" s="81"/>
      <c r="E36" s="82"/>
      <c r="F36" s="81"/>
      <c r="G36" s="81"/>
      <c r="H36" s="81"/>
    </row>
    <row r="37" spans="2:8">
      <c r="B37" s="76"/>
      <c r="C37" s="81"/>
      <c r="D37" s="81"/>
      <c r="E37" s="82"/>
      <c r="F37" s="81"/>
      <c r="G37" s="81"/>
      <c r="H37" s="81"/>
    </row>
    <row r="38" spans="2:8">
      <c r="B38" s="76"/>
      <c r="C38" s="81"/>
      <c r="D38" s="81"/>
      <c r="E38" s="82"/>
      <c r="F38" s="81"/>
      <c r="G38" s="81"/>
      <c r="H38" s="81"/>
    </row>
    <row r="39" spans="2:8">
      <c r="B39" s="76"/>
      <c r="C39" s="81"/>
      <c r="D39" s="81"/>
      <c r="E39" s="82"/>
      <c r="F39" s="81"/>
      <c r="G39" s="81"/>
      <c r="H39" s="81"/>
    </row>
    <row r="40" spans="2:8">
      <c r="B40" s="76"/>
      <c r="C40" s="81"/>
      <c r="D40" s="81"/>
      <c r="E40" s="82"/>
      <c r="F40" s="81"/>
      <c r="G40" s="81"/>
      <c r="H40" s="81"/>
    </row>
    <row r="41" spans="2:8">
      <c r="B41" s="76"/>
      <c r="C41" s="81"/>
      <c r="D41" s="81"/>
      <c r="E41" s="82"/>
      <c r="F41" s="81"/>
      <c r="G41" s="81"/>
      <c r="H41" s="81"/>
    </row>
    <row r="42" spans="2:8">
      <c r="B42" s="76"/>
      <c r="C42" s="81"/>
      <c r="D42" s="81"/>
      <c r="E42" s="82"/>
      <c r="F42" s="81"/>
      <c r="G42" s="81"/>
      <c r="H42" s="81"/>
    </row>
    <row r="43" spans="2:8">
      <c r="B43" s="76"/>
      <c r="C43" s="81"/>
      <c r="D43" s="81"/>
      <c r="E43" s="82"/>
      <c r="F43" s="81"/>
      <c r="G43" s="81"/>
      <c r="H43" s="81"/>
    </row>
    <row r="44" spans="2:8">
      <c r="B44" s="76"/>
      <c r="C44" s="81"/>
      <c r="D44" s="81"/>
      <c r="E44" s="82"/>
      <c r="F44" s="81"/>
      <c r="G44" s="81"/>
      <c r="H44" s="81"/>
    </row>
    <row r="45" spans="2:8">
      <c r="B45" s="76"/>
      <c r="C45" s="81"/>
      <c r="D45" s="81"/>
      <c r="E45" s="82"/>
      <c r="F45" s="81"/>
      <c r="G45" s="81"/>
      <c r="H45" s="81"/>
    </row>
    <row r="46" spans="2:8">
      <c r="B46" s="76"/>
      <c r="C46" s="81"/>
      <c r="D46" s="81"/>
      <c r="E46" s="82"/>
      <c r="F46" s="81"/>
      <c r="G46" s="81"/>
      <c r="H46" s="81"/>
    </row>
    <row r="47" spans="2:8">
      <c r="B47" s="76"/>
      <c r="C47" s="81"/>
      <c r="D47" s="81"/>
      <c r="E47" s="82"/>
      <c r="F47" s="81"/>
      <c r="G47" s="81"/>
      <c r="H47" s="81"/>
    </row>
    <row r="48" spans="2:8">
      <c r="B48" s="76"/>
      <c r="C48" s="81"/>
      <c r="D48" s="81"/>
      <c r="E48" s="82"/>
      <c r="F48" s="81"/>
      <c r="G48" s="81"/>
      <c r="H48" s="81"/>
    </row>
    <row r="49" spans="2:8">
      <c r="B49" s="76"/>
      <c r="C49" s="81"/>
      <c r="D49" s="81"/>
      <c r="E49" s="82"/>
      <c r="F49" s="81"/>
      <c r="G49" s="81"/>
      <c r="H49" s="81"/>
    </row>
    <row r="50" spans="2:8">
      <c r="B50" s="76"/>
      <c r="C50" s="81"/>
      <c r="D50" s="81"/>
      <c r="E50" s="82"/>
      <c r="F50" s="81"/>
      <c r="G50" s="81"/>
      <c r="H50" s="81"/>
    </row>
    <row r="51" spans="2:8">
      <c r="B51" s="76"/>
      <c r="C51" s="81"/>
      <c r="D51" s="81"/>
      <c r="E51" s="82"/>
      <c r="F51" s="81"/>
      <c r="G51" s="81"/>
      <c r="H51" s="81"/>
    </row>
    <row r="52" spans="2:8">
      <c r="B52" s="76"/>
      <c r="C52" s="81"/>
      <c r="D52" s="81"/>
      <c r="E52" s="82"/>
      <c r="F52" s="81"/>
      <c r="G52" s="81"/>
      <c r="H52" s="81"/>
    </row>
    <row r="53" spans="2:8">
      <c r="B53" s="76"/>
      <c r="C53" s="81"/>
      <c r="D53" s="81"/>
      <c r="E53" s="82"/>
      <c r="F53" s="81"/>
      <c r="G53" s="81"/>
      <c r="H53" s="81"/>
    </row>
    <row r="54" spans="2:8">
      <c r="B54" s="76"/>
      <c r="C54" s="81"/>
      <c r="D54" s="81"/>
      <c r="E54" s="82"/>
      <c r="F54" s="81"/>
      <c r="G54" s="81"/>
      <c r="H54" s="81"/>
    </row>
    <row r="55" spans="2:8">
      <c r="B55" s="76"/>
      <c r="C55" s="81"/>
      <c r="D55" s="81"/>
      <c r="E55" s="82"/>
      <c r="F55" s="81"/>
      <c r="G55" s="81"/>
      <c r="H55" s="81"/>
    </row>
    <row r="56" spans="2:8">
      <c r="B56" s="76"/>
      <c r="C56" s="81"/>
      <c r="D56" s="81"/>
      <c r="E56" s="82"/>
      <c r="F56" s="81"/>
      <c r="G56" s="81"/>
      <c r="H56" s="81"/>
    </row>
    <row r="57" spans="2:8">
      <c r="B57" s="76"/>
      <c r="C57" s="81"/>
      <c r="D57" s="81"/>
      <c r="E57" s="82"/>
      <c r="F57" s="81"/>
      <c r="G57" s="81"/>
      <c r="H57" s="81"/>
    </row>
    <row r="58" spans="2:8">
      <c r="B58" s="76"/>
      <c r="C58" s="81"/>
      <c r="D58" s="81"/>
      <c r="E58" s="82"/>
      <c r="F58" s="81"/>
      <c r="G58" s="81"/>
      <c r="H58" s="81"/>
    </row>
    <row r="59" spans="2:8">
      <c r="B59" s="76"/>
      <c r="C59" s="81"/>
      <c r="D59" s="81"/>
      <c r="E59" s="82"/>
      <c r="F59" s="81"/>
      <c r="G59" s="81"/>
      <c r="H59" s="81"/>
    </row>
    <row r="60" spans="2:8">
      <c r="B60" s="76"/>
      <c r="C60" s="81"/>
      <c r="D60" s="81"/>
      <c r="E60" s="82"/>
      <c r="F60" s="81"/>
      <c r="G60" s="81"/>
      <c r="H60" s="81"/>
    </row>
    <row r="61" spans="2:8">
      <c r="B61" s="76"/>
      <c r="C61" s="81"/>
      <c r="D61" s="81"/>
      <c r="E61" s="82"/>
      <c r="F61" s="81"/>
      <c r="G61" s="81"/>
      <c r="H61" s="81"/>
    </row>
    <row r="62" spans="2:8">
      <c r="B62" s="76"/>
      <c r="C62" s="81"/>
      <c r="D62" s="81"/>
      <c r="E62" s="82"/>
      <c r="F62" s="81"/>
      <c r="G62" s="81"/>
      <c r="H62" s="81"/>
    </row>
    <row r="63" spans="2:8">
      <c r="B63" s="76"/>
      <c r="C63" s="81"/>
      <c r="D63" s="81"/>
      <c r="E63" s="82"/>
      <c r="F63" s="81"/>
      <c r="G63" s="81"/>
      <c r="H63" s="81"/>
    </row>
    <row r="64" spans="2:8">
      <c r="B64" s="76"/>
      <c r="C64" s="81"/>
      <c r="D64" s="81"/>
      <c r="E64" s="82"/>
      <c r="F64" s="81"/>
      <c r="G64" s="81"/>
      <c r="H64" s="81"/>
    </row>
    <row r="65" spans="2:12">
      <c r="B65" s="76"/>
      <c r="C65" s="81"/>
      <c r="D65" s="81"/>
      <c r="E65" s="82"/>
      <c r="F65" s="81"/>
      <c r="G65" s="81"/>
      <c r="H65" s="81"/>
    </row>
    <row r="66" spans="2:12">
      <c r="B66" s="76"/>
      <c r="C66" s="81"/>
      <c r="D66" s="81"/>
      <c r="E66" s="82"/>
      <c r="F66" s="81"/>
      <c r="G66" s="81"/>
      <c r="H66" s="81"/>
    </row>
    <row r="67" spans="2:12">
      <c r="B67" s="76"/>
      <c r="C67" s="81"/>
      <c r="D67" s="81"/>
      <c r="E67" s="82"/>
      <c r="F67" s="81"/>
      <c r="G67" s="81"/>
      <c r="H67" s="81"/>
    </row>
    <row r="68" spans="2:12">
      <c r="B68" s="76"/>
      <c r="C68" s="81"/>
      <c r="D68" s="81"/>
      <c r="E68" s="82"/>
      <c r="F68" s="81"/>
      <c r="G68" s="81"/>
      <c r="H68" s="81"/>
    </row>
    <row r="69" spans="2:12">
      <c r="B69" s="76"/>
      <c r="C69" s="81"/>
      <c r="D69" s="81"/>
      <c r="E69" s="82"/>
      <c r="F69" s="81"/>
      <c r="G69" s="81"/>
      <c r="H69" s="81"/>
    </row>
    <row r="70" spans="2:12">
      <c r="B70" s="76"/>
      <c r="C70" s="81"/>
      <c r="D70" s="81"/>
      <c r="E70" s="82"/>
      <c r="F70" s="81"/>
      <c r="G70" s="81"/>
      <c r="H70" s="81"/>
    </row>
    <row r="71" spans="2:12">
      <c r="B71" s="76"/>
      <c r="C71" s="81"/>
      <c r="D71" s="81"/>
      <c r="E71" s="82"/>
      <c r="F71" s="81"/>
      <c r="G71" s="81"/>
      <c r="H71" s="81"/>
    </row>
    <row r="72" spans="2:12">
      <c r="B72" s="76"/>
      <c r="C72" s="81"/>
      <c r="D72" s="81"/>
      <c r="E72" s="82"/>
      <c r="F72" s="81"/>
      <c r="G72" s="81"/>
      <c r="H72" s="81"/>
    </row>
    <row r="73" spans="2:12">
      <c r="B73" s="76"/>
      <c r="C73" s="81"/>
      <c r="D73" s="81"/>
      <c r="E73" s="82"/>
      <c r="F73" s="81"/>
      <c r="G73" s="81"/>
      <c r="H73" s="81"/>
    </row>
    <row r="75" spans="2:12">
      <c r="F75" s="66" t="str">
        <f>"Surakarta, "&amp;[1]Home!L21&amp;""</f>
        <v>Surakarta, 22 Januari 2016</v>
      </c>
      <c r="G75" s="66"/>
    </row>
    <row r="76" spans="2:12">
      <c r="E76" s="66" t="s">
        <v>137</v>
      </c>
      <c r="F76" s="66"/>
      <c r="G76" s="66"/>
      <c r="H76" s="66"/>
      <c r="I76" s="66"/>
      <c r="J76" s="66"/>
      <c r="K76" s="66"/>
      <c r="L76" s="66"/>
    </row>
    <row r="77" spans="2:12">
      <c r="E77" s="66" t="s">
        <v>1</v>
      </c>
      <c r="F77" s="66" t="s">
        <v>138</v>
      </c>
      <c r="G77" s="66"/>
      <c r="H77" s="66"/>
      <c r="I77" s="66"/>
      <c r="J77" s="66"/>
      <c r="L77" s="66"/>
    </row>
    <row r="78" spans="2:12">
      <c r="E78" s="66"/>
      <c r="F78" s="66"/>
      <c r="G78" s="66"/>
      <c r="H78" s="66"/>
      <c r="I78" s="66"/>
      <c r="J78" s="66"/>
      <c r="K78" s="66"/>
    </row>
    <row r="79" spans="2:12">
      <c r="E79" s="83" t="str">
        <f>[1]Home!L9</f>
        <v>Imam Samodra, S.Si</v>
      </c>
      <c r="F79" s="66" t="str">
        <f>[1]Home!L5</f>
        <v>Achrudin, S.Pd.</v>
      </c>
      <c r="G79" s="66"/>
      <c r="H79" s="66"/>
      <c r="I79" s="66"/>
      <c r="J79" s="66"/>
    </row>
    <row r="80" spans="2:12">
      <c r="E80" s="4" t="str">
        <f>"NIK. "&amp;[1]Home!L11&amp;""</f>
        <v>NIK. 2014 10 3 172</v>
      </c>
      <c r="F80" s="8" t="str">
        <f>"NIK. "&amp;[1]Home!L7&amp;""</f>
        <v>NIK. 2014 09 3 163</v>
      </c>
      <c r="H80" s="66"/>
      <c r="I80" s="66"/>
      <c r="J80" s="66"/>
      <c r="K80" s="66"/>
    </row>
    <row r="81" spans="6:11">
      <c r="F81" s="66"/>
      <c r="G81" s="66"/>
      <c r="H81" s="66"/>
      <c r="I81" s="66"/>
      <c r="J81" s="66"/>
      <c r="K81" s="66"/>
    </row>
    <row r="82" spans="6:11">
      <c r="F82" s="66"/>
      <c r="G82" s="66"/>
      <c r="H82" s="66"/>
      <c r="I82" s="66"/>
      <c r="J82" s="66"/>
    </row>
  </sheetData>
  <mergeCells count="3">
    <mergeCell ref="B2:H2"/>
    <mergeCell ref="B3:H3"/>
    <mergeCell ref="B4:H4"/>
  </mergeCells>
  <pageMargins left="0.7" right="0.7" top="0.75" bottom="0.75" header="0.3" footer="0.3"/>
  <pageSetup paperSize="9" scale="8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70" zoomScaleNormal="70" workbookViewId="0">
      <selection activeCell="E35" sqref="E35"/>
    </sheetView>
  </sheetViews>
  <sheetFormatPr defaultRowHeight="15"/>
  <cols>
    <col min="1" max="1" width="16.42578125" customWidth="1"/>
    <col min="2" max="2" width="25.28515625" customWidth="1"/>
    <col min="4" max="4" width="12" customWidth="1"/>
    <col min="5" max="5" width="67.7109375" customWidth="1"/>
    <col min="6" max="6" width="12" customWidth="1"/>
    <col min="7" max="7" width="67.7109375" customWidth="1"/>
    <col min="8" max="8" width="59.85546875" customWidth="1"/>
  </cols>
  <sheetData>
    <row r="1" spans="1:8" s="55" customFormat="1" ht="39.75" customHeight="1">
      <c r="B1" s="64" t="str">
        <f>"Input Data Nilai Sikap dan Catatan Walas Siswa Kelas "&amp;Setting!E11&amp;" Tahun "&amp;Setting!E14&amp;" Semester "&amp;Setting!E15&amp;""</f>
        <v>Input Data Nilai Sikap dan Catatan Walas Siswa Kelas X.MIPA 4 Tahun 2020/2021 Semester II</v>
      </c>
    </row>
    <row r="2" spans="1:8">
      <c r="A2" s="308" t="s">
        <v>43</v>
      </c>
      <c r="B2" s="308" t="s">
        <v>42</v>
      </c>
      <c r="C2" s="308" t="s">
        <v>45</v>
      </c>
      <c r="D2" s="305" t="s">
        <v>70</v>
      </c>
      <c r="E2" s="306"/>
      <c r="F2" s="305" t="s">
        <v>71</v>
      </c>
      <c r="G2" s="306"/>
      <c r="H2" s="302" t="s">
        <v>66</v>
      </c>
    </row>
    <row r="3" spans="1:8" ht="27" customHeight="1">
      <c r="A3" s="308"/>
      <c r="B3" s="308"/>
      <c r="C3" s="308"/>
      <c r="D3" s="44" t="s">
        <v>78</v>
      </c>
      <c r="E3" s="44" t="s">
        <v>38</v>
      </c>
      <c r="F3" s="44" t="s">
        <v>78</v>
      </c>
      <c r="G3" s="44" t="s">
        <v>38</v>
      </c>
      <c r="H3" s="302"/>
    </row>
    <row r="4" spans="1:8" ht="30" customHeight="1">
      <c r="A4" s="7">
        <v>1</v>
      </c>
      <c r="B4" s="48" t="str">
        <f>IF(Setting!J6="","",Setting!J6)</f>
        <v>Abdul Fattah Irfan Al Mubaroq</v>
      </c>
      <c r="C4" s="15">
        <f>IF(Setting!K6="","",Setting!K6)</f>
        <v>2008004</v>
      </c>
      <c r="D4" s="63" t="s">
        <v>152</v>
      </c>
      <c r="E4" s="63" t="s">
        <v>1105</v>
      </c>
      <c r="F4" s="63" t="s">
        <v>152</v>
      </c>
      <c r="G4" s="63" t="s">
        <v>1107</v>
      </c>
      <c r="H4" s="63" t="s">
        <v>141</v>
      </c>
    </row>
    <row r="5" spans="1:8" ht="30" customHeight="1">
      <c r="A5" s="7">
        <v>2</v>
      </c>
      <c r="B5" s="48" t="str">
        <f>IF(Setting!J7="","",Setting!J7)</f>
        <v>Adam Zidane Danata Pranugroho</v>
      </c>
      <c r="C5" s="15">
        <f>IF(Setting!K7="","",Setting!K7)</f>
        <v>2008009</v>
      </c>
      <c r="D5" s="63" t="s">
        <v>151</v>
      </c>
      <c r="E5" s="63" t="s">
        <v>1105</v>
      </c>
      <c r="F5" s="63" t="s">
        <v>152</v>
      </c>
      <c r="G5" s="63" t="s">
        <v>1107</v>
      </c>
      <c r="H5" s="63" t="s">
        <v>141</v>
      </c>
    </row>
    <row r="6" spans="1:8" ht="30" customHeight="1">
      <c r="A6" s="7">
        <v>3</v>
      </c>
      <c r="B6" s="48" t="str">
        <f>IF(Setting!J8="","",Setting!J8)</f>
        <v>Ahmad Fikry</v>
      </c>
      <c r="C6" s="15">
        <f>IF(Setting!K8="","",Setting!K8)</f>
        <v>2008021</v>
      </c>
      <c r="D6" s="63" t="s">
        <v>151</v>
      </c>
      <c r="E6" s="63" t="s">
        <v>1105</v>
      </c>
      <c r="F6" s="63" t="s">
        <v>152</v>
      </c>
      <c r="G6" s="63" t="s">
        <v>1107</v>
      </c>
      <c r="H6" s="63" t="s">
        <v>141</v>
      </c>
    </row>
    <row r="7" spans="1:8" ht="30" customHeight="1">
      <c r="A7" s="7">
        <v>4</v>
      </c>
      <c r="B7" s="48" t="str">
        <f>IF(Setting!J9="","",Setting!J9)</f>
        <v>Akhmad Rifki Assegaf</v>
      </c>
      <c r="C7" s="15">
        <f>IF(Setting!K9="","",Setting!K9)</f>
        <v>2008029</v>
      </c>
      <c r="D7" s="63" t="s">
        <v>152</v>
      </c>
      <c r="E7" s="63" t="s">
        <v>1105</v>
      </c>
      <c r="F7" s="63" t="s">
        <v>152</v>
      </c>
      <c r="G7" s="63" t="s">
        <v>1107</v>
      </c>
      <c r="H7" s="63" t="s">
        <v>141</v>
      </c>
    </row>
    <row r="8" spans="1:8" ht="30" customHeight="1">
      <c r="A8" s="7">
        <v>5</v>
      </c>
      <c r="B8" s="48" t="str">
        <f>IF(Setting!J10="","",Setting!J10)</f>
        <v>Almas Sabih Wahindra</v>
      </c>
      <c r="C8" s="15">
        <f>IF(Setting!K10="","",Setting!K10)</f>
        <v>2008034</v>
      </c>
      <c r="D8" s="63" t="s">
        <v>152</v>
      </c>
      <c r="E8" s="63" t="s">
        <v>1105</v>
      </c>
      <c r="F8" s="63" t="s">
        <v>152</v>
      </c>
      <c r="G8" s="63" t="s">
        <v>1107</v>
      </c>
      <c r="H8" s="63" t="s">
        <v>141</v>
      </c>
    </row>
    <row r="9" spans="1:8" ht="30" customHeight="1">
      <c r="A9" s="7">
        <v>6</v>
      </c>
      <c r="B9" s="48" t="str">
        <f>IF(Setting!J11="","",Setting!J11)</f>
        <v>Aria Fenha Apri Buma</v>
      </c>
      <c r="C9" s="15">
        <f>IF(Setting!K11="","",Setting!K11)</f>
        <v>2008054</v>
      </c>
      <c r="D9" s="63" t="s">
        <v>152</v>
      </c>
      <c r="E9" s="63" t="s">
        <v>1105</v>
      </c>
      <c r="F9" s="63" t="s">
        <v>152</v>
      </c>
      <c r="G9" s="63" t="s">
        <v>1107</v>
      </c>
      <c r="H9" s="63" t="s">
        <v>141</v>
      </c>
    </row>
    <row r="10" spans="1:8" ht="30" customHeight="1">
      <c r="A10" s="7">
        <v>7</v>
      </c>
      <c r="B10" s="48" t="str">
        <f>IF(Setting!J12="","",Setting!J12)</f>
        <v>Baharuddin Barkah Pratama</v>
      </c>
      <c r="C10" s="15">
        <f>IF(Setting!K12="","",Setting!K12)</f>
        <v>2008075</v>
      </c>
      <c r="D10" s="63" t="s">
        <v>152</v>
      </c>
      <c r="E10" s="63" t="s">
        <v>1105</v>
      </c>
      <c r="F10" s="63" t="s">
        <v>152</v>
      </c>
      <c r="G10" s="63" t="s">
        <v>1107</v>
      </c>
      <c r="H10" s="63" t="s">
        <v>141</v>
      </c>
    </row>
    <row r="11" spans="1:8" ht="30" customHeight="1">
      <c r="A11" s="7">
        <v>8</v>
      </c>
      <c r="B11" s="48" t="str">
        <f>IF(Setting!J13="","",Setting!J13)</f>
        <v>Daffa Arya Pudyastungkara</v>
      </c>
      <c r="C11" s="15">
        <f>IF(Setting!K13="","",Setting!K13)</f>
        <v>2008089</v>
      </c>
      <c r="D11" s="63" t="s">
        <v>151</v>
      </c>
      <c r="E11" s="63" t="s">
        <v>1105</v>
      </c>
      <c r="F11" s="63" t="s">
        <v>152</v>
      </c>
      <c r="G11" s="63" t="s">
        <v>1107</v>
      </c>
      <c r="H11" s="63" t="s">
        <v>141</v>
      </c>
    </row>
    <row r="12" spans="1:8" ht="30" customHeight="1">
      <c r="A12" s="7">
        <v>9</v>
      </c>
      <c r="B12" s="48" t="str">
        <f>IF(Setting!J14="","",Setting!J14)</f>
        <v>Dody Muhammad Pasha</v>
      </c>
      <c r="C12" s="15">
        <f>IF(Setting!K14="","",Setting!K14)</f>
        <v>2008095</v>
      </c>
      <c r="D12" s="63" t="s">
        <v>151</v>
      </c>
      <c r="E12" s="63" t="s">
        <v>1105</v>
      </c>
      <c r="F12" s="63" t="s">
        <v>152</v>
      </c>
      <c r="G12" s="63" t="s">
        <v>1107</v>
      </c>
      <c r="H12" s="63" t="s">
        <v>141</v>
      </c>
    </row>
    <row r="13" spans="1:8" ht="30" customHeight="1">
      <c r="A13" s="7">
        <v>10</v>
      </c>
      <c r="B13" s="48" t="str">
        <f>IF(Setting!J15="","",Setting!J15)</f>
        <v>Elga Perdana</v>
      </c>
      <c r="C13" s="15">
        <f>IF(Setting!K15="","",Setting!K15)</f>
        <v>2008099</v>
      </c>
      <c r="D13" s="63" t="s">
        <v>152</v>
      </c>
      <c r="E13" s="63" t="s">
        <v>1105</v>
      </c>
      <c r="F13" s="63" t="s">
        <v>152</v>
      </c>
      <c r="G13" s="63" t="s">
        <v>1107</v>
      </c>
      <c r="H13" s="63" t="s">
        <v>141</v>
      </c>
    </row>
    <row r="14" spans="1:8" ht="30" customHeight="1">
      <c r="A14" s="7">
        <v>11</v>
      </c>
      <c r="B14" s="48" t="str">
        <f>IF(Setting!J16="","",Setting!J16)</f>
        <v>Fathoni Daniswara</v>
      </c>
      <c r="C14" s="15">
        <f>IF(Setting!K16="","",Setting!K16)</f>
        <v>2008118</v>
      </c>
      <c r="D14" s="63" t="s">
        <v>151</v>
      </c>
      <c r="E14" s="63" t="s">
        <v>1105</v>
      </c>
      <c r="F14" s="63" t="s">
        <v>152</v>
      </c>
      <c r="G14" s="63" t="s">
        <v>1107</v>
      </c>
      <c r="H14" s="63" t="s">
        <v>141</v>
      </c>
    </row>
    <row r="15" spans="1:8" ht="30" customHeight="1">
      <c r="A15" s="7">
        <v>12</v>
      </c>
      <c r="B15" s="48" t="str">
        <f>IF(Setting!J17="","",Setting!J17)</f>
        <v>Gading Setyo Manunggal</v>
      </c>
      <c r="C15" s="15">
        <f>IF(Setting!K17="","",Setting!K17)</f>
        <v>2008127</v>
      </c>
      <c r="D15" s="63" t="s">
        <v>152</v>
      </c>
      <c r="E15" s="63" t="s">
        <v>1105</v>
      </c>
      <c r="F15" s="63" t="s">
        <v>152</v>
      </c>
      <c r="G15" s="63" t="s">
        <v>1107</v>
      </c>
      <c r="H15" s="63" t="s">
        <v>141</v>
      </c>
    </row>
    <row r="16" spans="1:8" ht="30" customHeight="1">
      <c r="A16" s="7">
        <v>13</v>
      </c>
      <c r="B16" s="48" t="str">
        <f>IF(Setting!J18="","",Setting!J18)</f>
        <v>Ghifari Mabrur Al Burhani</v>
      </c>
      <c r="C16" s="15">
        <f>IF(Setting!K18="","",Setting!K18)</f>
        <v>2008128</v>
      </c>
      <c r="D16" s="63" t="s">
        <v>152</v>
      </c>
      <c r="E16" s="63" t="s">
        <v>1105</v>
      </c>
      <c r="F16" s="63" t="s">
        <v>152</v>
      </c>
      <c r="G16" s="63" t="s">
        <v>1107</v>
      </c>
      <c r="H16" s="63" t="s">
        <v>141</v>
      </c>
    </row>
    <row r="17" spans="1:8" ht="30" customHeight="1">
      <c r="A17" s="7">
        <v>14</v>
      </c>
      <c r="B17" s="48" t="str">
        <f>IF(Setting!J19="","",Setting!J19)</f>
        <v>Hafid Mahreza Ilham</v>
      </c>
      <c r="C17" s="15">
        <f>IF(Setting!K19="","",Setting!K19)</f>
        <v>2008131</v>
      </c>
      <c r="D17" s="63" t="s">
        <v>152</v>
      </c>
      <c r="E17" s="63" t="s">
        <v>1105</v>
      </c>
      <c r="F17" s="63" t="s">
        <v>152</v>
      </c>
      <c r="G17" s="63" t="s">
        <v>1107</v>
      </c>
      <c r="H17" s="63" t="s">
        <v>141</v>
      </c>
    </row>
    <row r="18" spans="1:8" ht="30" customHeight="1">
      <c r="A18" s="7">
        <v>15</v>
      </c>
      <c r="B18" s="48" t="str">
        <f>IF(Setting!J20="","",Setting!J20)</f>
        <v>Haidar Rafif Hibatulloh</v>
      </c>
      <c r="C18" s="15">
        <f>IF(Setting!K20="","",Setting!K20)</f>
        <v>2008132</v>
      </c>
      <c r="D18" s="63" t="s">
        <v>152</v>
      </c>
      <c r="E18" s="63" t="s">
        <v>1105</v>
      </c>
      <c r="F18" s="63" t="s">
        <v>152</v>
      </c>
      <c r="G18" s="63" t="s">
        <v>1107</v>
      </c>
      <c r="H18" s="63" t="s">
        <v>141</v>
      </c>
    </row>
    <row r="19" spans="1:8" ht="30" customHeight="1">
      <c r="A19" s="7">
        <v>16</v>
      </c>
      <c r="B19" s="48" t="str">
        <f>IF(Setting!J21="","",Setting!J21)</f>
        <v>Kelvin Oktabrian Ramadhan</v>
      </c>
      <c r="C19" s="15">
        <f>IF(Setting!K21="","",Setting!K21)</f>
        <v>2008169</v>
      </c>
      <c r="D19" s="63" t="s">
        <v>152</v>
      </c>
      <c r="E19" s="63" t="s">
        <v>1105</v>
      </c>
      <c r="F19" s="63" t="s">
        <v>152</v>
      </c>
      <c r="G19" s="63" t="s">
        <v>1107</v>
      </c>
      <c r="H19" s="63" t="s">
        <v>141</v>
      </c>
    </row>
    <row r="20" spans="1:8" ht="30" customHeight="1">
      <c r="A20" s="7">
        <v>17</v>
      </c>
      <c r="B20" s="48" t="str">
        <f>IF(Setting!J22="","",Setting!J22)</f>
        <v>Mohamad Khoiril Afwa</v>
      </c>
      <c r="C20" s="15">
        <f>IF(Setting!K22="","",Setting!K22)</f>
        <v>2008197</v>
      </c>
      <c r="D20" s="63" t="s">
        <v>152</v>
      </c>
      <c r="E20" s="63" t="s">
        <v>1105</v>
      </c>
      <c r="F20" s="63" t="s">
        <v>152</v>
      </c>
      <c r="G20" s="63" t="s">
        <v>1107</v>
      </c>
      <c r="H20" s="63" t="s">
        <v>141</v>
      </c>
    </row>
    <row r="21" spans="1:8" ht="30" customHeight="1">
      <c r="A21" s="7">
        <v>18</v>
      </c>
      <c r="B21" s="48" t="str">
        <f>IF(Setting!J23="","",Setting!J23)</f>
        <v>Muhammad Hanif Pearlyaradja</v>
      </c>
      <c r="C21" s="15">
        <f>IF(Setting!K23="","",Setting!K23)</f>
        <v>2008214</v>
      </c>
      <c r="D21" s="63" t="s">
        <v>152</v>
      </c>
      <c r="E21" s="63" t="s">
        <v>1105</v>
      </c>
      <c r="F21" s="63" t="s">
        <v>152</v>
      </c>
      <c r="G21" s="63" t="s">
        <v>1107</v>
      </c>
      <c r="H21" s="63" t="s">
        <v>141</v>
      </c>
    </row>
    <row r="22" spans="1:8" ht="30" customHeight="1">
      <c r="A22" s="7">
        <v>19</v>
      </c>
      <c r="B22" s="48" t="str">
        <f>IF(Setting!J24="","",Setting!J24)</f>
        <v>Muhammad Maurel Han</v>
      </c>
      <c r="C22" s="15">
        <f>IF(Setting!K24="","",Setting!K24)</f>
        <v>2008218</v>
      </c>
      <c r="D22" s="63" t="s">
        <v>152</v>
      </c>
      <c r="E22" s="63" t="s">
        <v>1105</v>
      </c>
      <c r="F22" s="63" t="s">
        <v>152</v>
      </c>
      <c r="G22" s="63" t="s">
        <v>1107</v>
      </c>
      <c r="H22" s="63" t="s">
        <v>141</v>
      </c>
    </row>
    <row r="23" spans="1:8" ht="30" customHeight="1">
      <c r="A23" s="7">
        <v>20</v>
      </c>
      <c r="B23" s="48" t="str">
        <f>IF(Setting!J25="","",Setting!J25)</f>
        <v>Muhammad Niam Masykuri</v>
      </c>
      <c r="C23" s="15">
        <f>IF(Setting!K25="","",Setting!K25)</f>
        <v>2008220</v>
      </c>
      <c r="D23" s="63" t="s">
        <v>152</v>
      </c>
      <c r="E23" s="63" t="s">
        <v>1105</v>
      </c>
      <c r="F23" s="63" t="s">
        <v>152</v>
      </c>
      <c r="G23" s="63" t="s">
        <v>1107</v>
      </c>
      <c r="H23" s="63" t="s">
        <v>141</v>
      </c>
    </row>
    <row r="24" spans="1:8" ht="30" customHeight="1">
      <c r="A24" s="7">
        <v>21</v>
      </c>
      <c r="B24" s="48" t="str">
        <f>IF(Setting!J26="","",Setting!J26)</f>
        <v>Muhammad Nur Arzhian Kusuma</v>
      </c>
      <c r="C24" s="15">
        <f>IF(Setting!K26="","",Setting!K26)</f>
        <v>2008221</v>
      </c>
      <c r="D24" s="63" t="s">
        <v>151</v>
      </c>
      <c r="E24" s="63" t="s">
        <v>1105</v>
      </c>
      <c r="F24" s="63" t="s">
        <v>152</v>
      </c>
      <c r="G24" s="63" t="s">
        <v>1107</v>
      </c>
      <c r="H24" s="63" t="s">
        <v>141</v>
      </c>
    </row>
    <row r="25" spans="1:8" ht="30" customHeight="1">
      <c r="A25" s="7">
        <v>22</v>
      </c>
      <c r="B25" s="48" t="str">
        <f>IF(Setting!J27="","",Setting!J27)</f>
        <v>Muhammad Rafif Rizqullah</v>
      </c>
      <c r="C25" s="15">
        <f>IF(Setting!K27="","",Setting!K27)</f>
        <v>2008222</v>
      </c>
      <c r="D25" s="63" t="s">
        <v>152</v>
      </c>
      <c r="E25" s="63" t="s">
        <v>1105</v>
      </c>
      <c r="F25" s="63" t="s">
        <v>152</v>
      </c>
      <c r="G25" s="63" t="s">
        <v>1107</v>
      </c>
      <c r="H25" s="63" t="s">
        <v>141</v>
      </c>
    </row>
    <row r="26" spans="1:8" ht="30" customHeight="1">
      <c r="A26" s="7">
        <v>23</v>
      </c>
      <c r="B26" s="48" t="str">
        <f>IF(Setting!J28="","",Setting!J28)</f>
        <v>Muhammad Raihan Al Faridzi</v>
      </c>
      <c r="C26" s="15">
        <f>IF(Setting!K28="","",Setting!K28)</f>
        <v>2008223</v>
      </c>
      <c r="D26" s="63" t="s">
        <v>151</v>
      </c>
      <c r="E26" s="63" t="s">
        <v>1105</v>
      </c>
      <c r="F26" s="63" t="s">
        <v>152</v>
      </c>
      <c r="G26" s="63" t="s">
        <v>1107</v>
      </c>
      <c r="H26" s="63" t="s">
        <v>141</v>
      </c>
    </row>
    <row r="27" spans="1:8" ht="30" customHeight="1">
      <c r="A27" s="7">
        <v>24</v>
      </c>
      <c r="B27" s="48" t="str">
        <f>IF(Setting!J29="","",Setting!J29)</f>
        <v>Muhammad Rakan Hafidh Al Ghalib</v>
      </c>
      <c r="C27" s="15">
        <f>IF(Setting!K29="","",Setting!K29)</f>
        <v>2008224</v>
      </c>
      <c r="D27" s="63" t="s">
        <v>151</v>
      </c>
      <c r="E27" s="63" t="s">
        <v>1105</v>
      </c>
      <c r="F27" s="63" t="s">
        <v>152</v>
      </c>
      <c r="G27" s="63" t="s">
        <v>1107</v>
      </c>
      <c r="H27" s="63" t="s">
        <v>141</v>
      </c>
    </row>
    <row r="28" spans="1:8" ht="30" customHeight="1">
      <c r="A28" s="7">
        <v>25</v>
      </c>
      <c r="B28" s="48" t="str">
        <f>IF(Setting!J30="","",Setting!J30)</f>
        <v>Muhammad Syamu Naufal</v>
      </c>
      <c r="C28" s="15">
        <f>IF(Setting!K30="","",Setting!K30)</f>
        <v>2008230</v>
      </c>
      <c r="D28" s="63" t="s">
        <v>152</v>
      </c>
      <c r="E28" s="63" t="s">
        <v>1105</v>
      </c>
      <c r="F28" s="63" t="s">
        <v>152</v>
      </c>
      <c r="G28" s="63" t="s">
        <v>1107</v>
      </c>
      <c r="H28" s="63" t="s">
        <v>141</v>
      </c>
    </row>
    <row r="29" spans="1:8" ht="30" customHeight="1">
      <c r="A29" s="7">
        <v>26</v>
      </c>
      <c r="B29" s="48" t="str">
        <f>IF(Setting!J31="","",Setting!J31)</f>
        <v>Naufal Muhammad Iqbal</v>
      </c>
      <c r="C29" s="15">
        <f>IF(Setting!K31="","",Setting!K31)</f>
        <v>2008251</v>
      </c>
      <c r="D29" s="63" t="s">
        <v>152</v>
      </c>
      <c r="E29" s="63" t="s">
        <v>1105</v>
      </c>
      <c r="F29" s="63" t="s">
        <v>152</v>
      </c>
      <c r="G29" s="63" t="s">
        <v>1107</v>
      </c>
      <c r="H29" s="63" t="s">
        <v>141</v>
      </c>
    </row>
    <row r="30" spans="1:8" ht="30" customHeight="1">
      <c r="A30" s="7">
        <v>27</v>
      </c>
      <c r="B30" s="48" t="str">
        <f>IF(Setting!J32="","",Setting!J32)</f>
        <v>Nauval Nur Mustafa</v>
      </c>
      <c r="C30" s="15">
        <f>IF(Setting!K32="","",Setting!K32)</f>
        <v>2008253</v>
      </c>
      <c r="D30" s="63" t="s">
        <v>152</v>
      </c>
      <c r="E30" s="63" t="s">
        <v>1105</v>
      </c>
      <c r="F30" s="63" t="s">
        <v>152</v>
      </c>
      <c r="G30" s="63" t="s">
        <v>1107</v>
      </c>
      <c r="H30" s="63" t="s">
        <v>141</v>
      </c>
    </row>
    <row r="31" spans="1:8" ht="30" customHeight="1">
      <c r="A31" s="7">
        <v>28</v>
      </c>
      <c r="B31" s="48" t="str">
        <f>IF(Setting!J33="","",Setting!J33)</f>
        <v>Oriegano Kanahaya  Siagian</v>
      </c>
      <c r="C31" s="15">
        <f>IF(Setting!K33="","",Setting!K33)</f>
        <v>2008272</v>
      </c>
      <c r="D31" s="63" t="s">
        <v>152</v>
      </c>
      <c r="E31" s="63" t="s">
        <v>1105</v>
      </c>
      <c r="F31" s="63" t="s">
        <v>152</v>
      </c>
      <c r="G31" s="63" t="s">
        <v>1107</v>
      </c>
      <c r="H31" s="63" t="s">
        <v>141</v>
      </c>
    </row>
    <row r="32" spans="1:8" ht="30" customHeight="1">
      <c r="A32" s="7">
        <v>29</v>
      </c>
      <c r="B32" s="48" t="str">
        <f>IF(Setting!J34="","",Setting!J34)</f>
        <v>Rafif Mahatma Indrastata</v>
      </c>
      <c r="C32" s="15">
        <f>IF(Setting!K34="","",Setting!K34)</f>
        <v>2008282</v>
      </c>
      <c r="D32" s="63" t="s">
        <v>152</v>
      </c>
      <c r="E32" s="63" t="s">
        <v>1105</v>
      </c>
      <c r="F32" s="63" t="s">
        <v>152</v>
      </c>
      <c r="G32" s="63" t="s">
        <v>1107</v>
      </c>
      <c r="H32" s="63" t="s">
        <v>141</v>
      </c>
    </row>
    <row r="33" spans="1:8" ht="30" customHeight="1">
      <c r="A33" s="7">
        <v>30</v>
      </c>
      <c r="B33" s="48" t="str">
        <f>IF(Setting!J35="","",Setting!J35)</f>
        <v>Rayhan Yoga Edy Pratama</v>
      </c>
      <c r="C33" s="15">
        <f>IF(Setting!K35="","",Setting!K35)</f>
        <v>2008296</v>
      </c>
      <c r="D33" s="63" t="s">
        <v>152</v>
      </c>
      <c r="E33" s="63" t="s">
        <v>1105</v>
      </c>
      <c r="F33" s="63" t="s">
        <v>152</v>
      </c>
      <c r="G33" s="63" t="s">
        <v>1107</v>
      </c>
      <c r="H33" s="63" t="s">
        <v>141</v>
      </c>
    </row>
    <row r="34" spans="1:8" ht="30" customHeight="1">
      <c r="A34" s="7">
        <v>31</v>
      </c>
      <c r="B34" s="48" t="str">
        <f>IF(Setting!J36="","",Setting!J36)</f>
        <v>Rusianto Munif</v>
      </c>
      <c r="C34" s="15">
        <f>IF(Setting!K36="","",Setting!K36)</f>
        <v>2008307</v>
      </c>
      <c r="D34" s="63" t="s">
        <v>152</v>
      </c>
      <c r="E34" s="63" t="s">
        <v>1105</v>
      </c>
      <c r="F34" s="63" t="s">
        <v>152</v>
      </c>
      <c r="G34" s="63" t="s">
        <v>1107</v>
      </c>
      <c r="H34" s="63" t="s">
        <v>141</v>
      </c>
    </row>
    <row r="35" spans="1:8" ht="30" customHeight="1">
      <c r="A35" s="7">
        <v>32</v>
      </c>
      <c r="B35" s="48" t="str">
        <f>IF(Setting!J37="","",Setting!J37)</f>
        <v>Zaidan Mu'afy Althaf</v>
      </c>
      <c r="C35" s="15">
        <f>IF(Setting!K37="","",Setting!K37)</f>
        <v>2008347</v>
      </c>
      <c r="D35" s="63" t="s">
        <v>151</v>
      </c>
      <c r="E35" s="63" t="s">
        <v>1105</v>
      </c>
      <c r="F35" s="63" t="s">
        <v>152</v>
      </c>
      <c r="G35" s="63" t="s">
        <v>1107</v>
      </c>
      <c r="H35" s="63" t="s">
        <v>141</v>
      </c>
    </row>
    <row r="36" spans="1:8" ht="30" customHeight="1">
      <c r="A36" s="7">
        <v>33</v>
      </c>
      <c r="B36" s="48" t="str">
        <f>IF(Setting!J38="","",Setting!J38)</f>
        <v/>
      </c>
      <c r="C36" s="15" t="str">
        <f>IF(Setting!K38="","",Setting!K38)</f>
        <v/>
      </c>
      <c r="D36" s="63"/>
      <c r="E36" s="63"/>
      <c r="F36" s="63"/>
      <c r="G36" s="63"/>
      <c r="H36" s="63"/>
    </row>
    <row r="37" spans="1:8" ht="30" customHeight="1">
      <c r="A37" s="7">
        <v>34</v>
      </c>
      <c r="B37" s="48" t="str">
        <f>IF(Setting!J39="","",Setting!J39)</f>
        <v/>
      </c>
      <c r="C37" s="15" t="str">
        <f>IF(Setting!K39="","",Setting!K39)</f>
        <v/>
      </c>
      <c r="D37" s="63"/>
      <c r="E37" s="63"/>
      <c r="F37" s="63"/>
      <c r="G37" s="63"/>
      <c r="H37" s="63"/>
    </row>
    <row r="38" spans="1:8" ht="30" customHeight="1">
      <c r="A38" s="7">
        <v>35</v>
      </c>
      <c r="B38" s="48" t="str">
        <f>IF(Setting!J40="","",Setting!J40)</f>
        <v/>
      </c>
      <c r="C38" s="15" t="str">
        <f>IF(Setting!K40="","",Setting!K40)</f>
        <v/>
      </c>
      <c r="D38" s="63"/>
      <c r="E38" s="63"/>
      <c r="F38" s="63"/>
      <c r="G38" s="63"/>
      <c r="H38" s="63"/>
    </row>
    <row r="39" spans="1:8" ht="30" customHeight="1">
      <c r="A39" s="7">
        <v>36</v>
      </c>
      <c r="B39" s="48" t="str">
        <f>IF(Setting!J41="","",Setting!J41)</f>
        <v/>
      </c>
      <c r="C39" s="15" t="str">
        <f>IF(Setting!K41="","",Setting!K41)</f>
        <v/>
      </c>
      <c r="D39" s="63"/>
      <c r="E39" s="63"/>
      <c r="F39" s="63"/>
      <c r="G39" s="63"/>
      <c r="H39" s="63"/>
    </row>
    <row r="40" spans="1:8" ht="30" customHeight="1">
      <c r="A40" s="7">
        <v>37</v>
      </c>
      <c r="B40" s="48" t="str">
        <f>IF(Setting!J42="","",Setting!J42)</f>
        <v/>
      </c>
      <c r="C40" s="15" t="str">
        <f>IF(Setting!K42="","",Setting!K42)</f>
        <v/>
      </c>
      <c r="D40" s="63"/>
      <c r="E40" s="63"/>
      <c r="F40" s="63"/>
      <c r="G40" s="63"/>
      <c r="H40" s="63"/>
    </row>
    <row r="41" spans="1:8" ht="30" customHeight="1">
      <c r="A41" s="7">
        <v>38</v>
      </c>
      <c r="B41" s="48" t="str">
        <f>IF(Setting!J43="","",Setting!J43)</f>
        <v/>
      </c>
      <c r="C41" s="15" t="str">
        <f>IF(Setting!K43="","",Setting!K43)</f>
        <v/>
      </c>
      <c r="D41" s="63"/>
      <c r="E41" s="63"/>
      <c r="F41" s="63"/>
      <c r="G41" s="63"/>
      <c r="H41" s="63"/>
    </row>
    <row r="42" spans="1:8" ht="30" customHeight="1">
      <c r="A42" s="7">
        <v>39</v>
      </c>
      <c r="B42" s="48" t="str">
        <f>IF(Setting!J44="","",Setting!J44)</f>
        <v/>
      </c>
      <c r="C42" s="15" t="str">
        <f>IF(Setting!K44="","",Setting!K44)</f>
        <v/>
      </c>
      <c r="D42" s="63"/>
      <c r="E42" s="63"/>
      <c r="F42" s="63"/>
      <c r="G42" s="63"/>
      <c r="H42" s="63"/>
    </row>
    <row r="43" spans="1:8" ht="30" customHeight="1">
      <c r="A43" s="7">
        <v>40</v>
      </c>
      <c r="B43" s="48" t="str">
        <f>IF(Setting!J45="","",Setting!J45)</f>
        <v/>
      </c>
      <c r="C43" s="15" t="str">
        <f>IF(Setting!K45="","",Setting!K45)</f>
        <v/>
      </c>
      <c r="D43" s="63"/>
      <c r="E43" s="63"/>
      <c r="F43" s="63"/>
      <c r="G43" s="63"/>
      <c r="H43" s="63"/>
    </row>
  </sheetData>
  <sheetProtection algorithmName="SHA-512" hashValue="ueRIXr6nQMJoCn9+iyuEtj8+1jtBB3/uOGZ7rYGK+8CWnqUgx91h/p4LZbQO93lXreQjCWmz6VYvyzSY7vGD9g==" saltValue="sD7jP68RHgn2sfc2Uwu7TQ==" spinCount="100000" sheet="1" objects="1" scenarios="1" selectLockedCells="1"/>
  <mergeCells count="6">
    <mergeCell ref="H2:H3"/>
    <mergeCell ref="D2:E2"/>
    <mergeCell ref="F2:G2"/>
    <mergeCell ref="A2:A3"/>
    <mergeCell ref="B2:B3"/>
    <mergeCell ref="C2:C3"/>
  </mergeCell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J44"/>
  <sheetViews>
    <sheetView topLeftCell="B1" workbookViewId="0">
      <pane xSplit="3" ySplit="4" topLeftCell="E5" activePane="bottomRight" state="frozenSplit"/>
      <selection activeCell="B1" sqref="B1"/>
      <selection pane="topRight" activeCell="E1" sqref="E1"/>
      <selection pane="bottomLeft" activeCell="B5" sqref="B5"/>
      <selection pane="bottomRight"/>
    </sheetView>
  </sheetViews>
  <sheetFormatPr defaultRowHeight="15"/>
  <cols>
    <col min="1" max="1" width="0" hidden="1" customWidth="1"/>
    <col min="2" max="2" width="14.7109375" customWidth="1"/>
    <col min="3" max="3" width="25.85546875" customWidth="1"/>
    <col min="4" max="4" width="10.42578125" style="1" customWidth="1"/>
    <col min="5" max="5" width="25.85546875" customWidth="1"/>
    <col min="6" max="6" width="8.7109375" style="8" customWidth="1"/>
    <col min="7" max="7" width="21.5703125" bestFit="1" customWidth="1"/>
    <col min="8" max="8" width="23.28515625" customWidth="1"/>
    <col min="9" max="9" width="8.85546875" style="8" customWidth="1"/>
    <col min="10" max="10" width="21.5703125" bestFit="1" customWidth="1"/>
  </cols>
  <sheetData>
    <row r="1" spans="2:10" s="50" customFormat="1" ht="21">
      <c r="C1" s="49" t="str">
        <f>"Input Data Ekstrakurikuler Siswa Kelas "&amp;Setting!E11&amp;" Tahun "&amp;Setting!E14&amp;" Semester "&amp;Setting!E15&amp;""</f>
        <v>Input Data Ekstrakurikuler Siswa Kelas X.MIPA 4 Tahun 2020/2021 Semester II</v>
      </c>
      <c r="D1" s="51"/>
    </row>
    <row r="3" spans="2:10" s="3" customFormat="1">
      <c r="B3" s="309" t="s">
        <v>43</v>
      </c>
      <c r="C3" s="309" t="s">
        <v>42</v>
      </c>
      <c r="D3" s="309" t="s">
        <v>45</v>
      </c>
      <c r="E3" s="310" t="s">
        <v>24</v>
      </c>
      <c r="F3" s="310"/>
      <c r="G3" s="310"/>
      <c r="H3" s="310"/>
      <c r="I3" s="310"/>
      <c r="J3" s="310"/>
    </row>
    <row r="4" spans="2:10" s="3" customFormat="1">
      <c r="B4" s="309"/>
      <c r="C4" s="309"/>
      <c r="D4" s="309"/>
      <c r="E4" s="47" t="s">
        <v>87</v>
      </c>
      <c r="F4" s="47" t="s">
        <v>82</v>
      </c>
      <c r="G4" s="47" t="s">
        <v>38</v>
      </c>
      <c r="H4" s="47" t="s">
        <v>88</v>
      </c>
      <c r="I4" s="47" t="s">
        <v>82</v>
      </c>
      <c r="J4" s="47" t="s">
        <v>38</v>
      </c>
    </row>
    <row r="5" spans="2:10">
      <c r="B5" s="7">
        <v>1</v>
      </c>
      <c r="C5" s="48" t="str">
        <f>IF(Setting!J6="","",Setting!J6)</f>
        <v>Abdul Fattah Irfan Al Mubaroq</v>
      </c>
      <c r="D5" s="15">
        <f>IF(Setting!K6="","",Setting!K6)</f>
        <v>2008004</v>
      </c>
      <c r="E5" s="53" t="s">
        <v>183</v>
      </c>
      <c r="F5" s="53" t="s">
        <v>1128</v>
      </c>
      <c r="G5" s="53" t="s">
        <v>1104</v>
      </c>
      <c r="H5" s="53"/>
      <c r="I5" s="53"/>
      <c r="J5" s="53"/>
    </row>
    <row r="6" spans="2:10">
      <c r="B6" s="7">
        <v>2</v>
      </c>
      <c r="C6" s="48" t="str">
        <f>IF(Setting!J7="","",Setting!J7)</f>
        <v>Adam Zidane Danata Pranugroho</v>
      </c>
      <c r="D6" s="15">
        <f>IF(Setting!K7="","",Setting!K7)</f>
        <v>2008009</v>
      </c>
      <c r="E6" s="53" t="s">
        <v>183</v>
      </c>
      <c r="F6" s="53" t="s">
        <v>1128</v>
      </c>
      <c r="G6" s="53" t="s">
        <v>1104</v>
      </c>
      <c r="H6" s="53"/>
      <c r="I6" s="53"/>
      <c r="J6" s="53"/>
    </row>
    <row r="7" spans="2:10">
      <c r="B7" s="7">
        <v>3</v>
      </c>
      <c r="C7" s="48" t="str">
        <f>IF(Setting!J8="","",Setting!J8)</f>
        <v>Ahmad Fikry</v>
      </c>
      <c r="D7" s="15">
        <f>IF(Setting!K8="","",Setting!K8)</f>
        <v>2008021</v>
      </c>
      <c r="E7" s="53" t="s">
        <v>183</v>
      </c>
      <c r="F7" s="53" t="s">
        <v>1129</v>
      </c>
      <c r="G7" s="53" t="s">
        <v>1104</v>
      </c>
      <c r="H7" s="53"/>
      <c r="I7" s="53"/>
      <c r="J7" s="53"/>
    </row>
    <row r="8" spans="2:10">
      <c r="B8" s="7">
        <v>4</v>
      </c>
      <c r="C8" s="48" t="str">
        <f>IF(Setting!J9="","",Setting!J9)</f>
        <v>Akhmad Rifki Assegaf</v>
      </c>
      <c r="D8" s="15">
        <f>IF(Setting!K9="","",Setting!K9)</f>
        <v>2008029</v>
      </c>
      <c r="E8" s="53" t="s">
        <v>183</v>
      </c>
      <c r="F8" s="53" t="s">
        <v>1129</v>
      </c>
      <c r="G8" s="53" t="s">
        <v>1104</v>
      </c>
      <c r="H8" s="53"/>
      <c r="I8" s="53"/>
      <c r="J8" s="53"/>
    </row>
    <row r="9" spans="2:10">
      <c r="B9" s="7">
        <v>5</v>
      </c>
      <c r="C9" s="48" t="str">
        <f>IF(Setting!J10="","",Setting!J10)</f>
        <v>Almas Sabih Wahindra</v>
      </c>
      <c r="D9" s="15">
        <f>IF(Setting!K10="","",Setting!K10)</f>
        <v>2008034</v>
      </c>
      <c r="E9" s="53" t="s">
        <v>183</v>
      </c>
      <c r="F9" s="53" t="s">
        <v>1128</v>
      </c>
      <c r="G9" s="53" t="s">
        <v>1104</v>
      </c>
      <c r="H9" s="53"/>
      <c r="I9" s="53"/>
      <c r="J9" s="53"/>
    </row>
    <row r="10" spans="2:10">
      <c r="B10" s="7">
        <v>6</v>
      </c>
      <c r="C10" s="48" t="str">
        <f>IF(Setting!J11="","",Setting!J11)</f>
        <v>Aria Fenha Apri Buma</v>
      </c>
      <c r="D10" s="15">
        <f>IF(Setting!K11="","",Setting!K11)</f>
        <v>2008054</v>
      </c>
      <c r="E10" s="53" t="s">
        <v>183</v>
      </c>
      <c r="F10" s="53" t="s">
        <v>1129</v>
      </c>
      <c r="G10" s="53" t="s">
        <v>1104</v>
      </c>
      <c r="H10" s="53"/>
      <c r="I10" s="53"/>
      <c r="J10" s="53"/>
    </row>
    <row r="11" spans="2:10">
      <c r="B11" s="7">
        <v>7</v>
      </c>
      <c r="C11" s="48" t="str">
        <f>IF(Setting!J12="","",Setting!J12)</f>
        <v>Baharuddin Barkah Pratama</v>
      </c>
      <c r="D11" s="15">
        <f>IF(Setting!K12="","",Setting!K12)</f>
        <v>2008075</v>
      </c>
      <c r="E11" s="53" t="s">
        <v>183</v>
      </c>
      <c r="F11" s="53" t="s">
        <v>1128</v>
      </c>
      <c r="G11" s="53" t="s">
        <v>1104</v>
      </c>
      <c r="H11" s="53"/>
      <c r="I11" s="53"/>
      <c r="J11" s="53"/>
    </row>
    <row r="12" spans="2:10">
      <c r="B12" s="7">
        <v>8</v>
      </c>
      <c r="C12" s="48" t="str">
        <f>IF(Setting!J13="","",Setting!J13)</f>
        <v>Daffa Arya Pudyastungkara</v>
      </c>
      <c r="D12" s="15">
        <f>IF(Setting!K13="","",Setting!K13)</f>
        <v>2008089</v>
      </c>
      <c r="E12" s="53" t="s">
        <v>183</v>
      </c>
      <c r="F12" s="53" t="s">
        <v>1129</v>
      </c>
      <c r="G12" s="53" t="s">
        <v>1104</v>
      </c>
      <c r="H12" s="53"/>
      <c r="I12" s="53"/>
      <c r="J12" s="53"/>
    </row>
    <row r="13" spans="2:10">
      <c r="B13" s="7">
        <v>9</v>
      </c>
      <c r="C13" s="48" t="str">
        <f>IF(Setting!J14="","",Setting!J14)</f>
        <v>Dody Muhammad Pasha</v>
      </c>
      <c r="D13" s="15">
        <f>IF(Setting!K14="","",Setting!K14)</f>
        <v>2008095</v>
      </c>
      <c r="E13" s="53" t="s">
        <v>183</v>
      </c>
      <c r="F13" s="53" t="s">
        <v>1129</v>
      </c>
      <c r="G13" s="53" t="s">
        <v>1104</v>
      </c>
      <c r="H13" s="53"/>
      <c r="I13" s="53"/>
      <c r="J13" s="53"/>
    </row>
    <row r="14" spans="2:10">
      <c r="B14" s="7">
        <v>10</v>
      </c>
      <c r="C14" s="48" t="str">
        <f>IF(Setting!J15="","",Setting!J15)</f>
        <v>Elga Perdana</v>
      </c>
      <c r="D14" s="15">
        <f>IF(Setting!K15="","",Setting!K15)</f>
        <v>2008099</v>
      </c>
      <c r="E14" s="53" t="s">
        <v>183</v>
      </c>
      <c r="F14" s="53" t="s">
        <v>1128</v>
      </c>
      <c r="G14" s="53" t="s">
        <v>1104</v>
      </c>
      <c r="H14" s="53"/>
      <c r="I14" s="53"/>
      <c r="J14" s="53"/>
    </row>
    <row r="15" spans="2:10">
      <c r="B15" s="7">
        <v>11</v>
      </c>
      <c r="C15" s="48" t="str">
        <f>IF(Setting!J16="","",Setting!J16)</f>
        <v>Fathoni Daniswara</v>
      </c>
      <c r="D15" s="15">
        <f>IF(Setting!K16="","",Setting!K16)</f>
        <v>2008118</v>
      </c>
      <c r="E15" s="53" t="s">
        <v>183</v>
      </c>
      <c r="F15" s="53" t="s">
        <v>1129</v>
      </c>
      <c r="G15" s="53" t="s">
        <v>1104</v>
      </c>
      <c r="H15" s="53"/>
      <c r="I15" s="53"/>
      <c r="J15" s="53"/>
    </row>
    <row r="16" spans="2:10">
      <c r="B16" s="7">
        <v>12</v>
      </c>
      <c r="C16" s="48" t="str">
        <f>IF(Setting!J17="","",Setting!J17)</f>
        <v>Gading Setyo Manunggal</v>
      </c>
      <c r="D16" s="15">
        <f>IF(Setting!K17="","",Setting!K17)</f>
        <v>2008127</v>
      </c>
      <c r="E16" s="53" t="s">
        <v>183</v>
      </c>
      <c r="F16" s="53" t="s">
        <v>1128</v>
      </c>
      <c r="G16" s="53" t="s">
        <v>1104</v>
      </c>
      <c r="H16" s="53"/>
      <c r="I16" s="53"/>
      <c r="J16" s="53"/>
    </row>
    <row r="17" spans="2:10">
      <c r="B17" s="7">
        <v>13</v>
      </c>
      <c r="C17" s="48" t="str">
        <f>IF(Setting!J18="","",Setting!J18)</f>
        <v>Ghifari Mabrur Al Burhani</v>
      </c>
      <c r="D17" s="15">
        <f>IF(Setting!K18="","",Setting!K18)</f>
        <v>2008128</v>
      </c>
      <c r="E17" s="53" t="s">
        <v>183</v>
      </c>
      <c r="F17" s="53" t="s">
        <v>1129</v>
      </c>
      <c r="G17" s="53" t="s">
        <v>1104</v>
      </c>
      <c r="H17" s="53"/>
      <c r="I17" s="53"/>
      <c r="J17" s="53"/>
    </row>
    <row r="18" spans="2:10">
      <c r="B18" s="7">
        <v>14</v>
      </c>
      <c r="C18" s="48" t="str">
        <f>IF(Setting!J19="","",Setting!J19)</f>
        <v>Hafid Mahreza Ilham</v>
      </c>
      <c r="D18" s="15">
        <f>IF(Setting!K19="","",Setting!K19)</f>
        <v>2008131</v>
      </c>
      <c r="E18" s="53" t="s">
        <v>183</v>
      </c>
      <c r="F18" s="53" t="s">
        <v>1128</v>
      </c>
      <c r="G18" s="53" t="s">
        <v>1104</v>
      </c>
      <c r="H18" s="53"/>
      <c r="I18" s="53"/>
      <c r="J18" s="53"/>
    </row>
    <row r="19" spans="2:10">
      <c r="B19" s="7">
        <v>15</v>
      </c>
      <c r="C19" s="48" t="str">
        <f>IF(Setting!J20="","",Setting!J20)</f>
        <v>Haidar Rafif Hibatulloh</v>
      </c>
      <c r="D19" s="15">
        <f>IF(Setting!K20="","",Setting!K20)</f>
        <v>2008132</v>
      </c>
      <c r="E19" s="53" t="s">
        <v>183</v>
      </c>
      <c r="F19" s="53" t="s">
        <v>1128</v>
      </c>
      <c r="G19" s="53" t="s">
        <v>1104</v>
      </c>
      <c r="H19" s="53"/>
      <c r="I19" s="53"/>
      <c r="J19" s="53"/>
    </row>
    <row r="20" spans="2:10">
      <c r="B20" s="7">
        <v>16</v>
      </c>
      <c r="C20" s="48" t="str">
        <f>IF(Setting!J21="","",Setting!J21)</f>
        <v>Kelvin Oktabrian Ramadhan</v>
      </c>
      <c r="D20" s="15">
        <f>IF(Setting!K21="","",Setting!K21)</f>
        <v>2008169</v>
      </c>
      <c r="E20" s="53" t="s">
        <v>183</v>
      </c>
      <c r="F20" s="53" t="s">
        <v>1129</v>
      </c>
      <c r="G20" s="53" t="s">
        <v>1104</v>
      </c>
      <c r="H20" s="53"/>
      <c r="I20" s="53"/>
      <c r="J20" s="53"/>
    </row>
    <row r="21" spans="2:10">
      <c r="B21" s="7">
        <v>17</v>
      </c>
      <c r="C21" s="48" t="str">
        <f>IF(Setting!J22="","",Setting!J22)</f>
        <v>Mohamad Khoiril Afwa</v>
      </c>
      <c r="D21" s="15">
        <f>IF(Setting!K22="","",Setting!K22)</f>
        <v>2008197</v>
      </c>
      <c r="E21" s="53" t="s">
        <v>183</v>
      </c>
      <c r="F21" s="53" t="s">
        <v>1128</v>
      </c>
      <c r="G21" s="53" t="s">
        <v>1104</v>
      </c>
      <c r="H21" s="53"/>
      <c r="I21" s="53"/>
      <c r="J21" s="53"/>
    </row>
    <row r="22" spans="2:10">
      <c r="B22" s="7">
        <v>18</v>
      </c>
      <c r="C22" s="48" t="str">
        <f>IF(Setting!J23="","",Setting!J23)</f>
        <v>Muhammad Hanif Pearlyaradja</v>
      </c>
      <c r="D22" s="15">
        <f>IF(Setting!K23="","",Setting!K23)</f>
        <v>2008214</v>
      </c>
      <c r="E22" s="53" t="s">
        <v>183</v>
      </c>
      <c r="F22" s="53" t="s">
        <v>1128</v>
      </c>
      <c r="G22" s="53" t="s">
        <v>1104</v>
      </c>
      <c r="H22" s="53"/>
      <c r="I22" s="53"/>
      <c r="J22" s="53"/>
    </row>
    <row r="23" spans="2:10">
      <c r="B23" s="7">
        <v>19</v>
      </c>
      <c r="C23" s="48" t="str">
        <f>IF(Setting!J24="","",Setting!J24)</f>
        <v>Muhammad Maurel Han</v>
      </c>
      <c r="D23" s="15">
        <f>IF(Setting!K24="","",Setting!K24)</f>
        <v>2008218</v>
      </c>
      <c r="E23" s="53" t="s">
        <v>183</v>
      </c>
      <c r="F23" s="53" t="s">
        <v>1128</v>
      </c>
      <c r="G23" s="53" t="s">
        <v>1104</v>
      </c>
      <c r="H23" s="53"/>
      <c r="I23" s="53"/>
      <c r="J23" s="53"/>
    </row>
    <row r="24" spans="2:10">
      <c r="B24" s="7">
        <v>20</v>
      </c>
      <c r="C24" s="48" t="str">
        <f>IF(Setting!J25="","",Setting!J25)</f>
        <v>Muhammad Niam Masykuri</v>
      </c>
      <c r="D24" s="15">
        <f>IF(Setting!K25="","",Setting!K25)</f>
        <v>2008220</v>
      </c>
      <c r="E24" s="53" t="s">
        <v>183</v>
      </c>
      <c r="F24" s="53" t="s">
        <v>1128</v>
      </c>
      <c r="G24" s="53" t="s">
        <v>1104</v>
      </c>
      <c r="H24" s="53"/>
      <c r="I24" s="53"/>
      <c r="J24" s="53"/>
    </row>
    <row r="25" spans="2:10">
      <c r="B25" s="7">
        <v>21</v>
      </c>
      <c r="C25" s="48" t="str">
        <f>IF(Setting!J26="","",Setting!J26)</f>
        <v>Muhammad Nur Arzhian Kusuma</v>
      </c>
      <c r="D25" s="15">
        <f>IF(Setting!K26="","",Setting!K26)</f>
        <v>2008221</v>
      </c>
      <c r="E25" s="53" t="s">
        <v>183</v>
      </c>
      <c r="F25" s="53" t="s">
        <v>1128</v>
      </c>
      <c r="G25" s="53" t="s">
        <v>1104</v>
      </c>
      <c r="H25" s="53"/>
      <c r="I25" s="53"/>
      <c r="J25" s="53"/>
    </row>
    <row r="26" spans="2:10">
      <c r="B26" s="7">
        <v>22</v>
      </c>
      <c r="C26" s="48" t="str">
        <f>IF(Setting!J27="","",Setting!J27)</f>
        <v>Muhammad Rafif Rizqullah</v>
      </c>
      <c r="D26" s="15">
        <f>IF(Setting!K27="","",Setting!K27)</f>
        <v>2008222</v>
      </c>
      <c r="E26" s="53" t="s">
        <v>183</v>
      </c>
      <c r="F26" s="53" t="s">
        <v>1128</v>
      </c>
      <c r="G26" s="53" t="s">
        <v>1104</v>
      </c>
      <c r="H26" s="53"/>
      <c r="I26" s="53"/>
      <c r="J26" s="53"/>
    </row>
    <row r="27" spans="2:10">
      <c r="B27" s="7">
        <v>23</v>
      </c>
      <c r="C27" s="48" t="str">
        <f>IF(Setting!J28="","",Setting!J28)</f>
        <v>Muhammad Raihan Al Faridzi</v>
      </c>
      <c r="D27" s="15">
        <f>IF(Setting!K28="","",Setting!K28)</f>
        <v>2008223</v>
      </c>
      <c r="E27" s="53" t="s">
        <v>183</v>
      </c>
      <c r="F27" s="53" t="s">
        <v>1129</v>
      </c>
      <c r="G27" s="53" t="s">
        <v>1104</v>
      </c>
      <c r="H27" s="53"/>
      <c r="I27" s="53"/>
      <c r="J27" s="53"/>
    </row>
    <row r="28" spans="2:10">
      <c r="B28" s="7">
        <v>24</v>
      </c>
      <c r="C28" s="48" t="str">
        <f>IF(Setting!J29="","",Setting!J29)</f>
        <v>Muhammad Rakan Hafidh Al Ghalib</v>
      </c>
      <c r="D28" s="15">
        <f>IF(Setting!K29="","",Setting!K29)</f>
        <v>2008224</v>
      </c>
      <c r="E28" s="53" t="s">
        <v>183</v>
      </c>
      <c r="F28" s="53" t="s">
        <v>1129</v>
      </c>
      <c r="G28" s="53" t="s">
        <v>1104</v>
      </c>
      <c r="H28" s="53"/>
      <c r="I28" s="53"/>
      <c r="J28" s="53"/>
    </row>
    <row r="29" spans="2:10">
      <c r="B29" s="7">
        <v>25</v>
      </c>
      <c r="C29" s="48" t="str">
        <f>IF(Setting!J30="","",Setting!J30)</f>
        <v>Muhammad Syamu Naufal</v>
      </c>
      <c r="D29" s="15">
        <f>IF(Setting!K30="","",Setting!K30)</f>
        <v>2008230</v>
      </c>
      <c r="E29" s="53" t="s">
        <v>183</v>
      </c>
      <c r="F29" s="53" t="s">
        <v>1129</v>
      </c>
      <c r="G29" s="53" t="s">
        <v>1104</v>
      </c>
      <c r="H29" s="53"/>
      <c r="I29" s="53"/>
      <c r="J29" s="53"/>
    </row>
    <row r="30" spans="2:10">
      <c r="B30" s="7">
        <v>26</v>
      </c>
      <c r="C30" s="48" t="str">
        <f>IF(Setting!J31="","",Setting!J31)</f>
        <v>Naufal Muhammad Iqbal</v>
      </c>
      <c r="D30" s="15">
        <f>IF(Setting!K31="","",Setting!K31)</f>
        <v>2008251</v>
      </c>
      <c r="E30" s="53" t="s">
        <v>183</v>
      </c>
      <c r="F30" s="53" t="s">
        <v>1129</v>
      </c>
      <c r="G30" s="53" t="s">
        <v>1104</v>
      </c>
      <c r="H30" s="53"/>
      <c r="I30" s="53"/>
      <c r="J30" s="53"/>
    </row>
    <row r="31" spans="2:10">
      <c r="B31" s="7">
        <v>27</v>
      </c>
      <c r="C31" s="48" t="str">
        <f>IF(Setting!J32="","",Setting!J32)</f>
        <v>Nauval Nur Mustafa</v>
      </c>
      <c r="D31" s="15">
        <f>IF(Setting!K32="","",Setting!K32)</f>
        <v>2008253</v>
      </c>
      <c r="E31" s="53" t="s">
        <v>183</v>
      </c>
      <c r="F31" s="53" t="s">
        <v>1128</v>
      </c>
      <c r="G31" s="53" t="s">
        <v>1104</v>
      </c>
      <c r="H31" s="53"/>
      <c r="I31" s="53"/>
      <c r="J31" s="53"/>
    </row>
    <row r="32" spans="2:10">
      <c r="B32" s="7">
        <v>28</v>
      </c>
      <c r="C32" s="48" t="str">
        <f>IF(Setting!J33="","",Setting!J33)</f>
        <v>Oriegano Kanahaya  Siagian</v>
      </c>
      <c r="D32" s="15">
        <f>IF(Setting!K33="","",Setting!K33)</f>
        <v>2008272</v>
      </c>
      <c r="E32" s="53" t="s">
        <v>183</v>
      </c>
      <c r="F32" s="53" t="s">
        <v>1128</v>
      </c>
      <c r="G32" s="53" t="s">
        <v>1104</v>
      </c>
      <c r="H32" s="53"/>
      <c r="I32" s="53"/>
      <c r="J32" s="53"/>
    </row>
    <row r="33" spans="2:10">
      <c r="B33" s="7">
        <v>29</v>
      </c>
      <c r="C33" s="48" t="str">
        <f>IF(Setting!J34="","",Setting!J34)</f>
        <v>Rafif Mahatma Indrastata</v>
      </c>
      <c r="D33" s="15">
        <f>IF(Setting!K34="","",Setting!K34)</f>
        <v>2008282</v>
      </c>
      <c r="E33" s="53" t="s">
        <v>183</v>
      </c>
      <c r="F33" s="53" t="s">
        <v>1128</v>
      </c>
      <c r="G33" s="53" t="s">
        <v>1104</v>
      </c>
      <c r="H33" s="53"/>
      <c r="I33" s="53"/>
      <c r="J33" s="53"/>
    </row>
    <row r="34" spans="2:10">
      <c r="B34" s="7">
        <v>30</v>
      </c>
      <c r="C34" s="48" t="str">
        <f>IF(Setting!J35="","",Setting!J35)</f>
        <v>Rayhan Yoga Edy Pratama</v>
      </c>
      <c r="D34" s="15">
        <f>IF(Setting!K35="","",Setting!K35)</f>
        <v>2008296</v>
      </c>
      <c r="E34" s="53" t="s">
        <v>183</v>
      </c>
      <c r="F34" s="53" t="s">
        <v>1129</v>
      </c>
      <c r="G34" s="53" t="s">
        <v>1104</v>
      </c>
      <c r="H34" s="53"/>
      <c r="I34" s="53"/>
      <c r="J34" s="53"/>
    </row>
    <row r="35" spans="2:10">
      <c r="B35" s="7">
        <v>31</v>
      </c>
      <c r="C35" s="48" t="str">
        <f>IF(Setting!J36="","",Setting!J36)</f>
        <v>Rusianto Munif</v>
      </c>
      <c r="D35" s="15">
        <f>IF(Setting!K36="","",Setting!K36)</f>
        <v>2008307</v>
      </c>
      <c r="E35" s="53" t="s">
        <v>183</v>
      </c>
      <c r="F35" s="53" t="s">
        <v>1128</v>
      </c>
      <c r="G35" s="53" t="s">
        <v>1104</v>
      </c>
      <c r="H35" s="53"/>
      <c r="I35" s="53"/>
      <c r="J35" s="53"/>
    </row>
    <row r="36" spans="2:10">
      <c r="B36" s="7">
        <v>32</v>
      </c>
      <c r="C36" s="48" t="str">
        <f>IF(Setting!J37="","",Setting!J37)</f>
        <v>Zaidan Mu'afy Althaf</v>
      </c>
      <c r="D36" s="15">
        <f>IF(Setting!K37="","",Setting!K37)</f>
        <v>2008347</v>
      </c>
      <c r="E36" s="53" t="s">
        <v>183</v>
      </c>
      <c r="F36" s="53" t="s">
        <v>1128</v>
      </c>
      <c r="G36" s="53" t="s">
        <v>1104</v>
      </c>
      <c r="H36" s="53"/>
      <c r="I36" s="53"/>
      <c r="J36" s="53"/>
    </row>
    <row r="37" spans="2:10">
      <c r="B37" s="7">
        <v>33</v>
      </c>
      <c r="C37" s="48" t="str">
        <f>IF(Setting!J38="","",Setting!J38)</f>
        <v/>
      </c>
      <c r="D37" s="15" t="str">
        <f>IF(Setting!K38="","",Setting!K38)</f>
        <v/>
      </c>
      <c r="E37" s="53"/>
      <c r="F37" s="53"/>
      <c r="G37" s="58"/>
      <c r="H37" s="53"/>
      <c r="I37" s="58"/>
      <c r="J37" s="58"/>
    </row>
    <row r="38" spans="2:10">
      <c r="B38" s="7">
        <v>34</v>
      </c>
      <c r="C38" s="48" t="str">
        <f>IF(Setting!J39="","",Setting!J39)</f>
        <v/>
      </c>
      <c r="D38" s="15" t="str">
        <f>IF(Setting!K39="","",Setting!K39)</f>
        <v/>
      </c>
      <c r="E38" s="53"/>
      <c r="F38" s="53"/>
      <c r="G38" s="58"/>
      <c r="H38" s="53"/>
      <c r="I38" s="58"/>
      <c r="J38" s="58"/>
    </row>
    <row r="39" spans="2:10">
      <c r="B39" s="7">
        <v>35</v>
      </c>
      <c r="C39" s="48" t="str">
        <f>IF(Setting!J40="","",Setting!J40)</f>
        <v/>
      </c>
      <c r="D39" s="15" t="str">
        <f>IF(Setting!K40="","",Setting!K40)</f>
        <v/>
      </c>
      <c r="E39" s="53"/>
      <c r="F39" s="53"/>
      <c r="G39" s="58"/>
      <c r="H39" s="53"/>
      <c r="I39" s="58"/>
      <c r="J39" s="58"/>
    </row>
    <row r="40" spans="2:10">
      <c r="B40" s="7">
        <v>36</v>
      </c>
      <c r="C40" s="48" t="str">
        <f>IF(Setting!J41="","",Setting!J41)</f>
        <v/>
      </c>
      <c r="D40" s="15" t="str">
        <f>IF(Setting!K41="","",Setting!K41)</f>
        <v/>
      </c>
      <c r="E40" s="53"/>
      <c r="F40" s="53"/>
      <c r="G40" s="58"/>
      <c r="H40" s="53"/>
      <c r="I40" s="58"/>
      <c r="J40" s="58"/>
    </row>
    <row r="41" spans="2:10">
      <c r="B41" s="7">
        <v>37</v>
      </c>
      <c r="C41" s="48" t="str">
        <f>IF(Setting!J42="","",Setting!J42)</f>
        <v/>
      </c>
      <c r="D41" s="15" t="str">
        <f>IF(Setting!K42="","",Setting!K42)</f>
        <v/>
      </c>
      <c r="E41" s="53"/>
      <c r="F41" s="53"/>
      <c r="G41" s="58"/>
      <c r="H41" s="53"/>
      <c r="I41" s="58"/>
      <c r="J41" s="58"/>
    </row>
    <row r="42" spans="2:10">
      <c r="B42" s="7">
        <v>38</v>
      </c>
      <c r="C42" s="48" t="str">
        <f>IF(Setting!J43="","",Setting!J43)</f>
        <v/>
      </c>
      <c r="D42" s="15" t="str">
        <f>IF(Setting!K43="","",Setting!K43)</f>
        <v/>
      </c>
      <c r="E42" s="53"/>
      <c r="F42" s="53"/>
      <c r="G42" s="58"/>
      <c r="H42" s="53"/>
      <c r="I42" s="58"/>
      <c r="J42" s="58"/>
    </row>
    <row r="43" spans="2:10">
      <c r="B43" s="7">
        <v>39</v>
      </c>
      <c r="C43" s="48" t="str">
        <f>IF(Setting!J44="","",Setting!J44)</f>
        <v/>
      </c>
      <c r="D43" s="15" t="str">
        <f>IF(Setting!K44="","",Setting!K44)</f>
        <v/>
      </c>
      <c r="E43" s="53"/>
      <c r="F43" s="53"/>
      <c r="G43" s="58"/>
      <c r="H43" s="53"/>
      <c r="I43" s="58"/>
      <c r="J43" s="58"/>
    </row>
    <row r="44" spans="2:10">
      <c r="B44" s="7">
        <v>40</v>
      </c>
      <c r="C44" s="48" t="str">
        <f>IF(Setting!J45="","",Setting!J45)</f>
        <v/>
      </c>
      <c r="D44" s="15" t="str">
        <f>IF(Setting!K45="","",Setting!K45)</f>
        <v/>
      </c>
      <c r="E44" s="53"/>
      <c r="F44" s="53"/>
      <c r="G44" s="58"/>
      <c r="H44" s="53"/>
      <c r="I44" s="58"/>
      <c r="J44" s="58"/>
    </row>
  </sheetData>
  <sheetProtection selectLockedCells="1"/>
  <mergeCells count="4">
    <mergeCell ref="B3:B4"/>
    <mergeCell ref="C3:C4"/>
    <mergeCell ref="D3:D4"/>
    <mergeCell ref="E3:J3"/>
  </mergeCells>
  <pageMargins left="0.7" right="0.7" top="0.75" bottom="0.75" header="0.3" footer="0.3"/>
  <pageSetup paperSize="30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Home</vt:lpstr>
      <vt:lpstr>Legger Dinas</vt:lpstr>
      <vt:lpstr>Rank</vt:lpstr>
      <vt:lpstr>Setting</vt:lpstr>
      <vt:lpstr>Raport</vt:lpstr>
      <vt:lpstr>Legger</vt:lpstr>
      <vt:lpstr>Catatan Sikap</vt:lpstr>
      <vt:lpstr>Input Nilai Sikap dan Catatan</vt:lpstr>
      <vt:lpstr>Input Ekstra</vt:lpstr>
      <vt:lpstr>Input Kehadiran</vt:lpstr>
      <vt:lpstr>Input Prestasi</vt:lpstr>
      <vt:lpstr>Sheet1</vt:lpstr>
      <vt:lpstr>'Catatan Sikap'!Print_Area</vt:lpstr>
      <vt:lpstr>Raport!Print_Area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keywords>SMA ABBS SURAKARTA</cp:keywords>
  <cp:lastModifiedBy>acer</cp:lastModifiedBy>
  <cp:lastPrinted>2021-08-30T23:38:19Z</cp:lastPrinted>
  <dcterms:created xsi:type="dcterms:W3CDTF">2014-12-16T13:31:22Z</dcterms:created>
  <dcterms:modified xsi:type="dcterms:W3CDTF">2022-12-06T06:42:16Z</dcterms:modified>
</cp:coreProperties>
</file>