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tiff" ContentType="image/tif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1.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cer\Documents\alfi\"/>
    </mc:Choice>
  </mc:AlternateContent>
  <bookViews>
    <workbookView showSheetTabs="0" xWindow="-120" yWindow="-120" windowWidth="20730" windowHeight="11160" firstSheet="3" activeTab="4"/>
  </bookViews>
  <sheets>
    <sheet name="Home" sheetId="4" r:id="rId1"/>
    <sheet name="Legger Dinas" sheetId="71" r:id="rId2"/>
    <sheet name="Rank" sheetId="72" r:id="rId3"/>
    <sheet name="Setting" sheetId="64" r:id="rId4"/>
    <sheet name="Raport" sheetId="7" r:id="rId5"/>
    <sheet name="Legger" sheetId="65" r:id="rId6"/>
    <sheet name="Catatan Sikap" sheetId="73" r:id="rId7"/>
    <sheet name="Input Nilai Sikap dan Catatan" sheetId="67" r:id="rId8"/>
    <sheet name="Input Ekstra" sheetId="60" r:id="rId9"/>
    <sheet name="Input Kehadiran" sheetId="68" r:id="rId10"/>
    <sheet name="Input Prestasi" sheetId="62" r:id="rId11"/>
    <sheet name="Sheet1" sheetId="74" r:id="rId12"/>
  </sheets>
  <externalReferences>
    <externalReference r:id="rId13"/>
  </externalReferences>
  <definedNames>
    <definedName name="_xlnm.Print_Area" localSheetId="6">'Catatan Sikap'!$B$2:$H$80</definedName>
    <definedName name="_xlnm.Print_Area" localSheetId="4">Raport!$B$3:$J$149</definedName>
  </definedNames>
  <calcPr calcId="162913"/>
</workbook>
</file>

<file path=xl/calcChain.xml><?xml version="1.0" encoding="utf-8"?>
<calcChain xmlns="http://schemas.openxmlformats.org/spreadsheetml/2006/main">
  <c r="F121" i="7" l="1"/>
  <c r="C45" i="62"/>
  <c r="B45" i="62"/>
  <c r="C44" i="62"/>
  <c r="B44" i="62"/>
  <c r="C43" i="62"/>
  <c r="B43" i="62"/>
  <c r="C42" i="62"/>
  <c r="B42" i="62"/>
  <c r="C41" i="62"/>
  <c r="B41" i="62"/>
  <c r="C40" i="62"/>
  <c r="B40" i="62"/>
  <c r="C39" i="62"/>
  <c r="B39" i="62"/>
  <c r="C38" i="62"/>
  <c r="B38" i="62"/>
  <c r="C37" i="62"/>
  <c r="B37" i="62"/>
  <c r="C36" i="62"/>
  <c r="B36" i="62"/>
  <c r="C35" i="62"/>
  <c r="B35" i="62"/>
  <c r="C34" i="62"/>
  <c r="B34" i="62"/>
  <c r="C33" i="62"/>
  <c r="B33" i="62"/>
  <c r="C32" i="62"/>
  <c r="B32" i="62"/>
  <c r="C31" i="62"/>
  <c r="B31" i="62"/>
  <c r="C30" i="62"/>
  <c r="B30" i="62"/>
  <c r="C29" i="62"/>
  <c r="B29" i="62"/>
  <c r="C28" i="62"/>
  <c r="B28" i="62"/>
  <c r="C27" i="62"/>
  <c r="B27" i="62"/>
  <c r="C26" i="62"/>
  <c r="B26" i="62"/>
  <c r="C25" i="62"/>
  <c r="B25" i="62"/>
  <c r="C24" i="62"/>
  <c r="B24" i="62"/>
  <c r="C23" i="62"/>
  <c r="B23" i="62"/>
  <c r="C22" i="62"/>
  <c r="B22" i="62"/>
  <c r="C21" i="62"/>
  <c r="B21" i="62"/>
  <c r="C20" i="62"/>
  <c r="B20" i="62"/>
  <c r="C19" i="62"/>
  <c r="B19" i="62"/>
  <c r="C18" i="62"/>
  <c r="B18" i="62"/>
  <c r="C17" i="62"/>
  <c r="B17" i="62"/>
  <c r="C16" i="62"/>
  <c r="B16" i="62"/>
  <c r="C15" i="62"/>
  <c r="B15" i="62"/>
  <c r="C14" i="62"/>
  <c r="B14" i="62"/>
  <c r="C13" i="62"/>
  <c r="B13" i="62"/>
  <c r="C12" i="62"/>
  <c r="B12" i="62"/>
  <c r="C11" i="62"/>
  <c r="B11" i="62"/>
  <c r="C10" i="62"/>
  <c r="B10" i="62"/>
  <c r="C9" i="62"/>
  <c r="B9" i="62"/>
  <c r="C8" i="62"/>
  <c r="B8" i="62"/>
  <c r="C7" i="62"/>
  <c r="B7" i="62"/>
  <c r="C6" i="62"/>
  <c r="B6" i="62"/>
  <c r="B1" i="62"/>
  <c r="D44" i="68"/>
  <c r="C44" i="68"/>
  <c r="D43" i="68"/>
  <c r="C43" i="68"/>
  <c r="D42" i="68"/>
  <c r="C42" i="68"/>
  <c r="D41" i="68"/>
  <c r="C41" i="68"/>
  <c r="D40" i="68"/>
  <c r="C40" i="68"/>
  <c r="D39" i="68"/>
  <c r="C39" i="68"/>
  <c r="D38" i="68"/>
  <c r="C38" i="68"/>
  <c r="D37" i="68"/>
  <c r="C37" i="68"/>
  <c r="D36" i="68"/>
  <c r="C36" i="68"/>
  <c r="D35" i="68"/>
  <c r="C35" i="68"/>
  <c r="D34" i="68"/>
  <c r="C34" i="68"/>
  <c r="D33" i="68"/>
  <c r="C33" i="68"/>
  <c r="D32" i="68"/>
  <c r="C32" i="68"/>
  <c r="D31" i="68"/>
  <c r="C31" i="68"/>
  <c r="D30" i="68"/>
  <c r="C30" i="68"/>
  <c r="D29" i="68"/>
  <c r="C29" i="68"/>
  <c r="D28" i="68"/>
  <c r="C28" i="68"/>
  <c r="D27" i="68"/>
  <c r="C27" i="68"/>
  <c r="D26" i="68"/>
  <c r="C26" i="68"/>
  <c r="D25" i="68"/>
  <c r="C25" i="68"/>
  <c r="D24" i="68"/>
  <c r="C24" i="68"/>
  <c r="D23" i="68"/>
  <c r="C23" i="68"/>
  <c r="D22" i="68"/>
  <c r="C22" i="68"/>
  <c r="D21" i="68"/>
  <c r="C21" i="68"/>
  <c r="D20" i="68"/>
  <c r="C20" i="68"/>
  <c r="D19" i="68"/>
  <c r="C19" i="68"/>
  <c r="D18" i="68"/>
  <c r="C18" i="68"/>
  <c r="D17" i="68"/>
  <c r="C17" i="68"/>
  <c r="D16" i="68"/>
  <c r="C16" i="68"/>
  <c r="D15" i="68"/>
  <c r="C15" i="68"/>
  <c r="D14" i="68"/>
  <c r="C14" i="68"/>
  <c r="D13" i="68"/>
  <c r="C13" i="68"/>
  <c r="D12" i="68"/>
  <c r="C12" i="68"/>
  <c r="D11" i="68"/>
  <c r="C11" i="68"/>
  <c r="D10" i="68"/>
  <c r="C10" i="68"/>
  <c r="D9" i="68"/>
  <c r="C9" i="68"/>
  <c r="D8" i="68"/>
  <c r="C8" i="68"/>
  <c r="D7" i="68"/>
  <c r="C7" i="68"/>
  <c r="D6" i="68"/>
  <c r="C6" i="68"/>
  <c r="D5" i="68"/>
  <c r="C5" i="68"/>
  <c r="C1" i="68"/>
  <c r="D44" i="60"/>
  <c r="C44" i="60"/>
  <c r="D43" i="60"/>
  <c r="C43" i="60"/>
  <c r="D42" i="60"/>
  <c r="C42" i="60"/>
  <c r="D41" i="60"/>
  <c r="C41" i="60"/>
  <c r="D40" i="60"/>
  <c r="C40" i="60"/>
  <c r="D39" i="60"/>
  <c r="C39" i="60"/>
  <c r="D38" i="60"/>
  <c r="C38" i="60"/>
  <c r="D37" i="60"/>
  <c r="C37" i="60"/>
  <c r="D36" i="60"/>
  <c r="C36" i="60"/>
  <c r="D35" i="60"/>
  <c r="C35" i="60"/>
  <c r="D34" i="60"/>
  <c r="C34" i="60"/>
  <c r="D33" i="60"/>
  <c r="C33" i="60"/>
  <c r="D32" i="60"/>
  <c r="C32" i="60"/>
  <c r="D31" i="60"/>
  <c r="C31" i="60"/>
  <c r="D30" i="60"/>
  <c r="C30" i="60"/>
  <c r="D29" i="60"/>
  <c r="C29" i="60"/>
  <c r="D28" i="60"/>
  <c r="C28" i="60"/>
  <c r="D27" i="60"/>
  <c r="C27" i="60"/>
  <c r="D26" i="60"/>
  <c r="C26" i="60"/>
  <c r="D25" i="60"/>
  <c r="C25" i="60"/>
  <c r="D24" i="60"/>
  <c r="C24" i="60"/>
  <c r="D23" i="60"/>
  <c r="C23" i="60"/>
  <c r="D22" i="60"/>
  <c r="C22" i="60"/>
  <c r="D21" i="60"/>
  <c r="C21" i="60"/>
  <c r="D20" i="60"/>
  <c r="C20" i="60"/>
  <c r="D19" i="60"/>
  <c r="C19" i="60"/>
  <c r="D18" i="60"/>
  <c r="C18" i="60"/>
  <c r="D17" i="60"/>
  <c r="C17" i="60"/>
  <c r="D16" i="60"/>
  <c r="C16" i="60"/>
  <c r="D15" i="60"/>
  <c r="C15" i="60"/>
  <c r="D14" i="60"/>
  <c r="C14" i="60"/>
  <c r="D13" i="60"/>
  <c r="C13" i="60"/>
  <c r="D12" i="60"/>
  <c r="C12" i="60"/>
  <c r="D11" i="60"/>
  <c r="C11" i="60"/>
  <c r="D10" i="60"/>
  <c r="C10" i="60"/>
  <c r="D9" i="60"/>
  <c r="C9" i="60"/>
  <c r="D8" i="60"/>
  <c r="C8" i="60"/>
  <c r="D7" i="60"/>
  <c r="C7" i="60"/>
  <c r="D6" i="60"/>
  <c r="C6" i="60"/>
  <c r="D5" i="60"/>
  <c r="C5" i="60"/>
  <c r="C1" i="60"/>
  <c r="C43" i="67"/>
  <c r="B43" i="67"/>
  <c r="C42" i="67"/>
  <c r="B42" i="67"/>
  <c r="C41" i="67"/>
  <c r="B41" i="67"/>
  <c r="C40" i="67"/>
  <c r="B40" i="67"/>
  <c r="C39" i="67"/>
  <c r="B39" i="67"/>
  <c r="C38" i="67"/>
  <c r="B38" i="67"/>
  <c r="C37" i="67"/>
  <c r="B37" i="67"/>
  <c r="C36" i="67"/>
  <c r="B36" i="67"/>
  <c r="C35" i="67"/>
  <c r="B35" i="67"/>
  <c r="C34" i="67"/>
  <c r="B34" i="67"/>
  <c r="C33" i="67"/>
  <c r="B33" i="67"/>
  <c r="C32" i="67"/>
  <c r="B32" i="67"/>
  <c r="C31" i="67"/>
  <c r="B31" i="67"/>
  <c r="C30" i="67"/>
  <c r="B30" i="67"/>
  <c r="C29" i="67"/>
  <c r="B29" i="67"/>
  <c r="C28" i="67"/>
  <c r="B28" i="67"/>
  <c r="C27" i="67"/>
  <c r="B27" i="67"/>
  <c r="C26" i="67"/>
  <c r="B26" i="67"/>
  <c r="C25" i="67"/>
  <c r="B25" i="67"/>
  <c r="C24" i="67"/>
  <c r="B24" i="67"/>
  <c r="C23" i="67"/>
  <c r="B23" i="67"/>
  <c r="C22" i="67"/>
  <c r="B22" i="67"/>
  <c r="C21" i="67"/>
  <c r="B21" i="67"/>
  <c r="C20" i="67"/>
  <c r="B20" i="67"/>
  <c r="C19" i="67"/>
  <c r="B19" i="67"/>
  <c r="C18" i="67"/>
  <c r="B18" i="67"/>
  <c r="C17" i="67"/>
  <c r="B17" i="67"/>
  <c r="C16" i="67"/>
  <c r="B16" i="67"/>
  <c r="C15" i="67"/>
  <c r="B15" i="67"/>
  <c r="C14" i="67"/>
  <c r="B14" i="67"/>
  <c r="C13" i="67"/>
  <c r="B13" i="67"/>
  <c r="C12" i="67"/>
  <c r="B12" i="67"/>
  <c r="C11" i="67"/>
  <c r="B11" i="67"/>
  <c r="C10" i="67"/>
  <c r="B10" i="67"/>
  <c r="C9" i="67"/>
  <c r="B9" i="67"/>
  <c r="C8" i="67"/>
  <c r="B8" i="67"/>
  <c r="C7" i="67"/>
  <c r="B7" i="67"/>
  <c r="C6" i="67"/>
  <c r="B6" i="67"/>
  <c r="C5" i="67"/>
  <c r="B5" i="67"/>
  <c r="C4" i="67"/>
  <c r="B4" i="67"/>
  <c r="B1" i="67"/>
  <c r="F80" i="73"/>
  <c r="E80" i="73"/>
  <c r="F79" i="73"/>
  <c r="E79" i="73"/>
  <c r="F75" i="73"/>
  <c r="D6" i="73"/>
  <c r="B4" i="73"/>
  <c r="B3" i="73"/>
  <c r="DS48" i="65"/>
  <c r="DR48" i="65"/>
  <c r="DQ48" i="65"/>
  <c r="DP48" i="65"/>
  <c r="DO48" i="65"/>
  <c r="DN48" i="65"/>
  <c r="DM48" i="65"/>
  <c r="DL48" i="65"/>
  <c r="DK48" i="65"/>
  <c r="DJ48" i="65"/>
  <c r="DI48" i="65"/>
  <c r="DH48" i="65"/>
  <c r="DG48" i="65"/>
  <c r="DF48" i="65"/>
  <c r="DE48" i="65"/>
  <c r="DD48" i="65"/>
  <c r="DC48" i="65"/>
  <c r="DB48" i="65"/>
  <c r="I48" i="65"/>
  <c r="H48" i="65"/>
  <c r="G48" i="65"/>
  <c r="F48" i="65"/>
  <c r="E48" i="65"/>
  <c r="D48" i="65"/>
  <c r="C48" i="65"/>
  <c r="B48" i="65"/>
  <c r="DS47" i="65"/>
  <c r="DR47" i="65"/>
  <c r="DQ47" i="65"/>
  <c r="DP47" i="65"/>
  <c r="DO47" i="65"/>
  <c r="DN47" i="65"/>
  <c r="DM47" i="65"/>
  <c r="DL47" i="65"/>
  <c r="DK47" i="65"/>
  <c r="DJ47" i="65"/>
  <c r="DI47" i="65"/>
  <c r="DH47" i="65"/>
  <c r="DG47" i="65"/>
  <c r="DF47" i="65"/>
  <c r="DE47" i="65"/>
  <c r="DD47" i="65"/>
  <c r="DC47" i="65"/>
  <c r="DB47" i="65"/>
  <c r="I47" i="65"/>
  <c r="H47" i="65"/>
  <c r="G47" i="65"/>
  <c r="F47" i="65"/>
  <c r="E47" i="65"/>
  <c r="D47" i="65"/>
  <c r="C47" i="65"/>
  <c r="B47" i="65"/>
  <c r="DS46" i="65"/>
  <c r="DR46" i="65"/>
  <c r="DQ46" i="65"/>
  <c r="DP46" i="65"/>
  <c r="DO46" i="65"/>
  <c r="DN46" i="65"/>
  <c r="DM46" i="65"/>
  <c r="DL46" i="65"/>
  <c r="DK46" i="65"/>
  <c r="DJ46" i="65"/>
  <c r="DI46" i="65"/>
  <c r="DH46" i="65"/>
  <c r="DG46" i="65"/>
  <c r="DF46" i="65"/>
  <c r="DE46" i="65"/>
  <c r="DD46" i="65"/>
  <c r="DC46" i="65"/>
  <c r="DB46" i="65"/>
  <c r="I46" i="65"/>
  <c r="H46" i="65"/>
  <c r="G46" i="65"/>
  <c r="F46" i="65"/>
  <c r="E46" i="65"/>
  <c r="D46" i="65"/>
  <c r="C46" i="65"/>
  <c r="B46" i="65"/>
  <c r="DS45" i="65"/>
  <c r="DR45" i="65"/>
  <c r="DQ45" i="65"/>
  <c r="DP45" i="65"/>
  <c r="DO45" i="65"/>
  <c r="DN45" i="65"/>
  <c r="DM45" i="65"/>
  <c r="DL45" i="65"/>
  <c r="DK45" i="65"/>
  <c r="DJ45" i="65"/>
  <c r="DI45" i="65"/>
  <c r="DH45" i="65"/>
  <c r="DG45" i="65"/>
  <c r="DF45" i="65"/>
  <c r="DE45" i="65"/>
  <c r="DD45" i="65"/>
  <c r="DC45" i="65"/>
  <c r="DB45" i="65"/>
  <c r="I45" i="65"/>
  <c r="H45" i="65"/>
  <c r="G45" i="65"/>
  <c r="F45" i="65"/>
  <c r="E45" i="65"/>
  <c r="D45" i="65"/>
  <c r="C45" i="65"/>
  <c r="B45" i="65"/>
  <c r="DS44" i="65"/>
  <c r="DR44" i="65"/>
  <c r="DQ44" i="65"/>
  <c r="DP44" i="65"/>
  <c r="DO44" i="65"/>
  <c r="DN44" i="65"/>
  <c r="DM44" i="65"/>
  <c r="DL44" i="65"/>
  <c r="DK44" i="65"/>
  <c r="DJ44" i="65"/>
  <c r="DI44" i="65"/>
  <c r="DH44" i="65"/>
  <c r="DG44" i="65"/>
  <c r="DF44" i="65"/>
  <c r="DE44" i="65"/>
  <c r="DD44" i="65"/>
  <c r="DC44" i="65"/>
  <c r="DB44" i="65"/>
  <c r="I44" i="65"/>
  <c r="H44" i="65"/>
  <c r="G44" i="65"/>
  <c r="F44" i="65"/>
  <c r="E44" i="65"/>
  <c r="D44" i="65"/>
  <c r="C44" i="65"/>
  <c r="B44" i="65"/>
  <c r="DS43" i="65"/>
  <c r="DR43" i="65"/>
  <c r="DQ43" i="65"/>
  <c r="DP43" i="65"/>
  <c r="DO43" i="65"/>
  <c r="DN43" i="65"/>
  <c r="DM43" i="65"/>
  <c r="DL43" i="65"/>
  <c r="DK43" i="65"/>
  <c r="DJ43" i="65"/>
  <c r="DI43" i="65"/>
  <c r="DH43" i="65"/>
  <c r="DG43" i="65"/>
  <c r="DF43" i="65"/>
  <c r="DE43" i="65"/>
  <c r="DD43" i="65"/>
  <c r="DC43" i="65"/>
  <c r="DB43" i="65"/>
  <c r="I43" i="65"/>
  <c r="H43" i="65"/>
  <c r="G43" i="65"/>
  <c r="F43" i="65"/>
  <c r="E43" i="65"/>
  <c r="D43" i="65"/>
  <c r="C43" i="65"/>
  <c r="B43" i="65"/>
  <c r="DS42" i="65"/>
  <c r="DR42" i="65"/>
  <c r="DQ42" i="65"/>
  <c r="DP42" i="65"/>
  <c r="DO42" i="65"/>
  <c r="DN42" i="65"/>
  <c r="DM42" i="65"/>
  <c r="DL42" i="65"/>
  <c r="DK42" i="65"/>
  <c r="DJ42" i="65"/>
  <c r="DI42" i="65"/>
  <c r="DH42" i="65"/>
  <c r="DG42" i="65"/>
  <c r="DF42" i="65"/>
  <c r="DE42" i="65"/>
  <c r="DD42" i="65"/>
  <c r="DC42" i="65"/>
  <c r="DB42" i="65"/>
  <c r="I42" i="65"/>
  <c r="H42" i="65"/>
  <c r="G42" i="65"/>
  <c r="F42" i="65"/>
  <c r="E42" i="65"/>
  <c r="D42" i="65"/>
  <c r="C42" i="65"/>
  <c r="B42" i="65"/>
  <c r="DS41" i="65"/>
  <c r="DR41" i="65"/>
  <c r="DQ41" i="65"/>
  <c r="DP41" i="65"/>
  <c r="DO41" i="65"/>
  <c r="DN41" i="65"/>
  <c r="DM41" i="65"/>
  <c r="DL41" i="65"/>
  <c r="DK41" i="65"/>
  <c r="DJ41" i="65"/>
  <c r="DI41" i="65"/>
  <c r="DH41" i="65"/>
  <c r="DG41" i="65"/>
  <c r="DF41" i="65"/>
  <c r="DE41" i="65"/>
  <c r="DD41" i="65"/>
  <c r="DC41" i="65"/>
  <c r="DB41" i="65"/>
  <c r="I41" i="65"/>
  <c r="H41" i="65"/>
  <c r="G41" i="65"/>
  <c r="F41" i="65"/>
  <c r="E41" i="65"/>
  <c r="D41" i="65"/>
  <c r="C41" i="65"/>
  <c r="B41" i="65"/>
  <c r="DS40" i="65"/>
  <c r="DR40" i="65"/>
  <c r="DQ40" i="65"/>
  <c r="DP40" i="65"/>
  <c r="DO40" i="65"/>
  <c r="DN40" i="65"/>
  <c r="DM40" i="65"/>
  <c r="DL40" i="65"/>
  <c r="DK40" i="65"/>
  <c r="DJ40" i="65"/>
  <c r="DI40" i="65"/>
  <c r="DH40" i="65"/>
  <c r="DG40" i="65"/>
  <c r="DF40" i="65"/>
  <c r="DE40" i="65"/>
  <c r="DD40" i="65"/>
  <c r="DC40" i="65"/>
  <c r="DB40" i="65"/>
  <c r="I40" i="65"/>
  <c r="H40" i="65"/>
  <c r="G40" i="65"/>
  <c r="F40" i="65"/>
  <c r="E40" i="65"/>
  <c r="D40" i="65"/>
  <c r="C40" i="65"/>
  <c r="B40" i="65"/>
  <c r="DS39" i="65"/>
  <c r="DR39" i="65"/>
  <c r="DQ39" i="65"/>
  <c r="DP39" i="65"/>
  <c r="DO39" i="65"/>
  <c r="DN39" i="65"/>
  <c r="DM39" i="65"/>
  <c r="DL39" i="65"/>
  <c r="DK39" i="65"/>
  <c r="DJ39" i="65"/>
  <c r="DI39" i="65"/>
  <c r="DH39" i="65"/>
  <c r="DG39" i="65"/>
  <c r="DF39" i="65"/>
  <c r="DE39" i="65"/>
  <c r="DD39" i="65"/>
  <c r="DC39" i="65"/>
  <c r="DB39" i="65"/>
  <c r="I39" i="65"/>
  <c r="H39" i="65"/>
  <c r="G39" i="65"/>
  <c r="F39" i="65"/>
  <c r="E39" i="65"/>
  <c r="D39" i="65"/>
  <c r="C39" i="65"/>
  <c r="B39" i="65"/>
  <c r="DS38" i="65"/>
  <c r="DR38" i="65"/>
  <c r="DQ38" i="65"/>
  <c r="DP38" i="65"/>
  <c r="DO38" i="65"/>
  <c r="DN38" i="65"/>
  <c r="DM38" i="65"/>
  <c r="DL38" i="65"/>
  <c r="DK38" i="65"/>
  <c r="DJ38" i="65"/>
  <c r="DI38" i="65"/>
  <c r="DH38" i="65"/>
  <c r="DG38" i="65"/>
  <c r="DF38" i="65"/>
  <c r="DE38" i="65"/>
  <c r="DD38" i="65"/>
  <c r="DC38" i="65"/>
  <c r="DB38" i="65"/>
  <c r="I38" i="65"/>
  <c r="H38" i="65"/>
  <c r="G38" i="65"/>
  <c r="F38" i="65"/>
  <c r="E38" i="65"/>
  <c r="D38" i="65"/>
  <c r="C38" i="65"/>
  <c r="B38" i="65"/>
  <c r="DS37" i="65"/>
  <c r="DR37" i="65"/>
  <c r="DQ37" i="65"/>
  <c r="DP37" i="65"/>
  <c r="DO37" i="65"/>
  <c r="DN37" i="65"/>
  <c r="DM37" i="65"/>
  <c r="DL37" i="65"/>
  <c r="DK37" i="65"/>
  <c r="DJ37" i="65"/>
  <c r="DI37" i="65"/>
  <c r="DH37" i="65"/>
  <c r="DG37" i="65"/>
  <c r="DF37" i="65"/>
  <c r="DE37" i="65"/>
  <c r="DD37" i="65"/>
  <c r="DC37" i="65"/>
  <c r="DB37" i="65"/>
  <c r="I37" i="65"/>
  <c r="H37" i="65"/>
  <c r="G37" i="65"/>
  <c r="F37" i="65"/>
  <c r="E37" i="65"/>
  <c r="D37" i="65"/>
  <c r="C37" i="65"/>
  <c r="B37" i="65"/>
  <c r="DS36" i="65"/>
  <c r="DR36" i="65"/>
  <c r="DQ36" i="65"/>
  <c r="DP36" i="65"/>
  <c r="DO36" i="65"/>
  <c r="DN36" i="65"/>
  <c r="DM36" i="65"/>
  <c r="DL36" i="65"/>
  <c r="DK36" i="65"/>
  <c r="DJ36" i="65"/>
  <c r="DI36" i="65"/>
  <c r="DH36" i="65"/>
  <c r="DG36" i="65"/>
  <c r="DF36" i="65"/>
  <c r="DE36" i="65"/>
  <c r="DD36" i="65"/>
  <c r="DC36" i="65"/>
  <c r="DB36" i="65"/>
  <c r="I36" i="65"/>
  <c r="H36" i="65"/>
  <c r="G36" i="65"/>
  <c r="F36" i="65"/>
  <c r="E36" i="65"/>
  <c r="D36" i="65"/>
  <c r="C36" i="65"/>
  <c r="B36" i="65"/>
  <c r="DS35" i="65"/>
  <c r="DR35" i="65"/>
  <c r="DQ35" i="65"/>
  <c r="DP35" i="65"/>
  <c r="DO35" i="65"/>
  <c r="DN35" i="65"/>
  <c r="DM35" i="65"/>
  <c r="DL35" i="65"/>
  <c r="DK35" i="65"/>
  <c r="DJ35" i="65"/>
  <c r="DI35" i="65"/>
  <c r="DH35" i="65"/>
  <c r="DG35" i="65"/>
  <c r="DF35" i="65"/>
  <c r="DE35" i="65"/>
  <c r="DD35" i="65"/>
  <c r="DC35" i="65"/>
  <c r="DB35" i="65"/>
  <c r="I35" i="65"/>
  <c r="H35" i="65"/>
  <c r="G35" i="65"/>
  <c r="F35" i="65"/>
  <c r="E35" i="65"/>
  <c r="D35" i="65"/>
  <c r="C35" i="65"/>
  <c r="B35" i="65"/>
  <c r="DS34" i="65"/>
  <c r="DR34" i="65"/>
  <c r="DQ34" i="65"/>
  <c r="DP34" i="65"/>
  <c r="DO34" i="65"/>
  <c r="DN34" i="65"/>
  <c r="DM34" i="65"/>
  <c r="DL34" i="65"/>
  <c r="DK34" i="65"/>
  <c r="DJ34" i="65"/>
  <c r="DI34" i="65"/>
  <c r="DH34" i="65"/>
  <c r="DG34" i="65"/>
  <c r="DF34" i="65"/>
  <c r="DE34" i="65"/>
  <c r="DD34" i="65"/>
  <c r="DC34" i="65"/>
  <c r="DB34" i="65"/>
  <c r="I34" i="65"/>
  <c r="H34" i="65"/>
  <c r="G34" i="65"/>
  <c r="F34" i="65"/>
  <c r="E34" i="65"/>
  <c r="D34" i="65"/>
  <c r="C34" i="65"/>
  <c r="B34" i="65"/>
  <c r="DS33" i="65"/>
  <c r="DR33" i="65"/>
  <c r="DQ33" i="65"/>
  <c r="DP33" i="65"/>
  <c r="DO33" i="65"/>
  <c r="DN33" i="65"/>
  <c r="DM33" i="65"/>
  <c r="DL33" i="65"/>
  <c r="DK33" i="65"/>
  <c r="DJ33" i="65"/>
  <c r="DI33" i="65"/>
  <c r="DH33" i="65"/>
  <c r="DG33" i="65"/>
  <c r="DF33" i="65"/>
  <c r="DE33" i="65"/>
  <c r="DD33" i="65"/>
  <c r="DC33" i="65"/>
  <c r="DB33" i="65"/>
  <c r="I33" i="65"/>
  <c r="H33" i="65"/>
  <c r="G33" i="65"/>
  <c r="F33" i="65"/>
  <c r="E33" i="65"/>
  <c r="D33" i="65"/>
  <c r="C33" i="65"/>
  <c r="B33" i="65"/>
  <c r="DS32" i="65"/>
  <c r="DR32" i="65"/>
  <c r="DQ32" i="65"/>
  <c r="DP32" i="65"/>
  <c r="DO32" i="65"/>
  <c r="DN32" i="65"/>
  <c r="DM32" i="65"/>
  <c r="DL32" i="65"/>
  <c r="DK32" i="65"/>
  <c r="DJ32" i="65"/>
  <c r="DI32" i="65"/>
  <c r="DH32" i="65"/>
  <c r="DG32" i="65"/>
  <c r="DF32" i="65"/>
  <c r="DE32" i="65"/>
  <c r="DD32" i="65"/>
  <c r="DC32" i="65"/>
  <c r="DB32" i="65"/>
  <c r="I32" i="65"/>
  <c r="H32" i="65"/>
  <c r="G32" i="65"/>
  <c r="F32" i="65"/>
  <c r="E32" i="65"/>
  <c r="D32" i="65"/>
  <c r="C32" i="65"/>
  <c r="B32" i="65"/>
  <c r="DS31" i="65"/>
  <c r="DR31" i="65"/>
  <c r="DQ31" i="65"/>
  <c r="DP31" i="65"/>
  <c r="DO31" i="65"/>
  <c r="DN31" i="65"/>
  <c r="DM31" i="65"/>
  <c r="DL31" i="65"/>
  <c r="DK31" i="65"/>
  <c r="DJ31" i="65"/>
  <c r="DI31" i="65"/>
  <c r="DH31" i="65"/>
  <c r="DG31" i="65"/>
  <c r="DF31" i="65"/>
  <c r="DE31" i="65"/>
  <c r="DD31" i="65"/>
  <c r="DC31" i="65"/>
  <c r="DB31" i="65"/>
  <c r="I31" i="65"/>
  <c r="H31" i="65"/>
  <c r="G31" i="65"/>
  <c r="F31" i="65"/>
  <c r="E31" i="65"/>
  <c r="D31" i="65"/>
  <c r="C31" i="65"/>
  <c r="B31" i="65"/>
  <c r="DS30" i="65"/>
  <c r="DR30" i="65"/>
  <c r="DQ30" i="65"/>
  <c r="DP30" i="65"/>
  <c r="DO30" i="65"/>
  <c r="DN30" i="65"/>
  <c r="DM30" i="65"/>
  <c r="DL30" i="65"/>
  <c r="DK30" i="65"/>
  <c r="DJ30" i="65"/>
  <c r="DI30" i="65"/>
  <c r="DH30" i="65"/>
  <c r="DG30" i="65"/>
  <c r="DF30" i="65"/>
  <c r="DE30" i="65"/>
  <c r="DD30" i="65"/>
  <c r="DC30" i="65"/>
  <c r="DB30" i="65"/>
  <c r="I30" i="65"/>
  <c r="H30" i="65"/>
  <c r="G30" i="65"/>
  <c r="F30" i="65"/>
  <c r="E30" i="65"/>
  <c r="D30" i="65"/>
  <c r="C30" i="65"/>
  <c r="DS29" i="65"/>
  <c r="DR29" i="65"/>
  <c r="DQ29" i="65"/>
  <c r="DP29" i="65"/>
  <c r="DO29" i="65"/>
  <c r="DN29" i="65"/>
  <c r="DM29" i="65"/>
  <c r="DL29" i="65"/>
  <c r="DK29" i="65"/>
  <c r="DJ29" i="65"/>
  <c r="DI29" i="65"/>
  <c r="DH29" i="65"/>
  <c r="DG29" i="65"/>
  <c r="DF29" i="65"/>
  <c r="DE29" i="65"/>
  <c r="DD29" i="65"/>
  <c r="DC29" i="65"/>
  <c r="DB29" i="65"/>
  <c r="I29" i="65"/>
  <c r="H29" i="65"/>
  <c r="G29" i="65"/>
  <c r="F29" i="65"/>
  <c r="E29" i="65"/>
  <c r="D29" i="65"/>
  <c r="C29" i="65"/>
  <c r="B29" i="65"/>
  <c r="DS28" i="65"/>
  <c r="DR28" i="65"/>
  <c r="DQ28" i="65"/>
  <c r="DP28" i="65"/>
  <c r="DO28" i="65"/>
  <c r="DN28" i="65"/>
  <c r="DM28" i="65"/>
  <c r="DL28" i="65"/>
  <c r="DK28" i="65"/>
  <c r="DJ28" i="65"/>
  <c r="DI28" i="65"/>
  <c r="DH28" i="65"/>
  <c r="DG28" i="65"/>
  <c r="DF28" i="65"/>
  <c r="DE28" i="65"/>
  <c r="DD28" i="65"/>
  <c r="DC28" i="65"/>
  <c r="DB28" i="65"/>
  <c r="I28" i="65"/>
  <c r="H28" i="65"/>
  <c r="G28" i="65"/>
  <c r="F28" i="65"/>
  <c r="E28" i="65"/>
  <c r="D28" i="65"/>
  <c r="C28" i="65"/>
  <c r="B28" i="65"/>
  <c r="DS27" i="65"/>
  <c r="DR27" i="65"/>
  <c r="DQ27" i="65"/>
  <c r="DP27" i="65"/>
  <c r="DO27" i="65"/>
  <c r="DN27" i="65"/>
  <c r="DM27" i="65"/>
  <c r="DL27" i="65"/>
  <c r="DK27" i="65"/>
  <c r="DJ27" i="65"/>
  <c r="DI27" i="65"/>
  <c r="DH27" i="65"/>
  <c r="DG27" i="65"/>
  <c r="DF27" i="65"/>
  <c r="DE27" i="65"/>
  <c r="DD27" i="65"/>
  <c r="DC27" i="65"/>
  <c r="DB27" i="65"/>
  <c r="I27" i="65"/>
  <c r="H27" i="65"/>
  <c r="G27" i="65"/>
  <c r="F27" i="65"/>
  <c r="E27" i="65"/>
  <c r="D27" i="65"/>
  <c r="C27" i="65"/>
  <c r="B27" i="65"/>
  <c r="DS26" i="65"/>
  <c r="DR26" i="65"/>
  <c r="DQ26" i="65"/>
  <c r="DP26" i="65"/>
  <c r="DO26" i="65"/>
  <c r="DN26" i="65"/>
  <c r="DM26" i="65"/>
  <c r="DL26" i="65"/>
  <c r="DK26" i="65"/>
  <c r="DJ26" i="65"/>
  <c r="DI26" i="65"/>
  <c r="DH26" i="65"/>
  <c r="DG26" i="65"/>
  <c r="DF26" i="65"/>
  <c r="DE26" i="65"/>
  <c r="DD26" i="65"/>
  <c r="DC26" i="65"/>
  <c r="DB26" i="65"/>
  <c r="I26" i="65"/>
  <c r="H26" i="65"/>
  <c r="G26" i="65"/>
  <c r="F26" i="65"/>
  <c r="E26" i="65"/>
  <c r="D26" i="65"/>
  <c r="C26" i="65"/>
  <c r="B26" i="65"/>
  <c r="DS25" i="65"/>
  <c r="DR25" i="65"/>
  <c r="DQ25" i="65"/>
  <c r="DP25" i="65"/>
  <c r="DO25" i="65"/>
  <c r="DN25" i="65"/>
  <c r="DM25" i="65"/>
  <c r="DL25" i="65"/>
  <c r="DK25" i="65"/>
  <c r="DJ25" i="65"/>
  <c r="DI25" i="65"/>
  <c r="DH25" i="65"/>
  <c r="DG25" i="65"/>
  <c r="DF25" i="65"/>
  <c r="DE25" i="65"/>
  <c r="DD25" i="65"/>
  <c r="DC25" i="65"/>
  <c r="DB25" i="65"/>
  <c r="I25" i="65"/>
  <c r="H25" i="65"/>
  <c r="G25" i="65"/>
  <c r="F25" i="65"/>
  <c r="E25" i="65"/>
  <c r="D25" i="65"/>
  <c r="C25" i="65"/>
  <c r="B25" i="65"/>
  <c r="DS24" i="65"/>
  <c r="DR24" i="65"/>
  <c r="DQ24" i="65"/>
  <c r="DP24" i="65"/>
  <c r="DO24" i="65"/>
  <c r="DN24" i="65"/>
  <c r="DM24" i="65"/>
  <c r="DL24" i="65"/>
  <c r="DK24" i="65"/>
  <c r="DJ24" i="65"/>
  <c r="DI24" i="65"/>
  <c r="DH24" i="65"/>
  <c r="DG24" i="65"/>
  <c r="DF24" i="65"/>
  <c r="DE24" i="65"/>
  <c r="DD24" i="65"/>
  <c r="DC24" i="65"/>
  <c r="DB24" i="65"/>
  <c r="I24" i="65"/>
  <c r="H24" i="65"/>
  <c r="G24" i="65"/>
  <c r="F24" i="65"/>
  <c r="E24" i="65"/>
  <c r="D24" i="65"/>
  <c r="C24" i="65"/>
  <c r="B24" i="65"/>
  <c r="DS23" i="65"/>
  <c r="DR23" i="65"/>
  <c r="DQ23" i="65"/>
  <c r="DP23" i="65"/>
  <c r="DO23" i="65"/>
  <c r="DN23" i="65"/>
  <c r="DM23" i="65"/>
  <c r="DL23" i="65"/>
  <c r="DK23" i="65"/>
  <c r="DJ23" i="65"/>
  <c r="DI23" i="65"/>
  <c r="DH23" i="65"/>
  <c r="DG23" i="65"/>
  <c r="DF23" i="65"/>
  <c r="DE23" i="65"/>
  <c r="DD23" i="65"/>
  <c r="DC23" i="65"/>
  <c r="DB23" i="65"/>
  <c r="I23" i="65"/>
  <c r="H23" i="65"/>
  <c r="G23" i="65"/>
  <c r="F23" i="65"/>
  <c r="E23" i="65"/>
  <c r="D23" i="65"/>
  <c r="C23" i="65"/>
  <c r="B23" i="65"/>
  <c r="DS22" i="65"/>
  <c r="DR22" i="65"/>
  <c r="DQ22" i="65"/>
  <c r="DP22" i="65"/>
  <c r="DO22" i="65"/>
  <c r="DN22" i="65"/>
  <c r="DM22" i="65"/>
  <c r="DL22" i="65"/>
  <c r="DK22" i="65"/>
  <c r="DJ22" i="65"/>
  <c r="DI22" i="65"/>
  <c r="DH22" i="65"/>
  <c r="DG22" i="65"/>
  <c r="DF22" i="65"/>
  <c r="DE22" i="65"/>
  <c r="DD22" i="65"/>
  <c r="DC22" i="65"/>
  <c r="DB22" i="65"/>
  <c r="I22" i="65"/>
  <c r="H22" i="65"/>
  <c r="G22" i="65"/>
  <c r="F22" i="65"/>
  <c r="E22" i="65"/>
  <c r="D22" i="65"/>
  <c r="C22" i="65"/>
  <c r="B22" i="65"/>
  <c r="DS21" i="65"/>
  <c r="DR21" i="65"/>
  <c r="DQ21" i="65"/>
  <c r="DP21" i="65"/>
  <c r="DO21" i="65"/>
  <c r="DN21" i="65"/>
  <c r="DM21" i="65"/>
  <c r="DL21" i="65"/>
  <c r="DK21" i="65"/>
  <c r="DJ21" i="65"/>
  <c r="DI21" i="65"/>
  <c r="DH21" i="65"/>
  <c r="DG21" i="65"/>
  <c r="DF21" i="65"/>
  <c r="DE21" i="65"/>
  <c r="DD21" i="65"/>
  <c r="DC21" i="65"/>
  <c r="DB21" i="65"/>
  <c r="I21" i="65"/>
  <c r="H21" i="65"/>
  <c r="G21" i="65"/>
  <c r="F21" i="65"/>
  <c r="E21" i="65"/>
  <c r="D21" i="65"/>
  <c r="C21" i="65"/>
  <c r="B21" i="65"/>
  <c r="DS20" i="65"/>
  <c r="DR20" i="65"/>
  <c r="DQ20" i="65"/>
  <c r="DP20" i="65"/>
  <c r="DO20" i="65"/>
  <c r="DN20" i="65"/>
  <c r="DM20" i="65"/>
  <c r="DL20" i="65"/>
  <c r="DK20" i="65"/>
  <c r="DJ20" i="65"/>
  <c r="DI20" i="65"/>
  <c r="DH20" i="65"/>
  <c r="DG20" i="65"/>
  <c r="DF20" i="65"/>
  <c r="DE20" i="65"/>
  <c r="DD20" i="65"/>
  <c r="DC20" i="65"/>
  <c r="DB20" i="65"/>
  <c r="I20" i="65"/>
  <c r="H20" i="65"/>
  <c r="G20" i="65"/>
  <c r="F20" i="65"/>
  <c r="E20" i="65"/>
  <c r="D20" i="65"/>
  <c r="C20" i="65"/>
  <c r="B20" i="65"/>
  <c r="DS19" i="65"/>
  <c r="DR19" i="65"/>
  <c r="DQ19" i="65"/>
  <c r="DP19" i="65"/>
  <c r="DO19" i="65"/>
  <c r="DN19" i="65"/>
  <c r="DM19" i="65"/>
  <c r="DL19" i="65"/>
  <c r="DK19" i="65"/>
  <c r="DJ19" i="65"/>
  <c r="DI19" i="65"/>
  <c r="DH19" i="65"/>
  <c r="DG19" i="65"/>
  <c r="DF19" i="65"/>
  <c r="DE19" i="65"/>
  <c r="DD19" i="65"/>
  <c r="DC19" i="65"/>
  <c r="DB19" i="65"/>
  <c r="I19" i="65"/>
  <c r="H19" i="65"/>
  <c r="G19" i="65"/>
  <c r="F19" i="65"/>
  <c r="E19" i="65"/>
  <c r="C19" i="65"/>
  <c r="B19" i="65"/>
  <c r="DS18" i="65"/>
  <c r="DR18" i="65"/>
  <c r="DQ18" i="65"/>
  <c r="DP18" i="65"/>
  <c r="DO18" i="65"/>
  <c r="DN18" i="65"/>
  <c r="DM18" i="65"/>
  <c r="DL18" i="65"/>
  <c r="DK18" i="65"/>
  <c r="DJ18" i="65"/>
  <c r="DI18" i="65"/>
  <c r="DH18" i="65"/>
  <c r="DG18" i="65"/>
  <c r="DF18" i="65"/>
  <c r="DE18" i="65"/>
  <c r="DD18" i="65"/>
  <c r="DC18" i="65"/>
  <c r="DB18" i="65"/>
  <c r="I18" i="65"/>
  <c r="H18" i="65"/>
  <c r="G18" i="65"/>
  <c r="F18" i="65"/>
  <c r="E18" i="65"/>
  <c r="D18" i="65"/>
  <c r="C18" i="65"/>
  <c r="B18" i="65"/>
  <c r="DS17" i="65"/>
  <c r="DR17" i="65"/>
  <c r="DQ17" i="65"/>
  <c r="DP17" i="65"/>
  <c r="DO17" i="65"/>
  <c r="DN17" i="65"/>
  <c r="DM17" i="65"/>
  <c r="DL17" i="65"/>
  <c r="DK17" i="65"/>
  <c r="DJ17" i="65"/>
  <c r="DI17" i="65"/>
  <c r="DH17" i="65"/>
  <c r="DG17" i="65"/>
  <c r="DF17" i="65"/>
  <c r="DE17" i="65"/>
  <c r="DD17" i="65"/>
  <c r="DC17" i="65"/>
  <c r="DB17" i="65"/>
  <c r="I17" i="65"/>
  <c r="H17" i="65"/>
  <c r="G17" i="65"/>
  <c r="F17" i="65"/>
  <c r="D17" i="65"/>
  <c r="B17" i="65"/>
  <c r="DS16" i="65"/>
  <c r="DR16" i="65"/>
  <c r="DQ16" i="65"/>
  <c r="DP16" i="65"/>
  <c r="DO16" i="65"/>
  <c r="DN16" i="65"/>
  <c r="DM16" i="65"/>
  <c r="DL16" i="65"/>
  <c r="DK16" i="65"/>
  <c r="DJ16" i="65"/>
  <c r="DI16" i="65"/>
  <c r="DH16" i="65"/>
  <c r="DG16" i="65"/>
  <c r="DF16" i="65"/>
  <c r="DE16" i="65"/>
  <c r="DD16" i="65"/>
  <c r="DC16" i="65"/>
  <c r="DB16" i="65"/>
  <c r="I16" i="65"/>
  <c r="H16" i="65"/>
  <c r="G16" i="65"/>
  <c r="F16" i="65"/>
  <c r="E16" i="65"/>
  <c r="D16" i="65"/>
  <c r="C16" i="65"/>
  <c r="B16" i="65"/>
  <c r="DS15" i="65"/>
  <c r="DR15" i="65"/>
  <c r="DQ15" i="65"/>
  <c r="DP15" i="65"/>
  <c r="DO15" i="65"/>
  <c r="DN15" i="65"/>
  <c r="DM15" i="65"/>
  <c r="DL15" i="65"/>
  <c r="DK15" i="65"/>
  <c r="DJ15" i="65"/>
  <c r="DI15" i="65"/>
  <c r="DH15" i="65"/>
  <c r="DG15" i="65"/>
  <c r="DF15" i="65"/>
  <c r="DE15" i="65"/>
  <c r="DD15" i="65"/>
  <c r="DC15" i="65"/>
  <c r="DB15" i="65"/>
  <c r="I15" i="65"/>
  <c r="H15" i="65"/>
  <c r="G15" i="65"/>
  <c r="F15" i="65"/>
  <c r="E15" i="65"/>
  <c r="D15" i="65"/>
  <c r="C15" i="65"/>
  <c r="DS14" i="65"/>
  <c r="DR14" i="65"/>
  <c r="DQ14" i="65"/>
  <c r="DP14" i="65"/>
  <c r="DO14" i="65"/>
  <c r="DN14" i="65"/>
  <c r="DM14" i="65"/>
  <c r="DL14" i="65"/>
  <c r="DK14" i="65"/>
  <c r="DJ14" i="65"/>
  <c r="DI14" i="65"/>
  <c r="DH14" i="65"/>
  <c r="DG14" i="65"/>
  <c r="DF14" i="65"/>
  <c r="DE14" i="65"/>
  <c r="DD14" i="65"/>
  <c r="DC14" i="65"/>
  <c r="DB14" i="65"/>
  <c r="I14" i="65"/>
  <c r="H14" i="65"/>
  <c r="G14" i="65"/>
  <c r="F14" i="65"/>
  <c r="E14" i="65"/>
  <c r="D14" i="65"/>
  <c r="C14" i="65"/>
  <c r="B14" i="65"/>
  <c r="DS13" i="65"/>
  <c r="DR13" i="65"/>
  <c r="DQ13" i="65"/>
  <c r="DP13" i="65"/>
  <c r="DO13" i="65"/>
  <c r="DN13" i="65"/>
  <c r="DM13" i="65"/>
  <c r="DL13" i="65"/>
  <c r="DK13" i="65"/>
  <c r="DJ13" i="65"/>
  <c r="DI13" i="65"/>
  <c r="DH13" i="65"/>
  <c r="DG13" i="65"/>
  <c r="DF13" i="65"/>
  <c r="DE13" i="65"/>
  <c r="DD13" i="65"/>
  <c r="DC13" i="65"/>
  <c r="DB13" i="65"/>
  <c r="I13" i="65"/>
  <c r="H13" i="65"/>
  <c r="G13" i="65"/>
  <c r="F13" i="65"/>
  <c r="D13" i="65"/>
  <c r="C13" i="65"/>
  <c r="B13" i="65"/>
  <c r="DS12" i="65"/>
  <c r="DR12" i="65"/>
  <c r="DQ12" i="65"/>
  <c r="DP12" i="65"/>
  <c r="DO12" i="65"/>
  <c r="DN12" i="65"/>
  <c r="DM12" i="65"/>
  <c r="DL12" i="65"/>
  <c r="DK12" i="65"/>
  <c r="DJ12" i="65"/>
  <c r="DI12" i="65"/>
  <c r="DH12" i="65"/>
  <c r="DG12" i="65"/>
  <c r="DF12" i="65"/>
  <c r="DE12" i="65"/>
  <c r="DD12" i="65"/>
  <c r="DC12" i="65"/>
  <c r="DB12" i="65"/>
  <c r="I12" i="65"/>
  <c r="H12" i="65"/>
  <c r="G12" i="65"/>
  <c r="F12" i="65"/>
  <c r="E12" i="65"/>
  <c r="D12" i="65"/>
  <c r="C12" i="65"/>
  <c r="B12" i="65"/>
  <c r="DS11" i="65"/>
  <c r="DR11" i="65"/>
  <c r="DQ11" i="65"/>
  <c r="DP11" i="65"/>
  <c r="DO11" i="65"/>
  <c r="DN11" i="65"/>
  <c r="DM11" i="65"/>
  <c r="DL11" i="65"/>
  <c r="DK11" i="65"/>
  <c r="DJ11" i="65"/>
  <c r="DI11" i="65"/>
  <c r="DH11" i="65"/>
  <c r="DG11" i="65"/>
  <c r="DF11" i="65"/>
  <c r="DE11" i="65"/>
  <c r="DD11" i="65"/>
  <c r="DC11" i="65"/>
  <c r="DB11" i="65"/>
  <c r="I11" i="65"/>
  <c r="H11" i="65"/>
  <c r="G11" i="65"/>
  <c r="F11" i="65"/>
  <c r="E11" i="65"/>
  <c r="D11" i="65"/>
  <c r="C11" i="65"/>
  <c r="B11" i="65"/>
  <c r="DS10" i="65"/>
  <c r="DR10" i="65"/>
  <c r="DQ10" i="65"/>
  <c r="DP10" i="65"/>
  <c r="DO10" i="65"/>
  <c r="DN10" i="65"/>
  <c r="DM10" i="65"/>
  <c r="DL10" i="65"/>
  <c r="DK10" i="65"/>
  <c r="DJ10" i="65"/>
  <c r="DI10" i="65"/>
  <c r="DH10" i="65"/>
  <c r="DG10" i="65"/>
  <c r="DF10" i="65"/>
  <c r="DE10" i="65"/>
  <c r="DD10" i="65"/>
  <c r="DC10" i="65"/>
  <c r="DB10" i="65"/>
  <c r="I10" i="65"/>
  <c r="H10" i="65"/>
  <c r="G10" i="65"/>
  <c r="F10" i="65"/>
  <c r="E10" i="65"/>
  <c r="D10" i="65"/>
  <c r="C10" i="65"/>
  <c r="B10" i="65"/>
  <c r="DS9" i="65"/>
  <c r="DR9" i="65"/>
  <c r="DQ9" i="65"/>
  <c r="DP9" i="65"/>
  <c r="DO9" i="65"/>
  <c r="DN9" i="65"/>
  <c r="C124" i="7" s="1"/>
  <c r="DM9" i="65"/>
  <c r="DL9" i="65"/>
  <c r="C122" i="7" s="1"/>
  <c r="DK9" i="65"/>
  <c r="C121" i="7" s="1"/>
  <c r="DJ9" i="65"/>
  <c r="E129" i="7" s="1"/>
  <c r="DI9" i="65"/>
  <c r="DH9" i="65"/>
  <c r="E127" i="7" s="1"/>
  <c r="DG9" i="65"/>
  <c r="DF9" i="65"/>
  <c r="E115" i="7" s="1"/>
  <c r="DE9" i="65"/>
  <c r="DD9" i="65"/>
  <c r="F114" i="7" s="1"/>
  <c r="DC9" i="65"/>
  <c r="DB9" i="65"/>
  <c r="C114" i="7" s="1"/>
  <c r="I9" i="65"/>
  <c r="H9" i="65"/>
  <c r="B18" i="7" s="1"/>
  <c r="G9" i="65"/>
  <c r="F9" i="65"/>
  <c r="B14" i="7" s="1"/>
  <c r="E9" i="65"/>
  <c r="D9" i="65"/>
  <c r="C9" i="65"/>
  <c r="B2" i="65"/>
  <c r="F149" i="7"/>
  <c r="F148" i="7"/>
  <c r="H143" i="7"/>
  <c r="H142" i="7"/>
  <c r="H139" i="7"/>
  <c r="B132" i="7"/>
  <c r="E128" i="7"/>
  <c r="F124" i="7"/>
  <c r="F123" i="7"/>
  <c r="C123" i="7"/>
  <c r="F122" i="7"/>
  <c r="F115" i="7"/>
  <c r="C115" i="7"/>
  <c r="E114" i="7"/>
  <c r="F105" i="7"/>
  <c r="F104" i="7"/>
  <c r="F103" i="7"/>
  <c r="F102" i="7"/>
  <c r="F99" i="7"/>
  <c r="F98" i="7"/>
  <c r="F97" i="7"/>
  <c r="F96" i="7"/>
  <c r="F95" i="7"/>
  <c r="F94" i="7"/>
  <c r="F93" i="7"/>
  <c r="F92" i="7"/>
  <c r="F89" i="7"/>
  <c r="F88" i="7"/>
  <c r="F87" i="7"/>
  <c r="F86" i="7"/>
  <c r="I78" i="7"/>
  <c r="F76" i="7"/>
  <c r="F75" i="7"/>
  <c r="F74" i="7"/>
  <c r="F73" i="7"/>
  <c r="F71" i="7"/>
  <c r="F70" i="7"/>
  <c r="F69" i="7"/>
  <c r="F68" i="7"/>
  <c r="F67" i="7"/>
  <c r="F66" i="7"/>
  <c r="F65" i="7"/>
  <c r="F64" i="7"/>
  <c r="F63" i="7"/>
  <c r="F62" i="7"/>
  <c r="F61" i="7"/>
  <c r="F60" i="7"/>
  <c r="J44" i="7"/>
  <c r="I44" i="7"/>
  <c r="H44" i="7"/>
  <c r="G44" i="7"/>
  <c r="F44" i="7"/>
  <c r="J43" i="7"/>
  <c r="I43" i="7"/>
  <c r="H43" i="7"/>
  <c r="G43" i="7"/>
  <c r="F43" i="7"/>
  <c r="J40" i="7"/>
  <c r="I40" i="7"/>
  <c r="H40" i="7"/>
  <c r="G40" i="7"/>
  <c r="F40" i="7"/>
  <c r="J39" i="7"/>
  <c r="I39" i="7"/>
  <c r="H39" i="7"/>
  <c r="G39" i="7"/>
  <c r="F39" i="7"/>
  <c r="J38" i="7"/>
  <c r="I38" i="7"/>
  <c r="H38" i="7"/>
  <c r="G38" i="7"/>
  <c r="F38" i="7"/>
  <c r="J37" i="7"/>
  <c r="I37" i="7"/>
  <c r="H37" i="7"/>
  <c r="G37" i="7"/>
  <c r="F37" i="7"/>
  <c r="J34" i="7"/>
  <c r="I34" i="7"/>
  <c r="H34" i="7"/>
  <c r="G34" i="7"/>
  <c r="F34" i="7"/>
  <c r="J33" i="7"/>
  <c r="I33" i="7"/>
  <c r="H33" i="7"/>
  <c r="G33" i="7"/>
  <c r="F33" i="7"/>
  <c r="J32" i="7"/>
  <c r="I32" i="7"/>
  <c r="H32" i="7"/>
  <c r="G32" i="7"/>
  <c r="F32" i="7"/>
  <c r="J31" i="7"/>
  <c r="I31" i="7"/>
  <c r="H31" i="7"/>
  <c r="G31" i="7"/>
  <c r="F31" i="7"/>
  <c r="J29" i="7"/>
  <c r="I29" i="7"/>
  <c r="H29" i="7"/>
  <c r="G29" i="7"/>
  <c r="F29" i="7"/>
  <c r="J28" i="7"/>
  <c r="I28" i="7"/>
  <c r="H28" i="7"/>
  <c r="G28" i="7"/>
  <c r="F28" i="7"/>
  <c r="J27" i="7"/>
  <c r="I27" i="7"/>
  <c r="H27" i="7"/>
  <c r="G27" i="7"/>
  <c r="F27" i="7"/>
  <c r="J26" i="7"/>
  <c r="I26" i="7"/>
  <c r="H26" i="7"/>
  <c r="G26" i="7"/>
  <c r="F26" i="7"/>
  <c r="J25" i="7"/>
  <c r="I25" i="7"/>
  <c r="H25" i="7"/>
  <c r="G25" i="7"/>
  <c r="F25" i="7"/>
  <c r="J24" i="7"/>
  <c r="I24" i="7"/>
  <c r="H24" i="7"/>
  <c r="G24" i="7"/>
  <c r="F24" i="7"/>
  <c r="E18" i="7"/>
  <c r="E14" i="7"/>
  <c r="E7" i="7"/>
  <c r="E6" i="7"/>
  <c r="I5" i="7"/>
  <c r="I4" i="7"/>
  <c r="I107" i="7" s="1"/>
  <c r="E4" i="7"/>
  <c r="E51" i="7" s="1"/>
  <c r="I3" i="7"/>
  <c r="E3" i="7"/>
  <c r="D46" i="72"/>
  <c r="C46" i="72"/>
  <c r="B46" i="72"/>
  <c r="O46" i="72" s="1"/>
  <c r="D45" i="72"/>
  <c r="C45" i="72"/>
  <c r="B45" i="72"/>
  <c r="D44" i="72"/>
  <c r="C44" i="72"/>
  <c r="B44" i="72"/>
  <c r="V44" i="72" s="1"/>
  <c r="D43" i="72"/>
  <c r="C43" i="72"/>
  <c r="B43" i="72"/>
  <c r="S42" i="72"/>
  <c r="I42" i="72"/>
  <c r="D42" i="72"/>
  <c r="C42" i="72"/>
  <c r="B42" i="72"/>
  <c r="O42" i="72" s="1"/>
  <c r="D41" i="72"/>
  <c r="C41" i="72"/>
  <c r="B41" i="72"/>
  <c r="W40" i="72"/>
  <c r="S40" i="72"/>
  <c r="P40" i="72"/>
  <c r="M40" i="72"/>
  <c r="K40" i="72"/>
  <c r="H40" i="72"/>
  <c r="E40" i="72"/>
  <c r="D40" i="72"/>
  <c r="C40" i="72"/>
  <c r="B40" i="72"/>
  <c r="V40" i="72" s="1"/>
  <c r="D39" i="72"/>
  <c r="C39" i="72"/>
  <c r="B39" i="72"/>
  <c r="D38" i="72"/>
  <c r="C38" i="72"/>
  <c r="B38" i="72"/>
  <c r="D37" i="72"/>
  <c r="C37" i="72"/>
  <c r="B37" i="72"/>
  <c r="D36" i="72"/>
  <c r="C36" i="72"/>
  <c r="B36" i="72"/>
  <c r="E36" i="72" s="1"/>
  <c r="D35" i="72"/>
  <c r="C35" i="72"/>
  <c r="B35" i="72"/>
  <c r="D34" i="72"/>
  <c r="C34" i="72"/>
  <c r="B34" i="72"/>
  <c r="F34" i="72" s="1"/>
  <c r="D33" i="72"/>
  <c r="C33" i="72"/>
  <c r="B33" i="72"/>
  <c r="E32" i="72"/>
  <c r="D32" i="72"/>
  <c r="C32" i="72"/>
  <c r="B32" i="72"/>
  <c r="E31" i="72"/>
  <c r="D31" i="72"/>
  <c r="C31" i="72"/>
  <c r="B31" i="72"/>
  <c r="D30" i="72"/>
  <c r="C30" i="72"/>
  <c r="B30" i="72"/>
  <c r="D29" i="72"/>
  <c r="C29" i="72"/>
  <c r="B29" i="72"/>
  <c r="E29" i="72" s="1"/>
  <c r="D28" i="72"/>
  <c r="C28" i="72"/>
  <c r="B28" i="72"/>
  <c r="E27" i="72"/>
  <c r="D27" i="72"/>
  <c r="C27" i="72"/>
  <c r="B27" i="72"/>
  <c r="D26" i="72"/>
  <c r="C26" i="72"/>
  <c r="B26" i="72"/>
  <c r="D25" i="72"/>
  <c r="C25" i="72"/>
  <c r="B25" i="72"/>
  <c r="F24" i="72"/>
  <c r="D24" i="72"/>
  <c r="C24" i="72"/>
  <c r="B24" i="72"/>
  <c r="D23" i="72"/>
  <c r="C23" i="72"/>
  <c r="B23" i="72"/>
  <c r="D22" i="72"/>
  <c r="C22" i="72"/>
  <c r="B22" i="72"/>
  <c r="D21" i="72"/>
  <c r="C21" i="72"/>
  <c r="B21" i="72"/>
  <c r="D20" i="72"/>
  <c r="C20" i="72"/>
  <c r="B20" i="72"/>
  <c r="F20" i="72" s="1"/>
  <c r="D19" i="72"/>
  <c r="C19" i="72"/>
  <c r="B19" i="72"/>
  <c r="F19" i="72" s="1"/>
  <c r="D18" i="72"/>
  <c r="C18" i="72"/>
  <c r="B18" i="72"/>
  <c r="E18" i="72" s="1"/>
  <c r="D17" i="72"/>
  <c r="C17" i="72"/>
  <c r="B17" i="72"/>
  <c r="E16" i="72"/>
  <c r="D16" i="72"/>
  <c r="C16" i="72"/>
  <c r="B16" i="72"/>
  <c r="F15" i="72"/>
  <c r="D15" i="72"/>
  <c r="C15" i="72"/>
  <c r="B15" i="72"/>
  <c r="D14" i="72"/>
  <c r="C14" i="72"/>
  <c r="B14" i="72"/>
  <c r="D13" i="72"/>
  <c r="C13" i="72"/>
  <c r="B13" i="72"/>
  <c r="E13" i="72" s="1"/>
  <c r="D12" i="72"/>
  <c r="C12" i="72"/>
  <c r="B12" i="72"/>
  <c r="E11" i="72"/>
  <c r="D11" i="72"/>
  <c r="C11" i="72"/>
  <c r="B11" i="72"/>
  <c r="D10" i="72"/>
  <c r="C10" i="72"/>
  <c r="B10" i="72"/>
  <c r="D9" i="72"/>
  <c r="C9" i="72"/>
  <c r="B9" i="72"/>
  <c r="E9" i="72" s="1"/>
  <c r="D8" i="72"/>
  <c r="C8" i="72"/>
  <c r="B8" i="72"/>
  <c r="E7" i="72"/>
  <c r="D7" i="72"/>
  <c r="C7" i="72"/>
  <c r="B7" i="72"/>
  <c r="C2" i="72"/>
  <c r="X46" i="71"/>
  <c r="W46" i="71"/>
  <c r="V46" i="71"/>
  <c r="U46" i="71"/>
  <c r="U46" i="72" s="1"/>
  <c r="T46" i="71"/>
  <c r="S46" i="71"/>
  <c r="R46" i="71"/>
  <c r="Q46" i="71"/>
  <c r="P46" i="71"/>
  <c r="O46" i="71"/>
  <c r="N46" i="71"/>
  <c r="M46" i="71"/>
  <c r="L46" i="71"/>
  <c r="K46" i="71"/>
  <c r="J46" i="71"/>
  <c r="I46" i="71"/>
  <c r="H46" i="71"/>
  <c r="G46" i="71"/>
  <c r="F46" i="71"/>
  <c r="E46" i="71"/>
  <c r="D46" i="71"/>
  <c r="C46" i="71"/>
  <c r="B46" i="71"/>
  <c r="X45" i="71"/>
  <c r="W45" i="71"/>
  <c r="V45" i="71"/>
  <c r="U45" i="71"/>
  <c r="U45" i="72" s="1"/>
  <c r="T45" i="71"/>
  <c r="S45" i="71"/>
  <c r="R45" i="71"/>
  <c r="Q45" i="71"/>
  <c r="P45" i="71"/>
  <c r="O45" i="71"/>
  <c r="N45" i="71"/>
  <c r="M45" i="71"/>
  <c r="L45" i="71"/>
  <c r="K45" i="71"/>
  <c r="J45" i="71"/>
  <c r="I45" i="71"/>
  <c r="H45" i="71"/>
  <c r="G45" i="71"/>
  <c r="F45" i="71"/>
  <c r="E45" i="71"/>
  <c r="D45" i="71"/>
  <c r="C45" i="71"/>
  <c r="B45" i="71"/>
  <c r="X44" i="71"/>
  <c r="W44" i="71"/>
  <c r="V44" i="71"/>
  <c r="U44" i="71"/>
  <c r="U44" i="72" s="1"/>
  <c r="T44" i="71"/>
  <c r="S44" i="71"/>
  <c r="R44" i="71"/>
  <c r="Q44" i="71"/>
  <c r="P44" i="71"/>
  <c r="O44" i="71"/>
  <c r="N44" i="71"/>
  <c r="M44" i="71"/>
  <c r="L44" i="71"/>
  <c r="K44" i="71"/>
  <c r="J44" i="71"/>
  <c r="I44" i="71"/>
  <c r="H44" i="71"/>
  <c r="G44" i="71"/>
  <c r="F44" i="71"/>
  <c r="E44" i="71"/>
  <c r="D44" i="71"/>
  <c r="C44" i="71"/>
  <c r="B44" i="71"/>
  <c r="X43" i="71"/>
  <c r="W43" i="71"/>
  <c r="V43" i="71"/>
  <c r="U43" i="71"/>
  <c r="U43" i="72" s="1"/>
  <c r="T43" i="71"/>
  <c r="S43" i="71"/>
  <c r="R43" i="71"/>
  <c r="Q43" i="71"/>
  <c r="P43" i="71"/>
  <c r="O43" i="71"/>
  <c r="N43" i="71"/>
  <c r="M43" i="71"/>
  <c r="L43" i="71"/>
  <c r="K43" i="71"/>
  <c r="J43" i="71"/>
  <c r="I43" i="71"/>
  <c r="H43" i="71"/>
  <c r="G43" i="71"/>
  <c r="F43" i="71"/>
  <c r="E43" i="71"/>
  <c r="D43" i="71"/>
  <c r="C43" i="71"/>
  <c r="B43" i="71"/>
  <c r="X42" i="71"/>
  <c r="W42" i="71"/>
  <c r="V42" i="71"/>
  <c r="U42" i="71"/>
  <c r="U42" i="72" s="1"/>
  <c r="T42" i="71"/>
  <c r="S42" i="71"/>
  <c r="R42" i="71"/>
  <c r="Q42" i="71"/>
  <c r="P42" i="71"/>
  <c r="O42" i="71"/>
  <c r="N42" i="71"/>
  <c r="M42" i="71"/>
  <c r="L42" i="71"/>
  <c r="K42" i="71"/>
  <c r="J42" i="71"/>
  <c r="I42" i="71"/>
  <c r="H42" i="71"/>
  <c r="G42" i="71"/>
  <c r="F42" i="71"/>
  <c r="E42" i="71"/>
  <c r="D42" i="71"/>
  <c r="C42" i="71"/>
  <c r="B42" i="71"/>
  <c r="X41" i="71"/>
  <c r="W41" i="71"/>
  <c r="V41" i="71"/>
  <c r="U41" i="71"/>
  <c r="U41" i="72" s="1"/>
  <c r="T41" i="71"/>
  <c r="S41" i="71"/>
  <c r="R41" i="71"/>
  <c r="Q41" i="71"/>
  <c r="P41" i="71"/>
  <c r="O41" i="71"/>
  <c r="N41" i="71"/>
  <c r="M41" i="71"/>
  <c r="L41" i="71"/>
  <c r="K41" i="71"/>
  <c r="J41" i="71"/>
  <c r="I41" i="71"/>
  <c r="H41" i="71"/>
  <c r="G41" i="71"/>
  <c r="F41" i="71"/>
  <c r="E41" i="71"/>
  <c r="D41" i="71"/>
  <c r="C41" i="71"/>
  <c r="B41" i="71"/>
  <c r="X40" i="71"/>
  <c r="W40" i="71"/>
  <c r="V40" i="71"/>
  <c r="U40" i="71"/>
  <c r="U40" i="72" s="1"/>
  <c r="T40" i="71"/>
  <c r="S40" i="71"/>
  <c r="R40" i="71"/>
  <c r="Q40" i="71"/>
  <c r="P40" i="71"/>
  <c r="O40" i="71"/>
  <c r="N40" i="71"/>
  <c r="M40" i="71"/>
  <c r="L40" i="71"/>
  <c r="K40" i="71"/>
  <c r="J40" i="71"/>
  <c r="I40" i="71"/>
  <c r="H40" i="71"/>
  <c r="G40" i="71"/>
  <c r="F40" i="71"/>
  <c r="E40" i="71"/>
  <c r="D40" i="71"/>
  <c r="C40" i="71"/>
  <c r="B40" i="71"/>
  <c r="X39" i="71"/>
  <c r="W39" i="71"/>
  <c r="V39" i="71"/>
  <c r="U39" i="71"/>
  <c r="U39" i="72" s="1"/>
  <c r="T39" i="71"/>
  <c r="S39" i="71"/>
  <c r="R39" i="71"/>
  <c r="Q39" i="71"/>
  <c r="P39" i="71"/>
  <c r="O39" i="71"/>
  <c r="N39" i="71"/>
  <c r="M39" i="71"/>
  <c r="L39" i="71"/>
  <c r="K39" i="71"/>
  <c r="J39" i="71"/>
  <c r="I39" i="71"/>
  <c r="H39" i="71"/>
  <c r="G39" i="71"/>
  <c r="F39" i="71"/>
  <c r="E39" i="71"/>
  <c r="D39" i="71"/>
  <c r="C39" i="71"/>
  <c r="B39" i="71"/>
  <c r="V38" i="71"/>
  <c r="U38" i="71"/>
  <c r="T38" i="71"/>
  <c r="S38" i="71"/>
  <c r="R38" i="71"/>
  <c r="Q38" i="71"/>
  <c r="P38" i="71"/>
  <c r="O38" i="71"/>
  <c r="N38" i="71"/>
  <c r="M38" i="71"/>
  <c r="L38" i="71"/>
  <c r="K38" i="71"/>
  <c r="J38" i="71"/>
  <c r="I38" i="71"/>
  <c r="H38" i="71"/>
  <c r="G38" i="71"/>
  <c r="F38" i="71"/>
  <c r="E38" i="71"/>
  <c r="D38" i="71"/>
  <c r="C38" i="71"/>
  <c r="B38" i="71"/>
  <c r="V37" i="71"/>
  <c r="U37" i="71"/>
  <c r="T37" i="71"/>
  <c r="S37" i="71"/>
  <c r="R37" i="71"/>
  <c r="Q37" i="71"/>
  <c r="P37" i="71"/>
  <c r="O37" i="71"/>
  <c r="N37" i="71"/>
  <c r="M37" i="71"/>
  <c r="L37" i="71"/>
  <c r="K37" i="71"/>
  <c r="J37" i="71"/>
  <c r="I37" i="71"/>
  <c r="H37" i="71"/>
  <c r="G37" i="71"/>
  <c r="F37" i="71"/>
  <c r="E37" i="71"/>
  <c r="D37" i="71"/>
  <c r="C37" i="71"/>
  <c r="B37" i="71"/>
  <c r="V36" i="71"/>
  <c r="U36" i="71"/>
  <c r="T36" i="71"/>
  <c r="S36" i="71"/>
  <c r="R36" i="71"/>
  <c r="Q36" i="71"/>
  <c r="P36" i="71"/>
  <c r="O36" i="71"/>
  <c r="N36" i="71"/>
  <c r="M36" i="71"/>
  <c r="L36" i="71"/>
  <c r="K36" i="71"/>
  <c r="J36" i="71"/>
  <c r="I36" i="71"/>
  <c r="H36" i="71"/>
  <c r="G36" i="71"/>
  <c r="F36" i="71"/>
  <c r="E36" i="71"/>
  <c r="D36" i="71"/>
  <c r="C36" i="71"/>
  <c r="B36" i="71"/>
  <c r="V35" i="71"/>
  <c r="U35" i="71"/>
  <c r="T35" i="71"/>
  <c r="S35" i="71"/>
  <c r="R35" i="71"/>
  <c r="Q35" i="71"/>
  <c r="P35" i="71"/>
  <c r="O35" i="71"/>
  <c r="N35" i="71"/>
  <c r="M35" i="71"/>
  <c r="L35" i="71"/>
  <c r="K35" i="71"/>
  <c r="J35" i="71"/>
  <c r="I35" i="71"/>
  <c r="H35" i="71"/>
  <c r="G35" i="71"/>
  <c r="F35" i="71"/>
  <c r="E35" i="71"/>
  <c r="D35" i="71"/>
  <c r="C35" i="71"/>
  <c r="B35" i="71"/>
  <c r="V34" i="71"/>
  <c r="U34" i="71"/>
  <c r="T34" i="71"/>
  <c r="S34" i="71"/>
  <c r="R34" i="71"/>
  <c r="Q34" i="71"/>
  <c r="P34" i="71"/>
  <c r="O34" i="71"/>
  <c r="N34" i="71"/>
  <c r="M34" i="71"/>
  <c r="L34" i="71"/>
  <c r="K34" i="71"/>
  <c r="J34" i="71"/>
  <c r="I34" i="71"/>
  <c r="H34" i="71"/>
  <c r="G34" i="71"/>
  <c r="F34" i="71"/>
  <c r="E34" i="71"/>
  <c r="D34" i="71"/>
  <c r="C34" i="71"/>
  <c r="B34" i="71"/>
  <c r="V33" i="71"/>
  <c r="U33" i="71"/>
  <c r="T33" i="71"/>
  <c r="S33" i="71"/>
  <c r="R33" i="71"/>
  <c r="Q33" i="71"/>
  <c r="P33" i="71"/>
  <c r="O33" i="71"/>
  <c r="N33" i="71"/>
  <c r="M33" i="71"/>
  <c r="L33" i="71"/>
  <c r="K33" i="71"/>
  <c r="J33" i="71"/>
  <c r="I33" i="71"/>
  <c r="H33" i="71"/>
  <c r="G33" i="71"/>
  <c r="F33" i="71"/>
  <c r="E33" i="71"/>
  <c r="D33" i="71"/>
  <c r="C33" i="71"/>
  <c r="B33" i="71"/>
  <c r="V32" i="71"/>
  <c r="U32" i="71"/>
  <c r="T32" i="71"/>
  <c r="S32" i="71"/>
  <c r="R32" i="71"/>
  <c r="Q32" i="71"/>
  <c r="P32" i="71"/>
  <c r="O32" i="71"/>
  <c r="N32" i="71"/>
  <c r="M32" i="71"/>
  <c r="L32" i="71"/>
  <c r="K32" i="71"/>
  <c r="J32" i="71"/>
  <c r="I32" i="71"/>
  <c r="H32" i="71"/>
  <c r="G32" i="71"/>
  <c r="F32" i="71"/>
  <c r="E32" i="71"/>
  <c r="D32" i="71"/>
  <c r="C32" i="71"/>
  <c r="B32" i="71"/>
  <c r="V31" i="71"/>
  <c r="U31" i="71"/>
  <c r="T31" i="71"/>
  <c r="S31" i="71"/>
  <c r="R31" i="71"/>
  <c r="Q31" i="71"/>
  <c r="P31" i="71"/>
  <c r="O31" i="71"/>
  <c r="N31" i="71"/>
  <c r="M31" i="71"/>
  <c r="L31" i="71"/>
  <c r="K31" i="71"/>
  <c r="J31" i="71"/>
  <c r="I31" i="71"/>
  <c r="H31" i="71"/>
  <c r="G31" i="71"/>
  <c r="F31" i="71"/>
  <c r="E31" i="71"/>
  <c r="D31" i="71"/>
  <c r="C31" i="71"/>
  <c r="B31" i="71"/>
  <c r="V30" i="71"/>
  <c r="U30" i="71"/>
  <c r="T30" i="71"/>
  <c r="S30" i="71"/>
  <c r="R30" i="71"/>
  <c r="Q30" i="71"/>
  <c r="P30" i="71"/>
  <c r="O30" i="71"/>
  <c r="N30" i="71"/>
  <c r="M30" i="71"/>
  <c r="L30" i="71"/>
  <c r="K30" i="71"/>
  <c r="J30" i="71"/>
  <c r="I30" i="71"/>
  <c r="H30" i="71"/>
  <c r="G30" i="71"/>
  <c r="F30" i="71"/>
  <c r="E30" i="71"/>
  <c r="D30" i="71"/>
  <c r="C30" i="71"/>
  <c r="B30" i="71"/>
  <c r="V29" i="71"/>
  <c r="U29" i="71"/>
  <c r="T29" i="71"/>
  <c r="S29" i="71"/>
  <c r="R29" i="71"/>
  <c r="Q29" i="71"/>
  <c r="P29" i="71"/>
  <c r="O29" i="71"/>
  <c r="N29" i="71"/>
  <c r="M29" i="71"/>
  <c r="L29" i="71"/>
  <c r="K29" i="71"/>
  <c r="J29" i="71"/>
  <c r="I29" i="71"/>
  <c r="H29" i="71"/>
  <c r="G29" i="71"/>
  <c r="F29" i="71"/>
  <c r="E29" i="71"/>
  <c r="D29" i="71"/>
  <c r="C29" i="71"/>
  <c r="B29" i="71"/>
  <c r="V28" i="71"/>
  <c r="U28" i="71"/>
  <c r="T28" i="71"/>
  <c r="S28" i="71"/>
  <c r="R28" i="71"/>
  <c r="Q28" i="71"/>
  <c r="P28" i="71"/>
  <c r="O28" i="71"/>
  <c r="N28" i="71"/>
  <c r="M28" i="71"/>
  <c r="L28" i="71"/>
  <c r="K28" i="71"/>
  <c r="J28" i="71"/>
  <c r="I28" i="71"/>
  <c r="H28" i="71"/>
  <c r="G28" i="71"/>
  <c r="F28" i="71"/>
  <c r="E28" i="71"/>
  <c r="D28" i="71"/>
  <c r="C28" i="71"/>
  <c r="B28" i="71"/>
  <c r="V27" i="71"/>
  <c r="U27" i="71"/>
  <c r="T27" i="71"/>
  <c r="S27" i="71"/>
  <c r="R27" i="71"/>
  <c r="Q27" i="71"/>
  <c r="P27" i="71"/>
  <c r="O27" i="71"/>
  <c r="N27" i="71"/>
  <c r="M27" i="71"/>
  <c r="L27" i="71"/>
  <c r="K27" i="71"/>
  <c r="J27" i="71"/>
  <c r="I27" i="71"/>
  <c r="H27" i="71"/>
  <c r="G27" i="71"/>
  <c r="F27" i="71"/>
  <c r="E27" i="71"/>
  <c r="D27" i="71"/>
  <c r="C27" i="71"/>
  <c r="B27" i="71"/>
  <c r="V26" i="71"/>
  <c r="U26" i="71"/>
  <c r="T26" i="71"/>
  <c r="S26" i="71"/>
  <c r="R26" i="71"/>
  <c r="Q26" i="71"/>
  <c r="P26" i="71"/>
  <c r="O26" i="71"/>
  <c r="N26" i="71"/>
  <c r="M26" i="71"/>
  <c r="L26" i="71"/>
  <c r="K26" i="71"/>
  <c r="J26" i="71"/>
  <c r="I26" i="71"/>
  <c r="H26" i="71"/>
  <c r="G26" i="71"/>
  <c r="F26" i="71"/>
  <c r="E26" i="71"/>
  <c r="D26" i="71"/>
  <c r="C26" i="71"/>
  <c r="B26" i="71"/>
  <c r="V25" i="71"/>
  <c r="U25" i="71"/>
  <c r="T25" i="71"/>
  <c r="S25" i="71"/>
  <c r="R25" i="71"/>
  <c r="Q25" i="71"/>
  <c r="P25" i="71"/>
  <c r="O25" i="71"/>
  <c r="N25" i="71"/>
  <c r="M25" i="71"/>
  <c r="L25" i="71"/>
  <c r="K25" i="71"/>
  <c r="J25" i="71"/>
  <c r="I25" i="71"/>
  <c r="H25" i="71"/>
  <c r="G25" i="71"/>
  <c r="F25" i="71"/>
  <c r="E25" i="71"/>
  <c r="D25" i="71"/>
  <c r="C25" i="71"/>
  <c r="B25" i="71"/>
  <c r="V24" i="71"/>
  <c r="U24" i="71"/>
  <c r="T24" i="71"/>
  <c r="S24" i="71"/>
  <c r="R24" i="71"/>
  <c r="Q24" i="71"/>
  <c r="P24" i="71"/>
  <c r="O24" i="71"/>
  <c r="N24" i="71"/>
  <c r="M24" i="71"/>
  <c r="L24" i="71"/>
  <c r="K24" i="71"/>
  <c r="J24" i="71"/>
  <c r="I24" i="71"/>
  <c r="H24" i="71"/>
  <c r="G24" i="71"/>
  <c r="W24" i="71" s="1"/>
  <c r="F24" i="71"/>
  <c r="E24" i="71"/>
  <c r="D24" i="71"/>
  <c r="C24" i="71"/>
  <c r="B24" i="71"/>
  <c r="V23" i="71"/>
  <c r="U23" i="71"/>
  <c r="T23" i="71"/>
  <c r="S23" i="71"/>
  <c r="R23" i="71"/>
  <c r="Q23" i="71"/>
  <c r="P23" i="71"/>
  <c r="O23" i="71"/>
  <c r="N23" i="71"/>
  <c r="M23" i="71"/>
  <c r="L23" i="71"/>
  <c r="K23" i="71"/>
  <c r="J23" i="71"/>
  <c r="I23" i="71"/>
  <c r="H23" i="71"/>
  <c r="G23" i="71"/>
  <c r="F23" i="71"/>
  <c r="E23" i="71"/>
  <c r="D23" i="71"/>
  <c r="C23" i="71"/>
  <c r="B23" i="71"/>
  <c r="V22" i="71"/>
  <c r="U22" i="71"/>
  <c r="T22" i="71"/>
  <c r="S22" i="71"/>
  <c r="R22" i="71"/>
  <c r="Q22" i="71"/>
  <c r="P22" i="71"/>
  <c r="O22" i="71"/>
  <c r="M22" i="71"/>
  <c r="L22" i="71"/>
  <c r="K22" i="71"/>
  <c r="J22" i="71"/>
  <c r="I22" i="71"/>
  <c r="H22" i="71"/>
  <c r="G22" i="71"/>
  <c r="F22" i="71"/>
  <c r="E22" i="71"/>
  <c r="D22" i="71"/>
  <c r="C22" i="71"/>
  <c r="B22" i="71"/>
  <c r="V21" i="71"/>
  <c r="U21" i="71"/>
  <c r="T21" i="71"/>
  <c r="S21" i="71"/>
  <c r="R21" i="71"/>
  <c r="Q21" i="71"/>
  <c r="P21" i="71"/>
  <c r="O21" i="71"/>
  <c r="N21" i="71"/>
  <c r="M21" i="71"/>
  <c r="L21" i="71"/>
  <c r="K21" i="71"/>
  <c r="J21" i="71"/>
  <c r="I21" i="71"/>
  <c r="H21" i="71"/>
  <c r="G21" i="71"/>
  <c r="F21" i="71"/>
  <c r="E21" i="71"/>
  <c r="D21" i="71"/>
  <c r="C21" i="71"/>
  <c r="B21" i="71"/>
  <c r="V20" i="71"/>
  <c r="U20" i="71"/>
  <c r="T20" i="71"/>
  <c r="S20" i="71"/>
  <c r="R20" i="71"/>
  <c r="Q20" i="71"/>
  <c r="P20" i="71"/>
  <c r="O20" i="71"/>
  <c r="N20" i="71"/>
  <c r="M20" i="71"/>
  <c r="L20" i="71"/>
  <c r="K20" i="71"/>
  <c r="J20" i="71"/>
  <c r="I20" i="71"/>
  <c r="H20" i="71"/>
  <c r="G20" i="71"/>
  <c r="F20" i="71"/>
  <c r="E20" i="71"/>
  <c r="D20" i="71"/>
  <c r="C20" i="71"/>
  <c r="B20" i="71"/>
  <c r="V19" i="71"/>
  <c r="U19" i="71"/>
  <c r="T19" i="71"/>
  <c r="S19" i="71"/>
  <c r="R19" i="71"/>
  <c r="Q19" i="71"/>
  <c r="P19" i="71"/>
  <c r="O19" i="71"/>
  <c r="M19" i="71"/>
  <c r="L19" i="71"/>
  <c r="K19" i="71"/>
  <c r="J19" i="71"/>
  <c r="I19" i="71"/>
  <c r="H19" i="71"/>
  <c r="G19" i="71"/>
  <c r="F19" i="71"/>
  <c r="E19" i="71"/>
  <c r="D19" i="71"/>
  <c r="B19" i="71"/>
  <c r="V18" i="71"/>
  <c r="U18" i="71"/>
  <c r="T18" i="71"/>
  <c r="S18" i="71"/>
  <c r="R18" i="71"/>
  <c r="Q18" i="71"/>
  <c r="P18" i="71"/>
  <c r="O18" i="71"/>
  <c r="N18" i="71"/>
  <c r="M18" i="71"/>
  <c r="L18" i="71"/>
  <c r="K18" i="71"/>
  <c r="J18" i="71"/>
  <c r="I18" i="71"/>
  <c r="H18" i="71"/>
  <c r="G18" i="71"/>
  <c r="F18" i="71"/>
  <c r="E18" i="71"/>
  <c r="D18" i="71"/>
  <c r="C18" i="71"/>
  <c r="B18" i="71"/>
  <c r="V17" i="71"/>
  <c r="U17" i="71"/>
  <c r="T17" i="71"/>
  <c r="S17" i="71"/>
  <c r="R17" i="71"/>
  <c r="Q17" i="71"/>
  <c r="P17" i="71"/>
  <c r="O17" i="71"/>
  <c r="N17" i="71"/>
  <c r="M17" i="71"/>
  <c r="L17" i="71"/>
  <c r="K17" i="71"/>
  <c r="J17" i="71"/>
  <c r="I17" i="71"/>
  <c r="H17" i="71"/>
  <c r="G17" i="71"/>
  <c r="W17" i="71" s="1"/>
  <c r="F17" i="71"/>
  <c r="E17" i="71"/>
  <c r="D17" i="71"/>
  <c r="C17" i="71"/>
  <c r="B17" i="71"/>
  <c r="V16" i="71"/>
  <c r="U16" i="71"/>
  <c r="T16" i="71"/>
  <c r="S16" i="71"/>
  <c r="R16" i="71"/>
  <c r="Q16" i="71"/>
  <c r="P16" i="71"/>
  <c r="O16" i="71"/>
  <c r="N16" i="71"/>
  <c r="M16" i="71"/>
  <c r="L16" i="71"/>
  <c r="K16" i="71"/>
  <c r="J16" i="71"/>
  <c r="I16" i="71"/>
  <c r="H16" i="71"/>
  <c r="G16" i="71"/>
  <c r="F16" i="71"/>
  <c r="E16" i="71"/>
  <c r="D16" i="71"/>
  <c r="B16" i="71"/>
  <c r="V15" i="71"/>
  <c r="U15" i="71"/>
  <c r="T15" i="71"/>
  <c r="S15" i="71"/>
  <c r="R15" i="71"/>
  <c r="Q15" i="71"/>
  <c r="O15" i="71"/>
  <c r="N15" i="71"/>
  <c r="M15" i="71"/>
  <c r="L15" i="71"/>
  <c r="K15" i="71"/>
  <c r="J15" i="71"/>
  <c r="I15" i="71"/>
  <c r="H15" i="71"/>
  <c r="G15" i="71"/>
  <c r="W15" i="71" s="1"/>
  <c r="F15" i="71"/>
  <c r="E15" i="71"/>
  <c r="D15" i="71"/>
  <c r="C15" i="71"/>
  <c r="B15" i="71"/>
  <c r="V14" i="71"/>
  <c r="U14" i="71"/>
  <c r="T14" i="71"/>
  <c r="S14" i="71"/>
  <c r="R14" i="71"/>
  <c r="Q14" i="71"/>
  <c r="P14" i="71"/>
  <c r="O14" i="71"/>
  <c r="N14" i="71"/>
  <c r="M14" i="71"/>
  <c r="L14" i="71"/>
  <c r="J14" i="71"/>
  <c r="I14" i="71"/>
  <c r="H14" i="71"/>
  <c r="G14" i="71"/>
  <c r="F14" i="71"/>
  <c r="E14" i="71"/>
  <c r="D14" i="71"/>
  <c r="C14" i="71"/>
  <c r="B14" i="71"/>
  <c r="V13" i="71"/>
  <c r="U13" i="71"/>
  <c r="T13" i="71"/>
  <c r="S13" i="71"/>
  <c r="R13" i="71"/>
  <c r="Q13" i="71"/>
  <c r="P13" i="71"/>
  <c r="O13" i="71"/>
  <c r="N13" i="71"/>
  <c r="M13" i="71"/>
  <c r="L13" i="71"/>
  <c r="K13" i="71"/>
  <c r="J13" i="71"/>
  <c r="I13" i="71"/>
  <c r="H13" i="71"/>
  <c r="G13" i="71"/>
  <c r="F13" i="71"/>
  <c r="E13" i="71"/>
  <c r="D13" i="71"/>
  <c r="C13" i="71"/>
  <c r="V12" i="71"/>
  <c r="U12" i="71"/>
  <c r="T12" i="71"/>
  <c r="S12" i="71"/>
  <c r="R12" i="71"/>
  <c r="Q12" i="71"/>
  <c r="P12" i="71"/>
  <c r="O12" i="71"/>
  <c r="N12" i="71"/>
  <c r="M12" i="71"/>
  <c r="L12" i="71"/>
  <c r="K12" i="71"/>
  <c r="J12" i="71"/>
  <c r="I12" i="71"/>
  <c r="H12" i="71"/>
  <c r="G12" i="71"/>
  <c r="F12" i="71"/>
  <c r="E12" i="71"/>
  <c r="D12" i="71"/>
  <c r="C12" i="71"/>
  <c r="B12" i="71"/>
  <c r="V11" i="71"/>
  <c r="U11" i="71"/>
  <c r="T11" i="71"/>
  <c r="S11" i="71"/>
  <c r="R11" i="71"/>
  <c r="Q11" i="71"/>
  <c r="P11" i="71"/>
  <c r="O11" i="71"/>
  <c r="N11" i="71"/>
  <c r="M11" i="71"/>
  <c r="L11" i="71"/>
  <c r="K11" i="71"/>
  <c r="J11" i="71"/>
  <c r="I11" i="71"/>
  <c r="H11" i="71"/>
  <c r="G11" i="71"/>
  <c r="F11" i="71"/>
  <c r="E11" i="71"/>
  <c r="D11" i="71"/>
  <c r="C11" i="71"/>
  <c r="B11" i="71"/>
  <c r="V10" i="71"/>
  <c r="U10" i="71"/>
  <c r="S10" i="71"/>
  <c r="R10" i="71"/>
  <c r="Q10" i="71"/>
  <c r="P10" i="71"/>
  <c r="O10" i="71"/>
  <c r="N10" i="71"/>
  <c r="L10" i="71"/>
  <c r="K10" i="71"/>
  <c r="J10" i="71"/>
  <c r="I10" i="71"/>
  <c r="H10" i="71"/>
  <c r="G10" i="71"/>
  <c r="F10" i="71"/>
  <c r="E10" i="71"/>
  <c r="D10" i="71"/>
  <c r="C10" i="71"/>
  <c r="B10" i="71"/>
  <c r="V9" i="71"/>
  <c r="U9" i="71"/>
  <c r="T9" i="71"/>
  <c r="S9" i="71"/>
  <c r="R9" i="71"/>
  <c r="Q9" i="71"/>
  <c r="P9" i="71"/>
  <c r="O9" i="71"/>
  <c r="N9" i="71"/>
  <c r="M9" i="71"/>
  <c r="K9" i="71"/>
  <c r="J9" i="71"/>
  <c r="I9" i="71"/>
  <c r="H9" i="71"/>
  <c r="G9" i="71"/>
  <c r="F9" i="71"/>
  <c r="E9" i="71"/>
  <c r="D9" i="71"/>
  <c r="C9" i="71"/>
  <c r="B9" i="71"/>
  <c r="V8" i="71"/>
  <c r="U8" i="71"/>
  <c r="T8" i="71"/>
  <c r="P8" i="71"/>
  <c r="O8" i="71"/>
  <c r="N8" i="71"/>
  <c r="M8" i="71"/>
  <c r="L8" i="71"/>
  <c r="K8" i="71"/>
  <c r="I8" i="71"/>
  <c r="H8" i="71"/>
  <c r="G8" i="71"/>
  <c r="F8" i="71"/>
  <c r="E8" i="71"/>
  <c r="D8" i="71"/>
  <c r="B8" i="71"/>
  <c r="V7" i="71"/>
  <c r="U7" i="71"/>
  <c r="T7" i="71"/>
  <c r="R7" i="71"/>
  <c r="Q7" i="71"/>
  <c r="P7" i="71"/>
  <c r="O7" i="71"/>
  <c r="N7" i="71"/>
  <c r="M7" i="71"/>
  <c r="K7" i="71"/>
  <c r="K7" i="72" s="1"/>
  <c r="J7" i="71"/>
  <c r="I7" i="71"/>
  <c r="H7" i="71"/>
  <c r="F7" i="71"/>
  <c r="E7" i="71"/>
  <c r="D7" i="71"/>
  <c r="B7" i="71"/>
  <c r="C2" i="71"/>
  <c r="D30" i="4"/>
  <c r="D29" i="4"/>
  <c r="D28" i="4"/>
  <c r="D27" i="4"/>
  <c r="G44" i="72" l="1"/>
  <c r="I44" i="72"/>
  <c r="L44" i="72"/>
  <c r="O44" i="72"/>
  <c r="Q44" i="72"/>
  <c r="T44" i="72"/>
  <c r="X44" i="72"/>
  <c r="N46" i="72"/>
  <c r="M7" i="72"/>
  <c r="Q7" i="72"/>
  <c r="W9" i="71"/>
  <c r="N9" i="72"/>
  <c r="R9" i="72"/>
  <c r="W10" i="71"/>
  <c r="W12" i="71"/>
  <c r="W13" i="71"/>
  <c r="W14" i="71"/>
  <c r="W35" i="71"/>
  <c r="G40" i="72"/>
  <c r="I40" i="72"/>
  <c r="L40" i="72"/>
  <c r="O40" i="72"/>
  <c r="Q40" i="72"/>
  <c r="T40" i="72"/>
  <c r="X40" i="72"/>
  <c r="N42" i="72"/>
  <c r="E44" i="72"/>
  <c r="H44" i="72"/>
  <c r="K44" i="72"/>
  <c r="M44" i="72"/>
  <c r="P44" i="72"/>
  <c r="S44" i="72"/>
  <c r="W44" i="72"/>
  <c r="I46" i="72"/>
  <c r="S46" i="72"/>
  <c r="I51" i="7"/>
  <c r="L9" i="72"/>
  <c r="U7" i="72"/>
  <c r="W7" i="72"/>
  <c r="W37" i="71"/>
  <c r="W26" i="71"/>
  <c r="W34" i="71"/>
  <c r="W38" i="71"/>
  <c r="W20" i="72"/>
  <c r="U10" i="72"/>
  <c r="I7" i="72"/>
  <c r="W7" i="71"/>
  <c r="U8" i="72"/>
  <c r="J9" i="72"/>
  <c r="S7" i="72"/>
  <c r="W11" i="72"/>
  <c r="G11" i="72"/>
  <c r="K11" i="72"/>
  <c r="O11" i="72"/>
  <c r="S11" i="72"/>
  <c r="W11" i="71"/>
  <c r="R15" i="72"/>
  <c r="V15" i="72"/>
  <c r="H16" i="72"/>
  <c r="L16" i="72"/>
  <c r="P16" i="72"/>
  <c r="T16" i="72"/>
  <c r="U17" i="72"/>
  <c r="V18" i="72"/>
  <c r="J19" i="72"/>
  <c r="O19" i="72"/>
  <c r="S19" i="72"/>
  <c r="I20" i="72"/>
  <c r="M20" i="72"/>
  <c r="Q20" i="72"/>
  <c r="U20" i="72"/>
  <c r="H21" i="72"/>
  <c r="L21" i="72"/>
  <c r="P21" i="72"/>
  <c r="T21" i="72"/>
  <c r="W30" i="71"/>
  <c r="H32" i="72"/>
  <c r="L32" i="72"/>
  <c r="P32" i="72"/>
  <c r="T32" i="72"/>
  <c r="V9" i="72"/>
  <c r="T19" i="72"/>
  <c r="O7" i="72"/>
  <c r="W9" i="72"/>
  <c r="P9" i="72"/>
  <c r="T9" i="72"/>
  <c r="U12" i="72"/>
  <c r="U14" i="72"/>
  <c r="J15" i="72"/>
  <c r="N15" i="72"/>
  <c r="M16" i="72"/>
  <c r="Q16" i="72"/>
  <c r="U16" i="72"/>
  <c r="W18" i="71"/>
  <c r="W19" i="72"/>
  <c r="W19" i="71"/>
  <c r="J20" i="72"/>
  <c r="R20" i="72"/>
  <c r="V20" i="72"/>
  <c r="U21" i="72"/>
  <c r="G23" i="72"/>
  <c r="W23" i="71"/>
  <c r="G25" i="72"/>
  <c r="W28" i="71"/>
  <c r="I29" i="72"/>
  <c r="M29" i="72"/>
  <c r="Q29" i="72"/>
  <c r="U29" i="72"/>
  <c r="W31" i="72"/>
  <c r="G31" i="72"/>
  <c r="O31" i="72"/>
  <c r="S31" i="72"/>
  <c r="W31" i="71"/>
  <c r="W33" i="71"/>
  <c r="U37" i="72"/>
  <c r="V7" i="72"/>
  <c r="W17" i="72"/>
  <c r="G7" i="72"/>
  <c r="W8" i="71"/>
  <c r="H9" i="72"/>
  <c r="I11" i="72"/>
  <c r="M11" i="72"/>
  <c r="Q11" i="72"/>
  <c r="U11" i="72"/>
  <c r="H13" i="72"/>
  <c r="L13" i="72"/>
  <c r="P13" i="72"/>
  <c r="T13" i="72"/>
  <c r="H18" i="72"/>
  <c r="L18" i="72"/>
  <c r="P18" i="72"/>
  <c r="U19" i="72"/>
  <c r="O20" i="72"/>
  <c r="S20" i="72"/>
  <c r="W22" i="71"/>
  <c r="N24" i="72"/>
  <c r="V24" i="72"/>
  <c r="H36" i="72"/>
  <c r="L36" i="72"/>
  <c r="P36" i="72"/>
  <c r="T36" i="72"/>
  <c r="M14" i="72"/>
  <c r="I13" i="72"/>
  <c r="M13" i="72"/>
  <c r="Q13" i="72"/>
  <c r="U13" i="72"/>
  <c r="U15" i="72"/>
  <c r="G16" i="72"/>
  <c r="W16" i="71"/>
  <c r="I18" i="72"/>
  <c r="M18" i="72"/>
  <c r="Q18" i="72"/>
  <c r="U18" i="72"/>
  <c r="G21" i="72"/>
  <c r="W21" i="71"/>
  <c r="K21" i="72"/>
  <c r="O21" i="72"/>
  <c r="I23" i="72"/>
  <c r="M23" i="72"/>
  <c r="Q23" i="72"/>
  <c r="U23" i="72"/>
  <c r="U25" i="72"/>
  <c r="W27" i="72"/>
  <c r="G27" i="72"/>
  <c r="K27" i="72"/>
  <c r="O27" i="72"/>
  <c r="S27" i="72"/>
  <c r="W27" i="71"/>
  <c r="J30" i="72"/>
  <c r="R30" i="72"/>
  <c r="I33" i="72"/>
  <c r="U33" i="72"/>
  <c r="O35" i="72"/>
  <c r="V12" i="72"/>
  <c r="V22" i="72"/>
  <c r="H20" i="72"/>
  <c r="L20" i="72"/>
  <c r="K25" i="72"/>
  <c r="O25" i="72"/>
  <c r="S25" i="72"/>
  <c r="W25" i="71"/>
  <c r="I27" i="72"/>
  <c r="M27" i="72"/>
  <c r="Q27" i="72"/>
  <c r="U27" i="72"/>
  <c r="W29" i="72"/>
  <c r="G29" i="72"/>
  <c r="K29" i="72"/>
  <c r="O29" i="72"/>
  <c r="S29" i="72"/>
  <c r="W29" i="71"/>
  <c r="L30" i="72"/>
  <c r="T30" i="72"/>
  <c r="U31" i="72"/>
  <c r="U35" i="72"/>
  <c r="H7" i="72"/>
  <c r="L7" i="72"/>
  <c r="P7" i="72"/>
  <c r="T7" i="72"/>
  <c r="E8" i="72"/>
  <c r="I8" i="72"/>
  <c r="M8" i="72"/>
  <c r="Q8" i="72"/>
  <c r="F9" i="72"/>
  <c r="K9" i="72"/>
  <c r="O9" i="72"/>
  <c r="S9" i="72"/>
  <c r="E10" i="72"/>
  <c r="I10" i="72"/>
  <c r="M10" i="72"/>
  <c r="Q10" i="72"/>
  <c r="F11" i="72"/>
  <c r="J11" i="72"/>
  <c r="N11" i="72"/>
  <c r="R11" i="72"/>
  <c r="V11" i="72"/>
  <c r="G12" i="72"/>
  <c r="K12" i="72"/>
  <c r="O12" i="72"/>
  <c r="S12" i="72"/>
  <c r="W12" i="72"/>
  <c r="I14" i="72"/>
  <c r="Q14" i="72"/>
  <c r="Q15" i="72"/>
  <c r="M15" i="72"/>
  <c r="I15" i="72"/>
  <c r="E15" i="72"/>
  <c r="T15" i="72"/>
  <c r="P15" i="72"/>
  <c r="L15" i="72"/>
  <c r="H15" i="72"/>
  <c r="G15" i="72"/>
  <c r="O15" i="72"/>
  <c r="W15" i="72"/>
  <c r="F17" i="72"/>
  <c r="O17" i="72"/>
  <c r="K19" i="72"/>
  <c r="I22" i="72"/>
  <c r="Q22" i="72"/>
  <c r="W23" i="72"/>
  <c r="Q24" i="72"/>
  <c r="M24" i="72"/>
  <c r="I24" i="72"/>
  <c r="E24" i="72"/>
  <c r="T24" i="72"/>
  <c r="P24" i="72"/>
  <c r="L24" i="72"/>
  <c r="H24" i="72"/>
  <c r="W24" i="72"/>
  <c r="S24" i="72"/>
  <c r="O24" i="72"/>
  <c r="K24" i="72"/>
  <c r="G24" i="72"/>
  <c r="J24" i="72"/>
  <c r="V25" i="72"/>
  <c r="V26" i="72"/>
  <c r="U22" i="72"/>
  <c r="U26" i="72"/>
  <c r="U30" i="72"/>
  <c r="J31" i="72"/>
  <c r="N31" i="72"/>
  <c r="R31" i="72"/>
  <c r="W32" i="72"/>
  <c r="G32" i="72"/>
  <c r="K32" i="72"/>
  <c r="O32" i="72"/>
  <c r="S32" i="72"/>
  <c r="W32" i="71"/>
  <c r="T33" i="72"/>
  <c r="Q34" i="72"/>
  <c r="U34" i="72"/>
  <c r="J35" i="72"/>
  <c r="W36" i="72"/>
  <c r="G36" i="72"/>
  <c r="K36" i="72"/>
  <c r="O36" i="72"/>
  <c r="S36" i="72"/>
  <c r="W36" i="71"/>
  <c r="I38" i="72"/>
  <c r="U38" i="72"/>
  <c r="F8" i="72"/>
  <c r="J8" i="72"/>
  <c r="N8" i="72"/>
  <c r="R8" i="72"/>
  <c r="V8" i="72"/>
  <c r="F10" i="72"/>
  <c r="J10" i="72"/>
  <c r="N10" i="72"/>
  <c r="R10" i="72"/>
  <c r="V10" i="72"/>
  <c r="H12" i="72"/>
  <c r="L12" i="72"/>
  <c r="P12" i="72"/>
  <c r="T12" i="72"/>
  <c r="J14" i="72"/>
  <c r="R14" i="72"/>
  <c r="V17" i="72"/>
  <c r="R17" i="72"/>
  <c r="N17" i="72"/>
  <c r="J17" i="72"/>
  <c r="E17" i="72"/>
  <c r="Q17" i="72"/>
  <c r="M17" i="72"/>
  <c r="I17" i="72"/>
  <c r="G17" i="72"/>
  <c r="P17" i="72"/>
  <c r="J22" i="72"/>
  <c r="R22" i="72"/>
  <c r="N38" i="72"/>
  <c r="F7" i="72"/>
  <c r="J7" i="72"/>
  <c r="N7" i="72"/>
  <c r="R7" i="72"/>
  <c r="G8" i="72"/>
  <c r="K8" i="72"/>
  <c r="O8" i="72"/>
  <c r="S8" i="72"/>
  <c r="W8" i="72"/>
  <c r="I9" i="72"/>
  <c r="M9" i="72"/>
  <c r="Q9" i="72"/>
  <c r="G10" i="72"/>
  <c r="K10" i="72"/>
  <c r="O10" i="72"/>
  <c r="S10" i="72"/>
  <c r="W10" i="72"/>
  <c r="H11" i="72"/>
  <c r="L11" i="72"/>
  <c r="P11" i="72"/>
  <c r="T11" i="72"/>
  <c r="E12" i="72"/>
  <c r="I12" i="72"/>
  <c r="M12" i="72"/>
  <c r="Q12" i="72"/>
  <c r="W13" i="72"/>
  <c r="E14" i="72"/>
  <c r="K15" i="72"/>
  <c r="S15" i="72"/>
  <c r="K17" i="72"/>
  <c r="S17" i="72"/>
  <c r="V19" i="72"/>
  <c r="R19" i="72"/>
  <c r="N19" i="72"/>
  <c r="I19" i="72"/>
  <c r="E19" i="72"/>
  <c r="Q19" i="72"/>
  <c r="L19" i="72"/>
  <c r="H19" i="72"/>
  <c r="G19" i="72"/>
  <c r="P19" i="72"/>
  <c r="E22" i="72"/>
  <c r="M22" i="72"/>
  <c r="R24" i="72"/>
  <c r="V30" i="72"/>
  <c r="L23" i="72"/>
  <c r="P23" i="72"/>
  <c r="T23" i="72"/>
  <c r="U24" i="72"/>
  <c r="H27" i="72"/>
  <c r="L27" i="72"/>
  <c r="P27" i="72"/>
  <c r="T27" i="72"/>
  <c r="U28" i="72"/>
  <c r="H31" i="72"/>
  <c r="L31" i="72"/>
  <c r="T31" i="72"/>
  <c r="I32" i="72"/>
  <c r="M32" i="72"/>
  <c r="Q32" i="72"/>
  <c r="U32" i="72"/>
  <c r="N33" i="72"/>
  <c r="T35" i="72"/>
  <c r="I36" i="72"/>
  <c r="M36" i="72"/>
  <c r="Q36" i="72"/>
  <c r="U36" i="72"/>
  <c r="S38" i="72"/>
  <c r="H8" i="72"/>
  <c r="L8" i="72"/>
  <c r="P8" i="72"/>
  <c r="T8" i="72"/>
  <c r="H10" i="72"/>
  <c r="L10" i="72"/>
  <c r="P10" i="72"/>
  <c r="T10" i="72"/>
  <c r="F12" i="72"/>
  <c r="J12" i="72"/>
  <c r="N12" i="72"/>
  <c r="R12" i="72"/>
  <c r="T14" i="72"/>
  <c r="P14" i="72"/>
  <c r="L14" i="72"/>
  <c r="H14" i="72"/>
  <c r="W14" i="72"/>
  <c r="S14" i="72"/>
  <c r="O14" i="72"/>
  <c r="K14" i="72"/>
  <c r="G14" i="72"/>
  <c r="F14" i="72"/>
  <c r="N14" i="72"/>
  <c r="V14" i="72"/>
  <c r="L17" i="72"/>
  <c r="T17" i="72"/>
  <c r="W21" i="72"/>
  <c r="P22" i="72"/>
  <c r="L22" i="72"/>
  <c r="H22" i="72"/>
  <c r="S22" i="72"/>
  <c r="O22" i="72"/>
  <c r="K22" i="72"/>
  <c r="G22" i="72"/>
  <c r="F22" i="72"/>
  <c r="N22" i="72"/>
  <c r="W22" i="72"/>
  <c r="V28" i="72"/>
  <c r="F13" i="72"/>
  <c r="J13" i="72"/>
  <c r="N13" i="72"/>
  <c r="R13" i="72"/>
  <c r="V13" i="72"/>
  <c r="I16" i="72"/>
  <c r="N16" i="72"/>
  <c r="R16" i="72"/>
  <c r="W16" i="72"/>
  <c r="F18" i="72"/>
  <c r="J18" i="72"/>
  <c r="N18" i="72"/>
  <c r="S18" i="72"/>
  <c r="W18" i="72"/>
  <c r="G20" i="72"/>
  <c r="K20" i="72"/>
  <c r="P20" i="72"/>
  <c r="T20" i="72"/>
  <c r="E21" i="72"/>
  <c r="I21" i="72"/>
  <c r="M21" i="72"/>
  <c r="Q21" i="72"/>
  <c r="V21" i="72"/>
  <c r="E23" i="72"/>
  <c r="J23" i="72"/>
  <c r="N23" i="72"/>
  <c r="R23" i="72"/>
  <c r="V23" i="72"/>
  <c r="H25" i="72"/>
  <c r="L25" i="72"/>
  <c r="P25" i="72"/>
  <c r="H26" i="72"/>
  <c r="N26" i="72"/>
  <c r="S26" i="72"/>
  <c r="J28" i="72"/>
  <c r="R28" i="72"/>
  <c r="F30" i="72"/>
  <c r="N30" i="72"/>
  <c r="V32" i="72"/>
  <c r="V34" i="72"/>
  <c r="G13" i="72"/>
  <c r="K13" i="72"/>
  <c r="O13" i="72"/>
  <c r="S13" i="72"/>
  <c r="F16" i="72"/>
  <c r="J16" i="72"/>
  <c r="O16" i="72"/>
  <c r="S16" i="72"/>
  <c r="G18" i="72"/>
  <c r="K18" i="72"/>
  <c r="O18" i="72"/>
  <c r="T18" i="72"/>
  <c r="F21" i="72"/>
  <c r="J21" i="72"/>
  <c r="N21" i="72"/>
  <c r="R21" i="72"/>
  <c r="F23" i="72"/>
  <c r="K23" i="72"/>
  <c r="O23" i="72"/>
  <c r="S23" i="72"/>
  <c r="E25" i="72"/>
  <c r="I25" i="72"/>
  <c r="M25" i="72"/>
  <c r="Q25" i="72"/>
  <c r="J26" i="72"/>
  <c r="O26" i="72"/>
  <c r="T26" i="72"/>
  <c r="V27" i="72"/>
  <c r="L28" i="72"/>
  <c r="T28" i="72"/>
  <c r="Q30" i="72"/>
  <c r="M30" i="72"/>
  <c r="I30" i="72"/>
  <c r="E30" i="72"/>
  <c r="W30" i="72"/>
  <c r="S30" i="72"/>
  <c r="O30" i="72"/>
  <c r="K30" i="72"/>
  <c r="G30" i="72"/>
  <c r="H30" i="72"/>
  <c r="P30" i="72"/>
  <c r="O38" i="72"/>
  <c r="T25" i="72"/>
  <c r="F25" i="72"/>
  <c r="J25" i="72"/>
  <c r="N25" i="72"/>
  <c r="R25" i="72"/>
  <c r="W25" i="72"/>
  <c r="F26" i="72"/>
  <c r="K26" i="72"/>
  <c r="P26" i="72"/>
  <c r="F28" i="72"/>
  <c r="N28" i="72"/>
  <c r="T34" i="72"/>
  <c r="P34" i="72"/>
  <c r="L34" i="72"/>
  <c r="H34" i="72"/>
  <c r="W34" i="72"/>
  <c r="R34" i="72"/>
  <c r="M34" i="72"/>
  <c r="G34" i="72"/>
  <c r="O34" i="72"/>
  <c r="J34" i="72"/>
  <c r="E34" i="72"/>
  <c r="S34" i="72"/>
  <c r="N34" i="72"/>
  <c r="I34" i="72"/>
  <c r="K34" i="72"/>
  <c r="Q26" i="72"/>
  <c r="M26" i="72"/>
  <c r="I26" i="72"/>
  <c r="E26" i="72"/>
  <c r="G26" i="72"/>
  <c r="L26" i="72"/>
  <c r="R26" i="72"/>
  <c r="W26" i="72"/>
  <c r="W28" i="72"/>
  <c r="S28" i="72"/>
  <c r="O28" i="72"/>
  <c r="K28" i="72"/>
  <c r="G28" i="72"/>
  <c r="Q28" i="72"/>
  <c r="M28" i="72"/>
  <c r="I28" i="72"/>
  <c r="E28" i="72"/>
  <c r="H28" i="72"/>
  <c r="P28" i="72"/>
  <c r="V36" i="72"/>
  <c r="W33" i="72"/>
  <c r="S33" i="72"/>
  <c r="O33" i="72"/>
  <c r="K33" i="72"/>
  <c r="G33" i="72"/>
  <c r="F33" i="72"/>
  <c r="L33" i="72"/>
  <c r="Q33" i="72"/>
  <c r="V33" i="72"/>
  <c r="Q35" i="72"/>
  <c r="M35" i="72"/>
  <c r="I35" i="72"/>
  <c r="E35" i="72"/>
  <c r="G35" i="72"/>
  <c r="L35" i="72"/>
  <c r="R35" i="72"/>
  <c r="W35" i="72"/>
  <c r="W37" i="72"/>
  <c r="S37" i="72"/>
  <c r="O37" i="72"/>
  <c r="K37" i="72"/>
  <c r="G37" i="72"/>
  <c r="F37" i="72"/>
  <c r="L37" i="72"/>
  <c r="Q37" i="72"/>
  <c r="V37" i="72"/>
  <c r="Q39" i="72"/>
  <c r="M39" i="72"/>
  <c r="I39" i="72"/>
  <c r="E39" i="72"/>
  <c r="G39" i="72"/>
  <c r="L39" i="72"/>
  <c r="R39" i="72"/>
  <c r="W39" i="72"/>
  <c r="W41" i="72"/>
  <c r="S41" i="72"/>
  <c r="O41" i="72"/>
  <c r="K41" i="72"/>
  <c r="G41" i="72"/>
  <c r="F41" i="72"/>
  <c r="L41" i="72"/>
  <c r="Q41" i="72"/>
  <c r="V41" i="72"/>
  <c r="Q43" i="72"/>
  <c r="M43" i="72"/>
  <c r="I43" i="72"/>
  <c r="E43" i="72"/>
  <c r="G43" i="72"/>
  <c r="L43" i="72"/>
  <c r="R43" i="72"/>
  <c r="W43" i="72"/>
  <c r="W45" i="72"/>
  <c r="S45" i="72"/>
  <c r="O45" i="72"/>
  <c r="K45" i="72"/>
  <c r="G45" i="72"/>
  <c r="F45" i="72"/>
  <c r="L45" i="72"/>
  <c r="Q45" i="72"/>
  <c r="V45" i="72"/>
  <c r="E50" i="7"/>
  <c r="E106" i="7"/>
  <c r="I52" i="7"/>
  <c r="I108" i="7"/>
  <c r="E77" i="7"/>
  <c r="F29" i="72"/>
  <c r="J29" i="72"/>
  <c r="N29" i="72"/>
  <c r="R29" i="72"/>
  <c r="V29" i="72"/>
  <c r="H33" i="72"/>
  <c r="M33" i="72"/>
  <c r="R33" i="72"/>
  <c r="H35" i="72"/>
  <c r="N35" i="72"/>
  <c r="S35" i="72"/>
  <c r="H37" i="72"/>
  <c r="M37" i="72"/>
  <c r="R37" i="72"/>
  <c r="E38" i="72"/>
  <c r="J38" i="72"/>
  <c r="H39" i="72"/>
  <c r="N39" i="72"/>
  <c r="S39" i="72"/>
  <c r="X39" i="72"/>
  <c r="H41" i="72"/>
  <c r="M41" i="72"/>
  <c r="R41" i="72"/>
  <c r="X41" i="72"/>
  <c r="E42" i="72"/>
  <c r="J42" i="72"/>
  <c r="H43" i="72"/>
  <c r="N43" i="72"/>
  <c r="S43" i="72"/>
  <c r="X43" i="72"/>
  <c r="H45" i="72"/>
  <c r="M45" i="72"/>
  <c r="R45" i="72"/>
  <c r="X45" i="72"/>
  <c r="E46" i="72"/>
  <c r="J46" i="72"/>
  <c r="I77" i="7"/>
  <c r="I106" i="7"/>
  <c r="E80" i="7"/>
  <c r="E109" i="7"/>
  <c r="I37" i="72"/>
  <c r="N37" i="72"/>
  <c r="T37" i="72"/>
  <c r="T38" i="72"/>
  <c r="P38" i="72"/>
  <c r="L38" i="72"/>
  <c r="H38" i="72"/>
  <c r="F38" i="72"/>
  <c r="K38" i="72"/>
  <c r="Q38" i="72"/>
  <c r="V38" i="72"/>
  <c r="J39" i="72"/>
  <c r="O39" i="72"/>
  <c r="T39" i="72"/>
  <c r="I41" i="72"/>
  <c r="N41" i="72"/>
  <c r="T41" i="72"/>
  <c r="X42" i="72"/>
  <c r="T42" i="72"/>
  <c r="P42" i="72"/>
  <c r="L42" i="72"/>
  <c r="H42" i="72"/>
  <c r="F42" i="72"/>
  <c r="K42" i="72"/>
  <c r="Q42" i="72"/>
  <c r="V42" i="72"/>
  <c r="J43" i="72"/>
  <c r="O43" i="72"/>
  <c r="T43" i="72"/>
  <c r="I45" i="72"/>
  <c r="N45" i="72"/>
  <c r="T45" i="72"/>
  <c r="X46" i="72"/>
  <c r="T46" i="72"/>
  <c r="P46" i="72"/>
  <c r="L46" i="72"/>
  <c r="H46" i="72"/>
  <c r="F46" i="72"/>
  <c r="K46" i="72"/>
  <c r="Q46" i="72"/>
  <c r="V46" i="72"/>
  <c r="E78" i="7"/>
  <c r="E107" i="7"/>
  <c r="E81" i="7"/>
  <c r="E110" i="7"/>
  <c r="E53" i="7"/>
  <c r="I79" i="7"/>
  <c r="F27" i="72"/>
  <c r="J27" i="72"/>
  <c r="N27" i="72"/>
  <c r="R27" i="72"/>
  <c r="H29" i="72"/>
  <c r="L29" i="72"/>
  <c r="P29" i="72"/>
  <c r="T29" i="72"/>
  <c r="Q31" i="72"/>
  <c r="M31" i="72"/>
  <c r="I31" i="72"/>
  <c r="F31" i="72"/>
  <c r="K31" i="72"/>
  <c r="P31" i="72"/>
  <c r="V31" i="72"/>
  <c r="E33" i="72"/>
  <c r="J33" i="72"/>
  <c r="P33" i="72"/>
  <c r="F35" i="72"/>
  <c r="K35" i="72"/>
  <c r="P35" i="72"/>
  <c r="V35" i="72"/>
  <c r="E37" i="72"/>
  <c r="J37" i="72"/>
  <c r="P37" i="72"/>
  <c r="G38" i="72"/>
  <c r="M38" i="72"/>
  <c r="R38" i="72"/>
  <c r="W38" i="72"/>
  <c r="F39" i="72"/>
  <c r="K39" i="72"/>
  <c r="P39" i="72"/>
  <c r="V39" i="72"/>
  <c r="E41" i="72"/>
  <c r="J41" i="72"/>
  <c r="P41" i="72"/>
  <c r="G42" i="72"/>
  <c r="M42" i="72"/>
  <c r="R42" i="72"/>
  <c r="W42" i="72"/>
  <c r="F43" i="72"/>
  <c r="K43" i="72"/>
  <c r="P43" i="72"/>
  <c r="V43" i="72"/>
  <c r="E45" i="72"/>
  <c r="J45" i="72"/>
  <c r="P45" i="72"/>
  <c r="G46" i="72"/>
  <c r="M46" i="72"/>
  <c r="R46" i="72"/>
  <c r="W46" i="72"/>
  <c r="I50" i="7"/>
  <c r="E54" i="7"/>
  <c r="F32" i="72"/>
  <c r="J32" i="72"/>
  <c r="N32" i="72"/>
  <c r="R32" i="72"/>
  <c r="F36" i="72"/>
  <c r="J36" i="72"/>
  <c r="N36" i="72"/>
  <c r="R36" i="72"/>
  <c r="F40" i="72"/>
  <c r="J40" i="72"/>
  <c r="N40" i="72"/>
  <c r="R40" i="72"/>
  <c r="F44" i="72"/>
  <c r="J44" i="72"/>
  <c r="N44" i="72"/>
  <c r="R44" i="72"/>
  <c r="X32" i="71" l="1"/>
  <c r="X16" i="72"/>
  <c r="X26" i="72"/>
  <c r="X11" i="72"/>
  <c r="X10" i="71"/>
  <c r="X28" i="72"/>
  <c r="X30" i="72"/>
  <c r="X22" i="72"/>
  <c r="X38" i="72"/>
  <c r="X20" i="72"/>
  <c r="X9" i="72"/>
  <c r="X15" i="72"/>
  <c r="X18" i="72"/>
  <c r="X24" i="72"/>
  <c r="X37" i="71"/>
  <c r="X8" i="72"/>
  <c r="X31" i="72"/>
  <c r="X10" i="72"/>
  <c r="X14" i="71"/>
  <c r="X37" i="72"/>
  <c r="X35" i="72"/>
  <c r="X33" i="72"/>
  <c r="X21" i="72"/>
  <c r="X14" i="72"/>
  <c r="X19" i="72"/>
  <c r="X12" i="72"/>
  <c r="X32" i="72"/>
  <c r="X23" i="72"/>
  <c r="X29" i="71"/>
  <c r="X16" i="71"/>
  <c r="X34" i="71"/>
  <c r="X22" i="71"/>
  <c r="X8" i="71"/>
  <c r="X28" i="71"/>
  <c r="X19" i="71"/>
  <c r="X9" i="71"/>
  <c r="X7" i="72"/>
  <c r="X31" i="71"/>
  <c r="X20" i="71"/>
  <c r="X7" i="71"/>
  <c r="X12" i="71"/>
  <c r="X13" i="72"/>
  <c r="X36" i="71"/>
  <c r="X27" i="71"/>
  <c r="X26" i="71"/>
  <c r="X38" i="71"/>
  <c r="X24" i="71"/>
  <c r="X35" i="71"/>
  <c r="X34" i="72"/>
  <c r="X25" i="72"/>
  <c r="X29" i="72"/>
  <c r="X17" i="72"/>
  <c r="X36" i="72"/>
  <c r="X25" i="71"/>
  <c r="X27" i="72"/>
  <c r="X21" i="71"/>
  <c r="X33" i="71"/>
  <c r="X23" i="71"/>
  <c r="X18" i="71"/>
  <c r="X30" i="71"/>
  <c r="X11" i="71"/>
  <c r="X15" i="71"/>
  <c r="X17" i="71"/>
  <c r="X13" i="71"/>
</calcChain>
</file>

<file path=xl/sharedStrings.xml><?xml version="1.0" encoding="utf-8"?>
<sst xmlns="http://schemas.openxmlformats.org/spreadsheetml/2006/main" count="4061" uniqueCount="1125">
  <si>
    <t>No</t>
  </si>
  <si>
    <t>Nama Peserta Didik</t>
  </si>
  <si>
    <t>No Induk</t>
  </si>
  <si>
    <t>NISN</t>
  </si>
  <si>
    <t>Kelas</t>
  </si>
  <si>
    <t>Semester</t>
  </si>
  <si>
    <t>Kelompok A (Wajib)</t>
  </si>
  <si>
    <t>Kelompok B (Wajib)</t>
  </si>
  <si>
    <t>Kelompok C Peminatan Matematika dan IPA</t>
  </si>
  <si>
    <t>Kelompok C Lintas Minat</t>
  </si>
  <si>
    <t>Jumlah</t>
  </si>
  <si>
    <t>Peringkat Kelas</t>
  </si>
  <si>
    <t>PAI</t>
  </si>
  <si>
    <t>PPKn</t>
  </si>
  <si>
    <t>Bahasa Indonesia</t>
  </si>
  <si>
    <t>Matematika</t>
  </si>
  <si>
    <t>Sejarah Indonesia</t>
  </si>
  <si>
    <t>Bahasa Inggris</t>
  </si>
  <si>
    <t>Seni Budaya</t>
  </si>
  <si>
    <t>Penjas-orkes</t>
  </si>
  <si>
    <t>Prakarya dan KWU</t>
  </si>
  <si>
    <t>Bahasa Jawa</t>
  </si>
  <si>
    <t>Fisika</t>
  </si>
  <si>
    <t xml:space="preserve">Kimia </t>
  </si>
  <si>
    <t>Biologi</t>
  </si>
  <si>
    <t>Bahasa Arab</t>
  </si>
  <si>
    <t>Baharuddin Barkah Pratama</t>
  </si>
  <si>
    <t>Kelompok C Peminatan MIPA</t>
  </si>
  <si>
    <t>Kel. C Lintas Minat</t>
  </si>
  <si>
    <t>Total Score</t>
  </si>
  <si>
    <t>Rank dalam Kelas</t>
  </si>
  <si>
    <t>X.MIPA 1</t>
  </si>
  <si>
    <t>SETTING RAPOR</t>
  </si>
  <si>
    <t>DATA SISWA</t>
  </si>
  <si>
    <t>KKM</t>
  </si>
  <si>
    <t>Nama Sekolah</t>
  </si>
  <si>
    <t>SMA ABBS Surakarta</t>
  </si>
  <si>
    <t>Mata Pelajaran</t>
  </si>
  <si>
    <t>Alamat</t>
  </si>
  <si>
    <t>Jln. Tarumanegara III No 22, Banyuanyar, Banjarsari, Surakarta</t>
  </si>
  <si>
    <t>Abdul Fattah Irfan Al Mubaroq</t>
  </si>
  <si>
    <t>0047308275</t>
  </si>
  <si>
    <t>Kelompok A</t>
  </si>
  <si>
    <t>Adam Zidane Danata Pranugroho</t>
  </si>
  <si>
    <t>0051700957</t>
  </si>
  <si>
    <t>Ahmad Fikry</t>
  </si>
  <si>
    <t xml:space="preserve">0050998196 </t>
  </si>
  <si>
    <t>PKn</t>
  </si>
  <si>
    <t>Nama Kepsek</t>
  </si>
  <si>
    <t>Anna Rafaidah, S.Pd.</t>
  </si>
  <si>
    <t>Akhmad Rifki Assegaf</t>
  </si>
  <si>
    <t xml:space="preserve">0058425358 </t>
  </si>
  <si>
    <t>NIK</t>
  </si>
  <si>
    <t>2014  09 2 095</t>
  </si>
  <si>
    <t>Almas Sabih Wahindra</t>
  </si>
  <si>
    <t>0059000208</t>
  </si>
  <si>
    <t>X.MIPA 4</t>
  </si>
  <si>
    <t>Aria Fenha Apri Bima</t>
  </si>
  <si>
    <t>0058068365</t>
  </si>
  <si>
    <t>Nama Wali Kelas</t>
  </si>
  <si>
    <t>Alfi Suryani Yusuf, S.Pd.</t>
  </si>
  <si>
    <t>0024374235</t>
  </si>
  <si>
    <t>2020 04 3 481</t>
  </si>
  <si>
    <t>Daffa Arya Pudyastungkara</t>
  </si>
  <si>
    <t>0043620048</t>
  </si>
  <si>
    <t>Kelompok B</t>
  </si>
  <si>
    <t>Tahun Pelajaran</t>
  </si>
  <si>
    <t>2020/2021</t>
  </si>
  <si>
    <t>Dody Muhammad Pasha</t>
  </si>
  <si>
    <t>0053814584</t>
  </si>
  <si>
    <t>I</t>
  </si>
  <si>
    <t>Gasal</t>
  </si>
  <si>
    <t>Elga Perdana</t>
  </si>
  <si>
    <t>0054718584</t>
  </si>
  <si>
    <t>Pendidikan Jasmani, Olahraga dan Kesehatan</t>
  </si>
  <si>
    <t>Tanggal Cetak</t>
  </si>
  <si>
    <t>19 Desember 2020</t>
  </si>
  <si>
    <t>Fathoni Daniswara</t>
  </si>
  <si>
    <t>0057882873</t>
  </si>
  <si>
    <t>Prakarya dan Kewirausahaan</t>
  </si>
  <si>
    <t>Gading Setyo Manunggal</t>
  </si>
  <si>
    <t>0052532940</t>
  </si>
  <si>
    <t>Ghifari Mabrur Al Burhani</t>
  </si>
  <si>
    <t>0068080234</t>
  </si>
  <si>
    <t>Kelompok C</t>
  </si>
  <si>
    <t>Hafid Mahreza Ilham</t>
  </si>
  <si>
    <t xml:space="preserve"> 0058288476</t>
  </si>
  <si>
    <t>MIPA</t>
  </si>
  <si>
    <t>Haidar Rafif Hibatulloh</t>
  </si>
  <si>
    <t>0054005743</t>
  </si>
  <si>
    <t>0045893001</t>
  </si>
  <si>
    <t>Mohamad Khoiril Afwa</t>
  </si>
  <si>
    <t>0044910894</t>
  </si>
  <si>
    <t>Kimia</t>
  </si>
  <si>
    <t>Muhammad Hanif Pearlyaradja</t>
  </si>
  <si>
    <t>0052096412</t>
  </si>
  <si>
    <t>Muhammad Maurel Han</t>
  </si>
  <si>
    <t>9015578324</t>
  </si>
  <si>
    <t>Lintas Minat</t>
  </si>
  <si>
    <t>Muhammad Niam Masykuri</t>
  </si>
  <si>
    <t xml:space="preserve"> 0044193368</t>
  </si>
  <si>
    <t>Bahasa dan Sastra Inggris</t>
  </si>
  <si>
    <t>Muhammad Nur Arzhian Kusuma</t>
  </si>
  <si>
    <t>0053421781</t>
  </si>
  <si>
    <t>Bahasa dan Sastra Arab</t>
  </si>
  <si>
    <t>Muhammad Rafif Rizqullah</t>
  </si>
  <si>
    <t>0044559979</t>
  </si>
  <si>
    <t>Muhammad Raihan Al Faridzi</t>
  </si>
  <si>
    <t>0047682955</t>
  </si>
  <si>
    <t>Muhammad Rakan Hafidh Al Ghalib</t>
  </si>
  <si>
    <t>0053955049</t>
  </si>
  <si>
    <t>Muhammad Syamu Naufal</t>
  </si>
  <si>
    <t>0045892500</t>
  </si>
  <si>
    <t>Naufal Muhammad Iqbal</t>
  </si>
  <si>
    <t>0056904636</t>
  </si>
  <si>
    <t>Nauval Nur Mustafa</t>
  </si>
  <si>
    <t>0061518278</t>
  </si>
  <si>
    <t>Oriegano Kanahaya  Siagian</t>
  </si>
  <si>
    <t xml:space="preserve"> 0051837216</t>
  </si>
  <si>
    <t>Rafif Mahatma Indrastata</t>
  </si>
  <si>
    <t>0045017851</t>
  </si>
  <si>
    <t>Rayhan Yoga Edy Pratama</t>
  </si>
  <si>
    <t xml:space="preserve">0041380949 </t>
  </si>
  <si>
    <t>Rusianto Munif</t>
  </si>
  <si>
    <t>0060172183</t>
  </si>
  <si>
    <t>Zaidan Mu'afy Althaf</t>
  </si>
  <si>
    <t>0056182222</t>
  </si>
  <si>
    <t xml:space="preserve">Nama Sekolah                        </t>
  </si>
  <si>
    <t xml:space="preserve">Kelas                        </t>
  </si>
  <si>
    <t xml:space="preserve">Alamat                       </t>
  </si>
  <si>
    <t xml:space="preserve">Semester                  </t>
  </si>
  <si>
    <t xml:space="preserve">  Banjarsari, Surakarta</t>
  </si>
  <si>
    <t xml:space="preserve">Thn. Pelajaran       </t>
  </si>
  <si>
    <t xml:space="preserve">Nama Peserta Didik  </t>
  </si>
  <si>
    <t xml:space="preserve">Nomor Induk/NISN   </t>
  </si>
  <si>
    <t>CAPAIAN HASIL BELAJAR</t>
  </si>
  <si>
    <t>A.</t>
  </si>
  <si>
    <t>Sikap</t>
  </si>
  <si>
    <t>1. Sikap Spiritual</t>
  </si>
  <si>
    <t>Predikat</t>
  </si>
  <si>
    <t>Deskripsi</t>
  </si>
  <si>
    <t>2. Sikap Sosial</t>
  </si>
  <si>
    <t>B.</t>
  </si>
  <si>
    <t>Pengetahuan dan Keterampilan</t>
  </si>
  <si>
    <t>Pengetahuan</t>
  </si>
  <si>
    <t>Keterampilan</t>
  </si>
  <si>
    <t>Angka</t>
  </si>
  <si>
    <t>Kelompok A (Umum)</t>
  </si>
  <si>
    <t>Pendidikan Agama dan Budi Pekerti</t>
  </si>
  <si>
    <t>Pendidikan Pancasila dan Kewarganegaraan</t>
  </si>
  <si>
    <t>Kelompok B (Umum)</t>
  </si>
  <si>
    <t>Kelompok C (Peminatan)</t>
  </si>
  <si>
    <t>I. Peminatan Matematika dan IPA</t>
  </si>
  <si>
    <t>II. Lintas Minat dan atau Pendalaman Minat</t>
  </si>
  <si>
    <t>Tabel interval predikat berdasar KKM</t>
  </si>
  <si>
    <t>D = Kurang</t>
  </si>
  <si>
    <t>C = Cukup</t>
  </si>
  <si>
    <t>B = Baik</t>
  </si>
  <si>
    <t>A = Sangat Baik</t>
  </si>
  <si>
    <t>nilai &lt; 75</t>
  </si>
  <si>
    <t xml:space="preserve">75 ≤ nilai &lt; 80 </t>
  </si>
  <si>
    <t>80 ≤ nilai &lt; 88</t>
  </si>
  <si>
    <t>88 ≤ nilai ≤ 100</t>
  </si>
  <si>
    <t>Deskripsi Pengetahuan dan Keterampilan</t>
  </si>
  <si>
    <t>Aspek</t>
  </si>
  <si>
    <t>Pendidikan Pancasila dan Kewarga-negaraan</t>
  </si>
  <si>
    <t xml:space="preserve">Bahasa dan Sastra Inggris </t>
  </si>
  <si>
    <t>C.</t>
  </si>
  <si>
    <t>Ekstrakurikuler</t>
  </si>
  <si>
    <t>Kegiatan Ekstrakurikuler</t>
  </si>
  <si>
    <t>D.</t>
  </si>
  <si>
    <t>Prestasi</t>
  </si>
  <si>
    <t>Jenis Kegiatan</t>
  </si>
  <si>
    <t>Keterangan</t>
  </si>
  <si>
    <t>E.</t>
  </si>
  <si>
    <t>Ketidakhadiran</t>
  </si>
  <si>
    <t>Sakit</t>
  </si>
  <si>
    <t>hari</t>
  </si>
  <si>
    <t>Izin</t>
  </si>
  <si>
    <t>Tanpa Keterangan</t>
  </si>
  <si>
    <t>F.</t>
  </si>
  <si>
    <t>Catatan Wali Kelas</t>
  </si>
  <si>
    <t>G.</t>
  </si>
  <si>
    <t>Tanggapan Orang Tua/Wali</t>
  </si>
  <si>
    <t>Orang Tua/Wali,</t>
  </si>
  <si>
    <t>Wali Kelas,</t>
  </si>
  <si>
    <t>(                                                )</t>
  </si>
  <si>
    <t>Kepala Sekolah,</t>
  </si>
  <si>
    <t>Nilai Sikap</t>
  </si>
  <si>
    <t>Prestasi Siswa</t>
  </si>
  <si>
    <t>Prakarya dan Kewirausahan</t>
  </si>
  <si>
    <t>Spiritual</t>
  </si>
  <si>
    <t>Sosial</t>
  </si>
  <si>
    <t>Wajib</t>
  </si>
  <si>
    <t>Nilai</t>
  </si>
  <si>
    <t>Deskrip-si</t>
  </si>
  <si>
    <t>Pilihan</t>
  </si>
  <si>
    <t>Tanpa Kete-rangan</t>
  </si>
  <si>
    <t>Jenis Prestasi (Nama dan Penyelenggara)</t>
  </si>
  <si>
    <t>Keterangan (Juara dan Tingkat)</t>
  </si>
  <si>
    <t>Huruf</t>
  </si>
  <si>
    <t>Desk.</t>
  </si>
  <si>
    <t>B</t>
  </si>
  <si>
    <t xml:space="preserve">Memiliki kemampuan menganalisis ketentuan berpakaian sesuai syariat Islam , namun perlu peningkatan menganalisis substansi, strategi, dan penyebab keberhasilan dakwah Nabi Muhammad Saw. di Makkah </t>
  </si>
  <si>
    <t xml:space="preserve">Memiliki keterampilan menyajikan hubungan makna- makna al-Asma’u al-Husna: al-Karim, al-Mu’min, al-Wakil, al-Matin, al-Jami’, al-‘Adl, dan al-Akhir dengan perilaku keluhuran budi, kokoh pendirian, rasa aman, tawakal dan perilaku adil </t>
  </si>
  <si>
    <t>Memiliki kemampuan ketentuan UUD tentang wilayah negara, namun perlu peningkatan menganalisa nilai-nilai Pancasila</t>
  </si>
  <si>
    <t>Memiliki keterampilan menyaji hasil telah ketentuan UUD tentang wilayah negara</t>
  </si>
  <si>
    <t>Memiliki kemampuan menelaah teks crita cekak, namun perlu peningkatan menelaah teks pawarta.</t>
  </si>
  <si>
    <t>Memiliki keterampilan menulis dan menyajikan sinopsis teks crita cekak yang dibacanya</t>
  </si>
  <si>
    <t>Memiliki kemampuan membandingkan persamaan dan pertidaksamaan nilai mutlak dari bentuk linear satu variabel dengan persamaan dan pertidaksamaan linear Aljabar lainnya., namun perlu peningkatan menyusun sistem persamaan linear tiga variabel dari masalah kontekstual.</t>
  </si>
  <si>
    <t>Memiliki keterampilan menyelesaikan masalah yang berkaitan dengan persamaan dan pertidaksamaan nilai mutlak dari bentuk linear satu variabel</t>
  </si>
  <si>
    <t>Memiliki kemampuan menganalisis kehidupan manusia purba dan asal-usul nenek moyang bangsa Indonesia (melanesoid, proto, dan deutero melayu), namun perlu peningkatan memahami konsep perubahan dan keberlanjutan dalam sejarah</t>
  </si>
  <si>
    <t>Memiliki keterampilan menerapkan konsep perubahan dan keberlanjutan dalam mengkaji peristiwa sejarah</t>
  </si>
  <si>
    <t>A</t>
  </si>
  <si>
    <t>Memiliki kemampuan menganalisis konsep, unsur, prinsip, bahan dan teknik dalam berkarya seni rupa, namun perlu peningkatan dalam menganalisis karya seni rupa berdasarkan jenis, tema, fungsi, dan nilai estetisnya</t>
  </si>
  <si>
    <t>Memiliki keterampilan membuat karya seni rupa dua dimensi dengan memodifikasi aspek</t>
  </si>
  <si>
    <t>Memiliki kemampuan menganalisis keterampilan gerak salah satu permainan bola besar untuk menghasilkan koordinasi gerak yang baik, namun perlu peningkatan menganalisis keterampilan gerak salah satu per-mainan bola kecil untuk menghasilkan koordinasi gerak yang baik</t>
  </si>
  <si>
    <t>Memiliki keterampilan mempraktikkan hasil analisis keterampilan jalan cepat, lari, lompat dan lempar untuk menghasilkan gerak yang efektif</t>
  </si>
  <si>
    <t>Memiliki kemampuan memahami perencanaan usaha produk teknologi transportasi dan logistik meliputi ide dan peluang usaha, sumber daya, administrasi, dan pemasaran, namun perlu peningkatan menganalisis sistem produksi produk transportasi dan logistik berdasarkan daya dukung yang dimiliki oleh daerah setempat</t>
  </si>
  <si>
    <t>Memiliki keterampilan memproduksi produk rekayasa</t>
  </si>
  <si>
    <t>Memiliki kemampuan menjelaskan operasi komposisi pada fungsi dan operasi invers pada fungsi invers serta sifat-sifatnya serta menentukan eksistensinya, namun perlu peningkatan mendeskripsikan dan menganalisis berbagai konsep dan prinsip fungsi eksponensial dan logaritma serta menggunakannya dalam menyelesaikan masalah</t>
  </si>
  <si>
    <t>Memiliki keterampilan menyajikan dan  menyelesaikan masalah yang berkaitan dengan fungsi eksponensial dan fungsi logaritma</t>
  </si>
  <si>
    <t>Memiliki kemampuan memahami hakikat fisika, namun perlu peningkatan memahami konsep vektor</t>
  </si>
  <si>
    <t>Memiliki keterampilan menyajikan data dan grafik hasil percobaan gerak benda untuk menyelidiki karakteristik gerak lurus dengan kecepatan konstan (tetap) dan gerak lurus dengan percepatan konstan (tetap) berikut makna fisisnya.</t>
  </si>
  <si>
    <t>Memiliki kemampuan menjelaskan metode ilmiah, hakikat ilmu kimia,K3 di laboratorium serta peran kimia dalam kehidupan, namun perlu peningkatan menganalisis konfigurasi elektron dan pola konfigurasi elektron terluar untuk setiap golongan dalam tabel periodik</t>
  </si>
  <si>
    <t>Memiliki keterampilan melakukan analisis perkembangan model atom dan melakukan analisis struktur atom</t>
  </si>
  <si>
    <t>Memiliki kemampuan menjelaskan ruang lingkup biologi melalui penerapan metode ilmiah dan prinsip keselamatan kerja, namun perlu peningkatan menganalisis struktur, replikasi dan peran virus dalam kehidupan</t>
  </si>
  <si>
    <t>Memiliki keterampilan menyajikan data hasil penerapan metode ilmiah tentang permasalahan pada berbagai obyek biologi dan tingkat organisasi kehidupan</t>
  </si>
  <si>
    <t>Memiliki kemampuan membedakan fungsi sosial, struktur teks, dan unsur kebahasaan beberapa teks khusus dalam bentuk formulir isian yang digunakan di perusahaan/ bank/instansi lain, dengan memberi dan meminta informasi terkait jati diri dan informasi yang relevan, sesuai dengan konteks penggunaannya, namun perlu peningkatan membedakan fungsi sosial, struktur teks, dan unsur kebahasaan beberapa teks recount lisan dan tulis dalam bentuk biografi dengan memberi dan meminta informasi terkait tokoh terkenal, sesuai dengan konteks penggunaannya</t>
  </si>
  <si>
    <t>Memiliki keterampilan menyusun teks interaksi transaksional lisan dan tulis yang melibatkan tindakan memberi dan meminta informasi terkait keharusan melakukan suatu tindakan/kegiatan pada waktu yang akan datang, saat ini, atau waktu lampau, dengan memperhatikan fungsi sosial, struktur teks, dan unsur kebahasaan yang benar dan sesuai konteks</t>
  </si>
  <si>
    <t>Memiliki kemampuan menganalisis dan mengidentifikasi pembagian isim dari jenisnya, namun perlu peningkatan menganalisis dan mengidentifikasi pembagian kalimat</t>
  </si>
  <si>
    <t xml:space="preserve">Memiliki keterampilan membuat contoh kalimat dengan memperhatikan unsur kalimat sesuai dengan materi pembagian kata </t>
  </si>
  <si>
    <t xml:space="preserve">Memiliki kemampuan menganalisis manfaat kejujuran dalam kehidupan sehari-hari, namun perlu peningkatan menganalisis substansi, strategi, dan penyebab keberhasilan dakwah Nabi Muhammad Saw. di Makkah </t>
  </si>
  <si>
    <t xml:space="preserve">Memiliki keterampilan menyajikan kaitan antara contoh perilaku jujur dalam kehidupan sehari-hari dengan keimanan </t>
  </si>
  <si>
    <t>Memiliki keterampilan menyaji hasil analisis nilai-nilai Pancasila</t>
  </si>
  <si>
    <t>Memiliki kemampuan menelaah teks crita cekak, namun perlu peningkatan menelaah teks crita cekak</t>
  </si>
  <si>
    <t>Memiliki kemampuan membandingkan persamaan dan pertidaksamaan nilai mutlak dari bentuk linear satu variabel dengan persamaan dan pertidaksamaan linear Aljabar lainnya., namun perlu peningkatan menjelaskan dan menentukan penyelesaian sistem pertidaksamaan dua variabel (linear-linear)</t>
  </si>
  <si>
    <t>Memiliki kemampuan menganalisis kehidupan manusia purba dan asal-usul nenek moyang bangsa Indonesia (melanesoid, proto, dan deutero melayu), namun perlu peningkatan memahami konsep berpikir kronologis, diakronik, sinkronik, ruang, dan waktu dalam sejarah</t>
  </si>
  <si>
    <t>Memiliki kemampuan menjelaskan dan menentukan fungsi (terutama fungsi linear, fungsi kuadrat, dan fungsi rasional) secara formal yang meliputi notasi, daerah asal, daerah hasil, dan ekspresi simbolik, serta sketsa grafiknya, namun perlu peningkatan mendeskripsikan dan menganalisis berbagai konsep dan prinsip fungsi eksponensial dan logaritma serta menggunakannya dalam menyelesaikan masalah</t>
  </si>
  <si>
    <t xml:space="preserve">Memiliki keterampilan menyelesaikan masalah yang berkaitan dengan operasi komposisi dan operasi invers suatu fungsi </t>
  </si>
  <si>
    <t>Memiliki kemampuan memahami konsep vektor, namun perlu peningkatan menganalisis gerak lurus</t>
  </si>
  <si>
    <t>Memiliki kemampuan membandingkan ikatan ion, kovalen, kovalen koordinasi, namun perlu peningkatan menganalisis perkembangan model atom dari model atom Dalton, Thomson, Rutherford, Bohr dan Mekanika Gelombang</t>
  </si>
  <si>
    <t>Memiliki kemampuan menganalisis berbagai tingkat keanekaragaman hayati di Indonesia beserta ancaman dan pelestariannya, namun perlu peningkatan menjelaskan prinsip-prinsip klasifikasi makhluk hidup dalam lima kingdom</t>
  </si>
  <si>
    <t>Memiliki keterampilan menangkap makna secara kontekstual terkait fungsi sosial, struktur teks, dan unsur kebahasaan teks khusus dalam bentuk formulir isian yang digunakan di perusahaan/bank/instansi lain, terkait jati diri dan informasi yang relevan</t>
  </si>
  <si>
    <t>Memiliki keterampilan menyajikan keutamaan tata cara berpakaian sesuai syariat Islam</t>
  </si>
  <si>
    <t>Memiliki kemampuan menganalisa nilai-nilai Pancasila, namun perlu peningkatan ketentuan UUD tentang wilayah negara</t>
  </si>
  <si>
    <t>Memiliki kemampuan menjelaskan dan menentukan penyelesaian sistem pertidaksamaan dua variabel (linear-linear), namun perlu peningkatan menyusun sistem persamaan linear tiga variabel dari masalah kontekstual.</t>
  </si>
  <si>
    <t>Memiliki kemampuan menganalisis sistem produksi produk transportasi dan logistik berdasarkan daya dukung yang dimiliki oleh daerah setempat, namun perlu peningkatan memahami perencanaan usaha produk teknologi transportasi dan logistik meliputi ide dan peluang usaha, sumber daya, administrasi, dan pemasaran</t>
  </si>
  <si>
    <t>Memiliki kemampuan mendeskripsikan dan menganalisis berbagai konsep dan prinsip fungsi eksponensial dan logaritma serta menggunakannya dalam menyelesaikan masalah, namun perlu peningkatan menjelaskan dan menentukan fungsi (terutama fungsi linear, fungsi kuadrat, dan fungsi rasional) secara formal yang meliputi notasi, daerah asal, daerah hasil, dan ekspresi simbolik, serta sketsa grafiknya</t>
  </si>
  <si>
    <t>Memiliki keterampilan menganalisa karakteristik masing – masing grafik (titik potong dengan sumbu, titik puncak, asimtot) dan perubahan grafik fungsinya akibat transformasi f2(x), 1/f(x), |f(x)| dsb</t>
  </si>
  <si>
    <t>Memiliki kemampuan memahami gerak parabola, namun perlu peningkatan memahami konsep vektor</t>
  </si>
  <si>
    <t>Memiliki kemampuan membandingkan ikatan ion, kovalen, kovalen koordinasi, namun perlu peningkatan menganalisis konfigurasi elektron dan pola konfigurasi elektron terluar untuk setiap golongan dalam tabel periodik</t>
  </si>
  <si>
    <t>Memiliki kemampuan menganalisis struktur, replikasi dan peran virus dalam kehidupan, namun perlu peningkatan menganalisis berbagai tingkat keanekaragaman hayati di Indonesia beserta ancaman dan pelestariannya</t>
  </si>
  <si>
    <t>Memiliki kemampuan membedakan fungsi sosial, struktur teks, dan unsur kebahasaan beberapa teks khusus dalam bentuk formulir isian yang digunakan di perusahaan/ bank/instansi lain, dengan memberi dan meminta informasi terkait jati diri dan informasi yang relevan, sesuai dengan konteks penggunaannya, namun perlu peningkatan menerapkan fungsi sosial, struktur teks, dan unsur kebahasaan teks interaksi transaksional lisan dan tulis yang melibatkan tindakan memberi dan meminta informasi terkait hubungan setara antara dua benda/tindakan, sesuai dengan konteks penggunaannya. (Perhatikan unsur kebahasaan both ... and; not only ... but also; either ... or; neither ... nor)</t>
  </si>
  <si>
    <t>Memiliki kemampuan menganalisis dan mengidentifikasi pembagian kata, namun perlu peningkatan menganalisis dan mengidentifikasi pembagian kalimat</t>
  </si>
  <si>
    <t>Memiliki kemampuan menjelaskan operasi komposisi pada fungsi dan operasi invers pada fungsi invers serta sifat-sifatnya serta menentukan eksistensinya, namun perlu peningkatan menjelaskan dan menentukan fungsi (terutama fungsi linear, fungsi kuadrat, dan fungsi rasional) secara formal yang meliputi notasi, daerah asal, daerah hasil, dan ekspresi simbolik, serta sketsa grafiknya</t>
  </si>
  <si>
    <t>Memiliki kemampuan menganalisis struktur, replikasi dan peran virus dalam kehidupan, namun perlu peningkatan menjelaskan ruang lingkup biologi melalui penerapan metode ilmiah dan prinsip keselamatan kerja</t>
  </si>
  <si>
    <t>Memiliki kemampuan membedakan fungsi sosial, struktur teks, dan unsur kebahasaan beberapa teks khusus dalam bentuk formulir isian yang digunakan di perusahaan/ bank/instansi lain, dengan memberi dan meminta informasi terkait jati diri dan informasi yang relevan, sesuai dengan konteks penggunaannya, namun perlu peningkatan menerapkan fungsi sosial, struktur teks, dan unsur kebahasaan teks interaksi transaksional lisan dan tulis yang melibatkan tindakan memberi dan meminta informasi terkait keharusan melakukan suatu tindakan/kegiatan pada waktu yang akan datang, saat ini, atau waktu lampau, sesuai dengan konteks penggunaannya. (Perhatikan unsur kebahasaan should+(simple), should+(continuous), should+(perfect))</t>
  </si>
  <si>
    <t>Memiliki kemampuan menelaah teks pawarta., namun perlu peningkatan menelaah teks crita cekak</t>
  </si>
  <si>
    <t>Memiliki keterampilan menanggapi, menulis, dan menyajikan teks pawarta secara</t>
  </si>
  <si>
    <t>Memiliki kemampuan menganalisis keterampilan gerak salah satu permainan bola besar untuk menghasilkan koordinasi gerak yang baik, namun perlu peningkatan menganalisis keterampilan jalan cepat, lari, lompat dan lempar untuk meng-hasilkan gerak yang efektif</t>
  </si>
  <si>
    <t>Memiliki kemampuan menganalisis dan mengidentifikasi pembagian kalimat, namun perlu peningkatan menganalisis dan mengidentifikasi pembagian kata</t>
  </si>
  <si>
    <t xml:space="preserve">Memiliki keterampilan membuat contoh kalimat sesuai dengan jumlah fi'liyah atau ismiyyah </t>
  </si>
  <si>
    <t xml:space="preserve">Memiliki kemampuan menganalisis kedudukan al-Qur’an, Hadis, dan  ijtihad sebagai sumber hukum Islam, namun perlu peningkatan menganalisis substansi, strategi, dan penyebab keberhasilan dakwah Nabi Muhammad Saw. di Makkah </t>
  </si>
  <si>
    <t>Memiliki kemampuan membandingkan ikatan ion, kovalen, kovalen koordinasi, namun perlu peningkatan menjelaskan metode ilmiah, hakikat ilmu kimia,K3 di laboratorium serta peran kimia dalam kehidupan</t>
  </si>
  <si>
    <t>Memiliki kemampuan menjelaskan prinsip-prinsip klasifikasi makhluk hidup dalam lima kingdom, namun perlu peningkatan menganalisis berbagai tingkat keanekaragaman hayati di Indonesia beserta ancaman dan pelestariannya</t>
  </si>
  <si>
    <t>Memiliki kemampuan menerapkan fungsi sosial, struktur teks, dan unsur kebahasaan teks interaksi transaksional lisan dan tulis yang melibatkan tindakan memberi dan meminta informasi terkait tindakan/kegiatan/kejadian yang akan, sedang, dan telah dilakukan/terjadi di waktu yang akan datang, sesuai dengan konteks penggunaannya (Perhatikan unsur kebahasaan will+(simple), will+(continuous), will+(perfect)), namun perlu peningkatan menerapkan fungsi sosial, struktur teks, dan unsur kebahasaan teks interaksi transaksional lisan dan tulis yang melibatkan tindakan memberi dan meminta informasi terkait hubungan setara antara dua benda/tindakan, sesuai dengan konteks penggunaannya. (Perhatikan unsur kebahasaan both ... and; not only ... but also; either ... or; neither ... nor)</t>
  </si>
  <si>
    <t>Memiliki keterampilan menyusun teks interaksi transaksional lisan dan tulis yang melibatkan tindakan memberi dan meminta informasi terkait tindakan/kegiatan/kejadian yang akan, sedang, dan telah dilakukan/terjadi di waktu yang akan datang, dengan memperhatikan fungsi sosial, struktur teks, dan unsur kebahasaan yang benar dan sesuai konteks</t>
  </si>
  <si>
    <t>Memiliki kemampuan menjelaskan dan menentukan penyelesaian sistem pertidaksamaan dua variabel (linear-linear), namun perlu peningkatan membandingkan persamaan dan pertidaksamaan nilai mutlak dari bentuk linear satu variabel dengan persamaan dan pertidaksamaan linear Aljabar lainnya.</t>
  </si>
  <si>
    <t>Memiliki kemampuan menjelaskan dan menentukan fungsi (terutama fungsi linear, fungsi kuadrat, dan fungsi rasional) secara formal yang meliputi notasi, daerah asal, daerah hasil, dan ekspresi simbolik, serta sketsa grafiknya, namun perlu peningkatan menjelaskan operasi komposisi pada fungsi dan operasi invers pada fungsi invers serta sifat-sifatnya serta menentukan eksistensinya</t>
  </si>
  <si>
    <t>Memiliki kemampuan menjelaskan ruang lingkup biologi melalui penerapan metode ilmiah dan prinsip keselamatan kerja, namun perlu peningkatan menjelaskan prinsip-prinsip klasifikasi makhluk hidup dalam lima kingdom</t>
  </si>
  <si>
    <t>D</t>
  </si>
  <si>
    <t>Memiliki keterampilan membuat contoh kalimat dari isim mudazakkar dan muannats</t>
  </si>
  <si>
    <t xml:space="preserve">Memiliki kemampuan menganalisis manfaat kejujuran dalam kehidupan sehari-hari, namun perlu peningkatan menganalisis ketentuan berpakaian sesuai syariat Islam </t>
  </si>
  <si>
    <t>Memiliki kemampuan memahami hakikat fisika, namun perlu peningkatan menganalisis gerak lurus</t>
  </si>
  <si>
    <t>Memiliki kemampuan membedakan fungsi sosial, struktur teks, dan unsur kebahasaan beberapa teks khusus dalam bentuk formulir isian yang digunakan di perusahaan/ bank/instansi lain, dengan memberi dan meminta informasi terkait jati diri dan informasi yang relevan, sesuai dengan konteks penggunaannya, namun perlu peningkatan menerapkan fungsi sosial, struktur teks, dan unsur kebahasaan teks interaksi transaksional lisan dan tulis yang melibatkan tindakan memberi dan meminta informasi terkait tindakan/kegiatan/kejadian yang akan, sedang, dan telah dilakukan/terjadi di waktu yang akan datang, sesuai dengan konteks penggunaannya (Perhatikan unsur kebahasaan will+(simple), will+(continuous), will+(perfect))</t>
  </si>
  <si>
    <t>Memiliki kemampuan menganalisis keterampilan jalan cepat, lari, lompat dan lempar untuk meng-hasilkan gerak yang efektif, namun perlu peningkatan menganalisis keterampilan gerak salah satu per-mainan bola kecil untuk menghasilkan koordinasi gerak yang baik</t>
  </si>
  <si>
    <t>Memiliki keterampilan mempraktikkan hasil analisis keterampilan gerak permainan bola kecil untuk menghasilkan koordinasi gerak yang baik</t>
  </si>
  <si>
    <t>Memiliki kemampuan memahami hakikat fisika, namun perlu peningkatan memahami gerak parabola</t>
  </si>
  <si>
    <t>Memiliki kemampuan menganalisis struktur, replikasi dan peran virus dalam kehidupan, namun perlu peningkatan menjelaskan prinsip-prinsip klasifikasi makhluk hidup dalam lima kingdom</t>
  </si>
  <si>
    <t>Memiliki keterampilan menangkap makna secara kontekstual terkait fungsi sosial, struktur teks, dan unsur kebahasaan teks recount lisan dan tulis, dalam bentuk biografi terkait tokoh terkenal</t>
  </si>
  <si>
    <t>Memiliki kemampuan membedakan fungsi sosial, struktur teks, dan unsur kebahasaan beberapa teks recount lisan dan tulis dalam bentuk biografi dengan memberi dan meminta informasi terkait tokoh terkenal, sesuai dengan konteks penggunaannya, namun perlu peningkatan menerapkan fungsi sosial, struktur teks, dan unsur kebahasaan teks interaksi transaksional lisan dan tulis yang melibatkan tindakan memberi dan meminta informasi terkait keharusan melakukan suatu tindakan/kegiatan pada waktu yang akan datang, saat ini, atau waktu lampau, sesuai dengan konteks penggunaannya. (Perhatikan unsur kebahasaan should+(simple), should+(continuous), should+(perfect))</t>
  </si>
  <si>
    <t>Memiliki kemampuan menganalisis dan mengidentifikasi pembagian kalimat, namun perlu peningkatan menganalisis dan mengidentifikasi pembagian isim dari jenisnya</t>
  </si>
  <si>
    <t>Memiliki keterampilan mendeskripsikan macam-macam sumber hukum Islam</t>
  </si>
  <si>
    <t>Memiliki kemampuan mendeskripsikan dan menganalisis berbagai konsep dan prinsip fungsi eksponensial dan logaritma serta menggunakannya dalam menyelesaikan masalah, namun perlu peningkatan menjelaskan operasi komposisi pada fungsi dan operasi invers pada fungsi invers serta sifat-sifatnya serta menentukan eksistensinya</t>
  </si>
  <si>
    <t>Memiliki kemampuan menganalisis dan mengidentifikasi pembagian isim dari jenisnya, namun perlu peningkatan menganalisis dan mengidentifikasi pembagian kata</t>
  </si>
  <si>
    <t>Memiliki kemampuan memahami konsep berpikir kronologis, diakronik, sinkronik, ruang, dan waktu dalam sejarah, namun perlu peningkatan menganalisis kehidupan manusia purba dan asal-usul nenek moyang bangsa Indonesia (melanesoid, proto, dan deutero melayu)</t>
  </si>
  <si>
    <t>Memiliki kemampuan menganalisis keterampilan gerak salah satu per-mainan bola kecil untuk menghasilkan koordinasi gerak yang baik, namun perlu peningkatan menganalisis keterampilan jalan cepat, lari, lompat dan lempar untuk meng-hasilkan gerak yang efektif</t>
  </si>
  <si>
    <t>Memiliki kemampuan menjelaskan ruang lingkup biologi melalui penerapan metode ilmiah dan prinsip keselamatan kerja, namun perlu peningkatan menganalisis berbagai tingkat keanekaragaman hayati di Indonesia beserta ancaman dan pelestariannya</t>
  </si>
  <si>
    <t>Memiliki kemampuan memahami konsep perubahan dan keberlanjutan dalam sejarah, namun perlu peningkatan memahami konsep berpikir kronologis, diakronik, sinkronik, ruang, dan waktu dalam sejarah</t>
  </si>
  <si>
    <t xml:space="preserve">Memiliki kemampuan menganalisis makna al-Asma’u alHusna: al-Karim, al-Mu’min, al-Wakil, al-Matin, al-Jami’, al-‘Adl, dan al-Akhir ., namun perlu peningkatan menganalisis ketentuan berpakaian sesuai syariat Islam </t>
  </si>
  <si>
    <t>Memiliki kemampuan memahami konsep perubahan dan keberlanjutan dalam sejarah, namun perlu peningkatan menganalisis kehidupan manusia purba dan asal-usul nenek moyang bangsa Indonesia (melanesoid, proto, dan deutero melayu)</t>
  </si>
  <si>
    <t>Memiliki kemampuan menganalisis dan mengidentifikasi pembagian kata, namun perlu peningkatan menganalisis dan mengidentifikasi pembagian isim dari jenisnya</t>
  </si>
  <si>
    <t>Memiliki kemampuan menganalisis ketentuan berpakaian sesuai syariat Islam , namun perlu peningkatan menganalisis manfaat kejujuran dalam kehidupan sehari-hari</t>
  </si>
  <si>
    <t>Memiliki kemampuan menganalisis berbagai tingkat keanekaragaman hayati di Indonesia beserta ancaman dan pelestariannya, namun perlu peningkatan menjelaskan ruang lingkup biologi melalui penerapan metode ilmiah dan prinsip keselamatan kerja</t>
  </si>
  <si>
    <t>Memiliki kemampuan menganalisis ketentuan berpakaian sesuai syariat Islam , namun perlu peningkatan menganalisis kedudukan al-Qur’an, Hadis, dan  ijtihad sebagai sumber hukum Islam</t>
  </si>
  <si>
    <t>Memiliki kemampuan memahami konsep berpikir kronologis, diakronik, sinkronik, ruang, dan waktu dalam sejarah, namun perlu peningkatan memahami konsep perubahan dan keberlanjutan dalam sejarah</t>
  </si>
  <si>
    <t>Muhammad Rifki</t>
  </si>
  <si>
    <t xml:space="preserve">Memiliki kemampuan menganalisis makna al-Asma’u alHusna: al-Karim, al-Mu’min, al-Wakil, al-Matin, al-Jami’, al-‘Adl, dan al-Akhir ., namun perlu peningkatan menganalisis substansi, strategi, dan penyebab keberhasilan dakwah Nabi Muhammad Saw. di Makkah </t>
  </si>
  <si>
    <t>Memiliki kemampuan menyusun sistem persamaan linear tiga variabel dari masalah kontekstual., namun perlu peningkatan membandingkan persamaan dan pertidaksamaan nilai mutlak dari bentuk linear satu variabel dengan persamaan dan pertidaksamaan linear Aljabar lainnya.</t>
  </si>
  <si>
    <t>Memiliki kemampuan membedakan fungsi sosial, struktur teks, dan unsur kebahasaan beberapa teks recount lisan dan tulis dalam bentuk biografi dengan memberi dan meminta informasi terkait tokoh terkenal, sesuai dengan konteks penggunaannya, namun perlu peningkatan menerapkan fungsi sosial, struktur teks, dan unsur kebahasaan teks interaksi transaksional lisan dan tulis yang melibatkan tindakan memberi dan meminta informasi terkait hubungan setara antara dua benda/tindakan, sesuai dengan konteks penggunaannya. (Perhatikan unsur kebahasaan both ... and; not only ... but also; either ... or; neither ... nor)</t>
  </si>
  <si>
    <t>Memiliki kemampuan menganalisis manfaat kejujuran dalam kehidupan sehari-hari, namun perlu peningkatan menganalisis kedudukan al-Qur’an, Hadis, dan  ijtihad sebagai sumber hukum Islam</t>
  </si>
  <si>
    <t>Memiliki kemampuan menganalisis perkembangan model atom dari model atom Dalton, Thomson, Rutherford, Bohr dan Mekanika Gelombang, namun perlu peningkatan menjelaskan metode ilmiah, hakikat ilmu kimia,K3 di laboratorium serta peran kimia dalam kehidupan</t>
  </si>
  <si>
    <t>Memiliki kemampuan menganalisis manfaat kejujuran dalam kehidupan sehari-hari, namun perlu peningkatan menganalisis makna al-Asma’u alHusna: al-Karim, al-Mu’min, al-Wakil, al-Matin, al-Jami’, al-‘Adl, dan al-Akhir .</t>
  </si>
  <si>
    <t/>
  </si>
  <si>
    <t>DAFTAR CATATAN KOMPETENSI SIKAP</t>
  </si>
  <si>
    <t>Klas / Program</t>
  </si>
  <si>
    <t>Waktu</t>
  </si>
  <si>
    <t>Nama</t>
  </si>
  <si>
    <t>Kejadian/Perilaku</t>
  </si>
  <si>
    <t>Butir Sikap</t>
  </si>
  <si>
    <t>(+/-)</t>
  </si>
  <si>
    <t>Tindak Lanjut</t>
  </si>
  <si>
    <t>22 Januari 2016</t>
  </si>
  <si>
    <t>Miko</t>
  </si>
  <si>
    <t>Membantu membersihkan kantor</t>
  </si>
  <si>
    <t>Percaya diri</t>
  </si>
  <si>
    <t>+</t>
  </si>
  <si>
    <t>Diapresiasi</t>
  </si>
  <si>
    <t>Mengetahui :</t>
  </si>
  <si>
    <t>Kepala Sekolah</t>
  </si>
  <si>
    <t>Guru Mapel</t>
  </si>
  <si>
    <t xml:space="preserve">No </t>
  </si>
  <si>
    <t>NIS</t>
  </si>
  <si>
    <t>Taat menjalankan ibadah sholat tepat waktu dan aktif mengikuti kegiatan keagamaan di sekolah.</t>
  </si>
  <si>
    <t>Memiliki sopan santun yang sangat baik dan selalu bersikap jujur dalam mengerjakan tugas</t>
  </si>
  <si>
    <t>Peserta didik sudah menunjukkan sikap mengamalkan ajaran agamanya, konsisten menerapkan sikap santun, jujur, dan mandiri. Tingkatkan rasa ingin tahu dan sikap baik di dalam maupun di luar pembelajaran.</t>
  </si>
  <si>
    <t>Ekstra Kurikuler</t>
  </si>
  <si>
    <t>Ekstra Wajib</t>
  </si>
  <si>
    <t>Ekstra Pilihan</t>
  </si>
  <si>
    <t>Pramuka</t>
  </si>
  <si>
    <t>Baik</t>
  </si>
  <si>
    <t>Peserta didik mampu menjelaskan hal-hal terkait survival dan implementasi Dasa Dharma di alam terbuka.</t>
  </si>
  <si>
    <t>PMR</t>
  </si>
  <si>
    <t>Peserta didik memiliki kemampuan yang baik dalam materi pertolongan pertama, siaga dan tanggap bencana,  dan kepekaan terhadap lingkungan sekitar yang tinggi</t>
  </si>
  <si>
    <t>Sangat Baik</t>
  </si>
  <si>
    <t>-</t>
  </si>
  <si>
    <t>Keterangan Prestasi</t>
  </si>
  <si>
    <t>Prestasi 1</t>
  </si>
  <si>
    <t>Prestasi 2</t>
  </si>
  <si>
    <t>Prestasi 3</t>
  </si>
  <si>
    <t>Prestasi 4</t>
  </si>
  <si>
    <t>X MIPA ABU DZAR</t>
  </si>
  <si>
    <t>X MIPA M ALFATIH</t>
  </si>
  <si>
    <t>SALMAN AL FARISI</t>
  </si>
  <si>
    <t>X MIPA SHOLAHUDIN</t>
  </si>
  <si>
    <t>X MIPA THORIQ</t>
  </si>
  <si>
    <t>X MIPA U HABIBAH</t>
  </si>
  <si>
    <t>X MIPA U IMAROH</t>
  </si>
  <si>
    <t>X MIPA U KULTSUM</t>
  </si>
  <si>
    <t>X MIPA U MUTHI'AH</t>
  </si>
  <si>
    <t>X MIPA U SALAMAH</t>
  </si>
  <si>
    <t>X MIPA U SAUDAH</t>
  </si>
  <si>
    <t>X MIPA U SULAIM</t>
  </si>
  <si>
    <t>XI MIPA AQSA</t>
  </si>
  <si>
    <t>XI MIPA AZHAR</t>
  </si>
  <si>
    <t>XI MIPA KUFAH</t>
  </si>
  <si>
    <t>XI MIPA NABAWI</t>
  </si>
  <si>
    <t>XI MIPA BADSHAHI</t>
  </si>
  <si>
    <t>XI MIPA HAGIA S</t>
  </si>
  <si>
    <t>X MIPA ISTIQLAL</t>
  </si>
  <si>
    <t>XI MIPA NAMIRA</t>
  </si>
  <si>
    <t>XI MIPA QUBA</t>
  </si>
  <si>
    <t>XII MIPA ADIB</t>
  </si>
  <si>
    <t>XII MIPA 'ALIM</t>
  </si>
  <si>
    <t>XII MIPA AZAM</t>
  </si>
  <si>
    <t>XII MIPA HASIFAH</t>
  </si>
  <si>
    <t>XII MIPA KAMILAH</t>
  </si>
  <si>
    <t>XII MIPA MAHIROH</t>
  </si>
  <si>
    <t>XII MIPA NASYITOH</t>
  </si>
  <si>
    <t>Abdil Syafiq Lorentz Wibisono</t>
  </si>
  <si>
    <t>Afif Naufal Fathin</t>
  </si>
  <si>
    <t>Abib Hilal Agra Pramudana</t>
  </si>
  <si>
    <t>Abid Adib Ahsani</t>
  </si>
  <si>
    <t>Abiyan Euro Rosyid</t>
  </si>
  <si>
    <t>Adila Ufaira Nada Zahirah</t>
  </si>
  <si>
    <t>Alfirda Moqta Darmawan</t>
  </si>
  <si>
    <t>Afra' Al Mumtaz</t>
  </si>
  <si>
    <t>Aisyah Kusuma Wardani</t>
  </si>
  <si>
    <t>Ade Intan Rahmawati</t>
  </si>
  <si>
    <t>Almira Calista</t>
  </si>
  <si>
    <t>Aisyah Humaira</t>
  </si>
  <si>
    <t>Abdurrahman Al Aufa</t>
  </si>
  <si>
    <t>Adhitya Ayesayoga Wibowo</t>
  </si>
  <si>
    <t>Arvel Ghani Abhinaya</t>
  </si>
  <si>
    <t>Anjar Wijayanto</t>
  </si>
  <si>
    <t>Adelia Yoana Iswayani</t>
  </si>
  <si>
    <t>Adelia Nurfani</t>
  </si>
  <si>
    <t>Adinda Chintya Dewi</t>
  </si>
  <si>
    <t>Adilla Salsabella Putri Rosiana</t>
  </si>
  <si>
    <t>Afiqah Alya Nur Sabrina</t>
  </si>
  <si>
    <t>Addin Zidni Nafi'a Susilo</t>
  </si>
  <si>
    <t>Abiyyu Rio Razan</t>
  </si>
  <si>
    <t>Afif Abda Syakur</t>
  </si>
  <si>
    <t>Afina Salma 'Abida</t>
  </si>
  <si>
    <t>Ahsana Nadia Zahra</t>
  </si>
  <si>
    <t>Alya Ramadhani</t>
  </si>
  <si>
    <t>Abiyya Fathanita</t>
  </si>
  <si>
    <t xml:space="preserve">Ahmad Qurquzani </t>
  </si>
  <si>
    <t>Al Hafidz Oktavi Ramadhan</t>
  </si>
  <si>
    <t>Akhmad Bahtiar Jayawardana</t>
  </si>
  <si>
    <t>Achmad Fadlil Pamungkas</t>
  </si>
  <si>
    <t>Ammar Ghiffar Al-Aqib</t>
  </si>
  <si>
    <t>Aisyah Nur Hidayah</t>
  </si>
  <si>
    <t>Dyna Nurhauna Nisa</t>
  </si>
  <si>
    <t>Agil Setia Putri</t>
  </si>
  <si>
    <t>Aisyah Ratri Wulandari</t>
  </si>
  <si>
    <t>Adinda Viona Febriani</t>
  </si>
  <si>
    <t>Aulia Zahra Amalia</t>
  </si>
  <si>
    <t>Alif Sabrina Alfatih</t>
  </si>
  <si>
    <t>Arif Rifqi Ardiyanto</t>
  </si>
  <si>
    <t>Ahmad Yusuf Hermanto</t>
  </si>
  <si>
    <t>Bagus Prayoga</t>
  </si>
  <si>
    <t>Ardian Luqman Adichandra</t>
  </si>
  <si>
    <t>Aisyah Humairo</t>
  </si>
  <si>
    <t>Ajeng Sayidah Wardani</t>
  </si>
  <si>
    <t>Adinda Zahrin Nisrina Naura</t>
  </si>
  <si>
    <t>Agustin Putri Perdana</t>
  </si>
  <si>
    <t>Alvina Berta Raisah</t>
  </si>
  <si>
    <t>Ali Muhajir Ansori Idhar</t>
  </si>
  <si>
    <t>Achmad Adib Naufal</t>
  </si>
  <si>
    <t>Agta Husni Fadhly</t>
  </si>
  <si>
    <t>Aisyah Nur Salsabila Az - Zahra</t>
  </si>
  <si>
    <t>Aisyah Sajida</t>
  </si>
  <si>
    <t>Anggun Retno Utami</t>
  </si>
  <si>
    <t>Adinda Destyana Kusumawardhani</t>
  </si>
  <si>
    <t>Alby Raditya Putra</t>
  </si>
  <si>
    <t>Anif Punto Adhi</t>
  </si>
  <si>
    <t>Ahmad Hafidz Yuniansa</t>
  </si>
  <si>
    <t>Arya Bintang Cahyono</t>
  </si>
  <si>
    <t>Bugar Ridho Pangestu</t>
  </si>
  <si>
    <t>Amalia Nur Azizah</t>
  </si>
  <si>
    <t>Fatimah Nur Alfiani</t>
  </si>
  <si>
    <t>Anggraini Shinta Wardani</t>
  </si>
  <si>
    <t>Anugrah Indirasiwi</t>
  </si>
  <si>
    <t>Aine Lilla Nurahmania</t>
  </si>
  <si>
    <t>Balqis Amalia Putri</t>
  </si>
  <si>
    <t>Alisha Setyawan</t>
  </si>
  <si>
    <t>Brilian Fatahillah</t>
  </si>
  <si>
    <t>Ahsan Rasendriya</t>
  </si>
  <si>
    <t>Bunayya Ridwan Nasution</t>
  </si>
  <si>
    <t>Arkan Dwi Cahyo Fauzananto</t>
  </si>
  <si>
    <t>Annisa Lathifah Muthmainah</t>
  </si>
  <si>
    <t>Ananda Sukma Tri Rahma Siwi</t>
  </si>
  <si>
    <t>Airin Vaniadestia</t>
  </si>
  <si>
    <t>Aleyda Salsa Sabillawati</t>
  </si>
  <si>
    <t>Annisa Azhar</t>
  </si>
  <si>
    <t>Amrico Afgan Fajri Rumagit</t>
  </si>
  <si>
    <t>Adam Ramadhan Firdaus</t>
  </si>
  <si>
    <t>Ahmad Fathan Hanif</t>
  </si>
  <si>
    <t>Alifa Choirun Nisa</t>
  </si>
  <si>
    <t>Annisa Hasna Ayu Luffita</t>
  </si>
  <si>
    <t>Austazdhah Aulia Oktafia</t>
  </si>
  <si>
    <t>Aisa Anggun Shafira</t>
  </si>
  <si>
    <t>Anugrah Akbar Rosyid Prabowo</t>
  </si>
  <si>
    <t>Aufa Lazuardi Sulaiman</t>
  </si>
  <si>
    <t>Aldiansyah Rahma Mahendra Putra</t>
  </si>
  <si>
    <t>Davin Habibie Rahman</t>
  </si>
  <si>
    <t>Detak Dailsi Ahmad Azzam</t>
  </si>
  <si>
    <t>Andina Hurinnisa</t>
  </si>
  <si>
    <t>Hasna Ruwaida Annisa</t>
  </si>
  <si>
    <t>Annisa Salsabila Nurussalma</t>
  </si>
  <si>
    <t>Asy Syifa Nada Afifah</t>
  </si>
  <si>
    <t>Ananda Intan Hisana</t>
  </si>
  <si>
    <t>Ezra Aulia Najwa Dewi</t>
  </si>
  <si>
    <t>Amanda Julian Pratiwi</t>
  </si>
  <si>
    <t>Damar Jati Pamungkas</t>
  </si>
  <si>
    <t>Ahsani Taufiq Khawarizmi</t>
  </si>
  <si>
    <t>Daisuke Bijak Kawashima</t>
  </si>
  <si>
    <t>Aufa Faza Fauzan Farma</t>
  </si>
  <si>
    <t>Arum Fathiha Setyani</t>
  </si>
  <si>
    <t>Annisa Mumtaz Karima</t>
  </si>
  <si>
    <t>Ajeng Safrina Danuwati</t>
  </si>
  <si>
    <t>Alivia Kusuma Reza</t>
  </si>
  <si>
    <t>Annisa Hanif</t>
  </si>
  <si>
    <t>Candra Luqman Kurniawan</t>
  </si>
  <si>
    <t>Akhyar Hidayat Wijayanto</t>
  </si>
  <si>
    <t>Ahmad Ghozi</t>
  </si>
  <si>
    <t>Amalia Dwi Oktaviani</t>
  </si>
  <si>
    <t>Ardisya Ifala Al Shofaida</t>
  </si>
  <si>
    <t>Berliana Puteri Husnul Khotimah</t>
  </si>
  <si>
    <t>Alifia Tita Maharani</t>
  </si>
  <si>
    <t>Farras I'zaaz Fadhlurrohman</t>
  </si>
  <si>
    <t>Fadli Akbar Hardhito</t>
  </si>
  <si>
    <t>Alfian Hakim Restu Putra</t>
  </si>
  <si>
    <t>Dhimas Indra Pratama</t>
  </si>
  <si>
    <t>Dzaky Atha Legawa</t>
  </si>
  <si>
    <t>Annisa Fatika Ayu Larasati</t>
  </si>
  <si>
    <t>Indah Putriyani Harahap</t>
  </si>
  <si>
    <t>Aswa Arsa Kumala</t>
  </si>
  <si>
    <t>Aulia Firstiniesya</t>
  </si>
  <si>
    <t>Angelia Kurnia Saputri</t>
  </si>
  <si>
    <t>Fatihah Nasywa Hamidah</t>
  </si>
  <si>
    <t>Amelia Risqi Yanuarisa</t>
  </si>
  <si>
    <t>Dzaky Pandya Wikrama Utomo</t>
  </si>
  <si>
    <t>Alden Ganendra Madhava Priya Hardianto</t>
  </si>
  <si>
    <t>Faishal Luthfiansyah</t>
  </si>
  <si>
    <t>Bagas Prianggono</t>
  </si>
  <si>
    <t>Assafinah Zahro</t>
  </si>
  <si>
    <t>Arisya Dwiana Nevaditta</t>
  </si>
  <si>
    <t>Alfiyah Intan Nurani Nur Budi Asalam</t>
  </si>
  <si>
    <t>Aliya Diani Nur Fauziah</t>
  </si>
  <si>
    <t>Az Zahra Rajwa Taufiqah</t>
  </si>
  <si>
    <t>Fadhil Muhammad Rayhan Faza</t>
  </si>
  <si>
    <t>Andre Dwi Putra</t>
  </si>
  <si>
    <t>Ahmad Rafi Adnanta</t>
  </si>
  <si>
    <t>Amelia Gizzela Sheehan Auni</t>
  </si>
  <si>
    <t>Asna Syahrani</t>
  </si>
  <si>
    <t>Cindiyola Hana Pungky</t>
  </si>
  <si>
    <t>Annisa Raudhatul Jannah</t>
  </si>
  <si>
    <t>Faruq Dzulfikr</t>
  </si>
  <si>
    <t>Faiq Nurrohim</t>
  </si>
  <si>
    <t>Asher Fawwas Adzka</t>
  </si>
  <si>
    <t>Elrey Naufal Hidayat</t>
  </si>
  <si>
    <t>Faiq Aryandi Sofyan</t>
  </si>
  <si>
    <t>Arifia Fitrianni Ma'ruf</t>
  </si>
  <si>
    <t>Intan Nur Fadhilah</t>
  </si>
  <si>
    <t>Aulia Fitri Ramadhani</t>
  </si>
  <si>
    <t>Clara Adhani Aulia Febrina</t>
  </si>
  <si>
    <t>Anindya Maghfira Zain</t>
  </si>
  <si>
    <t>Fazila Nisa Arianto</t>
  </si>
  <si>
    <t>Amira Izza Farnanda</t>
  </si>
  <si>
    <t>Farid Rafif Fakhruddin</t>
  </si>
  <si>
    <t>Alifuddin Aqilla Rahman</t>
  </si>
  <si>
    <t>Ferdinand Bima Anggara</t>
  </si>
  <si>
    <t>Bima Aji Harjono</t>
  </si>
  <si>
    <t>Ayu Sekar Trinastiti</t>
  </si>
  <si>
    <t>Baladiva Keysha Maheswari</t>
  </si>
  <si>
    <t>Alifah Inas Nurazizah</t>
  </si>
  <si>
    <t>Aninda Wardani Putri</t>
  </si>
  <si>
    <t>Belva Khanza Iftinan</t>
  </si>
  <si>
    <t>Fadhlan Dinan Oktavian</t>
  </si>
  <si>
    <t>Arsalan Amri Rakhshan Jaan Van Der Pol</t>
  </si>
  <si>
    <t>Ahmad Taufiqur Rahman</t>
  </si>
  <si>
    <t>Anindya Dian Azhaari</t>
  </si>
  <si>
    <t>Atika Maulida Azzahra</t>
  </si>
  <si>
    <t>Cindy Puspitasari</t>
  </si>
  <si>
    <t>Aulia Hana Zahiyya</t>
  </si>
  <si>
    <t>Habib Nurrochman</t>
  </si>
  <si>
    <t>Ilham Adhiyatma Yuwono</t>
  </si>
  <si>
    <t>Bintang Ardi Nur Nugraha</t>
  </si>
  <si>
    <t>Faiqqiya Rafif Amanullah</t>
  </si>
  <si>
    <t>Fajar Nurrohman</t>
  </si>
  <si>
    <t>Aziza Laila Fitrianti</t>
  </si>
  <si>
    <t>Masyithoh Nirmala Sari</t>
  </si>
  <si>
    <t>Auna Najwa Salsabilla</t>
  </si>
  <si>
    <t>Dina Mulinda</t>
  </si>
  <si>
    <t>Annisa Ardhiana EP</t>
  </si>
  <si>
    <t>Fikriagsys Hindun Hamidah</t>
  </si>
  <si>
    <t>Anandyna Fathiya Azzahra</t>
  </si>
  <si>
    <t>Fariz Muhammad Abiyyu</t>
  </si>
  <si>
    <t>Alvian Arya Prayuda</t>
  </si>
  <si>
    <t>Khoiril Danastio Wijayanto</t>
  </si>
  <si>
    <t>Cahya Susilo</t>
  </si>
  <si>
    <t>Elfa Shabrina Hudallaila</t>
  </si>
  <si>
    <t>Bilqis Najwa Dzakia</t>
  </si>
  <si>
    <t>Aqila Naila Nur</t>
  </si>
  <si>
    <t>Aulia Nurrohmah</t>
  </si>
  <si>
    <t>Dela Amanda</t>
  </si>
  <si>
    <t>Fajar Ramadhan Patty</t>
  </si>
  <si>
    <t>Damar Ariefin</t>
  </si>
  <si>
    <t>Alfian Asyam Nur Afnan</t>
  </si>
  <si>
    <t>Anis Riska Makrifatul Choiroh</t>
  </si>
  <si>
    <t>Atthiyah Gisca Ahsya</t>
  </si>
  <si>
    <t>Fadhila Zahra Arika</t>
  </si>
  <si>
    <t>Bella Naura Mutia Khansa</t>
  </si>
  <si>
    <t>Muhammad Rizqon Nafi</t>
  </si>
  <si>
    <t>Jahfal Tora</t>
  </si>
  <si>
    <t>Darell Afinaf Hibatullah</t>
  </si>
  <si>
    <t>Farhan Wildan Al Fadhil</t>
  </si>
  <si>
    <t>Fikry Abdul Rozak</t>
  </si>
  <si>
    <t>Azkia Shafa Ar Rahma</t>
  </si>
  <si>
    <t>Meitari Kendra Maharani</t>
  </si>
  <si>
    <t>Elmalia Putri Khusnul Khotimah</t>
  </si>
  <si>
    <t>Farah Aprilia Hidayanti</t>
  </si>
  <si>
    <t>Annisa Fitriany Lulu Ul Hasanah</t>
  </si>
  <si>
    <t>Hasna Fairuz Zakia</t>
  </si>
  <si>
    <t>Annisa Risqi Rahmawati</t>
  </si>
  <si>
    <t>Fathin Thariq Wiyono</t>
  </si>
  <si>
    <t>Arkan Aulia Hafiz</t>
  </si>
  <si>
    <t>Mahdi Syahputra Imam</t>
  </si>
  <si>
    <t>Faiz Adib Bafana</t>
  </si>
  <si>
    <t>Fathia Dini Syamila</t>
  </si>
  <si>
    <t>Clarissa Anggraini</t>
  </si>
  <si>
    <t>Athaayaa Fausta Dyrianjaso</t>
  </si>
  <si>
    <t>Avivaya Mustika</t>
  </si>
  <si>
    <t>Fariha Najda Fiaunillah</t>
  </si>
  <si>
    <t>Fatur Rahman Syaiful</t>
  </si>
  <si>
    <t>Didik Zakaria</t>
  </si>
  <si>
    <t>Daffa Aqila Fadhurrahman</t>
  </si>
  <si>
    <t>Annisa Fairuz Shafa Hendrawan</t>
  </si>
  <si>
    <t>Beta Istiqomiyati Kim</t>
  </si>
  <si>
    <t>Fadiyah Hasna</t>
  </si>
  <si>
    <t>Cindai Luih Jelawardi</t>
  </si>
  <si>
    <t>Muhammad Atid Dafa</t>
  </si>
  <si>
    <t>Muhammad Alim Firmansyah</t>
  </si>
  <si>
    <t>Devara Arwin Anindhito</t>
  </si>
  <si>
    <t>Hasbin Muafi</t>
  </si>
  <si>
    <t>Ibrahim Alif Zidan</t>
  </si>
  <si>
    <t>Chelsy Naristya Adiesti Utomo</t>
  </si>
  <si>
    <t>Nabila Fasya Kamila</t>
  </si>
  <si>
    <t>Fakhirah Febriana Putri</t>
  </si>
  <si>
    <t>Haidar Salsabila Zahrah</t>
  </si>
  <si>
    <t>Astri Mahsa Elvarita</t>
  </si>
  <si>
    <t>Muna Rozinata</t>
  </si>
  <si>
    <t>Astrida Zahwa Filmasally</t>
  </si>
  <si>
    <t>Fauzi Akhiru Ramadhan</t>
  </si>
  <si>
    <t>Daffa Fadlila Setya Meunasah</t>
  </si>
  <si>
    <t>Mohammad Binawa Anoraga</t>
  </si>
  <si>
    <t>Ilham Azhar Raihan Rahmanul Hakim</t>
  </si>
  <si>
    <t>Gendis Safira Ardana</t>
  </si>
  <si>
    <t>Diannisa Ghina Savitri</t>
  </si>
  <si>
    <t>Aurum Latifah Azzahra</t>
  </si>
  <si>
    <t>Citra Pramesti</t>
  </si>
  <si>
    <t>Giatri</t>
  </si>
  <si>
    <t>Hakim Nurmalik Zubaidi</t>
  </si>
  <si>
    <t>Faiq Naufal Ikbar</t>
  </si>
  <si>
    <t>Dafi' Andinil Haqqi</t>
  </si>
  <si>
    <t>Arifka Farah Husna</t>
  </si>
  <si>
    <t>Cut Meutia Chalifatunnisa</t>
  </si>
  <si>
    <t>Ida Putri Rahayu</t>
  </si>
  <si>
    <t>Dwi Nur Aisyah</t>
  </si>
  <si>
    <t>Muhammad Ilham</t>
  </si>
  <si>
    <t>Muhammad Athallah Fikri</t>
  </si>
  <si>
    <t>Dhiyaa' Ahnaf Hariyanta</t>
  </si>
  <si>
    <t>Mawla Afadha Yunas</t>
  </si>
  <si>
    <t>Jovani Ardian Maulana</t>
  </si>
  <si>
    <t>Dinna Andini Maulidia</t>
  </si>
  <si>
    <t>Nadya Qisti Fida Ghossani</t>
  </si>
  <si>
    <t>Fathi Farah Aulia Yasmin</t>
  </si>
  <si>
    <t>Khaisya Salsabila</t>
  </si>
  <si>
    <t>Aura Fadhila Kusumaningtyas</t>
  </si>
  <si>
    <t>Mustiska Nurhalizda Tania Laukin</t>
  </si>
  <si>
    <t>Azizah Neysa Ar Rizky</t>
  </si>
  <si>
    <t>Hafidz Syahid Ilmansyah</t>
  </si>
  <si>
    <t>Dery Hafiz Satria</t>
  </si>
  <si>
    <t>Muhammad Andhika Rayhan Hidayat</t>
  </si>
  <si>
    <t>M. Raafi Alvian Kusuma</t>
  </si>
  <si>
    <t>Hazima Salsabila Arifin</t>
  </si>
  <si>
    <t>Faiqotul Himmah</t>
  </si>
  <si>
    <t>Davinka Aliyya Suprihono</t>
  </si>
  <si>
    <t>Frisca Cindy Anggraini</t>
  </si>
  <si>
    <t>Hana Anwar Baraja</t>
  </si>
  <si>
    <t>Irfan Fauzi</t>
  </si>
  <si>
    <t>Hikmatiar Yusril Hanif</t>
  </si>
  <si>
    <t>Fachmi Putra Prasetyo</t>
  </si>
  <si>
    <t>Bela Puspita</t>
  </si>
  <si>
    <t>Desita Amalia Hayatun Najah</t>
  </si>
  <si>
    <t>Juwita Maghfiranti</t>
  </si>
  <si>
    <t>Farah Zhafirah</t>
  </si>
  <si>
    <t>Muhammad Jibran</t>
  </si>
  <si>
    <t>Muhammad Azmi Ghozi Ramadhan</t>
  </si>
  <si>
    <t>Faiz Aditya Anggit Pratama</t>
  </si>
  <si>
    <t>Muhammad Fajri</t>
  </si>
  <si>
    <t>Maharsi Galih Raditya Taqwa</t>
  </si>
  <si>
    <t>Farah Mutia Arrohma</t>
  </si>
  <si>
    <t>Nasva Fadila Eltari Putri</t>
  </si>
  <si>
    <t>Fatima Inggar Heno Putriana</t>
  </si>
  <si>
    <t>Khurin Zakiyyah</t>
  </si>
  <si>
    <t>Bella Syahquilla Az Zahra</t>
  </si>
  <si>
    <t>Nabila Ula Nugraeni</t>
  </si>
  <si>
    <t>Callula Putri Abiyu</t>
  </si>
  <si>
    <t>Irfan Zulkarnaen Anas</t>
  </si>
  <si>
    <t>Dimas Pramudiansyah Saputra</t>
  </si>
  <si>
    <t>Muhammad Aryaseto Hartanto</t>
  </si>
  <si>
    <t>Maulana Zidan Perwira Negara</t>
  </si>
  <si>
    <t>Ika Nursyahbani Kiranasari</t>
  </si>
  <si>
    <t>Fathimah Az Zahra</t>
  </si>
  <si>
    <t>Emilia Kurnia Dewi</t>
  </si>
  <si>
    <t>Hanifa Queen</t>
  </si>
  <si>
    <t>Hanani Adeliya Hasyim</t>
  </si>
  <si>
    <t>Leonardo Saputro Handoyo</t>
  </si>
  <si>
    <t>Imam Fathoni Nur Hakim</t>
  </si>
  <si>
    <t>Hakam Arkham Tegar Prakosa</t>
  </si>
  <si>
    <t>Evita Marcella Diastuti</t>
  </si>
  <si>
    <t>Fadhilah Nurluthfi Sari</t>
  </si>
  <si>
    <t>Karina Shafani Farrosa</t>
  </si>
  <si>
    <t>Farrah Diva Astuti</t>
  </si>
  <si>
    <t>Muhammad Naufaldo Aritedjo</t>
  </si>
  <si>
    <t>Muhammad Fildzah Faais</t>
  </si>
  <si>
    <t>Fakhrul Zidan Nurrohman</t>
  </si>
  <si>
    <t>Muhammad Rafi Athallah</t>
  </si>
  <si>
    <t>Mizaj Zanjabila Haq</t>
  </si>
  <si>
    <t>Farida Alya Malayu</t>
  </si>
  <si>
    <t>Naswa Ibtihal Nafi'ah</t>
  </si>
  <si>
    <t>Garnisa Febriastika Chaterin Nastiti</t>
  </si>
  <si>
    <t>Laksita Ayu Latifa</t>
  </si>
  <si>
    <t>Belva Alisha Hasna</t>
  </si>
  <si>
    <t>Nadia Amalia Salsabila</t>
  </si>
  <si>
    <t>Fasyalda Alfitria Maharani</t>
  </si>
  <si>
    <t>Irham Asfahani</t>
  </si>
  <si>
    <t>Garda Muhammad Faqih Abdillah Sutikno</t>
  </si>
  <si>
    <t>Muhammad Audaffa Fairuz Fuad</t>
  </si>
  <si>
    <t>Muhammad Alfaatih Salsabila</t>
  </si>
  <si>
    <t>Iliyaul Amali</t>
  </si>
  <si>
    <t>Irish Nur Fayza</t>
  </si>
  <si>
    <t>Fadhillah Firly Rachmawati</t>
  </si>
  <si>
    <t>Heigy Averosa Fitriani Bakri</t>
  </si>
  <si>
    <t>Inayah Latifatun Nisa</t>
  </si>
  <si>
    <t>M. Ikhlasul Amal</t>
  </si>
  <si>
    <t>Khaerazul Sevi Dian Nusa</t>
  </si>
  <si>
    <t>Hanandysa Rayhan Fadhlurrohman</t>
  </si>
  <si>
    <t>Fadhila Annisa Suci</t>
  </si>
  <si>
    <t>Fatih Erika Rahmah</t>
  </si>
  <si>
    <t>Larasati Amandha Praptiwi</t>
  </si>
  <si>
    <t>Muhammad Rafi Rohmatullah</t>
  </si>
  <si>
    <t>Muhammad Marsa Syauqi</t>
  </si>
  <si>
    <t>Hasyim Muhammad Nasir</t>
  </si>
  <si>
    <t>Muhammad Raihan Maulana</t>
  </si>
  <si>
    <t>Muhammad Luthfi Dharmawan</t>
  </si>
  <si>
    <t>Fidela Fairuz Zulfaa</t>
  </si>
  <si>
    <t>Nasywa Widika Salma Putri</t>
  </si>
  <si>
    <t>Hawazin Rachma Nur Annisa</t>
  </si>
  <si>
    <t>Marshalena Falihah</t>
  </si>
  <si>
    <t>Dhiyaa Almaasah Hibatullah</t>
  </si>
  <si>
    <t>Nafasha Wenanditya Putri</t>
  </si>
  <si>
    <t>Faza Adha Nafiah</t>
  </si>
  <si>
    <t>Muhammad Affin Ghifari</t>
  </si>
  <si>
    <t>Ghazy Fawwaz Sunindito</t>
  </si>
  <si>
    <t>Muhammad Fachrizal Nirwasita</t>
  </si>
  <si>
    <t>Muhammad Alif Kurnawan</t>
  </si>
  <si>
    <t>Irma Jauza Heriaskalma</t>
  </si>
  <si>
    <t>Isro Fajariya Hafizha</t>
  </si>
  <si>
    <t>Fatkhiya Rahmawati Fauziah Hidayat</t>
  </si>
  <si>
    <t>Inggrid Rimadona Jamaludin</t>
  </si>
  <si>
    <t>Inayah Ramadani Baharuddin</t>
  </si>
  <si>
    <t>Maulana Nur Ridwan Prakosa</t>
  </si>
  <si>
    <t>Lembah Samudra</t>
  </si>
  <si>
    <t>Handika Nur Rohman</t>
  </si>
  <si>
    <t>Hiyarunnisa Kahes Waypi</t>
  </si>
  <si>
    <t>Febri Fatika Sari</t>
  </si>
  <si>
    <t>Marsandha Azzahra Paramita</t>
  </si>
  <si>
    <t>Halisa Giri Artha</t>
  </si>
  <si>
    <t>Muhammad Zaid Abdul Karim</t>
  </si>
  <si>
    <t>Muhammad Nibraskanz R</t>
  </si>
  <si>
    <t>Jibril Anjad Taqjud</t>
  </si>
  <si>
    <t>Muhammad Satrio Gandhi</t>
  </si>
  <si>
    <t>Muhammad Rafif Budi  Haryanto</t>
  </si>
  <si>
    <t>Hasna 'Afifatun Shabirah</t>
  </si>
  <si>
    <t>Ni'mah Afifah Armalia</t>
  </si>
  <si>
    <t>Hida Pratiwi</t>
  </si>
  <si>
    <t>Mutiara Rani Pawestri</t>
  </si>
  <si>
    <t>Diandra Chaerunissa</t>
  </si>
  <si>
    <t>Najmi Hunafa</t>
  </si>
  <si>
    <t>Hafizha Nahda Taqiyya</t>
  </si>
  <si>
    <t>Muhammad Zaki Nur Rahman</t>
  </si>
  <si>
    <t>Ilham Shollahuddin</t>
  </si>
  <si>
    <t>Muhammad Hanip Nurrahman</t>
  </si>
  <si>
    <t>Muhammad Ar Rafi</t>
  </si>
  <si>
    <t>Jihan Muthi'ah Amatulloh</t>
  </si>
  <si>
    <t>Jauza Lathifah Annassalafi</t>
  </si>
  <si>
    <t>Firdaus Fillia Rossa</t>
  </si>
  <si>
    <t>Kharisma Dwi Anggraheni</t>
  </si>
  <si>
    <t>Iqlima Fitria Kayyis</t>
  </si>
  <si>
    <t>Muhammad Albar Sultoni</t>
  </si>
  <si>
    <t>Marco Sajid Aristo Haniputra</t>
  </si>
  <si>
    <t>Harya Muhammad Wijaya</t>
  </si>
  <si>
    <t>Icha Haniaziza</t>
  </si>
  <si>
    <t>Galuh Herin Faranisa</t>
  </si>
  <si>
    <t>Milati Darmastuti</t>
  </si>
  <si>
    <t>Jane Abell</t>
  </si>
  <si>
    <t>Naufal Aftabuddin Putra Pranama</t>
  </si>
  <si>
    <t>Muhammad Rifani Azward</t>
  </si>
  <si>
    <t>Kurnia Mahendra Setya Abdi</t>
  </si>
  <si>
    <t>Muhammad Zaki Rajendra Aghasya</t>
  </si>
  <si>
    <t>Muhammad Rizaldi Kuncoro</t>
  </si>
  <si>
    <t>Hasna Mazaya</t>
  </si>
  <si>
    <t>Nisrina Hasna Az Zahra</t>
  </si>
  <si>
    <t>Irbah Rakha Citratsani</t>
  </si>
  <si>
    <t>Naila Zahida</t>
  </si>
  <si>
    <t>Fizca Anfidhia Zulfa</t>
  </si>
  <si>
    <t>Nia Cahaya Murni</t>
  </si>
  <si>
    <t>Jasmine Alia Rahma</t>
  </si>
  <si>
    <t>Mulqiyati Zikra</t>
  </si>
  <si>
    <t>Izza Ramadhani Setiyanto</t>
  </si>
  <si>
    <t>Muhammad Ilham Abdurrahman</t>
  </si>
  <si>
    <t>Muhammad Arfi Ramanda</t>
  </si>
  <si>
    <t>Lina Nur Fatimah</t>
  </si>
  <si>
    <t>Juwita Ayu Widiawati</t>
  </si>
  <si>
    <t>Galuh</t>
  </si>
  <si>
    <t>Lady Noor Majid</t>
  </si>
  <si>
    <t>Iriswanda Dian Pavita</t>
  </si>
  <si>
    <t>Muhammad Athallah Adianto</t>
  </si>
  <si>
    <t>Muhammad Amar Bil Qisti</t>
  </si>
  <si>
    <t>Irfan Hanif</t>
  </si>
  <si>
    <t>Intan Nabila Laksita</t>
  </si>
  <si>
    <t>Intan Nur Hidayati</t>
  </si>
  <si>
    <t>Muthia Nayla Szaldi</t>
  </si>
  <si>
    <t>Jihida Riska Shalehah</t>
  </si>
  <si>
    <t>Qeis Ar Rosyid</t>
  </si>
  <si>
    <t>Muhammad Zainul Arifin</t>
  </si>
  <si>
    <t>Luthfi Kresna Hariz Mustaqim</t>
  </si>
  <si>
    <t>Nathan Gadang Widyatamaka</t>
  </si>
  <si>
    <t>Muhammad Zaidan Zaki</t>
  </si>
  <si>
    <t>Mauliddina Adinda Putri Indah Pakerti</t>
  </si>
  <si>
    <t>Puti Rana Hanaunnuha</t>
  </si>
  <si>
    <t>Kanaya Keisya Oi Tsamarakavia  Az Zahra</t>
  </si>
  <si>
    <t>Nindya Gina Sangniti Nagari</t>
  </si>
  <si>
    <t>Hafidzatunnisa Nurin Fajrina</t>
  </si>
  <si>
    <t>Nikmatul Maula</t>
  </si>
  <si>
    <t>Kayla Meidina Fadyasari</t>
  </si>
  <si>
    <t>Naufal Rafid Ardanu</t>
  </si>
  <si>
    <t>Kevin Hidayatullah Djama</t>
  </si>
  <si>
    <t>Muhammad Ilham Fajrulfalah</t>
  </si>
  <si>
    <t>Muhammad Arief Fathur Rahman</t>
  </si>
  <si>
    <t>Mahilda Ainieza</t>
  </si>
  <si>
    <t>Koirunnisaa' Azzahro</t>
  </si>
  <si>
    <t>Galuh Malakiano</t>
  </si>
  <si>
    <t>Laurent Carolina Azizah</t>
  </si>
  <si>
    <t>Isna Rihhadatul Aisy</t>
  </si>
  <si>
    <t>Muhammad Fadhil Ihsan</t>
  </si>
  <si>
    <t>Muhammad Arif Saputra</t>
  </si>
  <si>
    <t>Irfan Nur Rohman</t>
  </si>
  <si>
    <t>Jihida Riski Shalehah</t>
  </si>
  <si>
    <t>Lina Wafa'ul Hikmah</t>
  </si>
  <si>
    <t>Nabila Ikbar Kamila</t>
  </si>
  <si>
    <t>Kiren Irel Mirza Yafi' Syarafana</t>
  </si>
  <si>
    <t>Rafi Abiyyu Ramadhan</t>
  </si>
  <si>
    <t>Naufal Dwiharsya Suryo Yudhanto</t>
  </si>
  <si>
    <t>Muhammad Muchlisin Habibie</t>
  </si>
  <si>
    <t>Restu Kurnia Sanjaya</t>
  </si>
  <si>
    <t>N.M. Briva Rizky O.M</t>
  </si>
  <si>
    <t>Nafisa Rafi Azumah</t>
  </si>
  <si>
    <t>Rhapsodya Sekar Ratu Kedaton</t>
  </si>
  <si>
    <t>Naia Fitri Meutia Sutarto</t>
  </si>
  <si>
    <t>Nisa Salsabila Hakim</t>
  </si>
  <si>
    <t>Lutfi Adelia Maisaroh</t>
  </si>
  <si>
    <t>Novinda Cantika Rahmadhani</t>
  </si>
  <si>
    <t>Keisha Naila Adiba</t>
  </si>
  <si>
    <t>Raihan Fadzlurrahman</t>
  </si>
  <si>
    <t>Leonard Yassar Afram</t>
  </si>
  <si>
    <t>Muhammad Ilham Muttaqin</t>
  </si>
  <si>
    <t>Muhammad Azmal Fahri</t>
  </si>
  <si>
    <t>Maritza Lutfiah Rafa Hardian</t>
  </si>
  <si>
    <t>Maula Alsasya Azahra Putri</t>
  </si>
  <si>
    <t>Gayung Ayatillah Annur</t>
  </si>
  <si>
    <t>Lintang Atikasari Frisanudin</t>
  </si>
  <si>
    <t>Khalisa Dhiya Amani</t>
  </si>
  <si>
    <t>Muhammad Hilmi Luqman Hakim</t>
  </si>
  <si>
    <t>Muhammad Aslamy Al Kautsar</t>
  </si>
  <si>
    <t>Maulana Abdul Aziz</t>
  </si>
  <si>
    <t>Luthfyannisa' Nur Azizah</t>
  </si>
  <si>
    <t>Luthfi Anidya Putri Az-Zahra</t>
  </si>
  <si>
    <t>Nida' Mujahidah Addiini</t>
  </si>
  <si>
    <t>Levyna Zahryne Hanida Qyntara</t>
  </si>
  <si>
    <t>Raihan Abiyu Darda</t>
  </si>
  <si>
    <t>Naufal Muhammad Agna Fahreza</t>
  </si>
  <si>
    <t>Muhammad Shyahrul Fadhli</t>
  </si>
  <si>
    <t>Rian Darmawan</t>
  </si>
  <si>
    <t>Naufal Asykar Qiyada</t>
  </si>
  <si>
    <t>Nasywa Nurina Hidayat</t>
  </si>
  <si>
    <t>Saraswati Tienssafrina Lorenz</t>
  </si>
  <si>
    <t>Naurah Athyyah Ramadhani</t>
  </si>
  <si>
    <t>Saffanah Kamila Salsabila</t>
  </si>
  <si>
    <t>Muthi'a Rihadatul Aisyi</t>
  </si>
  <si>
    <t>Putri Shania Nashwa Utama</t>
  </si>
  <si>
    <t>Laili Nabila Putri</t>
  </si>
  <si>
    <t>Rajiv Noor Said</t>
  </si>
  <si>
    <t>Muhammad Abdul Aziz</t>
  </si>
  <si>
    <t>Muhammad Rafii Putraemas Donny</t>
  </si>
  <si>
    <t>Muhammad Fajri Firdausi</t>
  </si>
  <si>
    <t>Mukarramah Ayu Winasis</t>
  </si>
  <si>
    <t>Nabila Putri Rihan</t>
  </si>
  <si>
    <t>Hayina Ulfa Sabila</t>
  </si>
  <si>
    <t>Mahadewi Antika Salsabila</t>
  </si>
  <si>
    <t>Mariah Salsabila Setiadi</t>
  </si>
  <si>
    <t>Muhammad Iqbal Bagas Gumilar</t>
  </si>
  <si>
    <t>Muhammad Fadhil Mu'afa</t>
  </si>
  <si>
    <t>Mochammad Sadita Setyawan</t>
  </si>
  <si>
    <t>Masyita Asna Rosyida</t>
  </si>
  <si>
    <t>Mahira Shafiya Nada</t>
  </si>
  <si>
    <t>Noorida Shafa Inayah Janan</t>
  </si>
  <si>
    <t>Nur Alfiyah Zaizafun</t>
  </si>
  <si>
    <t>Rifqi Hamzah Yugi Nasrullah</t>
  </si>
  <si>
    <t>Nazer Muhammad Noor</t>
  </si>
  <si>
    <t>Muhammad Yudha Setiawan</t>
  </si>
  <si>
    <t>Rizqi Agung Nugraha</t>
  </si>
  <si>
    <t>Restu Nurhusodo</t>
  </si>
  <si>
    <t>Nikita Farah Andrea</t>
  </si>
  <si>
    <t>Shofi Berliyan Khusnul Hardini</t>
  </si>
  <si>
    <t>Ndaru Salma Rahmadani</t>
  </si>
  <si>
    <t>Sekar Khairunnisa</t>
  </si>
  <si>
    <t>Naila Azahra</t>
  </si>
  <si>
    <t>Refiana Aziizu</t>
  </si>
  <si>
    <t>Lilybrigandi Brigita Maudy</t>
  </si>
  <si>
    <t>Rifa'i Arva Irianto</t>
  </si>
  <si>
    <t>Muhammad Didat Wiradhyaksa</t>
  </si>
  <si>
    <t>Muhammad Rizal Musyaffa</t>
  </si>
  <si>
    <t>Muhammad Ghozy Diena Hilmy Elfawas</t>
  </si>
  <si>
    <t>Nafa Zulfanda Dewi</t>
  </si>
  <si>
    <t>Nadhifa Tsabita Arlia Putri</t>
  </si>
  <si>
    <t>Hayyu Haqqu Zazqia Valsa</t>
  </si>
  <si>
    <t>Nabila Apriyanto</t>
  </si>
  <si>
    <t>Marisa Fatwa</t>
  </si>
  <si>
    <t>Muhammad Naufal Hakim</t>
  </si>
  <si>
    <t>Muhammad Faishal Fathin Fathurahman</t>
  </si>
  <si>
    <t>Mohammad Rheza Aldaffa</t>
  </si>
  <si>
    <t>Nafi Rahima Aliyani</t>
  </si>
  <si>
    <t>Marandina Putri Prapasha</t>
  </si>
  <si>
    <t>Raihan Gunaringtyas Hatmanti</t>
  </si>
  <si>
    <t>Pradita Wahyuningtyas</t>
  </si>
  <si>
    <t>Rizky Aditya Nur Firmansyah</t>
  </si>
  <si>
    <t>Nur Cahyo Kuncoro Wibowo</t>
  </si>
  <si>
    <t>Rafi Naufal Arkananta</t>
  </si>
  <si>
    <t>Sultan Djorgie Putra Harjanto</t>
  </si>
  <si>
    <t>Rifky Anandya Suryawinarno</t>
  </si>
  <si>
    <t>Nisa Adhelia Hardiana Putri</t>
  </si>
  <si>
    <t>Siti Asysyaffa</t>
  </si>
  <si>
    <t>Nisrina Muhana Zaidah</t>
  </si>
  <si>
    <t>Serena Khansa</t>
  </si>
  <si>
    <t>Najwah Nazila M.</t>
  </si>
  <si>
    <t>Ristiyasningrum</t>
  </si>
  <si>
    <t>Mayesq Prameswari</t>
  </si>
  <si>
    <t>Rizal Noor Said</t>
  </si>
  <si>
    <t>Muhammad Farhan Ichsanuddin</t>
  </si>
  <si>
    <t>Muhammad Yusuf Arrafi</t>
  </si>
  <si>
    <t>Muhammad Hafidz Abdul Aziz</t>
  </si>
  <si>
    <t>Nindi Puspita Nur Aini</t>
  </si>
  <si>
    <t>Nur Khofifah Risa Putri</t>
  </si>
  <si>
    <t>Lutfi Estika Wasi</t>
  </si>
  <si>
    <t>Nilamsari Dinda Andini</t>
  </si>
  <si>
    <t>Nadia Maharani Wisnuputri</t>
  </si>
  <si>
    <t>Muhammad Rafi Wibowo</t>
  </si>
  <si>
    <t>Muhammad Hariz Adiguna</t>
  </si>
  <si>
    <t>Muhamad Yasser Alviandi</t>
  </si>
  <si>
    <t>Nellam Cahyaningrum</t>
  </si>
  <si>
    <t>Mufida Alfiana</t>
  </si>
  <si>
    <t>Rozan Aruna Fatsa Tenoyo</t>
  </si>
  <si>
    <t>Putri Qonita Haq</t>
  </si>
  <si>
    <t>Satria Sandy Wijaya</t>
  </si>
  <si>
    <t>Nurrahman Akbar</t>
  </si>
  <si>
    <t>Raka Samaidar Rowdak</t>
  </si>
  <si>
    <t>Zaim Muhammad Tsaqif Adinegara</t>
  </si>
  <si>
    <t>Rizki Ary Dwiandika</t>
  </si>
  <si>
    <t>Nur Na'imah Ma'ruf</t>
  </si>
  <si>
    <t>Syafira Alfianita Wardhani</t>
  </si>
  <si>
    <t>Rania Syahda Aurellia Rachmadhani</t>
  </si>
  <si>
    <t>Syakhila Fortuna Kusuma Dewi Aiko</t>
  </si>
  <si>
    <t>Nurul Hanifa Lutfiana</t>
  </si>
  <si>
    <t>Rizki Tri Kusuma Prawitasari</t>
  </si>
  <si>
    <t>Melati Nur Hayati</t>
  </si>
  <si>
    <t>Wahyu Hafizh Hilhamd Fatiha</t>
  </si>
  <si>
    <t>Muhammad Miftahul Huda</t>
  </si>
  <si>
    <t>Rafi Ahnaf Abu Bakar</t>
  </si>
  <si>
    <t>Muhammad Hanif Al Hadi</t>
  </si>
  <si>
    <t>Putri Nadira Khairani</t>
  </si>
  <si>
    <t>Nurul Arfanadila Arsyad</t>
  </si>
  <si>
    <t>Lutfiyah Qurota 'Ayyun</t>
  </si>
  <si>
    <t>Pruecylla Tavania Putri Wijayanti</t>
  </si>
  <si>
    <t>Salsabila Ainun Nisa</t>
  </si>
  <si>
    <t>Nabil Adli Multazim</t>
  </si>
  <si>
    <t>Muhammad Nur Fairuz Yuliawan</t>
  </si>
  <si>
    <t>Muhammad Gufran Nurendrawan Bangsa</t>
  </si>
  <si>
    <t>Olivia Permata Disena</t>
  </si>
  <si>
    <t>Nabila Marsha Diva</t>
  </si>
  <si>
    <t>Rufaidah Azzahroh Ali</t>
  </si>
  <si>
    <t>Renny Fitriana</t>
  </si>
  <si>
    <t>Zaldy Kayya Hatti</t>
  </si>
  <si>
    <t>Reyfasha Syihab Ulwan</t>
  </si>
  <si>
    <t>Raka Widya Pamungkas</t>
  </si>
  <si>
    <t>Shafa Adjie Nasution</t>
  </si>
  <si>
    <t>Rabita Ira Khusnaini</t>
  </si>
  <si>
    <t>Zidni Khofifah Tazkia</t>
  </si>
  <si>
    <t>Rojwa Zhurifa Thifalariq</t>
  </si>
  <si>
    <t>Tara Pramesti Nuraji</t>
  </si>
  <si>
    <t>Ovita Legowosari</t>
  </si>
  <si>
    <t>Tazkia Hayyuning Bakti Palupi</t>
  </si>
  <si>
    <t>Naila Syahida</t>
  </si>
  <si>
    <t>Yusuf Ainurrofiq</t>
  </si>
  <si>
    <t>Muhammad Raainaa Ashidiqqie</t>
  </si>
  <si>
    <t>Rafi Edris Putra</t>
  </si>
  <si>
    <t>Muhammad Irfan Murtadho</t>
  </si>
  <si>
    <t>Salsabila Ivana</t>
  </si>
  <si>
    <t>Oktavia Saksana Rusdiana</t>
  </si>
  <si>
    <t>Nabila Aliya Putri</t>
  </si>
  <si>
    <t>Qorina Indah Puspitasari</t>
  </si>
  <si>
    <t>Shafa Oktavia Nafisah</t>
  </si>
  <si>
    <t>Nashiruddin Walid</t>
  </si>
  <si>
    <t>Muhammad Mafaza Rabbani</t>
  </si>
  <si>
    <t>Rini Rahyuni</t>
  </si>
  <si>
    <t>Salma Adila Cahyani</t>
  </si>
  <si>
    <t>Salsabila Hana Nurul Fatiha</t>
  </si>
  <si>
    <t>Septy Ajeng Maharani</t>
  </si>
  <si>
    <t>Ziyad At Thoriq</t>
  </si>
  <si>
    <t>Rizki Okta Adelaksa</t>
  </si>
  <si>
    <t>Rayya Aqila Rahmawan</t>
  </si>
  <si>
    <t>Yusra Amar Zakariya</t>
  </si>
  <si>
    <t>Shabrina Qanitatunnisa</t>
  </si>
  <si>
    <t>Wirda Syadza Firdausi</t>
  </si>
  <si>
    <t>Summa Sabila Yasaroh</t>
  </si>
  <si>
    <t>Tiva Eka Prawesthi</t>
  </si>
  <si>
    <t>Prameswari Salma Hayamadi</t>
  </si>
  <si>
    <t>Ulya  Lutfiyah Qurrota Aini</t>
  </si>
  <si>
    <t>Natasya Audyna Anwar Putri</t>
  </si>
  <si>
    <t>Muhammad Rasyid Maulana</t>
  </si>
  <si>
    <t>Rafiansyah Dwi Nugroho</t>
  </si>
  <si>
    <t>Muhammad Latief</t>
  </si>
  <si>
    <t>Selvyana Putri</t>
  </si>
  <si>
    <t>Putri Amelia Yumna</t>
  </si>
  <si>
    <t>Naja Kamila Rahma Maulid</t>
  </si>
  <si>
    <t>Radhyana Ayu Nastiti</t>
  </si>
  <si>
    <t>Shelomitha Larasati</t>
  </si>
  <si>
    <t>Naufal Fadhlurrahman Rofi'</t>
  </si>
  <si>
    <t>Muhammad Rikza Yulianto</t>
  </si>
  <si>
    <t>Mujaddid Abdullah Azzam</t>
  </si>
  <si>
    <t>Rosyita Intan Khoirunnisa</t>
  </si>
  <si>
    <t>Samiroh</t>
  </si>
  <si>
    <t>Sendy Meilantika</t>
  </si>
  <si>
    <t>Sulistyowati Khairunnisa</t>
  </si>
  <si>
    <t>Ryan Harsya Shevaditama</t>
  </si>
  <si>
    <t>Roja Falih Yudhayana</t>
  </si>
  <si>
    <t>Salwa Alifia Azzahra</t>
  </si>
  <si>
    <t>Qayla Nur'aini</t>
  </si>
  <si>
    <t>Syafira Nauroh Hamidah</t>
  </si>
  <si>
    <t>Wevy Rossiana Fazira Z</t>
  </si>
  <si>
    <t>Rahma Zahro'ul Fitria</t>
  </si>
  <si>
    <t>Wahyu Latifa Azzahroh</t>
  </si>
  <si>
    <t>Nisak Nur Azizah</t>
  </si>
  <si>
    <t>Pande Putu Marco Surya Pratama</t>
  </si>
  <si>
    <t>Rangga Mukti Muthahhar Hartoyo</t>
  </si>
  <si>
    <t>Muhammad Taufiq Hidayat</t>
  </si>
  <si>
    <t>Shofia Wahdha</t>
  </si>
  <si>
    <t>Salsabila Aulya Rosida</t>
  </si>
  <si>
    <t>Nisa Nurkhasanah Supriyanto</t>
  </si>
  <si>
    <t>Rinindya Kirana Putri</t>
  </si>
  <si>
    <t>Syifa Khairunnisa</t>
  </si>
  <si>
    <t>Naufal Muhammad 'Allam</t>
  </si>
  <si>
    <t>Muhammad Syaffi Nazhir Gunawan</t>
  </si>
  <si>
    <t>Namaskara Tawang Kusuma</t>
  </si>
  <si>
    <t>Salma Umi Rafiah</t>
  </si>
  <si>
    <t>Shafa Widya</t>
  </si>
  <si>
    <t>Ziam Atika Laudri</t>
  </si>
  <si>
    <t>Zahrani Isham Shabrina</t>
  </si>
  <si>
    <t>Sakti Cahya Buana</t>
  </si>
  <si>
    <t>Satrio Arif Wicaksono</t>
  </si>
  <si>
    <t>Sarah Salwa Salsabila</t>
  </si>
  <si>
    <t>Syifa Salsabila Hanindita</t>
  </si>
  <si>
    <t>Syifa Karimah</t>
  </si>
  <si>
    <t>Yustika Agamila Ihsani</t>
  </si>
  <si>
    <t>Salsabila Syazwina Lukman</t>
  </si>
  <si>
    <t>Wildaniah Tuzakiah</t>
  </si>
  <si>
    <t>Qonita Amelia Fawwaz</t>
  </si>
  <si>
    <t>Raden Muhammad Khalid Baginda</t>
  </si>
  <si>
    <t>Rijal Mubarok Hayono Putro</t>
  </si>
  <si>
    <t>Nadhif Mauliddino Rizky</t>
  </si>
  <si>
    <t>Syifa Rustriawanti</t>
  </si>
  <si>
    <t>Salwa Adara Safanja</t>
  </si>
  <si>
    <t>Nur Shoumi Rahmatunnisa</t>
  </si>
  <si>
    <t>Salsa Latifa Hafidh</t>
  </si>
  <si>
    <t>Viona Febiola Wibowo</t>
  </si>
  <si>
    <t>Ubaidillah Raihan Al Farosi</t>
  </si>
  <si>
    <t>Muhammad Zaid Rabbani</t>
  </si>
  <si>
    <t>Rafli Fabri Ardian</t>
  </si>
  <si>
    <t>Shofia Sausania Amalia</t>
  </si>
  <si>
    <t>Sholla Musyafia Ulin Nuha</t>
  </si>
  <si>
    <t>Zuhria Rahmawati</t>
  </si>
  <si>
    <t>Zulfa Andhini Putri Pertiwi</t>
  </si>
  <si>
    <t>Slamet Syahrul Wahyudi</t>
  </si>
  <si>
    <t>Savaroja Farhan Putra Pradana</t>
  </si>
  <si>
    <t>Talitha Kafi Sahda</t>
  </si>
  <si>
    <t>Zahra Alifvia Kasturi</t>
  </si>
  <si>
    <t>Zahrah Putri Haryadi</t>
  </si>
  <si>
    <t>Ramona Dixci</t>
  </si>
  <si>
    <t>Rivaldi Noor Roofiif Dita</t>
  </si>
  <si>
    <t>Shoffin Muhammad Zaky</t>
  </si>
  <si>
    <t>Rakha Ars Raihanichi</t>
  </si>
  <si>
    <t>Yasmin Nur Izzati</t>
  </si>
  <si>
    <t>Siti Nur Afifah</t>
  </si>
  <si>
    <t>Salwa Muzayana Rahmah</t>
  </si>
  <si>
    <t>Sri Suatussa'adah</t>
  </si>
  <si>
    <t>Yasfiina Najma Tsaqiba</t>
  </si>
  <si>
    <t>Yahya Ayyas</t>
  </si>
  <si>
    <t>Rangga Aji Satria Yudha</t>
  </si>
  <si>
    <t>Rakha Kalam Mahardhika</t>
  </si>
  <si>
    <t>Zhaskya Isna Aditama</t>
  </si>
  <si>
    <t>Wafi Aulia Tsabitah</t>
  </si>
  <si>
    <t>Syahan Rafiqul Islam</t>
  </si>
  <si>
    <t>Ubaidillah Mubarok</t>
  </si>
  <si>
    <t>Zahra Alifia Yuwaida</t>
  </si>
  <si>
    <t>Razan Hassan Ahmad Hassan Akesh</t>
  </si>
  <si>
    <t>Sayyid Adil Al Banna</t>
  </si>
  <si>
    <t>Zein Alivanda Musyafa</t>
  </si>
  <si>
    <t>Zidane Rizqi Utoyo</t>
  </si>
  <si>
    <t>Zahroh Nur Azizah</t>
  </si>
  <si>
    <t>Tsaabita Ronaa Atsiila Heruningtyas</t>
  </si>
  <si>
    <t>Triana Surya Pratiwi</t>
  </si>
  <si>
    <t>Utpala Dewi Prama Putri</t>
  </si>
  <si>
    <t>Gicela Viga Gita Wisesa</t>
  </si>
  <si>
    <t>Zain Arie Priyanto</t>
  </si>
  <si>
    <t>Rayhan Adhya Kasturi</t>
  </si>
  <si>
    <t>Syahrial Qhoirul Effendi</t>
  </si>
  <si>
    <t>Tiflan Akna Mumtaaz Ilmi</t>
  </si>
  <si>
    <t>Ulul Azmi Abid Anantri</t>
  </si>
  <si>
    <t>Salma Maulida</t>
  </si>
  <si>
    <t>Hanifah Nurul Aini</t>
  </si>
  <si>
    <t>Ulya Faiza Husna</t>
  </si>
  <si>
    <t>Zumrotin Ummi Fadillah</t>
  </si>
  <si>
    <t>Zharifa Atta Alfatina</t>
  </si>
  <si>
    <t>Tegar Sanfian Pratama Bhakti</t>
  </si>
  <si>
    <t>Wildan Titto Aminurrohman</t>
  </si>
  <si>
    <t>Yoga Dzaki</t>
  </si>
  <si>
    <t>Salwa Rahmanisa</t>
  </si>
  <si>
    <t>Norma Putri Hutami</t>
  </si>
  <si>
    <t>Zifa Salsabella Putri Az Zahra</t>
  </si>
  <si>
    <t>Zen Abid Muhammad Daffa</t>
  </si>
  <si>
    <t>Shafira Nur Aini Sholichah</t>
  </si>
  <si>
    <t>Tsaqifa Zirlyfera Ramadhani</t>
  </si>
  <si>
    <t>Tiara Azva Mara Alvia</t>
  </si>
  <si>
    <t>Wafa Nabiha Amjad</t>
  </si>
  <si>
    <t>Wiandaprilia Rayhannissa</t>
  </si>
  <si>
    <t>Yovita Angesti Pinasthika</t>
  </si>
  <si>
    <t>Zalfa Fadilah Arsyda</t>
  </si>
  <si>
    <t>Memiliki kemampuan menerapkan fungsi sosial, struktur teks, dan unsur kebahasaan teks interaksi interpersonal lisan dan tulis terkait memberikan ucapan selamat dan memuji, namun perlu peningkatan membedakan fungsi sosial, struktur teks, dan unsur kebahasaan beberapa teks deskriptif lisan dan tulis terkait tempat bersejarah</t>
  </si>
  <si>
    <t xml:space="preserve">Memiliki keterampilan menyusun teks interaksi interpersonal lisan dan tulis terkait memberikan ucapan selamat dan memuji </t>
  </si>
  <si>
    <t>Memiliki kemampuan menerapkan fungsi sosial, struktur teks, dan unsur kebahasaan teks interaksi transaksional lisan dan tulis terkait meminta informasi (going to, would like to), namun perlu peningkatan membedakan fungsi sosial, struktur teks, dan unsur kebahasaan beberapa teks deskriptif lisan dan tulis terkait tempat bersejarah</t>
  </si>
  <si>
    <t>Memiliki keterampilan menyusun teks interaksi transaksional lisan dan tulis yang melibatkan tindakan memberi dan meminta informasi terkait niat melakukan suatu</t>
  </si>
  <si>
    <t>Memiliki keterampilan menyusun teks interaksi transaksional lisan dan tulis yang melibatkan tindakan memberi dan meminta informasi terkait jati diri dan hubungan keluarga</t>
  </si>
  <si>
    <t>Memiliki kemampuan menerapkan fungsi sosial, struktur teks, dan unsur kebahasaan teks interaksi transaksional lisan dan tulis terkait meminta informasi (going to, would like to), namun perlu peningkatan menerapkan fungsi sosial, struktur teks, dan unsur kebahasaan teks interaksi interpersonal lisan dan tulis terkait memberikan ucapan selamat dan memuji</t>
  </si>
  <si>
    <t>Memiliki kemampuan menerapkan fungsi sosial, struktur teks, dan unsur kebahasaan teks interaksi transaksional lisan dan tulis terkait informasi jati diri dan hubungan keluarga, namun perlu peningkatan menerapkan fungsi sosial, struktur teks, dan unsur kebahasaan teks interaksi interpersonal lisan dan tulis terkait memberikan ucapan selamat dan memuji</t>
  </si>
  <si>
    <t>Memiliki kemampuan menerapkan fungsi sosial, struktur teks, dan unsur kebahasaan teks interaksi interpersonal lisan dan tulis terkait memberikan ucapan selamat dan memuji, namun perlu peningkatan menerapkan fungsi sosial, struktur teks, dan unsur kebahasaan teks interaksi transaksional lisan dan tulis terkait informasi jati diri dan hubungan keluarga</t>
  </si>
  <si>
    <t>Memiliki kemampuan menerapkan fungsi sosial, struktur teks, dan unsur kebahasaan teks interaksi transaksional lisan dan tulis terkait informasi jati diri dan hubungan keluarga, namun perlu peningkatan membedakan fungsi sosial, struktur teks, dan unsur kebahasaan beberapa teks deskriptif lisan dan tulis terkait tempat bersejarah</t>
  </si>
  <si>
    <t>Memiliki kemampuan membedakan fungsi sosial, struktur teks, dan unsur kebahasaan beberapa teks deskriptif lisan dan tulis terkait tempat bersejarah, namun perlu peningkatan menerapkan fungsi sosial, struktur teks, dan unsur kebahasaan teks interaksi transaksional lisan dan tulis terkait meminta informasi (going to, would like to)</t>
  </si>
  <si>
    <t>Memiliki kemampuan menerapkan fungsi sosial, struktur teks, dan unsur kebahasaan teks interaksi transaksional lisan dan tulis terkait meminta informasi (going to, would like to), namun perlu peningkatan menerapkan fungsi sosial, struktur teks, dan unsur kebahasaan teks interaksi transaksional lisan dan tulis terkait informasi jati diri dan hubungan keluarga</t>
  </si>
  <si>
    <t>Memiliki kemampuan membedakan fungsi sosial, struktur teks, dan unsur kebahasaan beberapa teks deskriptif lisan dan tulis terkait tempat bersejarah, namun perlu peningkatan menerapkan fungsi sosial, struktur teks, dan unsur kebahasaan teks interaksi transaksional lisan dan tulis terkait informasi jati diri dan hubungan keluarga</t>
  </si>
  <si>
    <t>Kelvin Oktabrian Ramadhan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</si>
</sst>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Rp&quot;* #,##0_);_(&quot;Rp&quot;* \(#,##0\);_(&quot;Rp&quot;* &quot;-&quot;_);_(@_)"/>
  </numFmts>
  <fonts count="29">
    <font>
      <sz val="11"/>
      <color theme="1"/>
      <name val="Calibri"/>
      <charset val="134"/>
      <scheme val="minor"/>
    </font>
    <font>
      <b/>
      <sz val="20"/>
      <color theme="1"/>
      <name val="Calibri"/>
      <charset val="134"/>
      <scheme val="minor"/>
    </font>
    <font>
      <b/>
      <sz val="11"/>
      <color theme="1"/>
      <name val="Calibri"/>
      <charset val="134"/>
      <scheme val="minor"/>
    </font>
    <font>
      <sz val="16"/>
      <color theme="1"/>
      <name val="Calibri"/>
      <charset val="134"/>
      <scheme val="minor"/>
    </font>
    <font>
      <b/>
      <sz val="16"/>
      <color theme="1"/>
      <name val="Calibri"/>
      <charset val="134"/>
      <scheme val="minor"/>
    </font>
    <font>
      <sz val="12"/>
      <color theme="1"/>
      <name val="Calibri"/>
      <charset val="134"/>
      <scheme val="minor"/>
    </font>
    <font>
      <b/>
      <sz val="18"/>
      <color theme="1"/>
      <name val="Calibri"/>
      <charset val="134"/>
      <scheme val="minor"/>
    </font>
    <font>
      <b/>
      <sz val="10"/>
      <color theme="1"/>
      <name val="Calibri"/>
      <charset val="134"/>
      <scheme val="minor"/>
    </font>
    <font>
      <sz val="10"/>
      <color theme="1"/>
      <name val="Calibri"/>
      <charset val="134"/>
      <scheme val="minor"/>
    </font>
    <font>
      <b/>
      <sz val="11"/>
      <name val="Calibri"/>
      <charset val="134"/>
      <scheme val="minor"/>
    </font>
    <font>
      <sz val="12"/>
      <color theme="1"/>
      <name val="Arial"/>
      <charset val="134"/>
    </font>
    <font>
      <b/>
      <sz val="12"/>
      <color indexed="8"/>
      <name val="Arial"/>
      <charset val="134"/>
    </font>
    <font>
      <b/>
      <sz val="12"/>
      <color theme="1"/>
      <name val="Arial"/>
      <charset val="134"/>
    </font>
    <font>
      <i/>
      <sz val="12"/>
      <color theme="1"/>
      <name val="Arial"/>
      <charset val="134"/>
    </font>
    <font>
      <i/>
      <sz val="10"/>
      <color theme="1"/>
      <name val="Arial"/>
      <charset val="134"/>
    </font>
    <font>
      <sz val="12"/>
      <color indexed="8"/>
      <name val="Arial"/>
      <charset val="134"/>
    </font>
    <font>
      <sz val="10.5"/>
      <color theme="1"/>
      <name val="Arial"/>
      <charset val="134"/>
    </font>
    <font>
      <b/>
      <sz val="28"/>
      <color theme="0" tint="-0.34998626667073579"/>
      <name val="Arial Black"/>
      <charset val="134"/>
    </font>
    <font>
      <sz val="12"/>
      <name val="Arial"/>
      <charset val="134"/>
    </font>
    <font>
      <sz val="11"/>
      <color theme="1"/>
      <name val="Arial"/>
      <charset val="134"/>
    </font>
    <font>
      <i/>
      <sz val="11"/>
      <color indexed="8"/>
      <name val="Arial"/>
      <charset val="134"/>
    </font>
    <font>
      <sz val="10"/>
      <color theme="1"/>
      <name val="Arial"/>
      <charset val="134"/>
    </font>
    <font>
      <b/>
      <sz val="14"/>
      <color theme="0"/>
      <name val="Calibri"/>
      <charset val="134"/>
      <scheme val="minor"/>
    </font>
    <font>
      <b/>
      <sz val="11"/>
      <color theme="0"/>
      <name val="Calibri"/>
      <charset val="134"/>
      <scheme val="minor"/>
    </font>
    <font>
      <sz val="12"/>
      <color theme="5" tint="-0.249977111117893"/>
      <name val="Arial Rounded MT Bold"/>
      <charset val="134"/>
    </font>
    <font>
      <sz val="11"/>
      <color theme="1"/>
      <name val="Calibri"/>
      <charset val="1"/>
      <scheme val="minor"/>
    </font>
    <font>
      <sz val="10"/>
      <name val="Arial"/>
      <charset val="134"/>
    </font>
    <font>
      <sz val="11"/>
      <color theme="1"/>
      <name val="Arial"/>
      <charset val="1"/>
    </font>
    <font>
      <sz val="11"/>
      <color theme="1"/>
      <name val="Calibri"/>
      <charset val="134"/>
      <scheme val="minor"/>
    </font>
  </fonts>
  <fills count="24">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C000"/>
        <bgColor indexed="64"/>
      </patternFill>
    </fill>
    <fill>
      <patternFill patternType="solid">
        <fgColor theme="6" tint="0.39994506668294322"/>
        <bgColor indexed="64"/>
      </patternFill>
    </fill>
    <fill>
      <patternFill patternType="solid">
        <fgColor theme="5" tint="0.39994506668294322"/>
        <bgColor indexed="64"/>
      </patternFill>
    </fill>
    <fill>
      <patternFill patternType="solid">
        <fgColor theme="7" tint="0.39994506668294322"/>
        <bgColor indexed="64"/>
      </patternFill>
    </fill>
    <fill>
      <patternFill patternType="solid">
        <fgColor theme="8" tint="0.39994506668294322"/>
        <bgColor indexed="64"/>
      </patternFill>
    </fill>
    <fill>
      <patternFill patternType="solid">
        <fgColor rgb="FFFFFF66"/>
        <bgColor indexed="64"/>
      </patternFill>
    </fill>
    <fill>
      <patternFill patternType="solid">
        <fgColor theme="3" tint="0.59999389629810485"/>
        <bgColor indexed="64"/>
      </patternFill>
    </fill>
    <fill>
      <patternFill patternType="solid">
        <fgColor theme="9" tint="0.3999450666829432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0"/>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rgb="FF0070C0"/>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rgb="FFCC99FF"/>
        <bgColor indexed="64"/>
      </patternFill>
    </fill>
  </fills>
  <borders count="2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top/>
      <bottom style="double">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style="medium">
        <color auto="1"/>
      </right>
      <top style="medium">
        <color auto="1"/>
      </top>
      <bottom/>
      <diagonal/>
    </border>
    <border>
      <left/>
      <right style="medium">
        <color auto="1"/>
      </right>
      <top/>
      <bottom/>
      <diagonal/>
    </border>
  </borders>
  <cellStyleXfs count="11">
    <xf numFmtId="0" fontId="0" fillId="0" borderId="0"/>
    <xf numFmtId="164" fontId="27" fillId="0" borderId="0" applyFont="0" applyFill="0" applyBorder="0" applyAlignment="0" applyProtection="0"/>
    <xf numFmtId="0" fontId="28" fillId="0" borderId="0"/>
    <xf numFmtId="0" fontId="26" fillId="0" borderId="0"/>
    <xf numFmtId="0" fontId="26" fillId="0" borderId="0"/>
    <xf numFmtId="0" fontId="19" fillId="0" borderId="0"/>
    <xf numFmtId="9" fontId="26" fillId="0" borderId="0" applyFont="0" applyFill="0" applyBorder="0" applyAlignment="0" applyProtection="0"/>
    <xf numFmtId="0" fontId="26" fillId="0" borderId="0"/>
    <xf numFmtId="0" fontId="26" fillId="0" borderId="0"/>
    <xf numFmtId="0" fontId="26" fillId="0" borderId="0"/>
    <xf numFmtId="0" fontId="25" fillId="0" borderId="0"/>
  </cellStyleXfs>
  <cellXfs count="297">
    <xf numFmtId="0" fontId="0" fillId="0" borderId="0" xfId="0"/>
    <xf numFmtId="0" fontId="0" fillId="3" borderId="0" xfId="0" applyFill="1"/>
    <xf numFmtId="0" fontId="0" fillId="2" borderId="0" xfId="0" applyFill="1"/>
    <xf numFmtId="0" fontId="0" fillId="4" borderId="0" xfId="0" applyFill="1"/>
    <xf numFmtId="0" fontId="0" fillId="0" borderId="0" xfId="0" applyAlignment="1">
      <alignment horizontal="center"/>
    </xf>
    <xf numFmtId="0" fontId="1" fillId="0" borderId="0" xfId="0" applyFont="1"/>
    <xf numFmtId="0" fontId="2" fillId="5" borderId="3" xfId="0" applyFont="1" applyFill="1" applyBorder="1" applyAlignment="1">
      <alignment horizontal="center" vertical="center"/>
    </xf>
    <xf numFmtId="0" fontId="0" fillId="0" borderId="3" xfId="0" applyBorder="1" applyAlignment="1">
      <alignment horizontal="center" vertical="center"/>
    </xf>
    <xf numFmtId="0" fontId="0" fillId="0" borderId="3" xfId="0" applyFill="1" applyBorder="1" applyAlignment="1">
      <alignment horizontal="left" vertical="center"/>
    </xf>
    <xf numFmtId="0" fontId="0" fillId="0" borderId="3" xfId="0" applyFill="1" applyBorder="1" applyAlignment="1">
      <alignment horizontal="center" vertical="center"/>
    </xf>
    <xf numFmtId="0" fontId="0" fillId="2" borderId="3" xfId="0" applyFill="1" applyBorder="1" applyAlignment="1" applyProtection="1">
      <alignment horizontal="left" vertical="center" wrapText="1"/>
      <protection locked="0"/>
    </xf>
    <xf numFmtId="0" fontId="0" fillId="2" borderId="3" xfId="0" applyFill="1" applyBorder="1" applyAlignment="1" applyProtection="1">
      <alignment horizontal="left" wrapText="1"/>
      <protection locked="0"/>
    </xf>
    <xf numFmtId="0" fontId="3" fillId="0" borderId="0" xfId="0" applyFont="1"/>
    <xf numFmtId="0" fontId="2" fillId="0" borderId="0" xfId="0" applyFont="1"/>
    <xf numFmtId="0" fontId="0" fillId="0" borderId="0" xfId="0" applyAlignment="1">
      <alignment horizontal="center" vertical="center"/>
    </xf>
    <xf numFmtId="0" fontId="4" fillId="0" borderId="0" xfId="0" applyFont="1"/>
    <xf numFmtId="0" fontId="3" fillId="0" borderId="0" xfId="0" applyFont="1" applyAlignment="1">
      <alignment horizontal="center" vertical="center"/>
    </xf>
    <xf numFmtId="0" fontId="0" fillId="2" borderId="3" xfId="0" applyFill="1" applyBorder="1" applyAlignment="1" applyProtection="1">
      <alignment horizontal="center" vertical="center"/>
      <protection locked="0"/>
    </xf>
    <xf numFmtId="0" fontId="0" fillId="2" borderId="3" xfId="0" applyFill="1" applyBorder="1" applyAlignment="1" applyProtection="1">
      <alignment horizontal="left"/>
      <protection locked="0"/>
    </xf>
    <xf numFmtId="0" fontId="0" fillId="2" borderId="3" xfId="0" applyFill="1" applyBorder="1" applyAlignment="1" applyProtection="1">
      <alignment horizontal="center"/>
      <protection locked="0"/>
    </xf>
    <xf numFmtId="0" fontId="5" fillId="0" borderId="0" xfId="0" applyFont="1" applyAlignment="1">
      <alignment vertical="center"/>
    </xf>
    <xf numFmtId="0" fontId="6" fillId="0" borderId="0" xfId="0" applyFont="1" applyAlignment="1">
      <alignment horizontal="left" vertical="center"/>
    </xf>
    <xf numFmtId="0" fontId="2" fillId="6" borderId="3" xfId="0" applyFont="1" applyFill="1" applyBorder="1" applyAlignment="1">
      <alignment horizontal="center" vertical="center" wrapText="1"/>
    </xf>
    <xf numFmtId="0" fontId="0" fillId="2" borderId="3" xfId="0" applyFill="1" applyBorder="1" applyAlignment="1" applyProtection="1">
      <alignment horizontal="left" vertical="top"/>
      <protection locked="0"/>
    </xf>
    <xf numFmtId="0" fontId="2" fillId="2" borderId="3" xfId="0" applyFont="1" applyFill="1" applyBorder="1" applyAlignment="1">
      <alignment horizontal="center" vertical="center"/>
    </xf>
    <xf numFmtId="0" fontId="0" fillId="0" borderId="0" xfId="0" applyAlignment="1" applyProtection="1">
      <alignment horizontal="center"/>
    </xf>
    <xf numFmtId="0" fontId="0" fillId="0" borderId="0" xfId="0" applyProtection="1"/>
    <xf numFmtId="0" fontId="2" fillId="0" borderId="0" xfId="0" applyFont="1" applyAlignment="1" applyProtection="1">
      <alignment horizontal="left"/>
    </xf>
    <xf numFmtId="0" fontId="7" fillId="0" borderId="0" xfId="0" applyFont="1" applyProtection="1"/>
    <xf numFmtId="0" fontId="2" fillId="0" borderId="0" xfId="0" applyFont="1" applyBorder="1"/>
    <xf numFmtId="0" fontId="2" fillId="0" borderId="3" xfId="0" applyFont="1" applyBorder="1" applyAlignment="1">
      <alignment horizontal="center" vertical="center" wrapText="1"/>
    </xf>
    <xf numFmtId="0" fontId="0" fillId="0" borderId="3" xfId="0" applyBorder="1" applyAlignment="1">
      <alignment horizontal="center"/>
    </xf>
    <xf numFmtId="0" fontId="0" fillId="0" borderId="3" xfId="0" applyBorder="1"/>
    <xf numFmtId="0" fontId="8" fillId="0" borderId="0" xfId="0" applyFont="1" applyProtection="1"/>
    <xf numFmtId="0" fontId="0" fillId="0" borderId="3" xfId="0" applyBorder="1" applyAlignment="1">
      <alignment wrapText="1"/>
    </xf>
    <xf numFmtId="0" fontId="4" fillId="0" borderId="0" xfId="0" applyFont="1" applyAlignment="1" applyProtection="1"/>
    <xf numFmtId="0" fontId="0" fillId="0" borderId="0" xfId="0" applyFont="1" applyProtection="1"/>
    <xf numFmtId="0" fontId="0" fillId="0" borderId="0" xfId="0" applyAlignment="1" applyProtection="1">
      <alignment horizontal="left"/>
    </xf>
    <xf numFmtId="0" fontId="0" fillId="0" borderId="0" xfId="0" applyAlignment="1">
      <alignment horizontal="left"/>
    </xf>
    <xf numFmtId="0" fontId="2" fillId="0" borderId="0" xfId="0" applyFont="1" applyAlignment="1">
      <alignment horizontal="center" vertical="center" wrapText="1"/>
    </xf>
    <xf numFmtId="0" fontId="2" fillId="0" borderId="0" xfId="0" applyFont="1" applyAlignment="1">
      <alignment vertical="center"/>
    </xf>
    <xf numFmtId="0" fontId="2" fillId="7" borderId="3"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0" fillId="7" borderId="1" xfId="0" applyFill="1" applyBorder="1" applyAlignment="1">
      <alignment horizontal="center" vertical="center"/>
    </xf>
    <xf numFmtId="0" fontId="0" fillId="0" borderId="3" xfId="0" applyFill="1" applyBorder="1" applyAlignment="1">
      <alignment horizontal="left"/>
    </xf>
    <xf numFmtId="0" fontId="0" fillId="0" borderId="3" xfId="0" applyFill="1" applyBorder="1" applyAlignment="1">
      <alignment horizontal="center"/>
    </xf>
    <xf numFmtId="0" fontId="2" fillId="8" borderId="3" xfId="0" applyFont="1" applyFill="1" applyBorder="1" applyAlignment="1">
      <alignment horizontal="center" vertical="center"/>
    </xf>
    <xf numFmtId="2" fontId="0" fillId="2" borderId="3" xfId="0" applyNumberFormat="1" applyFill="1" applyBorder="1" applyAlignment="1" applyProtection="1">
      <alignment horizontal="center" vertical="center"/>
      <protection locked="0"/>
    </xf>
    <xf numFmtId="2" fontId="0" fillId="9" borderId="3" xfId="0" applyNumberFormat="1" applyFill="1" applyBorder="1" applyAlignment="1" applyProtection="1">
      <alignment horizontal="center" vertical="center"/>
      <protection locked="0"/>
    </xf>
    <xf numFmtId="1" fontId="0" fillId="10" borderId="3" xfId="0" applyNumberFormat="1" applyFill="1" applyBorder="1" applyAlignment="1" applyProtection="1">
      <alignment horizontal="center"/>
      <protection locked="0"/>
    </xf>
    <xf numFmtId="0" fontId="0" fillId="10" borderId="3" xfId="0" applyFill="1" applyBorder="1" applyAlignment="1" applyProtection="1">
      <alignment horizontal="center"/>
      <protection locked="0"/>
    </xf>
    <xf numFmtId="0" fontId="0" fillId="10" borderId="3" xfId="0" applyFill="1" applyBorder="1" applyAlignment="1" applyProtection="1">
      <alignment horizontal="left"/>
      <protection locked="0"/>
    </xf>
    <xf numFmtId="0" fontId="0" fillId="10" borderId="3" xfId="0" applyFill="1" applyBorder="1" applyProtection="1">
      <protection locked="0"/>
    </xf>
    <xf numFmtId="0" fontId="2" fillId="11" borderId="3" xfId="0" applyFont="1" applyFill="1" applyBorder="1" applyAlignment="1">
      <alignment horizontal="center" vertical="center"/>
    </xf>
    <xf numFmtId="0" fontId="2" fillId="12" borderId="3"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13" borderId="3" xfId="0" applyFont="1" applyFill="1" applyBorder="1" applyAlignment="1">
      <alignment horizontal="center" vertical="center"/>
    </xf>
    <xf numFmtId="0" fontId="10" fillId="0" borderId="0" xfId="0" applyFont="1" applyAlignment="1">
      <alignment vertical="top"/>
    </xf>
    <xf numFmtId="0" fontId="10" fillId="0" borderId="0" xfId="0" applyFont="1"/>
    <xf numFmtId="0" fontId="11" fillId="0" borderId="0" xfId="0" applyFont="1" applyFill="1" applyProtection="1">
      <protection locked="0"/>
    </xf>
    <xf numFmtId="0" fontId="10" fillId="0" borderId="0" xfId="0" applyFont="1" applyFill="1" applyProtection="1">
      <protection locked="0"/>
    </xf>
    <xf numFmtId="0" fontId="11" fillId="0" borderId="0" xfId="0" applyFont="1" applyFill="1" applyAlignment="1" applyProtection="1">
      <alignment horizontal="left" vertical="top"/>
      <protection locked="0"/>
    </xf>
    <xf numFmtId="0" fontId="11" fillId="0" borderId="14" xfId="0" applyFont="1" applyFill="1" applyBorder="1" applyAlignment="1" applyProtection="1">
      <alignment horizontal="left" vertical="top"/>
      <protection locked="0"/>
    </xf>
    <xf numFmtId="0" fontId="10" fillId="0" borderId="14" xfId="0" applyFont="1" applyFill="1" applyBorder="1" applyAlignment="1" applyProtection="1">
      <alignment vertical="top"/>
      <protection locked="0"/>
    </xf>
    <xf numFmtId="0" fontId="12" fillId="0" borderId="0" xfId="0" applyFont="1" applyFill="1" applyProtection="1">
      <protection locked="0"/>
    </xf>
    <xf numFmtId="0" fontId="12" fillId="0" borderId="0" xfId="0" applyFont="1" applyProtection="1">
      <protection locked="0"/>
    </xf>
    <xf numFmtId="0" fontId="10" fillId="0" borderId="0" xfId="0" applyFont="1" applyProtection="1">
      <protection locked="0"/>
    </xf>
    <xf numFmtId="0" fontId="12" fillId="0" borderId="4" xfId="0" applyFont="1" applyBorder="1" applyProtection="1">
      <protection locked="0"/>
    </xf>
    <xf numFmtId="0" fontId="10" fillId="0" borderId="8" xfId="0" applyFont="1" applyBorder="1" applyProtection="1">
      <protection locked="0"/>
    </xf>
    <xf numFmtId="0" fontId="10" fillId="0" borderId="6" xfId="0" applyFont="1" applyBorder="1" applyProtection="1">
      <protection locked="0"/>
    </xf>
    <xf numFmtId="0" fontId="10" fillId="0" borderId="9" xfId="0" applyFont="1" applyBorder="1" applyProtection="1">
      <protection locked="0"/>
    </xf>
    <xf numFmtId="0" fontId="12" fillId="0" borderId="3" xfId="0" applyFont="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3"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0" fontId="10" fillId="0" borderId="0" xfId="0" applyFont="1" applyBorder="1" applyAlignment="1" applyProtection="1">
      <alignment horizontal="left" vertical="center"/>
      <protection locked="0"/>
    </xf>
    <xf numFmtId="0" fontId="14" fillId="0" borderId="0" xfId="0" applyFont="1" applyBorder="1" applyAlignment="1" applyProtection="1">
      <alignment horizontal="left" vertical="center"/>
      <protection locked="0"/>
    </xf>
    <xf numFmtId="0" fontId="11" fillId="14" borderId="0" xfId="0" applyFont="1" applyFill="1" applyBorder="1" applyAlignment="1" applyProtection="1">
      <alignment horizontal="right" vertical="center" wrapText="1"/>
    </xf>
    <xf numFmtId="0" fontId="11" fillId="14" borderId="0" xfId="0" applyFont="1" applyFill="1" applyBorder="1" applyAlignment="1" applyProtection="1">
      <alignment vertical="center" wrapText="1"/>
    </xf>
    <xf numFmtId="0" fontId="15" fillId="0" borderId="0" xfId="0" applyFont="1" applyFill="1" applyAlignment="1" applyProtection="1">
      <alignment horizontal="left" vertical="center"/>
      <protection locked="0"/>
    </xf>
    <xf numFmtId="0" fontId="11" fillId="0" borderId="0" xfId="0" applyFont="1" applyFill="1" applyAlignment="1" applyProtection="1">
      <alignment horizontal="right"/>
      <protection locked="0"/>
    </xf>
    <xf numFmtId="0" fontId="11" fillId="0" borderId="0" xfId="0" applyFont="1" applyFill="1" applyAlignment="1" applyProtection="1">
      <alignment horizontal="left"/>
      <protection locked="0"/>
    </xf>
    <xf numFmtId="0" fontId="15" fillId="0" borderId="0" xfId="0" applyNumberFormat="1" applyFont="1" applyFill="1" applyBorder="1" applyAlignment="1" applyProtection="1">
      <alignment horizontal="left" vertical="center"/>
      <protection locked="0"/>
    </xf>
    <xf numFmtId="0" fontId="10" fillId="0" borderId="14" xfId="0" applyFont="1" applyBorder="1" applyAlignment="1" applyProtection="1">
      <alignment vertical="top"/>
      <protection locked="0"/>
    </xf>
    <xf numFmtId="0" fontId="11" fillId="0" borderId="14" xfId="0" applyFont="1" applyFill="1" applyBorder="1" applyAlignment="1" applyProtection="1">
      <alignment horizontal="right" vertical="top"/>
      <protection locked="0"/>
    </xf>
    <xf numFmtId="0" fontId="15" fillId="0" borderId="14" xfId="0" applyNumberFormat="1" applyFont="1" applyFill="1" applyBorder="1" applyAlignment="1" applyProtection="1">
      <alignment horizontal="left" vertical="top"/>
      <protection locked="0"/>
    </xf>
    <xf numFmtId="0" fontId="12" fillId="0" borderId="3" xfId="0" applyFont="1" applyBorder="1" applyAlignment="1" applyProtection="1">
      <alignment horizontal="center" vertical="center" wrapText="1"/>
      <protection locked="0"/>
    </xf>
    <xf numFmtId="1" fontId="10" fillId="0" borderId="3" xfId="0" applyNumberFormat="1" applyFont="1" applyBorder="1" applyAlignment="1" applyProtection="1">
      <alignment horizontal="center" vertical="center"/>
      <protection locked="0"/>
    </xf>
    <xf numFmtId="1" fontId="10" fillId="0" borderId="0" xfId="0" applyNumberFormat="1" applyFont="1" applyBorder="1" applyAlignment="1" applyProtection="1">
      <alignment horizontal="center" vertical="center"/>
      <protection locked="0"/>
    </xf>
    <xf numFmtId="0" fontId="2" fillId="0" borderId="3" xfId="0" applyFont="1" applyBorder="1" applyAlignment="1">
      <alignment horizontal="center"/>
    </xf>
    <xf numFmtId="0" fontId="15" fillId="0" borderId="14" xfId="0" applyFont="1" applyFill="1" applyBorder="1" applyAlignment="1" applyProtection="1">
      <alignment horizontal="left" vertical="top"/>
      <protection locked="0"/>
    </xf>
    <xf numFmtId="0" fontId="10" fillId="0" borderId="3" xfId="0" applyFont="1" applyBorder="1" applyAlignment="1" applyProtection="1">
      <alignment vertical="center"/>
      <protection locked="0"/>
    </xf>
    <xf numFmtId="0" fontId="17" fillId="2" borderId="0" xfId="0" applyFont="1" applyFill="1" applyBorder="1" applyAlignment="1" applyProtection="1">
      <alignment horizontal="center" vertical="center"/>
      <protection locked="0"/>
    </xf>
    <xf numFmtId="0" fontId="10" fillId="14" borderId="0" xfId="2" applyFont="1" applyFill="1"/>
    <xf numFmtId="0" fontId="15" fillId="14" borderId="0" xfId="0" applyFont="1" applyFill="1" applyAlignment="1" applyProtection="1">
      <alignment horizontal="left" vertical="center"/>
    </xf>
    <xf numFmtId="0" fontId="10" fillId="0" borderId="0" xfId="0" applyFont="1" applyFill="1" applyAlignment="1" applyProtection="1">
      <alignment horizontal="left" vertical="center"/>
      <protection locked="0"/>
    </xf>
    <xf numFmtId="0" fontId="10" fillId="0" borderId="0" xfId="2" applyFont="1" applyFill="1" applyAlignment="1" applyProtection="1">
      <protection locked="0"/>
    </xf>
    <xf numFmtId="0" fontId="11" fillId="14" borderId="0" xfId="0" applyFont="1" applyFill="1" applyBorder="1" applyAlignment="1" applyProtection="1">
      <alignment vertical="center"/>
    </xf>
    <xf numFmtId="0" fontId="10" fillId="14" borderId="0" xfId="2" applyFont="1" applyFill="1" applyAlignment="1">
      <alignment vertical="top"/>
    </xf>
    <xf numFmtId="0" fontId="11" fillId="14" borderId="0" xfId="0" applyFont="1" applyFill="1" applyBorder="1" applyAlignment="1" applyProtection="1">
      <alignment vertical="top"/>
    </xf>
    <xf numFmtId="0" fontId="10" fillId="0" borderId="12" xfId="0" applyFont="1" applyBorder="1" applyProtection="1">
      <protection locked="0"/>
    </xf>
    <xf numFmtId="0" fontId="10" fillId="0" borderId="13" xfId="0" applyFont="1" applyBorder="1" applyProtection="1">
      <protection locked="0"/>
    </xf>
    <xf numFmtId="0" fontId="12" fillId="0" borderId="2" xfId="0" applyFont="1" applyBorder="1" applyAlignment="1" applyProtection="1">
      <alignment horizontal="center"/>
      <protection locked="0"/>
    </xf>
    <xf numFmtId="1" fontId="10" fillId="0" borderId="2" xfId="0" applyNumberFormat="1" applyFont="1" applyBorder="1" applyAlignment="1" applyProtection="1">
      <alignment horizontal="center" vertical="center"/>
      <protection locked="0"/>
    </xf>
    <xf numFmtId="0" fontId="11" fillId="0" borderId="0" xfId="0" applyFont="1" applyFill="1" applyBorder="1" applyProtection="1">
      <protection locked="0"/>
    </xf>
    <xf numFmtId="0" fontId="10" fillId="0" borderId="0" xfId="0" applyFont="1" applyFill="1" applyBorder="1" applyProtection="1">
      <protection locked="0"/>
    </xf>
    <xf numFmtId="0" fontId="11" fillId="0" borderId="0" xfId="0" applyFont="1" applyFill="1" applyBorder="1" applyAlignment="1" applyProtection="1">
      <alignment horizontal="left" vertical="top"/>
      <protection locked="0"/>
    </xf>
    <xf numFmtId="0" fontId="10" fillId="0" borderId="0" xfId="0" applyFont="1" applyBorder="1" applyAlignment="1" applyProtection="1">
      <alignment horizontal="left" vertical="center" wrapText="1"/>
      <protection locked="0"/>
    </xf>
    <xf numFmtId="0" fontId="12" fillId="0" borderId="0" xfId="0" applyFont="1" applyBorder="1" applyAlignment="1">
      <alignment horizontal="left" vertical="top"/>
    </xf>
    <xf numFmtId="0" fontId="10" fillId="0" borderId="0" xfId="0" applyFont="1" applyAlignment="1" applyProtection="1">
      <alignment horizontal="center" vertical="center"/>
      <protection locked="0"/>
    </xf>
    <xf numFmtId="0" fontId="12" fillId="0" borderId="3" xfId="0" applyFont="1" applyBorder="1" applyAlignment="1" applyProtection="1">
      <protection locked="0"/>
    </xf>
    <xf numFmtId="0" fontId="11" fillId="0" borderId="0" xfId="0" applyFont="1" applyFill="1" applyBorder="1" applyAlignment="1" applyProtection="1">
      <alignment horizontal="left"/>
      <protection locked="0"/>
    </xf>
    <xf numFmtId="0" fontId="15" fillId="0" borderId="0" xfId="0" applyFont="1" applyFill="1" applyBorder="1" applyAlignment="1" applyProtection="1">
      <alignment horizontal="left" vertical="center"/>
      <protection locked="0"/>
    </xf>
    <xf numFmtId="0" fontId="11" fillId="0" borderId="0" xfId="0" applyFont="1" applyFill="1" applyBorder="1" applyAlignment="1" applyProtection="1">
      <alignment horizontal="right"/>
      <protection locked="0"/>
    </xf>
    <xf numFmtId="0" fontId="10" fillId="0" borderId="0" xfId="0" applyFont="1" applyBorder="1" applyAlignment="1" applyProtection="1">
      <alignment vertical="center"/>
      <protection locked="0"/>
    </xf>
    <xf numFmtId="0" fontId="10" fillId="0" borderId="0" xfId="0" applyFont="1" applyBorder="1" applyAlignment="1" applyProtection="1">
      <alignment horizontal="left" vertical="top" wrapText="1"/>
      <protection locked="0"/>
    </xf>
    <xf numFmtId="0" fontId="10" fillId="0" borderId="0" xfId="0" applyFont="1" applyBorder="1" applyProtection="1">
      <protection locked="0"/>
    </xf>
    <xf numFmtId="2" fontId="10" fillId="0" borderId="0" xfId="0" applyNumberFormat="1" applyFont="1" applyBorder="1" applyAlignment="1" applyProtection="1">
      <alignment vertical="center"/>
      <protection locked="0"/>
    </xf>
    <xf numFmtId="0" fontId="10" fillId="0" borderId="7" xfId="0" applyFont="1" applyBorder="1" applyAlignment="1" applyProtection="1">
      <alignment horizontal="center" vertical="center"/>
      <protection locked="0"/>
    </xf>
    <xf numFmtId="0" fontId="10" fillId="0" borderId="7" xfId="0" applyFont="1" applyBorder="1" applyAlignment="1" applyProtection="1">
      <alignment horizontal="left" vertical="center"/>
      <protection locked="0"/>
    </xf>
    <xf numFmtId="0" fontId="10" fillId="0" borderId="2" xfId="0" applyFont="1" applyBorder="1" applyAlignment="1" applyProtection="1">
      <alignment vertical="center"/>
      <protection locked="0"/>
    </xf>
    <xf numFmtId="0" fontId="10" fillId="0" borderId="0" xfId="0" applyFont="1" applyFill="1" applyBorder="1" applyAlignment="1" applyProtection="1">
      <alignment horizontal="left" vertical="center"/>
      <protection locked="0"/>
    </xf>
    <xf numFmtId="0" fontId="10" fillId="0" borderId="0" xfId="2" applyFont="1" applyFill="1" applyBorder="1" applyAlignment="1" applyProtection="1">
      <protection locked="0"/>
    </xf>
    <xf numFmtId="0" fontId="18" fillId="0" borderId="0" xfId="0" applyFont="1" applyAlignment="1" applyProtection="1">
      <alignment horizontal="center" vertical="center"/>
      <protection locked="0"/>
    </xf>
    <xf numFmtId="0" fontId="11" fillId="14" borderId="0" xfId="0" applyFont="1" applyFill="1" applyProtection="1"/>
    <xf numFmtId="0" fontId="15" fillId="14" borderId="0" xfId="2" applyFont="1" applyFill="1" applyAlignment="1" applyProtection="1">
      <alignment horizontal="left" vertical="center"/>
    </xf>
    <xf numFmtId="0" fontId="10" fillId="0" borderId="0" xfId="0" applyFont="1" applyBorder="1" applyAlignment="1" applyProtection="1">
      <protection locked="0"/>
    </xf>
    <xf numFmtId="0" fontId="12" fillId="0" borderId="0" xfId="0" applyFont="1" applyBorder="1" applyAlignment="1" applyProtection="1">
      <protection locked="0"/>
    </xf>
    <xf numFmtId="0" fontId="10" fillId="0" borderId="0" xfId="0" applyFont="1" applyBorder="1"/>
    <xf numFmtId="0" fontId="0" fillId="0" borderId="0" xfId="0" applyFill="1" applyBorder="1"/>
    <xf numFmtId="0" fontId="23" fillId="16" borderId="1" xfId="0" applyFont="1" applyFill="1" applyBorder="1" applyAlignment="1" applyProtection="1">
      <alignment vertical="center"/>
    </xf>
    <xf numFmtId="0" fontId="23" fillId="16" borderId="7" xfId="0" applyFont="1" applyFill="1" applyBorder="1" applyAlignment="1" applyProtection="1">
      <alignment vertical="center"/>
    </xf>
    <xf numFmtId="0" fontId="23" fillId="17" borderId="1" xfId="0" applyFont="1" applyFill="1" applyBorder="1" applyAlignment="1" applyProtection="1">
      <alignment vertical="center"/>
    </xf>
    <xf numFmtId="0" fontId="23" fillId="17" borderId="7" xfId="0" applyFont="1" applyFill="1" applyBorder="1" applyAlignment="1" applyProtection="1">
      <alignment vertical="center"/>
    </xf>
    <xf numFmtId="0" fontId="23" fillId="18" borderId="1" xfId="0" applyFont="1" applyFill="1" applyBorder="1" applyAlignment="1" applyProtection="1">
      <alignment vertical="center"/>
    </xf>
    <xf numFmtId="0" fontId="23" fillId="18" borderId="7" xfId="0" applyFont="1" applyFill="1" applyBorder="1" applyAlignment="1" applyProtection="1">
      <alignment vertical="center"/>
    </xf>
    <xf numFmtId="0" fontId="23" fillId="18" borderId="2" xfId="0" applyFont="1" applyFill="1" applyBorder="1" applyAlignment="1" applyProtection="1">
      <alignment vertical="center"/>
      <protection locked="0"/>
    </xf>
    <xf numFmtId="0" fontId="5" fillId="19" borderId="3" xfId="0" applyFont="1" applyFill="1" applyBorder="1" applyProtection="1">
      <protection locked="0"/>
    </xf>
    <xf numFmtId="49" fontId="5" fillId="19" borderId="3" xfId="3" applyNumberFormat="1" applyFont="1" applyFill="1" applyBorder="1" applyAlignment="1" applyProtection="1">
      <alignment horizontal="center" vertical="center"/>
      <protection locked="0"/>
    </xf>
    <xf numFmtId="0" fontId="5" fillId="19" borderId="3" xfId="0" applyFont="1" applyFill="1" applyBorder="1" applyAlignment="1" applyProtection="1">
      <alignment horizontal="center"/>
      <protection locked="0"/>
    </xf>
    <xf numFmtId="0" fontId="0" fillId="0" borderId="0" xfId="0" applyFont="1"/>
    <xf numFmtId="0" fontId="0" fillId="10" borderId="3" xfId="0" applyFont="1" applyFill="1" applyBorder="1" applyAlignment="1">
      <alignment horizontal="center" vertical="center"/>
    </xf>
    <xf numFmtId="0" fontId="0" fillId="10" borderId="3" xfId="0" applyFont="1" applyFill="1" applyBorder="1" applyAlignment="1">
      <alignment vertical="center"/>
    </xf>
    <xf numFmtId="0" fontId="0" fillId="2" borderId="3" xfId="0" applyFont="1" applyFill="1" applyBorder="1" applyAlignment="1" applyProtection="1">
      <alignment horizontal="center" vertical="center" wrapText="1"/>
      <protection locked="0"/>
    </xf>
    <xf numFmtId="0" fontId="0" fillId="10" borderId="3" xfId="0" applyFont="1" applyFill="1" applyBorder="1" applyAlignment="1">
      <alignment horizontal="left" vertical="center"/>
    </xf>
    <xf numFmtId="0" fontId="0" fillId="10" borderId="3" xfId="0" applyFont="1" applyFill="1" applyBorder="1" applyAlignment="1">
      <alignment horizontal="left" vertical="center" wrapText="1"/>
    </xf>
    <xf numFmtId="0" fontId="0" fillId="12" borderId="3" xfId="0" applyFont="1" applyFill="1" applyBorder="1" applyAlignment="1">
      <alignment horizontal="center" vertical="center"/>
    </xf>
    <xf numFmtId="0" fontId="0" fillId="12" borderId="3" xfId="0" applyFont="1" applyFill="1" applyBorder="1" applyAlignment="1">
      <alignment vertical="center" wrapText="1"/>
    </xf>
    <xf numFmtId="0" fontId="0" fillId="20" borderId="3" xfId="0" applyFont="1" applyFill="1" applyBorder="1" applyAlignment="1">
      <alignment horizontal="center" vertical="center"/>
    </xf>
    <xf numFmtId="0" fontId="0" fillId="20" borderId="3" xfId="0" applyFont="1" applyFill="1" applyBorder="1" applyAlignment="1">
      <alignment vertical="center" wrapText="1"/>
    </xf>
    <xf numFmtId="0" fontId="0" fillId="0" borderId="0" xfId="0" applyFont="1" applyAlignment="1">
      <alignment horizontal="center"/>
    </xf>
    <xf numFmtId="0" fontId="0" fillId="21" borderId="3" xfId="0" applyFont="1" applyFill="1" applyBorder="1" applyAlignment="1">
      <alignment horizontal="center" vertical="center"/>
    </xf>
    <xf numFmtId="0" fontId="0" fillId="21" borderId="3" xfId="0" applyFont="1" applyFill="1" applyBorder="1" applyAlignment="1">
      <alignment vertical="center" wrapText="1"/>
    </xf>
    <xf numFmtId="0" fontId="2" fillId="8" borderId="2" xfId="0" applyFont="1" applyFill="1" applyBorder="1" applyAlignment="1">
      <alignment horizontal="center" vertical="center" textRotation="90" wrapText="1"/>
    </xf>
    <xf numFmtId="0" fontId="2" fillId="8" borderId="3" xfId="0" applyFont="1" applyFill="1" applyBorder="1" applyAlignment="1">
      <alignment horizontal="center" vertical="center" textRotation="90" wrapText="1"/>
    </xf>
    <xf numFmtId="0" fontId="9" fillId="8" borderId="3" xfId="0" applyFont="1" applyFill="1" applyBorder="1" applyAlignment="1">
      <alignment horizontal="center" vertical="center" textRotation="90" wrapText="1"/>
    </xf>
    <xf numFmtId="0" fontId="2" fillId="11" borderId="1" xfId="0" applyFont="1" applyFill="1" applyBorder="1" applyAlignment="1">
      <alignment horizontal="center" vertical="center" textRotation="90" wrapText="1"/>
    </xf>
    <xf numFmtId="0" fontId="2" fillId="11" borderId="3" xfId="0" applyFont="1" applyFill="1" applyBorder="1" applyAlignment="1">
      <alignment horizontal="center" vertical="center" textRotation="90" wrapText="1"/>
    </xf>
    <xf numFmtId="0" fontId="2" fillId="8" borderId="1" xfId="0" applyFont="1" applyFill="1" applyBorder="1" applyAlignment="1">
      <alignment horizontal="center" vertical="center" textRotation="90" wrapText="1"/>
    </xf>
    <xf numFmtId="0" fontId="2" fillId="12" borderId="3" xfId="0" applyFont="1" applyFill="1" applyBorder="1" applyAlignment="1">
      <alignment horizontal="center" vertical="center" textRotation="90" wrapText="1"/>
    </xf>
    <xf numFmtId="1" fontId="0" fillId="0" borderId="3" xfId="0" applyNumberFormat="1" applyFill="1" applyBorder="1" applyAlignment="1">
      <alignment horizontal="center" vertical="center"/>
    </xf>
    <xf numFmtId="0" fontId="0" fillId="22" borderId="0" xfId="0" applyFill="1" applyProtection="1"/>
    <xf numFmtId="0" fontId="0" fillId="16" borderId="0" xfId="0" applyFill="1" applyProtection="1"/>
    <xf numFmtId="0" fontId="0" fillId="0" borderId="3" xfId="0" quotePrefix="1" applyFill="1" applyBorder="1" applyAlignment="1">
      <alignment horizontal="center"/>
    </xf>
    <xf numFmtId="49" fontId="5" fillId="19" borderId="3" xfId="3" quotePrefix="1" applyNumberFormat="1" applyFont="1" applyFill="1" applyBorder="1" applyAlignment="1" applyProtection="1">
      <alignment horizontal="center" vertical="center"/>
      <protection locked="0"/>
    </xf>
    <xf numFmtId="0" fontId="5" fillId="19" borderId="3" xfId="0" quotePrefix="1" applyFont="1" applyFill="1" applyBorder="1" applyAlignment="1" applyProtection="1">
      <alignment horizontal="center"/>
      <protection locked="0"/>
    </xf>
    <xf numFmtId="0" fontId="24" fillId="23" borderId="0" xfId="0" applyFont="1" applyFill="1" applyAlignment="1" applyProtection="1">
      <alignment horizontal="center"/>
    </xf>
    <xf numFmtId="0" fontId="2" fillId="7" borderId="3" xfId="0" applyFont="1" applyFill="1" applyBorder="1" applyAlignment="1">
      <alignment horizontal="center" vertical="center" textRotation="90" wrapText="1"/>
    </xf>
    <xf numFmtId="0" fontId="2" fillId="7" borderId="4"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11"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2" fillId="15" borderId="0" xfId="0" applyFont="1" applyFill="1" applyAlignment="1">
      <alignment horizontal="center"/>
    </xf>
    <xf numFmtId="0" fontId="23" fillId="16" borderId="7" xfId="0" applyFont="1" applyFill="1" applyBorder="1" applyAlignment="1" applyProtection="1">
      <alignment horizontal="left" vertical="center"/>
      <protection locked="0"/>
    </xf>
    <xf numFmtId="0" fontId="23" fillId="16" borderId="2" xfId="0" applyFont="1" applyFill="1" applyBorder="1" applyAlignment="1" applyProtection="1">
      <alignment horizontal="left" vertical="center"/>
      <protection locked="0"/>
    </xf>
    <xf numFmtId="0" fontId="23" fillId="18" borderId="1" xfId="0" applyFont="1" applyFill="1" applyBorder="1" applyAlignment="1" applyProtection="1">
      <alignment horizontal="left" vertical="center"/>
      <protection locked="0"/>
    </xf>
    <xf numFmtId="0" fontId="23" fillId="18" borderId="2" xfId="0" applyFont="1" applyFill="1" applyBorder="1" applyAlignment="1" applyProtection="1">
      <alignment horizontal="left" vertical="center"/>
      <protection locked="0"/>
    </xf>
    <xf numFmtId="15" fontId="23" fillId="18" borderId="7" xfId="0" quotePrefix="1" applyNumberFormat="1" applyFont="1" applyFill="1" applyBorder="1" applyAlignment="1" applyProtection="1">
      <alignment horizontal="left" vertical="center"/>
      <protection locked="0"/>
    </xf>
    <xf numFmtId="0" fontId="23" fillId="18" borderId="7" xfId="0" applyFont="1" applyFill="1" applyBorder="1" applyAlignment="1" applyProtection="1">
      <alignment horizontal="left" vertical="center"/>
      <protection locked="0"/>
    </xf>
    <xf numFmtId="0" fontId="23" fillId="16" borderId="8" xfId="0" applyFont="1" applyFill="1" applyBorder="1" applyAlignment="1" applyProtection="1">
      <alignment horizontal="left" vertical="center" wrapText="1"/>
      <protection locked="0"/>
    </xf>
    <xf numFmtId="0" fontId="23" fillId="16" borderId="0" xfId="0" applyFont="1" applyFill="1" applyBorder="1" applyAlignment="1" applyProtection="1">
      <alignment horizontal="left" vertical="center" wrapText="1"/>
      <protection locked="0"/>
    </xf>
    <xf numFmtId="0" fontId="23" fillId="16" borderId="9" xfId="0" applyFont="1" applyFill="1" applyBorder="1" applyAlignment="1" applyProtection="1">
      <alignment horizontal="left" vertical="center" wrapText="1"/>
      <protection locked="0"/>
    </xf>
    <xf numFmtId="0" fontId="23" fillId="17" borderId="7" xfId="0" applyFont="1" applyFill="1" applyBorder="1" applyAlignment="1" applyProtection="1">
      <alignment horizontal="left" vertical="center"/>
      <protection locked="0"/>
    </xf>
    <xf numFmtId="0" fontId="23" fillId="17" borderId="2" xfId="0" applyFont="1" applyFill="1" applyBorder="1" applyAlignment="1" applyProtection="1">
      <alignment horizontal="left" vertical="center"/>
      <protection locked="0"/>
    </xf>
    <xf numFmtId="0" fontId="15" fillId="0" borderId="0" xfId="0" applyFont="1" applyFill="1" applyAlignment="1" applyProtection="1">
      <alignment horizontal="left" wrapText="1"/>
      <protection locked="0"/>
    </xf>
    <xf numFmtId="0" fontId="12" fillId="0" borderId="3" xfId="0" applyFont="1" applyBorder="1" applyAlignment="1" applyProtection="1">
      <alignment horizontal="center"/>
      <protection locked="0"/>
    </xf>
    <xf numFmtId="0" fontId="13" fillId="0" borderId="1" xfId="0" applyFont="1" applyBorder="1" applyAlignment="1" applyProtection="1">
      <alignment horizontal="center" vertical="center" wrapText="1"/>
      <protection locked="0"/>
    </xf>
    <xf numFmtId="0" fontId="13" fillId="0" borderId="7" xfId="0" applyFont="1" applyBorder="1" applyAlignment="1" applyProtection="1">
      <alignment horizontal="center" vertical="center" wrapText="1"/>
      <protection locked="0"/>
    </xf>
    <xf numFmtId="0" fontId="13" fillId="0" borderId="1" xfId="0" applyFont="1" applyBorder="1" applyAlignment="1" applyProtection="1">
      <alignment horizontal="left" vertical="center" wrapText="1"/>
      <protection locked="0"/>
    </xf>
    <xf numFmtId="0" fontId="13" fillId="0" borderId="7" xfId="0" applyFont="1" applyBorder="1" applyAlignment="1" applyProtection="1">
      <alignment horizontal="left" vertical="center" wrapText="1"/>
      <protection locked="0"/>
    </xf>
    <xf numFmtId="0" fontId="13" fillId="0" borderId="2" xfId="0" applyFont="1" applyBorder="1" applyAlignment="1" applyProtection="1">
      <alignment horizontal="left" vertical="center" wrapText="1"/>
      <protection locked="0"/>
    </xf>
    <xf numFmtId="0" fontId="11" fillId="0" borderId="0" xfId="0" applyFont="1" applyFill="1" applyAlignment="1" applyProtection="1">
      <alignment horizontal="left" vertical="top" wrapText="1"/>
      <protection locked="0"/>
    </xf>
    <xf numFmtId="0" fontId="12" fillId="0" borderId="3" xfId="0" applyFont="1" applyBorder="1" applyAlignment="1" applyProtection="1">
      <alignment horizontal="center" vertical="center" wrapText="1"/>
      <protection locked="0"/>
    </xf>
    <xf numFmtId="0" fontId="12" fillId="0" borderId="1" xfId="0" applyFont="1" applyBorder="1" applyAlignment="1" applyProtection="1">
      <alignment horizontal="left"/>
      <protection locked="0"/>
    </xf>
    <xf numFmtId="0" fontId="12" fillId="0" borderId="7" xfId="0" applyFont="1" applyBorder="1" applyAlignment="1" applyProtection="1">
      <alignment horizontal="left"/>
      <protection locked="0"/>
    </xf>
    <xf numFmtId="0" fontId="10" fillId="0" borderId="3" xfId="0" applyFont="1" applyBorder="1" applyAlignment="1" applyProtection="1">
      <alignment horizontal="left" vertical="center" wrapText="1"/>
      <protection locked="0"/>
    </xf>
    <xf numFmtId="0" fontId="12" fillId="0" borderId="3" xfId="0" applyFont="1" applyBorder="1" applyAlignment="1" applyProtection="1">
      <alignment horizontal="center" vertical="center"/>
      <protection locked="0"/>
    </xf>
    <xf numFmtId="0" fontId="12" fillId="0" borderId="3" xfId="0" applyFont="1" applyBorder="1" applyAlignment="1" applyProtection="1">
      <alignment horizontal="left"/>
      <protection locked="0"/>
    </xf>
    <xf numFmtId="0" fontId="12" fillId="0" borderId="2" xfId="0" applyFont="1" applyBorder="1" applyAlignment="1" applyProtection="1">
      <alignment horizontal="left"/>
      <protection locked="0"/>
    </xf>
    <xf numFmtId="0" fontId="2" fillId="0" borderId="3" xfId="0" applyFont="1" applyBorder="1" applyAlignment="1">
      <alignment horizontal="center"/>
    </xf>
    <xf numFmtId="0" fontId="2" fillId="0" borderId="3" xfId="0" applyFont="1" applyBorder="1" applyAlignment="1">
      <alignment horizontal="center" vertical="center"/>
    </xf>
    <xf numFmtId="0" fontId="16" fillId="0" borderId="1" xfId="0" applyFont="1" applyBorder="1" applyAlignment="1" applyProtection="1">
      <alignment horizontal="left" vertical="center" wrapText="1"/>
      <protection locked="0"/>
    </xf>
    <xf numFmtId="0" fontId="16" fillId="0" borderId="7" xfId="0" applyFont="1" applyBorder="1" applyAlignment="1" applyProtection="1">
      <alignment horizontal="left" vertical="center" wrapText="1"/>
      <protection locked="0"/>
    </xf>
    <xf numFmtId="0" fontId="16" fillId="0" borderId="2" xfId="0" applyFont="1" applyBorder="1" applyAlignment="1" applyProtection="1">
      <alignment horizontal="left" vertical="center" wrapText="1"/>
      <protection locked="0"/>
    </xf>
    <xf numFmtId="0" fontId="15" fillId="0" borderId="0" xfId="0" applyFont="1" applyFill="1" applyBorder="1" applyAlignment="1" applyProtection="1">
      <alignment horizontal="left" wrapText="1"/>
      <protection locked="0"/>
    </xf>
    <xf numFmtId="0" fontId="11" fillId="0" borderId="0" xfId="0" applyFont="1" applyFill="1" applyBorder="1" applyAlignment="1" applyProtection="1">
      <alignment horizontal="left" vertical="top" wrapText="1"/>
      <protection locked="0"/>
    </xf>
    <xf numFmtId="0" fontId="10" fillId="0" borderId="4" xfId="0" applyFont="1" applyBorder="1" applyAlignment="1" applyProtection="1">
      <alignment horizontal="left" vertical="center" wrapText="1"/>
      <protection locked="0"/>
    </xf>
    <xf numFmtId="0" fontId="10" fillId="0" borderId="8" xfId="0" applyFont="1" applyBorder="1" applyAlignment="1" applyProtection="1">
      <alignment horizontal="left" vertical="center" wrapText="1"/>
      <protection locked="0"/>
    </xf>
    <xf numFmtId="0" fontId="10" fillId="0" borderId="6" xfId="0" applyFont="1" applyBorder="1" applyAlignment="1" applyProtection="1">
      <alignment horizontal="left" vertical="center" wrapText="1"/>
      <protection locked="0"/>
    </xf>
    <xf numFmtId="0" fontId="10" fillId="0" borderId="9" xfId="0" applyFont="1" applyBorder="1" applyAlignment="1" applyProtection="1">
      <alignment horizontal="left" vertical="center" wrapText="1"/>
      <protection locked="0"/>
    </xf>
    <xf numFmtId="0" fontId="16" fillId="0" borderId="1" xfId="0" applyFont="1" applyBorder="1" applyAlignment="1" applyProtection="1">
      <alignment horizontal="left" vertical="top" wrapText="1"/>
      <protection locked="0"/>
    </xf>
    <xf numFmtId="0" fontId="16" fillId="0" borderId="7" xfId="0" applyFont="1" applyBorder="1" applyAlignment="1" applyProtection="1">
      <alignment horizontal="left" vertical="top" wrapText="1"/>
      <protection locked="0"/>
    </xf>
    <xf numFmtId="0" fontId="16" fillId="0" borderId="2" xfId="0" applyFont="1" applyBorder="1" applyAlignment="1" applyProtection="1">
      <alignment horizontal="left" vertical="top" wrapText="1"/>
      <protection locked="0"/>
    </xf>
    <xf numFmtId="0" fontId="18" fillId="0" borderId="1" xfId="0" applyFont="1" applyBorder="1" applyAlignment="1" applyProtection="1">
      <alignment horizontal="center" vertical="center" wrapText="1"/>
      <protection locked="0"/>
    </xf>
    <xf numFmtId="0" fontId="18" fillId="0" borderId="2" xfId="0" applyFont="1" applyBorder="1" applyAlignment="1" applyProtection="1">
      <alignment horizontal="center" vertical="center" wrapText="1"/>
      <protection locked="0"/>
    </xf>
    <xf numFmtId="0" fontId="19" fillId="0" borderId="1" xfId="0" applyFont="1" applyBorder="1" applyAlignment="1" applyProtection="1">
      <alignment horizontal="left" vertical="center" wrapText="1"/>
      <protection locked="0"/>
    </xf>
    <xf numFmtId="0" fontId="19" fillId="0" borderId="7" xfId="0" applyFont="1" applyBorder="1" applyAlignment="1" applyProtection="1">
      <alignment horizontal="left" vertical="center" wrapText="1"/>
      <protection locked="0"/>
    </xf>
    <xf numFmtId="0" fontId="19" fillId="0" borderId="2" xfId="0" applyFont="1" applyBorder="1" applyAlignment="1" applyProtection="1">
      <alignment horizontal="left" vertical="center" wrapText="1"/>
      <protection locked="0"/>
    </xf>
    <xf numFmtId="0" fontId="21" fillId="0" borderId="0" xfId="0" applyFont="1" applyBorder="1" applyAlignment="1" applyProtection="1">
      <alignment horizontal="center"/>
      <protection locked="0"/>
    </xf>
    <xf numFmtId="0" fontId="10" fillId="0" borderId="3" xfId="0" applyFont="1" applyBorder="1" applyAlignment="1" applyProtection="1">
      <alignment horizontal="center" vertical="center" wrapText="1"/>
      <protection locked="0"/>
    </xf>
    <xf numFmtId="0" fontId="10" fillId="0" borderId="3" xfId="0" applyFont="1" applyBorder="1" applyAlignment="1" applyProtection="1">
      <alignment horizontal="left" vertical="center"/>
      <protection locked="0"/>
    </xf>
    <xf numFmtId="0" fontId="20" fillId="0" borderId="1" xfId="0" applyFont="1" applyFill="1" applyBorder="1" applyAlignment="1" applyProtection="1">
      <alignment horizontal="center" vertical="center" wrapText="1"/>
      <protection locked="0"/>
    </xf>
    <xf numFmtId="0" fontId="20" fillId="0" borderId="7" xfId="0" applyFont="1" applyFill="1" applyBorder="1" applyAlignment="1" applyProtection="1">
      <alignment horizontal="center" vertical="center" wrapText="1"/>
      <protection locked="0"/>
    </xf>
    <xf numFmtId="0" fontId="20" fillId="0" borderId="2" xfId="0" applyFont="1" applyFill="1" applyBorder="1" applyAlignment="1" applyProtection="1">
      <alignment horizontal="center" vertical="center" wrapText="1"/>
      <protection locked="0"/>
    </xf>
    <xf numFmtId="0" fontId="15" fillId="0" borderId="1" xfId="0" applyFont="1" applyFill="1" applyBorder="1" applyAlignment="1" applyProtection="1">
      <alignment horizontal="left" vertical="top" wrapText="1"/>
      <protection locked="0"/>
    </xf>
    <xf numFmtId="0" fontId="15" fillId="0" borderId="7" xfId="0" applyFont="1" applyFill="1" applyBorder="1" applyAlignment="1" applyProtection="1">
      <alignment horizontal="left" vertical="top" wrapText="1"/>
      <protection locked="0"/>
    </xf>
    <xf numFmtId="0" fontId="15" fillId="0" borderId="2" xfId="0" applyFont="1" applyFill="1" applyBorder="1" applyAlignment="1" applyProtection="1">
      <alignment horizontal="left" vertical="top" wrapText="1"/>
      <protection locked="0"/>
    </xf>
    <xf numFmtId="0" fontId="11" fillId="0" borderId="1" xfId="0" applyFont="1" applyFill="1" applyBorder="1" applyAlignment="1" applyProtection="1">
      <alignment horizontal="left" vertical="center"/>
      <protection locked="0"/>
    </xf>
    <xf numFmtId="0" fontId="11" fillId="0" borderId="7" xfId="0" applyFont="1" applyFill="1" applyBorder="1" applyAlignment="1" applyProtection="1">
      <alignment horizontal="left" vertical="center"/>
      <protection locked="0"/>
    </xf>
    <xf numFmtId="0" fontId="15" fillId="0" borderId="7" xfId="0" applyFont="1" applyFill="1" applyBorder="1" applyAlignment="1" applyProtection="1">
      <alignment horizontal="left" vertical="center"/>
      <protection locked="0"/>
    </xf>
    <xf numFmtId="0" fontId="15" fillId="0" borderId="2" xfId="0" applyFont="1" applyFill="1" applyBorder="1" applyAlignment="1" applyProtection="1">
      <alignment horizontal="left" vertical="center"/>
      <protection locked="0"/>
    </xf>
    <xf numFmtId="0" fontId="10" fillId="0" borderId="0" xfId="0" applyFont="1" applyFill="1" applyAlignment="1" applyProtection="1">
      <alignment horizontal="center" vertical="center"/>
      <protection locked="0"/>
    </xf>
    <xf numFmtId="0" fontId="10" fillId="0" borderId="10" xfId="0" applyFont="1" applyBorder="1" applyAlignment="1" applyProtection="1">
      <alignment horizontal="center" vertical="center"/>
      <protection locked="0"/>
    </xf>
    <xf numFmtId="0" fontId="10" fillId="0" borderId="11" xfId="0" applyFont="1" applyBorder="1" applyAlignment="1" applyProtection="1">
      <alignment horizontal="center" vertical="center"/>
      <protection locked="0"/>
    </xf>
    <xf numFmtId="0" fontId="13" fillId="0" borderId="0" xfId="0" applyFont="1" applyFill="1" applyAlignment="1" applyProtection="1">
      <alignment horizontal="center" vertical="center"/>
      <protection locked="0"/>
    </xf>
    <xf numFmtId="0" fontId="12" fillId="0" borderId="0" xfId="0" applyFont="1" applyFill="1" applyAlignment="1" applyProtection="1">
      <alignment horizontal="center" vertical="center"/>
      <protection locked="0"/>
    </xf>
    <xf numFmtId="0" fontId="10" fillId="0" borderId="0" xfId="0" applyFont="1" applyFill="1" applyBorder="1" applyAlignment="1" applyProtection="1">
      <alignment horizontal="center" vertical="center"/>
      <protection locked="0"/>
    </xf>
    <xf numFmtId="0" fontId="12" fillId="0" borderId="1" xfId="0" applyFont="1" applyBorder="1" applyAlignment="1" applyProtection="1">
      <alignment horizontal="center" vertical="center" wrapText="1"/>
      <protection locked="0"/>
    </xf>
    <xf numFmtId="0" fontId="12" fillId="0" borderId="7" xfId="0" applyFont="1" applyBorder="1" applyAlignment="1" applyProtection="1">
      <alignment horizontal="center" vertical="center" wrapText="1"/>
      <protection locked="0"/>
    </xf>
    <xf numFmtId="0" fontId="10" fillId="0" borderId="3" xfId="0" applyFont="1" applyBorder="1" applyAlignment="1" applyProtection="1">
      <alignment horizontal="center" vertical="center"/>
      <protection locked="0"/>
    </xf>
    <xf numFmtId="0" fontId="0" fillId="0" borderId="3" xfId="0" applyBorder="1" applyAlignment="1">
      <alignment horizontal="center" vertical="center"/>
    </xf>
    <xf numFmtId="0" fontId="0" fillId="0" borderId="3" xfId="0" applyBorder="1" applyAlignment="1">
      <alignment horizontal="center"/>
    </xf>
    <xf numFmtId="0" fontId="11" fillId="14" borderId="0" xfId="0" applyFont="1" applyFill="1" applyBorder="1" applyAlignment="1" applyProtection="1">
      <alignment horizontal="center" vertical="center"/>
    </xf>
    <xf numFmtId="0" fontId="10" fillId="0" borderId="15" xfId="0" applyFont="1" applyBorder="1" applyAlignment="1">
      <alignment horizontal="left" vertical="center" wrapText="1"/>
    </xf>
    <xf numFmtId="0" fontId="10" fillId="0" borderId="16" xfId="0" applyFont="1" applyBorder="1" applyAlignment="1">
      <alignment horizontal="left" vertical="center" wrapText="1"/>
    </xf>
    <xf numFmtId="0" fontId="10" fillId="0" borderId="18" xfId="0" applyFont="1" applyBorder="1" applyAlignment="1">
      <alignment horizontal="left" vertical="center" wrapText="1"/>
    </xf>
    <xf numFmtId="0" fontId="10" fillId="0" borderId="17" xfId="0" applyFont="1" applyBorder="1" applyAlignment="1">
      <alignment horizontal="left" vertical="center" wrapText="1"/>
    </xf>
    <xf numFmtId="0" fontId="10" fillId="0" borderId="0" xfId="0" applyFont="1" applyBorder="1" applyAlignment="1">
      <alignment horizontal="left" vertical="center" wrapText="1"/>
    </xf>
    <xf numFmtId="0" fontId="10" fillId="0" borderId="19" xfId="0" applyFont="1" applyBorder="1" applyAlignment="1">
      <alignment horizontal="left" vertical="center" wrapText="1"/>
    </xf>
    <xf numFmtId="0" fontId="10" fillId="0" borderId="0" xfId="0" applyFont="1" applyBorder="1" applyAlignment="1" applyProtection="1">
      <alignment horizontal="center"/>
      <protection locked="0"/>
    </xf>
    <xf numFmtId="0" fontId="13" fillId="0" borderId="0" xfId="0" applyFont="1" applyFill="1" applyBorder="1" applyAlignment="1" applyProtection="1">
      <alignment horizontal="center" vertical="center"/>
      <protection locked="0"/>
    </xf>
    <xf numFmtId="0" fontId="12" fillId="0" borderId="0" xfId="0" applyFont="1" applyBorder="1" applyAlignment="1" applyProtection="1">
      <alignment horizontal="center"/>
      <protection locked="0"/>
    </xf>
    <xf numFmtId="0" fontId="21" fillId="0" borderId="0" xfId="0" applyFont="1" applyFill="1" applyBorder="1" applyAlignment="1" applyProtection="1">
      <alignment horizontal="center"/>
      <protection locked="0"/>
    </xf>
    <xf numFmtId="0" fontId="2" fillId="8" borderId="7" xfId="0" applyFont="1" applyFill="1" applyBorder="1" applyAlignment="1">
      <alignment horizontal="center"/>
    </xf>
    <xf numFmtId="0" fontId="2" fillId="11" borderId="3" xfId="0" applyFont="1" applyFill="1" applyBorder="1" applyAlignment="1">
      <alignment horizontal="center"/>
    </xf>
    <xf numFmtId="0" fontId="2" fillId="8" borderId="1" xfId="0" applyFont="1" applyFill="1" applyBorder="1" applyAlignment="1">
      <alignment horizontal="center"/>
    </xf>
    <xf numFmtId="0" fontId="2" fillId="12" borderId="3" xfId="0" applyFont="1" applyFill="1" applyBorder="1" applyAlignment="1">
      <alignment horizontal="center"/>
    </xf>
    <xf numFmtId="0" fontId="2" fillId="8" borderId="2"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9" fillId="8"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8" borderId="1" xfId="0" applyFont="1" applyFill="1" applyBorder="1" applyAlignment="1">
      <alignment horizontal="center" vertical="center"/>
    </xf>
    <xf numFmtId="0" fontId="2" fillId="8" borderId="7" xfId="0" applyFont="1" applyFill="1" applyBorder="1" applyAlignment="1">
      <alignment horizontal="center" vertical="center"/>
    </xf>
    <xf numFmtId="0" fontId="2" fillId="8" borderId="2" xfId="0" applyFont="1" applyFill="1" applyBorder="1" applyAlignment="1">
      <alignment horizontal="center" vertical="center"/>
    </xf>
    <xf numFmtId="0" fontId="2" fillId="11" borderId="1" xfId="0" applyFont="1" applyFill="1" applyBorder="1" applyAlignment="1">
      <alignment horizontal="center" vertical="center"/>
    </xf>
    <xf numFmtId="0" fontId="2" fillId="11" borderId="7" xfId="0" applyFont="1" applyFill="1" applyBorder="1" applyAlignment="1">
      <alignment horizontal="center" vertical="center"/>
    </xf>
    <xf numFmtId="0" fontId="2" fillId="11" borderId="2"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12" borderId="1" xfId="0" applyFont="1" applyFill="1" applyBorder="1" applyAlignment="1">
      <alignment horizontal="center" vertical="center"/>
    </xf>
    <xf numFmtId="0" fontId="2" fillId="12" borderId="7" xfId="0" applyFont="1" applyFill="1" applyBorder="1" applyAlignment="1">
      <alignment horizontal="center" vertical="center"/>
    </xf>
    <xf numFmtId="0" fontId="2" fillId="12" borderId="2" xfId="0" applyFont="1" applyFill="1" applyBorder="1" applyAlignment="1">
      <alignment horizontal="center" vertical="center"/>
    </xf>
    <xf numFmtId="0" fontId="2" fillId="7" borderId="6" xfId="0" applyFont="1" applyFill="1" applyBorder="1" applyAlignment="1">
      <alignment horizontal="center" vertical="center" wrapText="1"/>
    </xf>
    <xf numFmtId="0" fontId="2" fillId="13"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4" fillId="0" borderId="0" xfId="0" applyFont="1" applyAlignment="1" applyProtection="1">
      <alignment horizontal="center"/>
    </xf>
    <xf numFmtId="0" fontId="0" fillId="5" borderId="3" xfId="0" applyFill="1" applyBorder="1" applyAlignment="1">
      <alignment horizontal="center" vertical="center"/>
    </xf>
    <xf numFmtId="0" fontId="2" fillId="5" borderId="3" xfId="0" applyFont="1" applyFill="1" applyBorder="1" applyAlignment="1">
      <alignment horizontal="center"/>
    </xf>
    <xf numFmtId="0" fontId="2" fillId="5" borderId="3" xfId="0" applyFont="1" applyFill="1" applyBorder="1" applyAlignment="1">
      <alignment horizontal="center" vertical="center"/>
    </xf>
    <xf numFmtId="0" fontId="0" fillId="2" borderId="1" xfId="0" applyFill="1" applyBorder="1" applyAlignment="1">
      <alignment horizontal="center"/>
    </xf>
    <xf numFmtId="0" fontId="0" fillId="2" borderId="2" xfId="0" applyFill="1" applyBorder="1" applyAlignment="1">
      <alignment horizontal="center"/>
    </xf>
    <xf numFmtId="0" fontId="0" fillId="2" borderId="0" xfId="0" applyFill="1" applyAlignment="1">
      <alignment horizontal="center"/>
    </xf>
  </cellXfs>
  <cellStyles count="11">
    <cellStyle name="Currency [0] 2" xfId="1"/>
    <cellStyle name="Normal" xfId="0" builtinId="0"/>
    <cellStyle name="Normal 2" xfId="2"/>
    <cellStyle name="Normal 2 2" xfId="3"/>
    <cellStyle name="Normal 2 3" xfId="4"/>
    <cellStyle name="Normal 2 4" xfId="5"/>
    <cellStyle name="Normal 3" xfId="9"/>
    <cellStyle name="Normal 4" xfId="8"/>
    <cellStyle name="Normal 4 2" xfId="7"/>
    <cellStyle name="Normal 5" xfId="10"/>
    <cellStyle name="Percent 2" xfId="6"/>
  </cellStyles>
  <dxfs count="31">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fill>
        <patternFill patternType="solid">
          <bgColor theme="0"/>
        </patternFill>
      </fill>
    </dxf>
    <dxf>
      <font>
        <color theme="0"/>
      </font>
      <fill>
        <patternFill patternType="solid">
          <bgColor theme="0"/>
        </patternFill>
      </fill>
    </dxf>
    <dxf>
      <font>
        <color theme="0"/>
      </font>
      <fill>
        <patternFill patternType="solid">
          <bgColor theme="0"/>
        </patternFill>
      </fill>
    </dxf>
    <dxf>
      <font>
        <color theme="0"/>
      </font>
      <fill>
        <patternFill patternType="solid">
          <bgColor theme="0"/>
        </patternFill>
      </fill>
    </dxf>
    <dxf>
      <font>
        <color theme="0"/>
      </font>
      <fill>
        <patternFill patternType="solid">
          <bgColor theme="0"/>
        </patternFill>
      </fill>
    </dxf>
    <dxf>
      <font>
        <color theme="0"/>
      </font>
      <fill>
        <patternFill patternType="solid">
          <bgColor theme="0"/>
        </patternFill>
      </fill>
    </dxf>
    <dxf>
      <font>
        <color theme="0"/>
      </font>
      <fill>
        <patternFill patternType="solid">
          <bgColor theme="0"/>
        </patternFill>
      </fill>
    </dxf>
    <dxf>
      <font>
        <color theme="0"/>
      </font>
      <fill>
        <patternFill patternType="solid">
          <bgColor theme="0"/>
        </patternFill>
      </fill>
    </dxf>
    <dxf>
      <font>
        <color theme="0"/>
      </font>
    </dxf>
    <dxf>
      <font>
        <color theme="0"/>
      </font>
    </dxf>
    <dxf>
      <font>
        <color theme="0"/>
      </font>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s>
  <tableStyles count="0" defaultTableStyle="TableStyleMedium2" defaultPivotStyle="PivotStyleLight16"/>
  <colors>
    <mruColors>
      <color rgb="FF00FF00"/>
      <color rgb="FF23ECF1"/>
      <color rgb="FF808080"/>
      <color rgb="FFE923DB"/>
      <color rgb="FF8A19E7"/>
      <color rgb="FFFDFD2F"/>
      <color rgb="FFF39125"/>
      <color rgb="FFE92323"/>
      <color rgb="FFE719CE"/>
      <color rgb="FF6B20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Drop" dropLines="40" dropStyle="combo" dx="16" fmlaLink="$J$1" fmlaRange="Legger!$B$9:$B$48" sel="31" val="0"/>
</file>

<file path=xl/drawings/_rels/drawing1.xml.rels><?xml version="1.0" encoding="UTF-8" standalone="yes"?>
<Relationships xmlns="http://schemas.openxmlformats.org/package/2006/relationships"><Relationship Id="rId8" Type="http://schemas.openxmlformats.org/officeDocument/2006/relationships/hyperlink" Target="#'Catatan Sikap'!A1"/><Relationship Id="rId3" Type="http://schemas.openxmlformats.org/officeDocument/2006/relationships/hyperlink" Target="#'Input Ekstra'!A1"/><Relationship Id="rId7" Type="http://schemas.openxmlformats.org/officeDocument/2006/relationships/hyperlink" Target="#Legger!A1"/><Relationship Id="rId12" Type="http://schemas.openxmlformats.org/officeDocument/2006/relationships/image" Target="../media/image3.jpeg"/><Relationship Id="rId2" Type="http://schemas.openxmlformats.org/officeDocument/2006/relationships/image" Target="../media/image2.tiff"/><Relationship Id="rId1" Type="http://schemas.openxmlformats.org/officeDocument/2006/relationships/image" Target="../media/image1.jpeg"/><Relationship Id="rId6" Type="http://schemas.openxmlformats.org/officeDocument/2006/relationships/hyperlink" Target="#'Input Prestasi'!A1"/><Relationship Id="rId11" Type="http://schemas.openxmlformats.org/officeDocument/2006/relationships/hyperlink" Target="#'Legger Dinas'!A1"/><Relationship Id="rId5" Type="http://schemas.openxmlformats.org/officeDocument/2006/relationships/hyperlink" Target="#'Input Kehadiran'!A1"/><Relationship Id="rId10" Type="http://schemas.openxmlformats.org/officeDocument/2006/relationships/hyperlink" Target="#Raport!A1"/><Relationship Id="rId4" Type="http://schemas.openxmlformats.org/officeDocument/2006/relationships/hyperlink" Target="#'Input Nilai Sikap dan Catatan'!A1"/><Relationship Id="rId9" Type="http://schemas.openxmlformats.org/officeDocument/2006/relationships/hyperlink" Target="#Setting!A1"/></Relationships>
</file>

<file path=xl/drawings/_rels/drawing10.xml.rels><?xml version="1.0" encoding="UTF-8" standalone="yes"?>
<Relationships xmlns="http://schemas.openxmlformats.org/package/2006/relationships"><Relationship Id="rId1" Type="http://schemas.openxmlformats.org/officeDocument/2006/relationships/hyperlink" Target="#Home!A1"/></Relationships>
</file>

<file path=xl/drawings/_rels/drawing11.xml.rels><?xml version="1.0" encoding="UTF-8" standalone="yes"?>
<Relationships xmlns="http://schemas.openxmlformats.org/package/2006/relationships"><Relationship Id="rId1" Type="http://schemas.openxmlformats.org/officeDocument/2006/relationships/hyperlink" Target="#Home!A1"/></Relationships>
</file>

<file path=xl/drawings/_rels/drawing12.xml.rels><?xml version="1.0" encoding="UTF-8" standalone="yes"?>
<Relationships xmlns="http://schemas.openxmlformats.org/package/2006/relationships"><Relationship Id="rId1" Type="http://schemas.openxmlformats.org/officeDocument/2006/relationships/hyperlink" Target="#HOME!A1"/></Relationships>
</file>

<file path=xl/drawings/_rels/drawing2.xml.rels><?xml version="1.0" encoding="UTF-8" standalone="yes"?>
<Relationships xmlns="http://schemas.openxmlformats.org/package/2006/relationships"><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2" Type="http://schemas.openxmlformats.org/officeDocument/2006/relationships/hyperlink" Target="#Home!A1"/><Relationship Id="rId1" Type="http://schemas.openxmlformats.org/officeDocument/2006/relationships/hyperlink" Target="#Legger!A1"/></Relationships>
</file>

<file path=xl/drawings/_rels/drawing6.xml.rels><?xml version="1.0" encoding="UTF-8" standalone="yes"?>
<Relationships xmlns="http://schemas.openxmlformats.org/package/2006/relationships"><Relationship Id="rId8" Type="http://schemas.openxmlformats.org/officeDocument/2006/relationships/hyperlink" Target="#Legger!AT9"/><Relationship Id="rId13" Type="http://schemas.openxmlformats.org/officeDocument/2006/relationships/hyperlink" Target="#Legger!BX9"/><Relationship Id="rId18" Type="http://schemas.openxmlformats.org/officeDocument/2006/relationships/hyperlink" Target="#Home!A1"/><Relationship Id="rId3" Type="http://schemas.openxmlformats.org/officeDocument/2006/relationships/hyperlink" Target="#Legger!P9"/><Relationship Id="rId7" Type="http://schemas.openxmlformats.org/officeDocument/2006/relationships/hyperlink" Target="#Legger!AN9"/><Relationship Id="rId12" Type="http://schemas.openxmlformats.org/officeDocument/2006/relationships/hyperlink" Target="#Legger!BR9"/><Relationship Id="rId17" Type="http://schemas.openxmlformats.org/officeDocument/2006/relationships/hyperlink" Target="#Legger!CV9"/><Relationship Id="rId2" Type="http://schemas.openxmlformats.org/officeDocument/2006/relationships/hyperlink" Target="#Legger!J9"/><Relationship Id="rId16" Type="http://schemas.openxmlformats.org/officeDocument/2006/relationships/hyperlink" Target="#Legger!CP9"/><Relationship Id="rId1" Type="http://schemas.openxmlformats.org/officeDocument/2006/relationships/hyperlink" Target="#raport!A1"/><Relationship Id="rId6" Type="http://schemas.openxmlformats.org/officeDocument/2006/relationships/hyperlink" Target="#Legger!AH9"/><Relationship Id="rId11" Type="http://schemas.openxmlformats.org/officeDocument/2006/relationships/hyperlink" Target="#Legger!BL9"/><Relationship Id="rId5" Type="http://schemas.openxmlformats.org/officeDocument/2006/relationships/hyperlink" Target="#Legger!AB9"/><Relationship Id="rId15" Type="http://schemas.openxmlformats.org/officeDocument/2006/relationships/hyperlink" Target="#Legger!CJ9"/><Relationship Id="rId10" Type="http://schemas.openxmlformats.org/officeDocument/2006/relationships/hyperlink" Target="#Legger!BF9"/><Relationship Id="rId4" Type="http://schemas.openxmlformats.org/officeDocument/2006/relationships/hyperlink" Target="#Legger!V9"/><Relationship Id="rId9" Type="http://schemas.openxmlformats.org/officeDocument/2006/relationships/hyperlink" Target="#Legger!AZ9"/><Relationship Id="rId14" Type="http://schemas.openxmlformats.org/officeDocument/2006/relationships/hyperlink" Target="#Legger!CD9"/></Relationships>
</file>

<file path=xl/drawings/_rels/drawing7.xml.rels><?xml version="1.0" encoding="UTF-8" standalone="yes"?>
<Relationships xmlns="http://schemas.openxmlformats.org/package/2006/relationships"><Relationship Id="rId1" Type="http://schemas.openxmlformats.org/officeDocument/2006/relationships/hyperlink" Target="#Home!A1"/></Relationships>
</file>

<file path=xl/drawings/_rels/drawing8.xml.rels><?xml version="1.0" encoding="UTF-8" standalone="yes"?>
<Relationships xmlns="http://schemas.openxmlformats.org/package/2006/relationships"><Relationship Id="rId1" Type="http://schemas.openxmlformats.org/officeDocument/2006/relationships/hyperlink" Target="#Home!A1"/></Relationships>
</file>

<file path=xl/drawings/_rels/drawing9.xml.rels><?xml version="1.0" encoding="UTF-8" standalone="yes"?>
<Relationships xmlns="http://schemas.openxmlformats.org/package/2006/relationships"><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xdr:from>
      <xdr:col>2</xdr:col>
      <xdr:colOff>211668</xdr:colOff>
      <xdr:row>0</xdr:row>
      <xdr:rowOff>178594</xdr:rowOff>
    </xdr:from>
    <xdr:to>
      <xdr:col>7</xdr:col>
      <xdr:colOff>428627</xdr:colOff>
      <xdr:row>25</xdr:row>
      <xdr:rowOff>0</xdr:rowOff>
    </xdr:to>
    <xdr:sp macro="" textlink="">
      <xdr:nvSpPr>
        <xdr:cNvPr id="52" name="Rounded Rectangle 51">
          <a:extLst>
            <a:ext uri="{FF2B5EF4-FFF2-40B4-BE49-F238E27FC236}">
              <a16:creationId xmlns:a16="http://schemas.microsoft.com/office/drawing/2014/main" id="{00000000-0008-0000-0000-000034000000}"/>
            </a:ext>
          </a:extLst>
        </xdr:cNvPr>
        <xdr:cNvSpPr/>
      </xdr:nvSpPr>
      <xdr:spPr>
        <a:xfrm>
          <a:off x="1604645" y="178435"/>
          <a:ext cx="3667125" cy="4345940"/>
        </a:xfrm>
        <a:prstGeom prst="roundRect">
          <a:avLst/>
        </a:prstGeom>
        <a:blipFill>
          <a:blip xmlns:r="http://schemas.openxmlformats.org/officeDocument/2006/relationships" r:embed="rId1"/>
          <a:tile tx="0" ty="0" sx="100000" sy="100000" flip="none" algn="tl"/>
        </a:blipFill>
        <a:ln>
          <a:no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id-ID" sz="1100">
            <a:ln>
              <a:solidFill>
                <a:schemeClr val="tx1"/>
              </a:solidFill>
              <a:prstDash val="solid"/>
            </a:ln>
          </a:endParaRPr>
        </a:p>
      </xdr:txBody>
    </xdr:sp>
    <xdr:clientData/>
  </xdr:twoCellAnchor>
  <xdr:twoCellAnchor>
    <xdr:from>
      <xdr:col>2</xdr:col>
      <xdr:colOff>331258</xdr:colOff>
      <xdr:row>14</xdr:row>
      <xdr:rowOff>116417</xdr:rowOff>
    </xdr:from>
    <xdr:to>
      <xdr:col>7</xdr:col>
      <xdr:colOff>331258</xdr:colOff>
      <xdr:row>20</xdr:row>
      <xdr:rowOff>0</xdr:rowOff>
    </xdr:to>
    <xdr:sp macro="" textlink="">
      <xdr:nvSpPr>
        <xdr:cNvPr id="53" name="Rectangle 52">
          <a:extLst>
            <a:ext uri="{FF2B5EF4-FFF2-40B4-BE49-F238E27FC236}">
              <a16:creationId xmlns:a16="http://schemas.microsoft.com/office/drawing/2014/main" id="{00000000-0008-0000-0000-000035000000}"/>
            </a:ext>
          </a:extLst>
        </xdr:cNvPr>
        <xdr:cNvSpPr/>
      </xdr:nvSpPr>
      <xdr:spPr>
        <a:xfrm>
          <a:off x="1724025" y="2649855"/>
          <a:ext cx="3449955" cy="969645"/>
        </a:xfrm>
        <a:prstGeom prst="rect">
          <a:avLst/>
        </a:prstGeom>
        <a:noFill/>
        <a:effectLst>
          <a:outerShdw blurRad="50800" dist="38100" dir="5400000" algn="t" rotWithShape="0">
            <a:prstClr val="black">
              <a:alpha val="40000"/>
            </a:prstClr>
          </a:outerShdw>
        </a:effectLst>
      </xdr:spPr>
      <xdr:txBody>
        <a:bodyPr wrap="none" lIns="91440" tIns="45720" rIns="91440" bIns="45720" anchor="ctr">
          <a:noAutofit/>
        </a:bodyPr>
        <a:lstStyle/>
        <a:p>
          <a:pPr algn="ctr"/>
          <a:r>
            <a:rPr lang="en-US" sz="2800" b="1" cap="none" spc="0">
              <a:ln w="10160">
                <a:noFill/>
                <a:prstDash val="solid"/>
              </a:ln>
              <a:solidFill>
                <a:srgbClr val="FFFFFF"/>
              </a:solidFill>
              <a:effectLst>
                <a:outerShdw blurRad="50800" dist="38100" dir="5400000" algn="t" rotWithShape="0">
                  <a:prstClr val="black">
                    <a:alpha val="40000"/>
                  </a:prstClr>
                </a:outerShdw>
              </a:effectLst>
              <a:latin typeface="Arial Black" panose="020B0A04020102020204" pitchFamily="34" charset="0"/>
            </a:rPr>
            <a:t>Legger </a:t>
          </a:r>
          <a:r>
            <a:rPr lang="en-US" sz="2800" b="1" cap="none" spc="0" baseline="0">
              <a:ln w="10160">
                <a:noFill/>
                <a:prstDash val="solid"/>
              </a:ln>
              <a:solidFill>
                <a:srgbClr val="FFFFFF"/>
              </a:solidFill>
              <a:effectLst>
                <a:outerShdw blurRad="50800" dist="38100" dir="5400000" algn="t" rotWithShape="0">
                  <a:prstClr val="black">
                    <a:alpha val="40000"/>
                  </a:prstClr>
                </a:outerShdw>
              </a:effectLst>
              <a:latin typeface="Arial Black" panose="020B0A04020102020204" pitchFamily="34" charset="0"/>
            </a:rPr>
            <a:t>Rapor</a:t>
          </a:r>
          <a:endParaRPr lang="id-ID" sz="2800" b="1" cap="none" spc="0" baseline="0">
            <a:ln w="10160">
              <a:noFill/>
              <a:prstDash val="solid"/>
            </a:ln>
            <a:solidFill>
              <a:srgbClr val="FFFFFF"/>
            </a:solidFill>
            <a:effectLst>
              <a:outerShdw blurRad="50800" dist="38100" dir="5400000" algn="t" rotWithShape="0">
                <a:prstClr val="black">
                  <a:alpha val="40000"/>
                </a:prstClr>
              </a:outerShdw>
            </a:effectLst>
            <a:latin typeface="Arial Black" panose="020B0A04020102020204" pitchFamily="34" charset="0"/>
          </a:endParaRPr>
        </a:p>
        <a:p>
          <a:pPr algn="ctr"/>
          <a:r>
            <a:rPr lang="en-US" sz="2800" b="1" cap="none" spc="0" baseline="0">
              <a:ln w="10160">
                <a:noFill/>
                <a:prstDash val="solid"/>
              </a:ln>
              <a:solidFill>
                <a:srgbClr val="FFFFFF"/>
              </a:solidFill>
              <a:effectLst>
                <a:outerShdw blurRad="50800" dist="38100" dir="5400000" algn="t" rotWithShape="0">
                  <a:prstClr val="black">
                    <a:alpha val="40000"/>
                  </a:prstClr>
                </a:outerShdw>
              </a:effectLst>
              <a:latin typeface="Arial Black" panose="020B0A04020102020204" pitchFamily="34" charset="0"/>
            </a:rPr>
            <a:t>Wali Kelas</a:t>
          </a:r>
          <a:endParaRPr lang="en-US" sz="2800" b="1" cap="none" spc="0">
            <a:ln w="10160">
              <a:noFill/>
              <a:prstDash val="solid"/>
            </a:ln>
            <a:solidFill>
              <a:srgbClr val="FFFFFF"/>
            </a:solidFill>
            <a:effectLst>
              <a:outerShdw blurRad="50800" dist="38100" dir="5400000" algn="t" rotWithShape="0">
                <a:prstClr val="black">
                  <a:alpha val="40000"/>
                </a:prstClr>
              </a:outerShdw>
            </a:effectLst>
            <a:latin typeface="Arial Black" panose="020B0A04020102020204" pitchFamily="34" charset="0"/>
          </a:endParaRPr>
        </a:p>
      </xdr:txBody>
    </xdr:sp>
    <xdr:clientData/>
  </xdr:twoCellAnchor>
  <xdr:twoCellAnchor>
    <xdr:from>
      <xdr:col>3</xdr:col>
      <xdr:colOff>190552</xdr:colOff>
      <xdr:row>2</xdr:row>
      <xdr:rowOff>164043</xdr:rowOff>
    </xdr:from>
    <xdr:to>
      <xdr:col>6</xdr:col>
      <xdr:colOff>464524</xdr:colOff>
      <xdr:row>13</xdr:row>
      <xdr:rowOff>58209</xdr:rowOff>
    </xdr:to>
    <xdr:pic>
      <xdr:nvPicPr>
        <xdr:cNvPr id="54" name="Picture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80285" y="525780"/>
          <a:ext cx="2330450" cy="1884680"/>
        </a:xfrm>
        <a:prstGeom prst="rect">
          <a:avLst/>
        </a:prstGeom>
        <a:noFill/>
        <a:ln>
          <a:noFill/>
        </a:ln>
        <a:effectLst>
          <a:outerShdw blurRad="190500" dist="38100" sx="103000" sy="103000" algn="l" rotWithShape="0">
            <a:schemeClr val="tx1"/>
          </a:outerShdw>
        </a:effectLst>
      </xdr:spPr>
    </xdr:pic>
    <xdr:clientData/>
  </xdr:twoCellAnchor>
  <xdr:twoCellAnchor>
    <xdr:from>
      <xdr:col>2</xdr:col>
      <xdr:colOff>332846</xdr:colOff>
      <xdr:row>20</xdr:row>
      <xdr:rowOff>71677</xdr:rowOff>
    </xdr:from>
    <xdr:to>
      <xdr:col>7</xdr:col>
      <xdr:colOff>332846</xdr:colOff>
      <xdr:row>23</xdr:row>
      <xdr:rowOff>21167</xdr:rowOff>
    </xdr:to>
    <xdr:sp macro="" textlink="">
      <xdr:nvSpPr>
        <xdr:cNvPr id="82" name="Rectangle 81">
          <a:extLst>
            <a:ext uri="{FF2B5EF4-FFF2-40B4-BE49-F238E27FC236}">
              <a16:creationId xmlns:a16="http://schemas.microsoft.com/office/drawing/2014/main" id="{00000000-0008-0000-0000-000052000000}"/>
            </a:ext>
          </a:extLst>
        </xdr:cNvPr>
        <xdr:cNvSpPr/>
      </xdr:nvSpPr>
      <xdr:spPr>
        <a:xfrm>
          <a:off x="1725930" y="3690620"/>
          <a:ext cx="3449955" cy="492760"/>
        </a:xfrm>
        <a:prstGeom prst="rect">
          <a:avLst/>
        </a:prstGeom>
        <a:noFill/>
        <a:effectLst>
          <a:outerShdw blurRad="50800" dist="38100" dir="5400000" algn="t" rotWithShape="0">
            <a:prstClr val="black">
              <a:alpha val="40000"/>
            </a:prstClr>
          </a:outerShdw>
        </a:effectLst>
      </xdr:spPr>
      <xdr:txBody>
        <a:bodyPr wrap="none" lIns="91440" tIns="45720" rIns="91440" bIns="45720" anchor="ctr">
          <a:noAutofit/>
        </a:bodyPr>
        <a:lstStyle/>
        <a:p>
          <a:pPr marL="0" indent="0" algn="ctr"/>
          <a:r>
            <a:rPr lang="en-US" sz="2000" b="1" cap="none" spc="0">
              <a:ln w="10160">
                <a:noFill/>
                <a:prstDash val="solid"/>
              </a:ln>
              <a:solidFill>
                <a:srgbClr val="FFFFFF"/>
              </a:solidFill>
              <a:effectLst>
                <a:outerShdw blurRad="50800" dist="38100" dir="5400000" algn="t" rotWithShape="0">
                  <a:prstClr val="black">
                    <a:alpha val="40000"/>
                  </a:prstClr>
                </a:outerShdw>
              </a:effectLst>
              <a:latin typeface="Arial Black" panose="020B0A04020102020204" pitchFamily="34" charset="0"/>
              <a:ea typeface="+mn-ea"/>
              <a:cs typeface="+mn-cs"/>
            </a:rPr>
            <a:t>SMA ABBS Surakarta</a:t>
          </a:r>
        </a:p>
      </xdr:txBody>
    </xdr:sp>
    <xdr:clientData/>
  </xdr:twoCellAnchor>
  <xdr:twoCellAnchor>
    <xdr:from>
      <xdr:col>8</xdr:col>
      <xdr:colOff>190491</xdr:colOff>
      <xdr:row>18</xdr:row>
      <xdr:rowOff>169335</xdr:rowOff>
    </xdr:from>
    <xdr:to>
      <xdr:col>17</xdr:col>
      <xdr:colOff>547688</xdr:colOff>
      <xdr:row>29</xdr:row>
      <xdr:rowOff>197721</xdr:rowOff>
    </xdr:to>
    <xdr:grpSp>
      <xdr:nvGrpSpPr>
        <xdr:cNvPr id="6" name="Group 5">
          <a:extLst>
            <a:ext uri="{FF2B5EF4-FFF2-40B4-BE49-F238E27FC236}">
              <a16:creationId xmlns:a16="http://schemas.microsoft.com/office/drawing/2014/main" id="{00000000-0008-0000-0000-000006000000}"/>
            </a:ext>
          </a:extLst>
        </xdr:cNvPr>
        <xdr:cNvGrpSpPr/>
      </xdr:nvGrpSpPr>
      <xdr:grpSpPr>
        <a:xfrm>
          <a:off x="5024429" y="3598335"/>
          <a:ext cx="6250790" cy="2159605"/>
          <a:chOff x="5079991" y="3503084"/>
          <a:chExt cx="6295000" cy="2155620"/>
        </a:xfrm>
      </xdr:grpSpPr>
      <xdr:sp macro="" textlink="">
        <xdr:nvSpPr>
          <xdr:cNvPr id="60" name="Hexagon 59">
            <a:hlinkClick xmlns:r="http://schemas.openxmlformats.org/officeDocument/2006/relationships" r:id="rId3"/>
            <a:extLst>
              <a:ext uri="{FF2B5EF4-FFF2-40B4-BE49-F238E27FC236}">
                <a16:creationId xmlns:a16="http://schemas.microsoft.com/office/drawing/2014/main" id="{00000000-0008-0000-0000-00003C000000}"/>
              </a:ext>
            </a:extLst>
          </xdr:cNvPr>
          <xdr:cNvSpPr/>
        </xdr:nvSpPr>
        <xdr:spPr>
          <a:xfrm>
            <a:off x="8800046" y="4265086"/>
            <a:ext cx="1280160" cy="640080"/>
          </a:xfrm>
          <a:prstGeom prst="hexagon">
            <a:avLst/>
          </a:prstGeom>
          <a:gradFill flip="none" rotWithShape="1">
            <a:gsLst>
              <a:gs pos="51000">
                <a:srgbClr val="00FF00"/>
              </a:gs>
              <a:gs pos="0">
                <a:srgbClr val="FDFD2F"/>
              </a:gs>
              <a:gs pos="100000">
                <a:schemeClr val="accent1">
                  <a:shade val="100000"/>
                  <a:satMod val="115000"/>
                </a:schemeClr>
              </a:gs>
            </a:gsLst>
            <a:lin ang="0" scaled="1"/>
            <a:tileRect/>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Nilai</a:t>
            </a:r>
            <a:r>
              <a:rPr lang="en-US" sz="1200" b="1" baseline="0">
                <a:solidFill>
                  <a:schemeClr val="bg1"/>
                </a:solidFill>
              </a:rPr>
              <a:t> Ekstra</a:t>
            </a:r>
            <a:endParaRPr lang="en-US" sz="1200" b="1">
              <a:solidFill>
                <a:schemeClr val="bg1"/>
              </a:solidFill>
            </a:endParaRPr>
          </a:p>
        </xdr:txBody>
      </xdr:sp>
      <xdr:sp macro="" textlink="">
        <xdr:nvSpPr>
          <xdr:cNvPr id="62" name="Hexagon 61">
            <a:hlinkClick xmlns:r="http://schemas.openxmlformats.org/officeDocument/2006/relationships" r:id="rId4"/>
            <a:extLst>
              <a:ext uri="{FF2B5EF4-FFF2-40B4-BE49-F238E27FC236}">
                <a16:creationId xmlns:a16="http://schemas.microsoft.com/office/drawing/2014/main" id="{00000000-0008-0000-0000-00003E000000}"/>
              </a:ext>
            </a:extLst>
          </xdr:cNvPr>
          <xdr:cNvSpPr/>
        </xdr:nvSpPr>
        <xdr:spPr>
          <a:xfrm>
            <a:off x="6360583" y="5003431"/>
            <a:ext cx="1280160" cy="640080"/>
          </a:xfrm>
          <a:prstGeom prst="hexagon">
            <a:avLst/>
          </a:prstGeom>
          <a:gradFill flip="none" rotWithShape="1">
            <a:gsLst>
              <a:gs pos="0">
                <a:srgbClr val="E92323"/>
              </a:gs>
              <a:gs pos="100000">
                <a:srgbClr val="F39125"/>
              </a:gs>
            </a:gsLst>
            <a:lin ang="0" scaled="1"/>
            <a:tileRect/>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Catatan</a:t>
            </a:r>
            <a:r>
              <a:rPr lang="en-US" sz="1200" b="1" baseline="0">
                <a:solidFill>
                  <a:schemeClr val="bg1"/>
                </a:solidFill>
              </a:rPr>
              <a:t> Walas</a:t>
            </a:r>
            <a:endParaRPr lang="en-US" sz="1200" b="1">
              <a:solidFill>
                <a:schemeClr val="bg1"/>
              </a:solidFill>
            </a:endParaRPr>
          </a:p>
        </xdr:txBody>
      </xdr:sp>
      <xdr:sp macro="" textlink="">
        <xdr:nvSpPr>
          <xdr:cNvPr id="19" name="Hexagon 18">
            <a:hlinkClick xmlns:r="http://schemas.openxmlformats.org/officeDocument/2006/relationships" r:id="rId5"/>
            <a:extLst>
              <a:ext uri="{FF2B5EF4-FFF2-40B4-BE49-F238E27FC236}">
                <a16:creationId xmlns:a16="http://schemas.microsoft.com/office/drawing/2014/main" id="{00000000-0008-0000-0000-000013000000}"/>
              </a:ext>
            </a:extLst>
          </xdr:cNvPr>
          <xdr:cNvSpPr/>
        </xdr:nvSpPr>
        <xdr:spPr>
          <a:xfrm>
            <a:off x="7577672" y="3878265"/>
            <a:ext cx="1280160" cy="640080"/>
          </a:xfrm>
          <a:prstGeom prst="hexagon">
            <a:avLst/>
          </a:prstGeom>
          <a:gradFill>
            <a:gsLst>
              <a:gs pos="100000">
                <a:srgbClr val="FDFD2F"/>
              </a:gs>
              <a:gs pos="0">
                <a:srgbClr val="F39125"/>
              </a:gs>
            </a:gsLst>
            <a:lin ang="0" scaled="1"/>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Kehadiran</a:t>
            </a:r>
          </a:p>
        </xdr:txBody>
      </xdr:sp>
      <xdr:sp macro="" textlink="">
        <xdr:nvSpPr>
          <xdr:cNvPr id="20" name="Hexagon 19">
            <a:hlinkClick xmlns:r="http://schemas.openxmlformats.org/officeDocument/2006/relationships" r:id="rId6"/>
            <a:extLst>
              <a:ext uri="{FF2B5EF4-FFF2-40B4-BE49-F238E27FC236}">
                <a16:creationId xmlns:a16="http://schemas.microsoft.com/office/drawing/2014/main" id="{00000000-0008-0000-0000-000014000000}"/>
              </a:ext>
            </a:extLst>
          </xdr:cNvPr>
          <xdr:cNvSpPr/>
        </xdr:nvSpPr>
        <xdr:spPr>
          <a:xfrm>
            <a:off x="8796604" y="3503084"/>
            <a:ext cx="1280160" cy="640080"/>
          </a:xfrm>
          <a:prstGeom prst="hexagon">
            <a:avLst/>
          </a:prstGeom>
          <a:gradFill flip="none" rotWithShape="1">
            <a:gsLst>
              <a:gs pos="51000">
                <a:srgbClr val="00FF00"/>
              </a:gs>
              <a:gs pos="0">
                <a:srgbClr val="FDFD2F"/>
              </a:gs>
              <a:gs pos="100000">
                <a:schemeClr val="accent1">
                  <a:shade val="100000"/>
                  <a:satMod val="115000"/>
                </a:schemeClr>
              </a:gs>
            </a:gsLst>
            <a:lin ang="0" scaled="1"/>
            <a:tileRect/>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Prestasi</a:t>
            </a:r>
          </a:p>
        </xdr:txBody>
      </xdr:sp>
      <xdr:sp macro="" textlink="">
        <xdr:nvSpPr>
          <xdr:cNvPr id="22" name="Hexagon 21">
            <a:hlinkClick xmlns:r="http://schemas.openxmlformats.org/officeDocument/2006/relationships" r:id="rId7"/>
            <a:extLst>
              <a:ext uri="{FF2B5EF4-FFF2-40B4-BE49-F238E27FC236}">
                <a16:creationId xmlns:a16="http://schemas.microsoft.com/office/drawing/2014/main" id="{00000000-0008-0000-0000-000016000000}"/>
              </a:ext>
            </a:extLst>
          </xdr:cNvPr>
          <xdr:cNvSpPr/>
        </xdr:nvSpPr>
        <xdr:spPr>
          <a:xfrm>
            <a:off x="7577668" y="4628354"/>
            <a:ext cx="1280160" cy="640080"/>
          </a:xfrm>
          <a:prstGeom prst="hexagon">
            <a:avLst/>
          </a:prstGeom>
          <a:gradFill>
            <a:gsLst>
              <a:gs pos="100000">
                <a:srgbClr val="FDFD2F"/>
              </a:gs>
              <a:gs pos="0">
                <a:srgbClr val="F39125"/>
              </a:gs>
            </a:gsLst>
            <a:lin ang="0" scaled="1"/>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Nilai Mapel</a:t>
            </a:r>
          </a:p>
        </xdr:txBody>
      </xdr:sp>
      <xdr:sp macro="" textlink="">
        <xdr:nvSpPr>
          <xdr:cNvPr id="18" name="Hexagon 17">
            <a:hlinkClick xmlns:r="http://schemas.openxmlformats.org/officeDocument/2006/relationships" r:id="rId8"/>
            <a:extLst>
              <a:ext uri="{FF2B5EF4-FFF2-40B4-BE49-F238E27FC236}">
                <a16:creationId xmlns:a16="http://schemas.microsoft.com/office/drawing/2014/main" id="{00000000-0008-0000-0000-000012000000}"/>
              </a:ext>
            </a:extLst>
          </xdr:cNvPr>
          <xdr:cNvSpPr/>
        </xdr:nvSpPr>
        <xdr:spPr>
          <a:xfrm>
            <a:off x="6360586" y="4265082"/>
            <a:ext cx="1280160" cy="640080"/>
          </a:xfrm>
          <a:prstGeom prst="hexagon">
            <a:avLst/>
          </a:prstGeom>
          <a:gradFill flip="none" rotWithShape="1">
            <a:gsLst>
              <a:gs pos="0">
                <a:srgbClr val="E92323"/>
              </a:gs>
              <a:gs pos="100000">
                <a:srgbClr val="F39125"/>
              </a:gs>
            </a:gsLst>
            <a:lin ang="0" scaled="1"/>
            <a:tileRect/>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Catatan Sikap</a:t>
            </a:r>
          </a:p>
        </xdr:txBody>
      </xdr:sp>
      <xdr:sp macro="" textlink="">
        <xdr:nvSpPr>
          <xdr:cNvPr id="78" name="Rounded Rectangle 77">
            <a:extLst>
              <a:ext uri="{FF2B5EF4-FFF2-40B4-BE49-F238E27FC236}">
                <a16:creationId xmlns:a16="http://schemas.microsoft.com/office/drawing/2014/main" id="{00000000-0008-0000-0000-00004E000000}"/>
              </a:ext>
            </a:extLst>
          </xdr:cNvPr>
          <xdr:cNvSpPr/>
        </xdr:nvSpPr>
        <xdr:spPr>
          <a:xfrm>
            <a:off x="5079991" y="4844517"/>
            <a:ext cx="1097280" cy="393216"/>
          </a:xfrm>
          <a:prstGeom prst="roundRect">
            <a:avLst/>
          </a:prstGeom>
          <a:solidFill>
            <a:srgbClr val="00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1600" b="1">
                <a:solidFill>
                  <a:schemeClr val="tx1">
                    <a:lumMod val="85000"/>
                    <a:lumOff val="15000"/>
                  </a:schemeClr>
                </a:solidFill>
              </a:rPr>
              <a:t>Output</a:t>
            </a:r>
          </a:p>
        </xdr:txBody>
      </xdr:sp>
      <xdr:sp macro="" textlink="">
        <xdr:nvSpPr>
          <xdr:cNvPr id="83" name="Rounded Rectangle 82">
            <a:extLst>
              <a:ext uri="{FF2B5EF4-FFF2-40B4-BE49-F238E27FC236}">
                <a16:creationId xmlns:a16="http://schemas.microsoft.com/office/drawing/2014/main" id="{00000000-0008-0000-0000-000053000000}"/>
              </a:ext>
            </a:extLst>
          </xdr:cNvPr>
          <xdr:cNvSpPr/>
        </xdr:nvSpPr>
        <xdr:spPr>
          <a:xfrm>
            <a:off x="5079992" y="3958160"/>
            <a:ext cx="1097280" cy="402167"/>
          </a:xfrm>
          <a:prstGeom prst="roundRect">
            <a:avLst/>
          </a:prstGeom>
          <a:solidFill>
            <a:srgbClr val="00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1600" b="1">
                <a:solidFill>
                  <a:schemeClr val="tx1">
                    <a:lumMod val="85000"/>
                    <a:lumOff val="15000"/>
                  </a:schemeClr>
                </a:solidFill>
              </a:rPr>
              <a:t>Setting</a:t>
            </a:r>
          </a:p>
        </xdr:txBody>
      </xdr:sp>
      <xdr:sp macro="" textlink="">
        <xdr:nvSpPr>
          <xdr:cNvPr id="21" name="Rounded Rectangle 20">
            <a:extLst>
              <a:ext uri="{FF2B5EF4-FFF2-40B4-BE49-F238E27FC236}">
                <a16:creationId xmlns:a16="http://schemas.microsoft.com/office/drawing/2014/main" id="{00000000-0008-0000-0000-000015000000}"/>
              </a:ext>
            </a:extLst>
          </xdr:cNvPr>
          <xdr:cNvSpPr/>
        </xdr:nvSpPr>
        <xdr:spPr>
          <a:xfrm>
            <a:off x="5082638" y="4409539"/>
            <a:ext cx="1097280" cy="383385"/>
          </a:xfrm>
          <a:prstGeom prst="roundRect">
            <a:avLst/>
          </a:prstGeom>
          <a:solidFill>
            <a:srgbClr val="00FFFF"/>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ctr"/>
            <a:r>
              <a:rPr lang="en-US" sz="1600" b="1">
                <a:solidFill>
                  <a:schemeClr val="tx1">
                    <a:lumMod val="85000"/>
                    <a:lumOff val="15000"/>
                  </a:schemeClr>
                </a:solidFill>
              </a:rPr>
              <a:t>Input</a:t>
            </a:r>
            <a:r>
              <a:rPr lang="en-US" sz="1600" b="1" baseline="0">
                <a:solidFill>
                  <a:schemeClr val="tx1">
                    <a:lumMod val="85000"/>
                    <a:lumOff val="15000"/>
                  </a:schemeClr>
                </a:solidFill>
              </a:rPr>
              <a:t> Data</a:t>
            </a:r>
            <a:endParaRPr lang="en-US" sz="1600" b="1">
              <a:solidFill>
                <a:schemeClr val="tx1">
                  <a:lumMod val="85000"/>
                  <a:lumOff val="15000"/>
                </a:schemeClr>
              </a:solidFill>
            </a:endParaRPr>
          </a:p>
        </xdr:txBody>
      </xdr:sp>
      <xdr:sp macro="" textlink="">
        <xdr:nvSpPr>
          <xdr:cNvPr id="26" name="Hexagon 25">
            <a:hlinkClick xmlns:r="http://schemas.openxmlformats.org/officeDocument/2006/relationships" r:id="rId9"/>
            <a:extLst>
              <a:ext uri="{FF2B5EF4-FFF2-40B4-BE49-F238E27FC236}">
                <a16:creationId xmlns:a16="http://schemas.microsoft.com/office/drawing/2014/main" id="{00000000-0008-0000-0000-00001A000000}"/>
              </a:ext>
            </a:extLst>
          </xdr:cNvPr>
          <xdr:cNvSpPr/>
        </xdr:nvSpPr>
        <xdr:spPr>
          <a:xfrm>
            <a:off x="6360586" y="3513664"/>
            <a:ext cx="1280160" cy="640080"/>
          </a:xfrm>
          <a:prstGeom prst="hexagon">
            <a:avLst/>
          </a:prstGeom>
          <a:gradFill flip="none" rotWithShape="1">
            <a:gsLst>
              <a:gs pos="0">
                <a:srgbClr val="E92323"/>
              </a:gs>
              <a:gs pos="100000">
                <a:srgbClr val="F39125"/>
              </a:gs>
            </a:gsLst>
            <a:lin ang="0" scaled="1"/>
            <a:tileRect/>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Setting</a:t>
            </a:r>
          </a:p>
          <a:p>
            <a:pPr algn="ctr"/>
            <a:r>
              <a:rPr lang="en-US" sz="1200" b="1" baseline="0">
                <a:solidFill>
                  <a:schemeClr val="bg1"/>
                </a:solidFill>
              </a:rPr>
              <a:t>Rapor</a:t>
            </a:r>
            <a:endParaRPr lang="en-US" sz="1200" b="1">
              <a:solidFill>
                <a:schemeClr val="bg1"/>
              </a:solidFill>
            </a:endParaRPr>
          </a:p>
        </xdr:txBody>
      </xdr:sp>
      <xdr:sp macro="" textlink="">
        <xdr:nvSpPr>
          <xdr:cNvPr id="28" name="Hexagon 27">
            <a:hlinkClick xmlns:r="http://schemas.openxmlformats.org/officeDocument/2006/relationships" r:id="rId10"/>
            <a:extLst>
              <a:ext uri="{FF2B5EF4-FFF2-40B4-BE49-F238E27FC236}">
                <a16:creationId xmlns:a16="http://schemas.microsoft.com/office/drawing/2014/main" id="{00000000-0008-0000-0000-00001C000000}"/>
              </a:ext>
            </a:extLst>
          </xdr:cNvPr>
          <xdr:cNvSpPr/>
        </xdr:nvSpPr>
        <xdr:spPr>
          <a:xfrm>
            <a:off x="10028057" y="3887238"/>
            <a:ext cx="1280160" cy="640080"/>
          </a:xfrm>
          <a:prstGeom prst="hexagon">
            <a:avLst/>
          </a:prstGeom>
          <a:gradFill>
            <a:gsLst>
              <a:gs pos="51000">
                <a:srgbClr val="8A19E7"/>
              </a:gs>
              <a:gs pos="0">
                <a:srgbClr val="0070C0"/>
              </a:gs>
              <a:gs pos="100000">
                <a:srgbClr val="E923DB"/>
              </a:gs>
            </a:gsLst>
            <a:lin ang="0" scaled="1"/>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Cetak Rapor</a:t>
            </a:r>
          </a:p>
        </xdr:txBody>
      </xdr:sp>
      <xdr:sp macro="" textlink="">
        <xdr:nvSpPr>
          <xdr:cNvPr id="29" name="Hexagon 28">
            <a:hlinkClick xmlns:r="http://schemas.openxmlformats.org/officeDocument/2006/relationships" r:id="rId11"/>
            <a:extLst>
              <a:ext uri="{FF2B5EF4-FFF2-40B4-BE49-F238E27FC236}">
                <a16:creationId xmlns:a16="http://schemas.microsoft.com/office/drawing/2014/main" id="{00000000-0008-0000-0000-00001D000000}"/>
              </a:ext>
            </a:extLst>
          </xdr:cNvPr>
          <xdr:cNvSpPr/>
        </xdr:nvSpPr>
        <xdr:spPr>
          <a:xfrm>
            <a:off x="8781054" y="5018624"/>
            <a:ext cx="2593937" cy="640080"/>
          </a:xfrm>
          <a:prstGeom prst="hexagon">
            <a:avLst/>
          </a:prstGeom>
          <a:gradFill>
            <a:gsLst>
              <a:gs pos="63686">
                <a:srgbClr val="0070C0"/>
              </a:gs>
              <a:gs pos="33000">
                <a:srgbClr val="00FF00"/>
              </a:gs>
              <a:gs pos="0">
                <a:srgbClr val="FFFF00"/>
              </a:gs>
              <a:gs pos="100000">
                <a:srgbClr val="E923DB"/>
              </a:gs>
            </a:gsLst>
            <a:lin ang="0" scaled="1"/>
          </a:gra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bg1"/>
                </a:solidFill>
              </a:rPr>
              <a:t>Data</a:t>
            </a:r>
            <a:r>
              <a:rPr lang="en-US" sz="1200" b="1" baseline="0">
                <a:solidFill>
                  <a:schemeClr val="bg1"/>
                </a:solidFill>
              </a:rPr>
              <a:t> Dikpora</a:t>
            </a:r>
            <a:r>
              <a:rPr lang="id-ID" sz="1200" b="1" baseline="0">
                <a:solidFill>
                  <a:schemeClr val="bg1"/>
                </a:solidFill>
              </a:rPr>
              <a:t> dan Peringkat Kelas</a:t>
            </a:r>
            <a:endParaRPr lang="en-US" sz="1200" b="1">
              <a:solidFill>
                <a:schemeClr val="bg1"/>
              </a:solidFill>
            </a:endParaRPr>
          </a:p>
        </xdr:txBody>
      </xdr:sp>
    </xdr:grpSp>
    <xdr:clientData/>
  </xdr:twoCellAnchor>
  <xdr:twoCellAnchor editAs="oneCell">
    <xdr:from>
      <xdr:col>8</xdr:col>
      <xdr:colOff>187688</xdr:colOff>
      <xdr:row>1</xdr:row>
      <xdr:rowOff>0</xdr:rowOff>
    </xdr:from>
    <xdr:to>
      <xdr:col>17</xdr:col>
      <xdr:colOff>535782</xdr:colOff>
      <xdr:row>18</xdr:row>
      <xdr:rowOff>106799</xdr:rowOff>
    </xdr:to>
    <xdr:pic>
      <xdr:nvPicPr>
        <xdr:cNvPr id="23" name="Picture 22" descr="guru.jpg">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12"/>
        <a:srcRect t="32681"/>
        <a:stretch>
          <a:fillRect/>
        </a:stretch>
      </xdr:blipFill>
      <xdr:spPr>
        <a:xfrm>
          <a:off x="5727065" y="180975"/>
          <a:ext cx="7096125" cy="3183255"/>
        </a:xfrm>
        <a:prstGeom prst="rect">
          <a:avLst/>
        </a:prstGeom>
        <a:ln w="76200">
          <a:solidFill>
            <a:schemeClr val="bg1"/>
          </a:solidFill>
        </a:ln>
      </xdr:spPr>
    </xdr:pic>
    <xdr:clientData/>
  </xdr:twoCellAnchor>
</xdr:wsDr>
</file>

<file path=xl/drawings/drawing10.xml><?xml version="1.0" encoding="utf-8"?>
<xdr:wsDr xmlns:xdr="http://schemas.openxmlformats.org/drawingml/2006/spreadsheetDrawing" xmlns:a="http://schemas.openxmlformats.org/drawingml/2006/main">
  <xdr:oneCellAnchor>
    <xdr:from>
      <xdr:col>1</xdr:col>
      <xdr:colOff>57150</xdr:colOff>
      <xdr:row>0</xdr:row>
      <xdr:rowOff>38100</xdr:rowOff>
    </xdr:from>
    <xdr:ext cx="895350" cy="381708"/>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57150" y="38100"/>
          <a:ext cx="895350" cy="381635"/>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81642</xdr:rowOff>
    </xdr:from>
    <xdr:ext cx="993320" cy="394608"/>
    <xdr:sp macro="" textlink="">
      <xdr:nvSpPr>
        <xdr:cNvPr id="4" name="Rectangle 3">
          <a:hlinkClick xmlns:r="http://schemas.openxmlformats.org/officeDocument/2006/relationships" r:id="rId1"/>
          <a:extLst>
            <a:ext uri="{FF2B5EF4-FFF2-40B4-BE49-F238E27FC236}">
              <a16:creationId xmlns:a16="http://schemas.microsoft.com/office/drawing/2014/main" id="{00000000-0008-0000-0A00-000004000000}"/>
            </a:ext>
          </a:extLst>
        </xdr:cNvPr>
        <xdr:cNvSpPr/>
      </xdr:nvSpPr>
      <xdr:spPr>
        <a:xfrm>
          <a:off x="0" y="81280"/>
          <a:ext cx="993140" cy="394970"/>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523874</xdr:colOff>
      <xdr:row>1</xdr:row>
      <xdr:rowOff>133350</xdr:rowOff>
    </xdr:to>
    <xdr:sp macro="" textlink="">
      <xdr:nvSpPr>
        <xdr:cNvPr id="2" name="TextBox 1">
          <a:hlinkClick xmlns:r="http://schemas.openxmlformats.org/officeDocument/2006/relationships" r:id="rId1"/>
          <a:extLst>
            <a:ext uri="{FF2B5EF4-FFF2-40B4-BE49-F238E27FC236}">
              <a16:creationId xmlns:a16="http://schemas.microsoft.com/office/drawing/2014/main" id="{00000000-0008-0000-0B00-000002000000}"/>
            </a:ext>
          </a:extLst>
        </xdr:cNvPr>
        <xdr:cNvSpPr txBox="1"/>
      </xdr:nvSpPr>
      <xdr:spPr>
        <a:xfrm>
          <a:off x="0" y="0"/>
          <a:ext cx="523240" cy="314325"/>
        </a:xfrm>
        <a:prstGeom prst="rect">
          <a:avLst/>
        </a:prstGeom>
        <a:solidFill>
          <a:srgbClr val="FF0000"/>
        </a:solidFill>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t"/>
        <a:lstStyle/>
        <a:p>
          <a:pPr algn="ctr"/>
          <a:r>
            <a:rPr lang="en-US" sz="1100" b="0" cap="none" spc="0">
              <a:ln w="0"/>
              <a:solidFill>
                <a:schemeClr val="tx1"/>
              </a:solidFill>
              <a:effectLst>
                <a:outerShdw blurRad="38100" dist="19050" dir="2700000" algn="tl" rotWithShape="0">
                  <a:schemeClr val="dk1">
                    <a:alpha val="40000"/>
                  </a:schemeClr>
                </a:outerShdw>
              </a:effectLst>
            </a:rPr>
            <a:t>BACK</a:t>
          </a:r>
          <a:endParaRPr lang="en-US" sz="8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111124</xdr:colOff>
      <xdr:row>0</xdr:row>
      <xdr:rowOff>142875</xdr:rowOff>
    </xdr:from>
    <xdr:ext cx="2111375" cy="381708"/>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578485" y="142875"/>
          <a:ext cx="2111375" cy="381635"/>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127000</xdr:colOff>
      <xdr:row>0</xdr:row>
      <xdr:rowOff>158750</xdr:rowOff>
    </xdr:from>
    <xdr:ext cx="1349376" cy="381708"/>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616585" y="158750"/>
          <a:ext cx="1349375" cy="381635"/>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9525</xdr:colOff>
      <xdr:row>0</xdr:row>
      <xdr:rowOff>66675</xdr:rowOff>
    </xdr:from>
    <xdr:ext cx="1162050" cy="381708"/>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357505" y="66675"/>
          <a:ext cx="1162050" cy="381635"/>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4</xdr:col>
      <xdr:colOff>19050</xdr:colOff>
      <xdr:row>0</xdr:row>
      <xdr:rowOff>0</xdr:rowOff>
    </xdr:from>
    <xdr:to>
      <xdr:col>4</xdr:col>
      <xdr:colOff>990600</xdr:colOff>
      <xdr:row>0</xdr:row>
      <xdr:rowOff>581024</xdr:rowOff>
    </xdr:to>
    <xdr:sp macro="" textlink="">
      <xdr:nvSpPr>
        <xdr:cNvPr id="4" name="Bevel 3">
          <a:hlinkClick xmlns:r="http://schemas.openxmlformats.org/officeDocument/2006/relationships" r:id="rId1"/>
          <a:extLst>
            <a:ext uri="{FF2B5EF4-FFF2-40B4-BE49-F238E27FC236}">
              <a16:creationId xmlns:a16="http://schemas.microsoft.com/office/drawing/2014/main" id="{00000000-0008-0000-0400-000004000000}"/>
            </a:ext>
          </a:extLst>
        </xdr:cNvPr>
        <xdr:cNvSpPr/>
      </xdr:nvSpPr>
      <xdr:spPr>
        <a:xfrm>
          <a:off x="1880235" y="0"/>
          <a:ext cx="971550" cy="580390"/>
        </a:xfrm>
        <a:prstGeom prst="bevel">
          <a:avLst/>
        </a:prstGeom>
        <a:solidFill>
          <a:schemeClr val="tx2"/>
        </a:solidFill>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id-ID" sz="1200" b="1">
              <a:latin typeface="Aharoni" panose="02010803020104030203" pitchFamily="2" charset="-79"/>
              <a:cs typeface="Aharoni" panose="02010803020104030203" pitchFamily="2" charset="-79"/>
            </a:rPr>
            <a:t>CEK </a:t>
          </a:r>
          <a:r>
            <a:rPr lang="en-US" sz="1200" b="1">
              <a:latin typeface="Aharoni" panose="02010803020104030203" pitchFamily="2" charset="-79"/>
              <a:cs typeface="Aharoni" panose="02010803020104030203" pitchFamily="2" charset="-79"/>
            </a:rPr>
            <a:t>LEGGER</a:t>
          </a:r>
        </a:p>
      </xdr:txBody>
    </xdr:sp>
    <xdr:clientData/>
  </xdr:twoCellAnchor>
  <xdr:oneCellAnchor>
    <xdr:from>
      <xdr:col>2</xdr:col>
      <xdr:colOff>57150</xdr:colOff>
      <xdr:row>0</xdr:row>
      <xdr:rowOff>0</xdr:rowOff>
    </xdr:from>
    <xdr:ext cx="1103539" cy="581025"/>
    <xdr:sp macro="" textlink="">
      <xdr:nvSpPr>
        <xdr:cNvPr id="5" name="Rectangle 4">
          <a:hlinkClick xmlns:r="http://schemas.openxmlformats.org/officeDocument/2006/relationships" r:id="rId2"/>
          <a:extLst>
            <a:ext uri="{FF2B5EF4-FFF2-40B4-BE49-F238E27FC236}">
              <a16:creationId xmlns:a16="http://schemas.microsoft.com/office/drawing/2014/main" id="{00000000-0008-0000-0400-000005000000}"/>
            </a:ext>
          </a:extLst>
        </xdr:cNvPr>
        <xdr:cNvSpPr/>
      </xdr:nvSpPr>
      <xdr:spPr>
        <a:xfrm>
          <a:off x="525145" y="0"/>
          <a:ext cx="1102995" cy="581025"/>
        </a:xfrm>
        <a:prstGeom prst="rect">
          <a:avLst/>
        </a:prstGeom>
        <a:solidFill>
          <a:schemeClr val="accent2">
            <a:lumMod val="75000"/>
          </a:schemeClr>
        </a:solidFill>
        <a:scene3d>
          <a:camera prst="orthographicFront"/>
          <a:lightRig rig="threePt" dir="t"/>
        </a:scene3d>
        <a:sp3d>
          <a:bevelT prst="angle"/>
        </a:sp3d>
      </xdr:spPr>
      <xdr:style>
        <a:lnRef idx="1">
          <a:schemeClr val="accent1"/>
        </a:lnRef>
        <a:fillRef idx="3">
          <a:schemeClr val="accent1"/>
        </a:fillRef>
        <a:effectRef idx="2">
          <a:schemeClr val="accent1"/>
        </a:effectRef>
        <a:fontRef idx="minor">
          <a:schemeClr val="lt1"/>
        </a:fontRef>
      </xdr:style>
      <xdr:txBody>
        <a:bodyPr wrap="square" lIns="91440" tIns="45720" rIns="91440" bIns="45720" anchor="ctr">
          <a:noAutofit/>
        </a:bodyPr>
        <a:lstStyle/>
        <a:p>
          <a:pPr algn="ctr"/>
          <a:r>
            <a:rPr lang="en-US" sz="1600" b="0" cap="none" spc="0">
              <a:ln>
                <a:noFill/>
              </a:ln>
              <a:solidFill>
                <a:schemeClr val="bg1"/>
              </a:solidFill>
              <a:effectLst/>
              <a:latin typeface="Aharoni" panose="02010803020104030203" pitchFamily="2" charset="-79"/>
              <a:cs typeface="Aharoni" panose="02010803020104030203" pitchFamily="2" charset="-79"/>
            </a:rPr>
            <a:t>HOME</a:t>
          </a:r>
        </a:p>
      </xdr:txBody>
    </xdr:sp>
    <xdr:clientData/>
  </xdr:oneCellAnchor>
  <mc:AlternateContent xmlns:mc="http://schemas.openxmlformats.org/markup-compatibility/2006">
    <mc:Choice xmlns:a14="http://schemas.microsoft.com/office/drawing/2010/main" Requires="a14">
      <xdr:twoCellAnchor editAs="oneCell">
        <xdr:from>
          <xdr:col>6</xdr:col>
          <xdr:colOff>485775</xdr:colOff>
          <xdr:row>0</xdr:row>
          <xdr:rowOff>266700</xdr:rowOff>
        </xdr:from>
        <xdr:to>
          <xdr:col>8</xdr:col>
          <xdr:colOff>733425</xdr:colOff>
          <xdr:row>0</xdr:row>
          <xdr:rowOff>590550</xdr:rowOff>
        </xdr:to>
        <xdr:sp macro="" textlink="">
          <xdr:nvSpPr>
            <xdr:cNvPr id="5121" name="Drop Down 1" hidden="1">
              <a:extLst>
                <a:ext uri="{63B3BB69-23CF-44E3-9099-C40C66FF867C}">
                  <a14:compatExt spid="_x0000_s5121"/>
                </a:ext>
                <a:ext uri="{FF2B5EF4-FFF2-40B4-BE49-F238E27FC236}">
                  <a16:creationId xmlns:a16="http://schemas.microsoft.com/office/drawing/2014/main" id="{00000000-0008-0000-0400-0000011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4</xdr:col>
      <xdr:colOff>285750</xdr:colOff>
      <xdr:row>0</xdr:row>
      <xdr:rowOff>238124</xdr:rowOff>
    </xdr:from>
    <xdr:to>
      <xdr:col>4</xdr:col>
      <xdr:colOff>1381126</xdr:colOff>
      <xdr:row>0</xdr:row>
      <xdr:rowOff>1015999</xdr:rowOff>
    </xdr:to>
    <xdr:sp macro="" textlink="">
      <xdr:nvSpPr>
        <xdr:cNvPr id="2" name="Bevel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6794500" y="237490"/>
          <a:ext cx="1095375" cy="777875"/>
        </a:xfrm>
        <a:prstGeom prst="bevel">
          <a:avLst/>
        </a:prstGeom>
        <a:solidFill>
          <a:schemeClr val="tx2"/>
        </a:solidFill>
      </xdr:spPr>
      <xdr:style>
        <a:lnRef idx="0">
          <a:schemeClr val="accent6"/>
        </a:lnRef>
        <a:fillRef idx="3">
          <a:schemeClr val="accent6"/>
        </a:fillRef>
        <a:effectRef idx="3">
          <a:schemeClr val="accent6"/>
        </a:effectRef>
        <a:fontRef idx="minor">
          <a:schemeClr val="lt1"/>
        </a:fontRef>
      </xdr:style>
      <xdr:txBody>
        <a:bodyPr vertOverflow="clip" horzOverflow="clip" lIns="0" tIns="0" rIns="0" bIns="0" rtlCol="0" anchor="ctr"/>
        <a:lstStyle/>
        <a:p>
          <a:pPr algn="ctr"/>
          <a:r>
            <a:rPr lang="id-ID" sz="1400" b="1"/>
            <a:t>CETAK  RAPORT</a:t>
          </a:r>
        </a:p>
      </xdr:txBody>
    </xdr:sp>
    <xdr:clientData/>
  </xdr:twoCellAnchor>
  <xdr:twoCellAnchor>
    <xdr:from>
      <xdr:col>1</xdr:col>
      <xdr:colOff>127000</xdr:colOff>
      <xdr:row>0</xdr:row>
      <xdr:rowOff>63501</xdr:rowOff>
    </xdr:from>
    <xdr:to>
      <xdr:col>1</xdr:col>
      <xdr:colOff>1158875</xdr:colOff>
      <xdr:row>0</xdr:row>
      <xdr:rowOff>317500</xdr:rowOff>
    </xdr:to>
    <xdr:sp macro="" textlink="">
      <xdr:nvSpPr>
        <xdr:cNvPr id="3" name="TextBox 2">
          <a:hlinkClick xmlns:r="http://schemas.openxmlformats.org/officeDocument/2006/relationships" r:id="rId2"/>
          <a:extLst>
            <a:ext uri="{FF2B5EF4-FFF2-40B4-BE49-F238E27FC236}">
              <a16:creationId xmlns:a16="http://schemas.microsoft.com/office/drawing/2014/main" id="{00000000-0008-0000-0500-000003000000}"/>
            </a:ext>
          </a:extLst>
        </xdr:cNvPr>
        <xdr:cNvSpPr txBox="1"/>
      </xdr:nvSpPr>
      <xdr:spPr>
        <a:xfrm>
          <a:off x="1498600" y="63500"/>
          <a:ext cx="1031875" cy="254000"/>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PAI</a:t>
          </a:r>
        </a:p>
      </xdr:txBody>
    </xdr:sp>
    <xdr:clientData/>
  </xdr:twoCellAnchor>
  <xdr:twoCellAnchor>
    <xdr:from>
      <xdr:col>1</xdr:col>
      <xdr:colOff>120650</xdr:colOff>
      <xdr:row>0</xdr:row>
      <xdr:rowOff>342901</xdr:rowOff>
    </xdr:from>
    <xdr:to>
      <xdr:col>1</xdr:col>
      <xdr:colOff>1152525</xdr:colOff>
      <xdr:row>0</xdr:row>
      <xdr:rowOff>596900</xdr:rowOff>
    </xdr:to>
    <xdr:sp macro="" textlink="">
      <xdr:nvSpPr>
        <xdr:cNvPr id="4" name="TextBox 3">
          <a:hlinkClick xmlns:r="http://schemas.openxmlformats.org/officeDocument/2006/relationships" r:id="rId3"/>
          <a:extLst>
            <a:ext uri="{FF2B5EF4-FFF2-40B4-BE49-F238E27FC236}">
              <a16:creationId xmlns:a16="http://schemas.microsoft.com/office/drawing/2014/main" id="{00000000-0008-0000-0500-000004000000}"/>
            </a:ext>
          </a:extLst>
        </xdr:cNvPr>
        <xdr:cNvSpPr txBox="1"/>
      </xdr:nvSpPr>
      <xdr:spPr>
        <a:xfrm>
          <a:off x="1492250" y="342900"/>
          <a:ext cx="1031875" cy="254000"/>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PKn</a:t>
          </a:r>
        </a:p>
      </xdr:txBody>
    </xdr:sp>
    <xdr:clientData/>
  </xdr:twoCellAnchor>
  <xdr:twoCellAnchor>
    <xdr:from>
      <xdr:col>1</xdr:col>
      <xdr:colOff>130175</xdr:colOff>
      <xdr:row>0</xdr:row>
      <xdr:rowOff>638176</xdr:rowOff>
    </xdr:from>
    <xdr:to>
      <xdr:col>1</xdr:col>
      <xdr:colOff>1162050</xdr:colOff>
      <xdr:row>0</xdr:row>
      <xdr:rowOff>892175</xdr:rowOff>
    </xdr:to>
    <xdr:sp macro="" textlink="">
      <xdr:nvSpPr>
        <xdr:cNvPr id="5" name="TextBox 4">
          <a:hlinkClick xmlns:r="http://schemas.openxmlformats.org/officeDocument/2006/relationships" r:id="rId4"/>
          <a:extLst>
            <a:ext uri="{FF2B5EF4-FFF2-40B4-BE49-F238E27FC236}">
              <a16:creationId xmlns:a16="http://schemas.microsoft.com/office/drawing/2014/main" id="{00000000-0008-0000-0500-000005000000}"/>
            </a:ext>
          </a:extLst>
        </xdr:cNvPr>
        <xdr:cNvSpPr txBox="1"/>
      </xdr:nvSpPr>
      <xdr:spPr>
        <a:xfrm>
          <a:off x="1501775" y="638175"/>
          <a:ext cx="1031875" cy="254000"/>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Bhs.</a:t>
          </a:r>
          <a:r>
            <a:rPr lang="en-US" sz="1200" b="1" baseline="0"/>
            <a:t> Indo</a:t>
          </a:r>
          <a:endParaRPr lang="en-US" sz="1200" b="1"/>
        </a:p>
      </xdr:txBody>
    </xdr:sp>
    <xdr:clientData/>
  </xdr:twoCellAnchor>
  <xdr:twoCellAnchor>
    <xdr:from>
      <xdr:col>1</xdr:col>
      <xdr:colOff>123825</xdr:colOff>
      <xdr:row>0</xdr:row>
      <xdr:rowOff>917576</xdr:rowOff>
    </xdr:from>
    <xdr:to>
      <xdr:col>1</xdr:col>
      <xdr:colOff>1155700</xdr:colOff>
      <xdr:row>0</xdr:row>
      <xdr:rowOff>1171575</xdr:rowOff>
    </xdr:to>
    <xdr:sp macro="" textlink="">
      <xdr:nvSpPr>
        <xdr:cNvPr id="6" name="TextBox 5">
          <a:hlinkClick xmlns:r="http://schemas.openxmlformats.org/officeDocument/2006/relationships" r:id="rId5"/>
          <a:extLst>
            <a:ext uri="{FF2B5EF4-FFF2-40B4-BE49-F238E27FC236}">
              <a16:creationId xmlns:a16="http://schemas.microsoft.com/office/drawing/2014/main" id="{00000000-0008-0000-0500-000006000000}"/>
            </a:ext>
          </a:extLst>
        </xdr:cNvPr>
        <xdr:cNvSpPr txBox="1"/>
      </xdr:nvSpPr>
      <xdr:spPr>
        <a:xfrm>
          <a:off x="1495425" y="917575"/>
          <a:ext cx="1031875" cy="254000"/>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Mat</a:t>
          </a:r>
          <a:r>
            <a:rPr lang="en-US" sz="1200" b="1" baseline="0"/>
            <a:t> (W)</a:t>
          </a:r>
          <a:endParaRPr lang="en-US" sz="1200" b="1"/>
        </a:p>
      </xdr:txBody>
    </xdr:sp>
    <xdr:clientData/>
  </xdr:twoCellAnchor>
  <xdr:twoCellAnchor>
    <xdr:from>
      <xdr:col>1</xdr:col>
      <xdr:colOff>1200150</xdr:colOff>
      <xdr:row>0</xdr:row>
      <xdr:rowOff>73026</xdr:rowOff>
    </xdr:from>
    <xdr:to>
      <xdr:col>1</xdr:col>
      <xdr:colOff>2232025</xdr:colOff>
      <xdr:row>0</xdr:row>
      <xdr:rowOff>327025</xdr:rowOff>
    </xdr:to>
    <xdr:sp macro="" textlink="">
      <xdr:nvSpPr>
        <xdr:cNvPr id="7" name="TextBox 6">
          <a:hlinkClick xmlns:r="http://schemas.openxmlformats.org/officeDocument/2006/relationships" r:id="rId6"/>
          <a:extLst>
            <a:ext uri="{FF2B5EF4-FFF2-40B4-BE49-F238E27FC236}">
              <a16:creationId xmlns:a16="http://schemas.microsoft.com/office/drawing/2014/main" id="{00000000-0008-0000-0500-000007000000}"/>
            </a:ext>
          </a:extLst>
        </xdr:cNvPr>
        <xdr:cNvSpPr txBox="1"/>
      </xdr:nvSpPr>
      <xdr:spPr>
        <a:xfrm>
          <a:off x="2571750" y="73025"/>
          <a:ext cx="1031875" cy="254000"/>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Sejarah</a:t>
          </a:r>
        </a:p>
      </xdr:txBody>
    </xdr:sp>
    <xdr:clientData/>
  </xdr:twoCellAnchor>
  <xdr:twoCellAnchor>
    <xdr:from>
      <xdr:col>1</xdr:col>
      <xdr:colOff>1209675</xdr:colOff>
      <xdr:row>0</xdr:row>
      <xdr:rowOff>352426</xdr:rowOff>
    </xdr:from>
    <xdr:to>
      <xdr:col>1</xdr:col>
      <xdr:colOff>2241550</xdr:colOff>
      <xdr:row>0</xdr:row>
      <xdr:rowOff>606425</xdr:rowOff>
    </xdr:to>
    <xdr:sp macro="" textlink="">
      <xdr:nvSpPr>
        <xdr:cNvPr id="8" name="TextBox 7">
          <a:hlinkClick xmlns:r="http://schemas.openxmlformats.org/officeDocument/2006/relationships" r:id="rId7"/>
          <a:extLst>
            <a:ext uri="{FF2B5EF4-FFF2-40B4-BE49-F238E27FC236}">
              <a16:creationId xmlns:a16="http://schemas.microsoft.com/office/drawing/2014/main" id="{00000000-0008-0000-0500-000008000000}"/>
            </a:ext>
          </a:extLst>
        </xdr:cNvPr>
        <xdr:cNvSpPr txBox="1"/>
      </xdr:nvSpPr>
      <xdr:spPr>
        <a:xfrm>
          <a:off x="2581275" y="352425"/>
          <a:ext cx="1031875" cy="254000"/>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Bhs. Ingg (W)</a:t>
          </a:r>
        </a:p>
      </xdr:txBody>
    </xdr:sp>
    <xdr:clientData/>
  </xdr:twoCellAnchor>
  <xdr:twoCellAnchor>
    <xdr:from>
      <xdr:col>1</xdr:col>
      <xdr:colOff>1203325</xdr:colOff>
      <xdr:row>0</xdr:row>
      <xdr:rowOff>647701</xdr:rowOff>
    </xdr:from>
    <xdr:to>
      <xdr:col>1</xdr:col>
      <xdr:colOff>2235200</xdr:colOff>
      <xdr:row>0</xdr:row>
      <xdr:rowOff>901700</xdr:rowOff>
    </xdr:to>
    <xdr:sp macro="" textlink="">
      <xdr:nvSpPr>
        <xdr:cNvPr id="9" name="TextBox 8">
          <a:hlinkClick xmlns:r="http://schemas.openxmlformats.org/officeDocument/2006/relationships" r:id="rId8"/>
          <a:extLst>
            <a:ext uri="{FF2B5EF4-FFF2-40B4-BE49-F238E27FC236}">
              <a16:creationId xmlns:a16="http://schemas.microsoft.com/office/drawing/2014/main" id="{00000000-0008-0000-0500-000009000000}"/>
            </a:ext>
          </a:extLst>
        </xdr:cNvPr>
        <xdr:cNvSpPr txBox="1"/>
      </xdr:nvSpPr>
      <xdr:spPr>
        <a:xfrm>
          <a:off x="2574925" y="647700"/>
          <a:ext cx="1031875" cy="2540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SBK</a:t>
          </a:r>
        </a:p>
      </xdr:txBody>
    </xdr:sp>
    <xdr:clientData/>
  </xdr:twoCellAnchor>
  <xdr:twoCellAnchor>
    <xdr:from>
      <xdr:col>1</xdr:col>
      <xdr:colOff>1212850</xdr:colOff>
      <xdr:row>0</xdr:row>
      <xdr:rowOff>927101</xdr:rowOff>
    </xdr:from>
    <xdr:to>
      <xdr:col>1</xdr:col>
      <xdr:colOff>2244725</xdr:colOff>
      <xdr:row>0</xdr:row>
      <xdr:rowOff>1181100</xdr:rowOff>
    </xdr:to>
    <xdr:sp macro="" textlink="">
      <xdr:nvSpPr>
        <xdr:cNvPr id="10" name="TextBox 9">
          <a:hlinkClick xmlns:r="http://schemas.openxmlformats.org/officeDocument/2006/relationships" r:id="rId9"/>
          <a:extLst>
            <a:ext uri="{FF2B5EF4-FFF2-40B4-BE49-F238E27FC236}">
              <a16:creationId xmlns:a16="http://schemas.microsoft.com/office/drawing/2014/main" id="{00000000-0008-0000-0500-00000A000000}"/>
            </a:ext>
          </a:extLst>
        </xdr:cNvPr>
        <xdr:cNvSpPr txBox="1"/>
      </xdr:nvSpPr>
      <xdr:spPr>
        <a:xfrm>
          <a:off x="2584450" y="927100"/>
          <a:ext cx="1031875" cy="2540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Penjasorkes</a:t>
          </a:r>
        </a:p>
      </xdr:txBody>
    </xdr:sp>
    <xdr:clientData/>
  </xdr:twoCellAnchor>
  <xdr:twoCellAnchor>
    <xdr:from>
      <xdr:col>1</xdr:col>
      <xdr:colOff>2289175</xdr:colOff>
      <xdr:row>0</xdr:row>
      <xdr:rowOff>82551</xdr:rowOff>
    </xdr:from>
    <xdr:to>
      <xdr:col>3</xdr:col>
      <xdr:colOff>415925</xdr:colOff>
      <xdr:row>0</xdr:row>
      <xdr:rowOff>336550</xdr:rowOff>
    </xdr:to>
    <xdr:sp macro="" textlink="">
      <xdr:nvSpPr>
        <xdr:cNvPr id="11" name="TextBox 10">
          <a:hlinkClick xmlns:r="http://schemas.openxmlformats.org/officeDocument/2006/relationships" r:id="rId10"/>
          <a:extLst>
            <a:ext uri="{FF2B5EF4-FFF2-40B4-BE49-F238E27FC236}">
              <a16:creationId xmlns:a16="http://schemas.microsoft.com/office/drawing/2014/main" id="{00000000-0008-0000-0500-00000B000000}"/>
            </a:ext>
          </a:extLst>
        </xdr:cNvPr>
        <xdr:cNvSpPr txBox="1"/>
      </xdr:nvSpPr>
      <xdr:spPr>
        <a:xfrm>
          <a:off x="3660775" y="82550"/>
          <a:ext cx="1457325" cy="2540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TKJ</a:t>
          </a:r>
        </a:p>
      </xdr:txBody>
    </xdr:sp>
    <xdr:clientData/>
  </xdr:twoCellAnchor>
  <xdr:twoCellAnchor>
    <xdr:from>
      <xdr:col>1</xdr:col>
      <xdr:colOff>2282825</xdr:colOff>
      <xdr:row>0</xdr:row>
      <xdr:rowOff>361951</xdr:rowOff>
    </xdr:from>
    <xdr:to>
      <xdr:col>3</xdr:col>
      <xdr:colOff>409575</xdr:colOff>
      <xdr:row>0</xdr:row>
      <xdr:rowOff>615950</xdr:rowOff>
    </xdr:to>
    <xdr:sp macro="" textlink="">
      <xdr:nvSpPr>
        <xdr:cNvPr id="12" name="TextBox 11">
          <a:hlinkClick xmlns:r="http://schemas.openxmlformats.org/officeDocument/2006/relationships" r:id="rId11"/>
          <a:extLst>
            <a:ext uri="{FF2B5EF4-FFF2-40B4-BE49-F238E27FC236}">
              <a16:creationId xmlns:a16="http://schemas.microsoft.com/office/drawing/2014/main" id="{00000000-0008-0000-0500-00000C000000}"/>
            </a:ext>
          </a:extLst>
        </xdr:cNvPr>
        <xdr:cNvSpPr txBox="1"/>
      </xdr:nvSpPr>
      <xdr:spPr>
        <a:xfrm>
          <a:off x="3654425" y="361950"/>
          <a:ext cx="1457325" cy="2540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Bhs.</a:t>
          </a:r>
          <a:r>
            <a:rPr lang="en-US" sz="1200" b="1" baseline="0"/>
            <a:t> Jawa</a:t>
          </a:r>
          <a:endParaRPr lang="en-US" sz="1200" b="1"/>
        </a:p>
      </xdr:txBody>
    </xdr:sp>
    <xdr:clientData/>
  </xdr:twoCellAnchor>
  <xdr:twoCellAnchor>
    <xdr:from>
      <xdr:col>1</xdr:col>
      <xdr:colOff>2292350</xdr:colOff>
      <xdr:row>0</xdr:row>
      <xdr:rowOff>657226</xdr:rowOff>
    </xdr:from>
    <xdr:to>
      <xdr:col>3</xdr:col>
      <xdr:colOff>419100</xdr:colOff>
      <xdr:row>0</xdr:row>
      <xdr:rowOff>911225</xdr:rowOff>
    </xdr:to>
    <xdr:sp macro="" textlink="">
      <xdr:nvSpPr>
        <xdr:cNvPr id="13" name="TextBox 12">
          <a:hlinkClick xmlns:r="http://schemas.openxmlformats.org/officeDocument/2006/relationships" r:id="rId12"/>
          <a:extLst>
            <a:ext uri="{FF2B5EF4-FFF2-40B4-BE49-F238E27FC236}">
              <a16:creationId xmlns:a16="http://schemas.microsoft.com/office/drawing/2014/main" id="{00000000-0008-0000-0500-00000D000000}"/>
            </a:ext>
          </a:extLst>
        </xdr:cNvPr>
        <xdr:cNvSpPr txBox="1"/>
      </xdr:nvSpPr>
      <xdr:spPr>
        <a:xfrm>
          <a:off x="3663950" y="657225"/>
          <a:ext cx="1457325" cy="2540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Mat (P)</a:t>
          </a:r>
        </a:p>
      </xdr:txBody>
    </xdr:sp>
    <xdr:clientData/>
  </xdr:twoCellAnchor>
  <xdr:twoCellAnchor>
    <xdr:from>
      <xdr:col>1</xdr:col>
      <xdr:colOff>2286000</xdr:colOff>
      <xdr:row>0</xdr:row>
      <xdr:rowOff>936626</xdr:rowOff>
    </xdr:from>
    <xdr:to>
      <xdr:col>3</xdr:col>
      <xdr:colOff>412750</xdr:colOff>
      <xdr:row>0</xdr:row>
      <xdr:rowOff>1190625</xdr:rowOff>
    </xdr:to>
    <xdr:sp macro="" textlink="">
      <xdr:nvSpPr>
        <xdr:cNvPr id="14" name="TextBox 13">
          <a:hlinkClick xmlns:r="http://schemas.openxmlformats.org/officeDocument/2006/relationships" r:id="rId13"/>
          <a:extLst>
            <a:ext uri="{FF2B5EF4-FFF2-40B4-BE49-F238E27FC236}">
              <a16:creationId xmlns:a16="http://schemas.microsoft.com/office/drawing/2014/main" id="{00000000-0008-0000-0500-00000E000000}"/>
            </a:ext>
          </a:extLst>
        </xdr:cNvPr>
        <xdr:cNvSpPr txBox="1"/>
      </xdr:nvSpPr>
      <xdr:spPr>
        <a:xfrm>
          <a:off x="3657600" y="936625"/>
          <a:ext cx="1457325" cy="2540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Fisika</a:t>
          </a:r>
        </a:p>
      </xdr:txBody>
    </xdr:sp>
    <xdr:clientData/>
  </xdr:twoCellAnchor>
  <xdr:twoCellAnchor>
    <xdr:from>
      <xdr:col>3</xdr:col>
      <xdr:colOff>444500</xdr:colOff>
      <xdr:row>0</xdr:row>
      <xdr:rowOff>79376</xdr:rowOff>
    </xdr:from>
    <xdr:to>
      <xdr:col>3</xdr:col>
      <xdr:colOff>1476375</xdr:colOff>
      <xdr:row>0</xdr:row>
      <xdr:rowOff>333375</xdr:rowOff>
    </xdr:to>
    <xdr:sp macro="" textlink="">
      <xdr:nvSpPr>
        <xdr:cNvPr id="15" name="TextBox 14">
          <a:hlinkClick xmlns:r="http://schemas.openxmlformats.org/officeDocument/2006/relationships" r:id="rId14"/>
          <a:extLst>
            <a:ext uri="{FF2B5EF4-FFF2-40B4-BE49-F238E27FC236}">
              <a16:creationId xmlns:a16="http://schemas.microsoft.com/office/drawing/2014/main" id="{00000000-0008-0000-0500-00000F000000}"/>
            </a:ext>
          </a:extLst>
        </xdr:cNvPr>
        <xdr:cNvSpPr txBox="1"/>
      </xdr:nvSpPr>
      <xdr:spPr>
        <a:xfrm>
          <a:off x="5146675" y="79375"/>
          <a:ext cx="1031875" cy="2540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Kimia</a:t>
          </a:r>
        </a:p>
      </xdr:txBody>
    </xdr:sp>
    <xdr:clientData/>
  </xdr:twoCellAnchor>
  <xdr:twoCellAnchor>
    <xdr:from>
      <xdr:col>3</xdr:col>
      <xdr:colOff>438150</xdr:colOff>
      <xdr:row>0</xdr:row>
      <xdr:rowOff>358776</xdr:rowOff>
    </xdr:from>
    <xdr:to>
      <xdr:col>3</xdr:col>
      <xdr:colOff>1470025</xdr:colOff>
      <xdr:row>0</xdr:row>
      <xdr:rowOff>612775</xdr:rowOff>
    </xdr:to>
    <xdr:sp macro="" textlink="">
      <xdr:nvSpPr>
        <xdr:cNvPr id="16" name="TextBox 15">
          <a:hlinkClick xmlns:r="http://schemas.openxmlformats.org/officeDocument/2006/relationships" r:id="rId15"/>
          <a:extLst>
            <a:ext uri="{FF2B5EF4-FFF2-40B4-BE49-F238E27FC236}">
              <a16:creationId xmlns:a16="http://schemas.microsoft.com/office/drawing/2014/main" id="{00000000-0008-0000-0500-000010000000}"/>
            </a:ext>
          </a:extLst>
        </xdr:cNvPr>
        <xdr:cNvSpPr txBox="1"/>
      </xdr:nvSpPr>
      <xdr:spPr>
        <a:xfrm>
          <a:off x="5140325" y="358775"/>
          <a:ext cx="1031875" cy="2540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Biologi</a:t>
          </a:r>
        </a:p>
      </xdr:txBody>
    </xdr:sp>
    <xdr:clientData/>
  </xdr:twoCellAnchor>
  <xdr:twoCellAnchor>
    <xdr:from>
      <xdr:col>3</xdr:col>
      <xdr:colOff>438150</xdr:colOff>
      <xdr:row>0</xdr:row>
      <xdr:rowOff>644526</xdr:rowOff>
    </xdr:from>
    <xdr:to>
      <xdr:col>3</xdr:col>
      <xdr:colOff>1470025</xdr:colOff>
      <xdr:row>0</xdr:row>
      <xdr:rowOff>898525</xdr:rowOff>
    </xdr:to>
    <xdr:sp macro="" textlink="">
      <xdr:nvSpPr>
        <xdr:cNvPr id="17" name="TextBox 16">
          <a:hlinkClick xmlns:r="http://schemas.openxmlformats.org/officeDocument/2006/relationships" r:id="rId16"/>
          <a:extLst>
            <a:ext uri="{FF2B5EF4-FFF2-40B4-BE49-F238E27FC236}">
              <a16:creationId xmlns:a16="http://schemas.microsoft.com/office/drawing/2014/main" id="{00000000-0008-0000-0500-000011000000}"/>
            </a:ext>
          </a:extLst>
        </xdr:cNvPr>
        <xdr:cNvSpPr txBox="1"/>
      </xdr:nvSpPr>
      <xdr:spPr>
        <a:xfrm>
          <a:off x="5140325" y="644525"/>
          <a:ext cx="1031875" cy="254000"/>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Bhs. Ing (P)</a:t>
          </a:r>
        </a:p>
      </xdr:txBody>
    </xdr:sp>
    <xdr:clientData/>
  </xdr:twoCellAnchor>
  <xdr:twoCellAnchor>
    <xdr:from>
      <xdr:col>3</xdr:col>
      <xdr:colOff>447675</xdr:colOff>
      <xdr:row>0</xdr:row>
      <xdr:rowOff>923926</xdr:rowOff>
    </xdr:from>
    <xdr:to>
      <xdr:col>3</xdr:col>
      <xdr:colOff>1479550</xdr:colOff>
      <xdr:row>0</xdr:row>
      <xdr:rowOff>1177925</xdr:rowOff>
    </xdr:to>
    <xdr:sp macro="" textlink="">
      <xdr:nvSpPr>
        <xdr:cNvPr id="18" name="TextBox 17">
          <a:hlinkClick xmlns:r="http://schemas.openxmlformats.org/officeDocument/2006/relationships" r:id="rId17"/>
          <a:extLst>
            <a:ext uri="{FF2B5EF4-FFF2-40B4-BE49-F238E27FC236}">
              <a16:creationId xmlns:a16="http://schemas.microsoft.com/office/drawing/2014/main" id="{00000000-0008-0000-0500-000012000000}"/>
            </a:ext>
          </a:extLst>
        </xdr:cNvPr>
        <xdr:cNvSpPr txBox="1"/>
      </xdr:nvSpPr>
      <xdr:spPr>
        <a:xfrm>
          <a:off x="5149850" y="923925"/>
          <a:ext cx="1031875" cy="254000"/>
        </a:xfrm>
        <a:prstGeom prst="rect">
          <a:avLst/>
        </a:prstGeom>
        <a:solidFill>
          <a:schemeClr val="accent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Bhs.</a:t>
          </a:r>
          <a:r>
            <a:rPr lang="en-US" sz="1200" b="1" baseline="0"/>
            <a:t> Arab</a:t>
          </a:r>
          <a:endParaRPr lang="en-US" sz="1200" b="1"/>
        </a:p>
      </xdr:txBody>
    </xdr:sp>
    <xdr:clientData/>
  </xdr:twoCellAnchor>
  <xdr:oneCellAnchor>
    <xdr:from>
      <xdr:col>0</xdr:col>
      <xdr:colOff>142875</xdr:colOff>
      <xdr:row>0</xdr:row>
      <xdr:rowOff>444500</xdr:rowOff>
    </xdr:from>
    <xdr:ext cx="884464" cy="381708"/>
    <xdr:sp macro="" textlink="">
      <xdr:nvSpPr>
        <xdr:cNvPr id="19" name="Rectangle 18">
          <a:hlinkClick xmlns:r="http://schemas.openxmlformats.org/officeDocument/2006/relationships" r:id="rId18"/>
          <a:extLst>
            <a:ext uri="{FF2B5EF4-FFF2-40B4-BE49-F238E27FC236}">
              <a16:creationId xmlns:a16="http://schemas.microsoft.com/office/drawing/2014/main" id="{00000000-0008-0000-0500-000013000000}"/>
            </a:ext>
          </a:extLst>
        </xdr:cNvPr>
        <xdr:cNvSpPr/>
      </xdr:nvSpPr>
      <xdr:spPr>
        <a:xfrm>
          <a:off x="142875" y="444500"/>
          <a:ext cx="883920" cy="381635"/>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66675</xdr:colOff>
      <xdr:row>0</xdr:row>
      <xdr:rowOff>142875</xdr:rowOff>
    </xdr:from>
    <xdr:ext cx="884464" cy="381708"/>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66675" y="142875"/>
          <a:ext cx="883920" cy="381635"/>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95250</xdr:colOff>
      <xdr:row>0</xdr:row>
      <xdr:rowOff>63500</xdr:rowOff>
    </xdr:from>
    <xdr:ext cx="884464" cy="381708"/>
    <xdr:sp macro="" textlink="">
      <xdr:nvSpPr>
        <xdr:cNvPr id="2" name="Rectangle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95250" y="63500"/>
          <a:ext cx="883920" cy="381635"/>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57150</xdr:colOff>
      <xdr:row>0</xdr:row>
      <xdr:rowOff>19050</xdr:rowOff>
    </xdr:from>
    <xdr:ext cx="884464" cy="381708"/>
    <xdr:sp macro="" textlink="">
      <xdr:nvSpPr>
        <xdr:cNvPr id="3" name="Rectangle 2">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57150" y="19050"/>
          <a:ext cx="883920" cy="381635"/>
        </a:xfrm>
        <a:prstGeom prst="rect">
          <a:avLst/>
        </a:prstGeom>
        <a:solidFill>
          <a:srgbClr val="FF0000"/>
        </a:solidFill>
      </xdr:spPr>
      <xdr:style>
        <a:lnRef idx="1">
          <a:schemeClr val="accent1"/>
        </a:lnRef>
        <a:fillRef idx="3">
          <a:schemeClr val="accent1"/>
        </a:fillRef>
        <a:effectRef idx="2">
          <a:schemeClr val="accent1"/>
        </a:effectRef>
        <a:fontRef idx="minor">
          <a:schemeClr val="lt1"/>
        </a:fontRef>
      </xdr:style>
      <xdr:txBody>
        <a:bodyPr wrap="square" lIns="91440" tIns="45720" rIns="91440" bIns="45720">
          <a:spAutoFit/>
        </a:bodyPr>
        <a:lstStyle/>
        <a:p>
          <a:pPr algn="ctr"/>
          <a:r>
            <a:rPr lang="en-US" sz="1600" b="0" cap="none" spc="0">
              <a:ln>
                <a:noFill/>
              </a:ln>
              <a:solidFill>
                <a:schemeClr val="tx1"/>
              </a:solidFill>
              <a:effectLst/>
              <a:latin typeface="Arial Black" panose="020B0A04020102020204" pitchFamily="34" charset="0"/>
            </a:rPr>
            <a:t>HOME</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MA%20ABBS/KURIKULUM/2015%20-%202016/Legger%20Per%20Desember%202015/Legger%20Semester%202%202015-2016/LEGGER%20SMT%202_2015-2016_KELAS_MAP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Data Siswa"/>
      <sheetName val="Data KD"/>
      <sheetName val="Legger Pengetahuan"/>
      <sheetName val="Legger Keterampilan"/>
      <sheetName val="Cover Cetak"/>
      <sheetName val="Pengetahuan Cetak"/>
      <sheetName val="Keterampilan Cetak"/>
      <sheetName val="Sikap Cetak"/>
      <sheetName val="Nilai Raport"/>
      <sheetName val="Data Siswa X"/>
      <sheetName val="Data Siswa XI"/>
      <sheetName val="Data Siswa XII"/>
    </sheetNames>
    <sheetDataSet>
      <sheetData sheetId="0" refreshError="1">
        <row r="5">
          <cell r="L5" t="str">
            <v>Achrudin, S.Pd.</v>
          </cell>
        </row>
        <row r="7">
          <cell r="L7" t="str">
            <v>2014 09 3 163</v>
          </cell>
        </row>
        <row r="9">
          <cell r="L9" t="str">
            <v>Imam Samodra, S.Si</v>
          </cell>
        </row>
        <row r="11">
          <cell r="L11" t="str">
            <v>2014 10 3 172</v>
          </cell>
        </row>
        <row r="15">
          <cell r="L15" t="str">
            <v>XII.MIPA Khawarizmi</v>
          </cell>
        </row>
        <row r="17">
          <cell r="L17" t="str">
            <v>2015/2016</v>
          </cell>
        </row>
        <row r="19">
          <cell r="M19" t="str">
            <v>GENAP</v>
          </cell>
        </row>
        <row r="21">
          <cell r="L21" t="str">
            <v>22 Januari 2016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1"/>
  <sheetViews>
    <sheetView zoomScale="80" zoomScaleNormal="80" workbookViewId="0">
      <selection activeCell="V14" sqref="V14"/>
    </sheetView>
  </sheetViews>
  <sheetFormatPr defaultColWidth="9.140625" defaultRowHeight="15"/>
  <cols>
    <col min="1" max="3" width="9.140625" style="162"/>
    <col min="4" max="4" width="8.7109375" style="162" customWidth="1"/>
    <col min="5" max="5" width="9.140625" style="162"/>
    <col min="6" max="7" width="9.140625" style="162" customWidth="1"/>
    <col min="8" max="9" width="9.140625" style="162"/>
    <col min="10" max="10" width="14.28515625" style="162" customWidth="1"/>
    <col min="11" max="11" width="9.140625" style="162"/>
    <col min="12" max="12" width="10.28515625" style="162" customWidth="1"/>
    <col min="13" max="18" width="9.140625" style="162"/>
    <col min="19" max="19" width="2.85546875" style="162" customWidth="1"/>
    <col min="20" max="16384" width="9.140625" style="162"/>
  </cols>
  <sheetData>
    <row r="1" spans="3:19">
      <c r="C1" s="163"/>
      <c r="D1" s="163"/>
      <c r="E1" s="163"/>
      <c r="F1" s="163"/>
      <c r="G1" s="163"/>
      <c r="H1" s="163"/>
      <c r="I1" s="163"/>
      <c r="J1" s="163"/>
      <c r="K1" s="163"/>
      <c r="L1" s="163"/>
      <c r="M1" s="163"/>
      <c r="N1" s="163"/>
      <c r="O1" s="163"/>
      <c r="P1" s="163"/>
      <c r="Q1" s="163"/>
      <c r="R1" s="163"/>
      <c r="S1" s="163"/>
    </row>
    <row r="2" spans="3:19">
      <c r="C2" s="163"/>
      <c r="D2" s="163"/>
      <c r="E2" s="163"/>
      <c r="F2" s="163"/>
      <c r="G2" s="163"/>
      <c r="H2" s="163"/>
      <c r="I2" s="163"/>
      <c r="J2" s="163"/>
      <c r="K2" s="163"/>
      <c r="L2" s="163"/>
      <c r="M2" s="163"/>
      <c r="N2" s="163"/>
      <c r="O2" s="163"/>
      <c r="P2" s="163"/>
      <c r="Q2" s="163"/>
      <c r="R2" s="163"/>
      <c r="S2" s="163"/>
    </row>
    <row r="3" spans="3:19">
      <c r="C3" s="163"/>
      <c r="D3" s="163"/>
      <c r="E3" s="163"/>
      <c r="F3" s="163"/>
      <c r="G3" s="163"/>
      <c r="H3" s="163"/>
      <c r="I3" s="163"/>
      <c r="J3" s="163"/>
      <c r="K3" s="163"/>
      <c r="L3" s="163"/>
      <c r="M3" s="163"/>
      <c r="N3" s="163"/>
      <c r="O3" s="163"/>
      <c r="P3" s="163"/>
      <c r="Q3" s="163"/>
      <c r="R3" s="163"/>
      <c r="S3" s="163"/>
    </row>
    <row r="4" spans="3:19">
      <c r="C4" s="163"/>
      <c r="D4" s="163"/>
      <c r="E4" s="163"/>
      <c r="F4" s="163"/>
      <c r="G4" s="163"/>
      <c r="H4" s="163"/>
      <c r="I4" s="163"/>
      <c r="J4" s="163"/>
      <c r="K4" s="163"/>
      <c r="L4" s="163"/>
      <c r="M4" s="163"/>
      <c r="N4" s="163"/>
      <c r="O4" s="163"/>
      <c r="P4" s="163"/>
      <c r="Q4" s="163"/>
      <c r="R4" s="163"/>
      <c r="S4" s="163"/>
    </row>
    <row r="5" spans="3:19">
      <c r="C5" s="163"/>
      <c r="D5" s="163"/>
      <c r="E5" s="163"/>
      <c r="F5" s="163"/>
      <c r="G5" s="163"/>
      <c r="H5" s="163"/>
      <c r="I5" s="163"/>
      <c r="J5" s="163"/>
      <c r="K5" s="163"/>
      <c r="L5" s="163"/>
      <c r="M5" s="163"/>
      <c r="N5" s="163"/>
      <c r="O5" s="163"/>
      <c r="P5" s="163"/>
      <c r="Q5" s="163"/>
      <c r="R5" s="163"/>
      <c r="S5" s="163"/>
    </row>
    <row r="6" spans="3:19">
      <c r="C6" s="163"/>
      <c r="D6" s="163"/>
      <c r="E6" s="163"/>
      <c r="F6" s="163"/>
      <c r="G6" s="163"/>
      <c r="H6" s="163"/>
      <c r="I6" s="163"/>
      <c r="J6" s="163"/>
      <c r="K6" s="163"/>
      <c r="L6" s="163"/>
      <c r="M6" s="163"/>
      <c r="N6" s="163"/>
      <c r="O6" s="163"/>
      <c r="P6" s="163"/>
      <c r="Q6" s="163"/>
      <c r="R6" s="163"/>
      <c r="S6" s="163"/>
    </row>
    <row r="7" spans="3:19">
      <c r="C7" s="163"/>
      <c r="D7" s="163"/>
      <c r="E7" s="163"/>
      <c r="F7" s="163"/>
      <c r="G7" s="163"/>
      <c r="H7" s="163"/>
      <c r="I7" s="163"/>
      <c r="J7" s="163"/>
      <c r="K7" s="163"/>
      <c r="L7" s="163"/>
      <c r="M7" s="163"/>
      <c r="N7" s="163"/>
      <c r="O7" s="163"/>
      <c r="P7" s="163"/>
      <c r="Q7" s="163"/>
      <c r="R7" s="163"/>
      <c r="S7" s="163"/>
    </row>
    <row r="8" spans="3:19">
      <c r="C8" s="163"/>
      <c r="D8" s="163"/>
      <c r="E8" s="163"/>
      <c r="F8" s="163"/>
      <c r="G8" s="163"/>
      <c r="H8" s="163"/>
      <c r="I8" s="163"/>
      <c r="J8" s="163"/>
      <c r="K8" s="163"/>
      <c r="L8" s="163"/>
      <c r="M8" s="163"/>
      <c r="N8" s="163"/>
      <c r="O8" s="163"/>
      <c r="P8" s="163"/>
      <c r="Q8" s="163"/>
      <c r="R8" s="163"/>
      <c r="S8" s="163"/>
    </row>
    <row r="9" spans="3:19">
      <c r="C9" s="163"/>
      <c r="D9" s="163"/>
      <c r="E9" s="163"/>
      <c r="F9" s="163"/>
      <c r="G9" s="163"/>
      <c r="H9" s="163"/>
      <c r="I9" s="163"/>
      <c r="J9" s="163"/>
      <c r="K9" s="163"/>
      <c r="L9" s="163"/>
      <c r="M9" s="163"/>
      <c r="N9" s="163"/>
      <c r="O9" s="163"/>
      <c r="P9" s="163"/>
      <c r="Q9" s="163"/>
      <c r="R9" s="163"/>
      <c r="S9" s="163"/>
    </row>
    <row r="10" spans="3:19">
      <c r="C10" s="163"/>
      <c r="D10" s="163"/>
      <c r="E10" s="163"/>
      <c r="F10" s="163"/>
      <c r="G10" s="163"/>
      <c r="H10" s="163"/>
      <c r="I10" s="163"/>
      <c r="J10" s="163"/>
      <c r="K10" s="163"/>
      <c r="L10" s="163"/>
      <c r="M10" s="163"/>
      <c r="N10" s="163"/>
      <c r="O10" s="163"/>
      <c r="P10" s="163"/>
      <c r="Q10" s="163"/>
      <c r="R10" s="163"/>
      <c r="S10" s="163"/>
    </row>
    <row r="11" spans="3:19">
      <c r="C11" s="163"/>
      <c r="D11" s="163"/>
      <c r="E11" s="163"/>
      <c r="F11" s="163"/>
      <c r="G11" s="163"/>
      <c r="H11" s="163"/>
      <c r="I11" s="163"/>
      <c r="J11" s="163"/>
      <c r="K11" s="163"/>
      <c r="L11" s="163"/>
      <c r="M11" s="163"/>
      <c r="N11" s="163"/>
      <c r="O11" s="163"/>
      <c r="P11" s="163"/>
      <c r="Q11" s="163"/>
      <c r="R11" s="163"/>
      <c r="S11" s="163"/>
    </row>
    <row r="12" spans="3:19">
      <c r="C12" s="163"/>
      <c r="D12" s="163"/>
      <c r="E12" s="163"/>
      <c r="F12" s="163"/>
      <c r="G12" s="163"/>
      <c r="H12" s="163"/>
      <c r="I12" s="163"/>
      <c r="J12" s="163"/>
      <c r="K12" s="163"/>
      <c r="L12" s="163"/>
      <c r="M12" s="163"/>
      <c r="N12" s="163"/>
      <c r="O12" s="163"/>
      <c r="P12" s="163"/>
      <c r="Q12" s="163"/>
      <c r="R12" s="163"/>
      <c r="S12" s="163"/>
    </row>
    <row r="13" spans="3:19">
      <c r="C13" s="163"/>
      <c r="D13" s="163"/>
      <c r="E13" s="163"/>
      <c r="F13" s="163"/>
      <c r="G13" s="163"/>
      <c r="H13" s="163"/>
      <c r="I13" s="163"/>
      <c r="J13" s="163"/>
      <c r="K13" s="163"/>
      <c r="L13" s="163"/>
      <c r="M13" s="163"/>
      <c r="N13" s="163"/>
      <c r="O13" s="163"/>
      <c r="P13" s="163"/>
      <c r="Q13" s="163"/>
      <c r="R13" s="163"/>
      <c r="S13" s="163"/>
    </row>
    <row r="14" spans="3:19">
      <c r="C14" s="163"/>
      <c r="D14" s="163"/>
      <c r="E14" s="163"/>
      <c r="F14" s="163"/>
      <c r="G14" s="163"/>
      <c r="H14" s="163"/>
      <c r="I14" s="163"/>
      <c r="J14" s="163"/>
      <c r="K14" s="163"/>
      <c r="L14" s="163"/>
      <c r="M14" s="163"/>
      <c r="N14" s="163"/>
      <c r="O14" s="163"/>
      <c r="P14" s="163"/>
      <c r="Q14" s="163"/>
      <c r="R14" s="163"/>
      <c r="S14" s="163"/>
    </row>
    <row r="15" spans="3:19">
      <c r="C15" s="163"/>
      <c r="D15" s="163"/>
      <c r="E15" s="163"/>
      <c r="F15" s="163"/>
      <c r="G15" s="163"/>
      <c r="H15" s="163"/>
      <c r="I15" s="163"/>
      <c r="J15" s="163"/>
      <c r="K15" s="163"/>
      <c r="L15" s="163"/>
      <c r="M15" s="163"/>
      <c r="N15" s="163"/>
      <c r="O15" s="163"/>
      <c r="P15" s="163"/>
      <c r="Q15" s="163"/>
      <c r="R15" s="163"/>
      <c r="S15" s="163"/>
    </row>
    <row r="16" spans="3:19">
      <c r="C16" s="163"/>
      <c r="D16" s="163"/>
      <c r="E16" s="163"/>
      <c r="F16" s="163"/>
      <c r="G16" s="163"/>
      <c r="H16" s="163"/>
      <c r="I16" s="163"/>
      <c r="J16" s="163"/>
      <c r="K16" s="163"/>
      <c r="L16" s="163"/>
      <c r="M16" s="163"/>
      <c r="N16" s="163"/>
      <c r="O16" s="163"/>
      <c r="P16" s="163"/>
      <c r="Q16" s="163"/>
      <c r="R16" s="163"/>
      <c r="S16" s="163"/>
    </row>
    <row r="17" spans="3:19">
      <c r="C17" s="163"/>
      <c r="D17" s="163"/>
      <c r="E17" s="163"/>
      <c r="F17" s="163"/>
      <c r="G17" s="163"/>
      <c r="H17" s="163"/>
      <c r="I17" s="163"/>
      <c r="J17" s="163"/>
      <c r="K17" s="163"/>
      <c r="L17" s="163"/>
      <c r="M17" s="163"/>
      <c r="N17" s="163"/>
      <c r="O17" s="163"/>
      <c r="P17" s="163"/>
      <c r="Q17" s="163"/>
      <c r="R17" s="163"/>
      <c r="S17" s="163"/>
    </row>
    <row r="18" spans="3:19">
      <c r="C18" s="163"/>
      <c r="D18" s="163"/>
      <c r="E18" s="163"/>
      <c r="F18" s="163"/>
      <c r="G18" s="163"/>
      <c r="H18" s="163"/>
      <c r="I18" s="163"/>
      <c r="J18" s="163"/>
      <c r="K18" s="163"/>
      <c r="L18" s="163"/>
      <c r="M18" s="163"/>
      <c r="N18" s="163"/>
      <c r="O18" s="163"/>
      <c r="P18" s="163"/>
      <c r="Q18" s="163"/>
      <c r="R18" s="163"/>
      <c r="S18" s="163"/>
    </row>
    <row r="19" spans="3:19">
      <c r="C19" s="163"/>
      <c r="D19" s="163"/>
      <c r="E19" s="163"/>
      <c r="F19" s="163"/>
      <c r="G19" s="163"/>
      <c r="H19" s="163"/>
      <c r="I19" s="163"/>
      <c r="J19" s="163"/>
      <c r="K19" s="163"/>
      <c r="L19" s="163"/>
      <c r="M19" s="163"/>
      <c r="N19" s="163"/>
      <c r="O19" s="163"/>
      <c r="P19" s="163"/>
      <c r="Q19" s="163"/>
      <c r="R19" s="163"/>
      <c r="S19" s="163"/>
    </row>
    <row r="20" spans="3:19">
      <c r="C20" s="163"/>
      <c r="D20" s="163"/>
      <c r="E20" s="163"/>
      <c r="F20" s="163"/>
      <c r="G20" s="163"/>
      <c r="H20" s="163"/>
      <c r="I20" s="163"/>
      <c r="J20" s="163"/>
      <c r="K20" s="163"/>
      <c r="L20" s="163"/>
      <c r="M20" s="163"/>
      <c r="N20" s="163"/>
      <c r="O20" s="163"/>
      <c r="P20" s="163"/>
      <c r="Q20" s="163"/>
      <c r="R20" s="163"/>
      <c r="S20" s="163"/>
    </row>
    <row r="21" spans="3:19">
      <c r="C21" s="163"/>
      <c r="D21" s="163"/>
      <c r="E21" s="163"/>
      <c r="F21" s="163"/>
      <c r="G21" s="163"/>
      <c r="H21" s="163"/>
      <c r="I21" s="163"/>
      <c r="J21" s="163"/>
      <c r="K21" s="163"/>
      <c r="L21" s="163"/>
      <c r="M21" s="163"/>
      <c r="N21" s="163"/>
      <c r="O21" s="163"/>
      <c r="P21" s="163"/>
      <c r="Q21" s="163"/>
      <c r="R21" s="163"/>
      <c r="S21" s="163"/>
    </row>
    <row r="22" spans="3:19">
      <c r="C22" s="163"/>
      <c r="D22" s="163"/>
      <c r="E22" s="163"/>
      <c r="F22" s="163"/>
      <c r="G22" s="163"/>
      <c r="H22" s="163"/>
      <c r="I22" s="163"/>
      <c r="J22" s="163"/>
      <c r="K22" s="163"/>
      <c r="L22" s="163"/>
      <c r="M22" s="163"/>
      <c r="N22" s="163"/>
      <c r="O22" s="163"/>
      <c r="P22" s="163"/>
      <c r="Q22" s="163"/>
      <c r="R22" s="163"/>
      <c r="S22" s="163"/>
    </row>
    <row r="23" spans="3:19">
      <c r="C23" s="163"/>
      <c r="D23" s="163"/>
      <c r="E23" s="163"/>
      <c r="F23" s="163"/>
      <c r="G23" s="163"/>
      <c r="H23" s="163"/>
      <c r="I23" s="163"/>
      <c r="J23" s="163"/>
      <c r="K23" s="163"/>
      <c r="L23" s="163"/>
      <c r="M23" s="163"/>
      <c r="N23" s="163"/>
      <c r="O23" s="163"/>
      <c r="P23" s="163"/>
      <c r="Q23" s="163"/>
      <c r="R23" s="163"/>
      <c r="S23" s="163"/>
    </row>
    <row r="24" spans="3:19">
      <c r="C24" s="163"/>
      <c r="D24" s="163"/>
      <c r="E24" s="163"/>
      <c r="F24" s="163"/>
      <c r="G24" s="163"/>
      <c r="H24" s="163"/>
      <c r="I24" s="163"/>
      <c r="J24" s="163"/>
      <c r="K24" s="163"/>
      <c r="L24" s="163"/>
      <c r="M24" s="163"/>
      <c r="N24" s="163"/>
      <c r="O24" s="163"/>
      <c r="P24" s="163"/>
      <c r="Q24" s="163"/>
      <c r="R24" s="163"/>
      <c r="S24" s="163"/>
    </row>
    <row r="25" spans="3:19">
      <c r="C25" s="163"/>
      <c r="D25" s="163"/>
      <c r="E25" s="163"/>
      <c r="F25" s="163"/>
      <c r="G25" s="163"/>
      <c r="H25" s="163"/>
      <c r="I25" s="163"/>
      <c r="J25" s="163"/>
      <c r="K25" s="163"/>
      <c r="L25" s="163"/>
      <c r="M25" s="163"/>
      <c r="N25" s="163"/>
      <c r="O25" s="163"/>
      <c r="P25" s="163"/>
      <c r="Q25" s="163"/>
      <c r="R25" s="163"/>
      <c r="S25" s="163"/>
    </row>
    <row r="26" spans="3:19">
      <c r="C26" s="163"/>
      <c r="D26" s="163"/>
      <c r="E26" s="163"/>
      <c r="F26" s="163"/>
      <c r="G26" s="163"/>
      <c r="H26" s="163"/>
      <c r="I26" s="163"/>
      <c r="J26" s="163"/>
      <c r="K26" s="163"/>
      <c r="L26" s="163"/>
      <c r="M26" s="163"/>
      <c r="N26" s="163"/>
      <c r="O26" s="163"/>
      <c r="P26" s="163"/>
      <c r="Q26" s="163"/>
      <c r="R26" s="163"/>
      <c r="S26" s="163"/>
    </row>
    <row r="27" spans="3:19" ht="15.75">
      <c r="C27" s="163"/>
      <c r="D27" s="167" t="str">
        <f>Setting!E5</f>
        <v>SMA ABBS Surakarta</v>
      </c>
      <c r="E27" s="167"/>
      <c r="F27" s="167"/>
      <c r="G27" s="167"/>
      <c r="H27" s="163"/>
      <c r="I27" s="163"/>
      <c r="J27" s="163"/>
      <c r="K27" s="163"/>
      <c r="L27" s="163"/>
      <c r="M27" s="163"/>
      <c r="N27" s="163"/>
      <c r="O27" s="163"/>
      <c r="P27" s="163"/>
      <c r="Q27" s="163"/>
      <c r="R27" s="163"/>
      <c r="S27" s="163"/>
    </row>
    <row r="28" spans="3:19" ht="15.75">
      <c r="C28" s="163"/>
      <c r="D28" s="167" t="str">
        <f>Setting!E14</f>
        <v>2020/2021</v>
      </c>
      <c r="E28" s="167"/>
      <c r="F28" s="167"/>
      <c r="G28" s="167"/>
      <c r="H28" s="163"/>
      <c r="I28" s="163"/>
      <c r="J28" s="163"/>
      <c r="K28" s="163"/>
      <c r="L28" s="163"/>
      <c r="M28" s="163"/>
      <c r="N28" s="163"/>
      <c r="O28" s="163"/>
      <c r="P28" s="163"/>
      <c r="Q28" s="163"/>
      <c r="R28" s="163"/>
      <c r="S28" s="163"/>
    </row>
    <row r="29" spans="3:19" ht="15.75">
      <c r="C29" s="163"/>
      <c r="D29" s="167" t="str">
        <f>"Semester "&amp;Setting!E15&amp;""</f>
        <v>Semester I</v>
      </c>
      <c r="E29" s="167"/>
      <c r="F29" s="167"/>
      <c r="G29" s="167"/>
      <c r="H29" s="163"/>
      <c r="I29" s="163"/>
      <c r="J29" s="163"/>
      <c r="K29" s="163"/>
      <c r="L29" s="163"/>
      <c r="M29" s="163"/>
      <c r="N29" s="163"/>
      <c r="O29" s="163"/>
      <c r="P29" s="163"/>
      <c r="Q29" s="163"/>
      <c r="R29" s="163"/>
      <c r="S29" s="163"/>
    </row>
    <row r="30" spans="3:19" ht="15.75">
      <c r="C30" s="163"/>
      <c r="D30" s="167" t="str">
        <f>Setting!E11</f>
        <v>X.MIPA 4</v>
      </c>
      <c r="E30" s="167"/>
      <c r="F30" s="167"/>
      <c r="G30" s="167"/>
      <c r="H30" s="163"/>
      <c r="I30" s="163"/>
      <c r="J30" s="163"/>
      <c r="K30" s="163"/>
      <c r="L30" s="163"/>
      <c r="M30" s="163"/>
      <c r="N30" s="163"/>
      <c r="O30" s="163"/>
      <c r="P30" s="163"/>
      <c r="Q30" s="163"/>
      <c r="R30" s="163"/>
      <c r="S30" s="163"/>
    </row>
    <row r="31" spans="3:19">
      <c r="C31" s="163"/>
      <c r="D31" s="163"/>
      <c r="E31" s="163"/>
      <c r="F31" s="163"/>
      <c r="G31" s="163"/>
      <c r="H31" s="163"/>
      <c r="I31" s="163"/>
      <c r="J31" s="163"/>
      <c r="K31" s="163"/>
      <c r="L31" s="163"/>
      <c r="M31" s="163"/>
      <c r="N31" s="163"/>
      <c r="O31" s="163"/>
      <c r="P31" s="163"/>
      <c r="Q31" s="163"/>
      <c r="R31" s="163"/>
      <c r="S31" s="163"/>
    </row>
  </sheetData>
  <sheetProtection algorithmName="SHA-512" hashValue="86mPZFo6XeCdn/05HeSaTL/xc/MHgGJ3/EBThhnS6vBB48yaoLN0iVuNicuAe36EKJWK4cq7G+xOj2IXfDBnng==" saltValue="cRULy5qnNAYCXMqDDBpZgQ==" spinCount="100000" sheet="1" objects="1" scenarios="1" selectLockedCells="1" selectUnlockedCells="1"/>
  <mergeCells count="4">
    <mergeCell ref="D27:G27"/>
    <mergeCell ref="D28:G28"/>
    <mergeCell ref="D29:G29"/>
    <mergeCell ref="D30:G30"/>
  </mergeCells>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opLeftCell="B1" workbookViewId="0">
      <pane xSplit="3" ySplit="4" topLeftCell="E5" activePane="bottomRight" state="frozenSplit"/>
      <selection pane="topRight"/>
      <selection pane="bottomLeft"/>
      <selection pane="bottomRight" activeCell="E5" sqref="E5:G36"/>
    </sheetView>
  </sheetViews>
  <sheetFormatPr defaultColWidth="9.140625" defaultRowHeight="15"/>
  <cols>
    <col min="1" max="1" width="9" hidden="1" customWidth="1"/>
    <col min="2" max="2" width="14.85546875" customWidth="1"/>
    <col min="3" max="3" width="25.85546875" customWidth="1"/>
    <col min="4" max="4" width="10.42578125" style="14" customWidth="1"/>
    <col min="5" max="7" width="17.28515625" customWidth="1"/>
  </cols>
  <sheetData>
    <row r="1" spans="2:7" s="12" customFormat="1" ht="21">
      <c r="C1" s="15" t="str">
        <f>"Input Data Kehadiran Siswa Kelas "&amp;Setting!E11&amp;" Tahun "&amp;Setting!E14&amp;" Semester "&amp;Setting!E15&amp;""</f>
        <v>Input Data Kehadiran Siswa Kelas X.MIPA 4 Tahun 2020/2021 Semester I</v>
      </c>
      <c r="D1" s="16"/>
    </row>
    <row r="3" spans="2:7" s="13" customFormat="1">
      <c r="B3" s="293" t="s">
        <v>322</v>
      </c>
      <c r="C3" s="293" t="s">
        <v>308</v>
      </c>
      <c r="D3" s="293" t="s">
        <v>323</v>
      </c>
      <c r="E3" s="292" t="s">
        <v>175</v>
      </c>
      <c r="F3" s="292"/>
      <c r="G3" s="292"/>
    </row>
    <row r="4" spans="2:7" s="13" customFormat="1">
      <c r="B4" s="293"/>
      <c r="C4" s="293"/>
      <c r="D4" s="293"/>
      <c r="E4" s="6" t="s">
        <v>176</v>
      </c>
      <c r="F4" s="6" t="s">
        <v>178</v>
      </c>
      <c r="G4" s="6" t="s">
        <v>179</v>
      </c>
    </row>
    <row r="5" spans="2:7">
      <c r="B5" s="7">
        <v>1</v>
      </c>
      <c r="C5" s="8" t="str">
        <f>IF(Setting!J6="","",Setting!J6)</f>
        <v>Abdul Fattah Irfan Al Mubaroq</v>
      </c>
      <c r="D5" s="9">
        <f>IF(Setting!K6="","",Setting!K6)</f>
        <v>2008004</v>
      </c>
      <c r="E5" s="17" t="s">
        <v>336</v>
      </c>
      <c r="F5" s="17">
        <v>1</v>
      </c>
      <c r="G5" s="17" t="s">
        <v>336</v>
      </c>
    </row>
    <row r="6" spans="2:7">
      <c r="B6" s="7">
        <v>2</v>
      </c>
      <c r="C6" s="8" t="str">
        <f>IF(Setting!J7="","",Setting!J7)</f>
        <v>Adam Zidane Danata Pranugroho</v>
      </c>
      <c r="D6" s="9">
        <f>IF(Setting!K7="","",Setting!K7)</f>
        <v>2008009</v>
      </c>
      <c r="E6" s="17" t="s">
        <v>336</v>
      </c>
      <c r="F6" s="17">
        <v>2</v>
      </c>
      <c r="G6" s="17" t="s">
        <v>336</v>
      </c>
    </row>
    <row r="7" spans="2:7">
      <c r="B7" s="7">
        <v>3</v>
      </c>
      <c r="C7" s="8" t="str">
        <f>IF(Setting!J8="","",Setting!J8)</f>
        <v>Ahmad Fikry</v>
      </c>
      <c r="D7" s="9">
        <f>IF(Setting!K8="","",Setting!K8)</f>
        <v>2008021</v>
      </c>
      <c r="E7" s="17" t="s">
        <v>336</v>
      </c>
      <c r="F7" s="17" t="s">
        <v>336</v>
      </c>
      <c r="G7" s="17" t="s">
        <v>336</v>
      </c>
    </row>
    <row r="8" spans="2:7">
      <c r="B8" s="7">
        <v>4</v>
      </c>
      <c r="C8" s="8" t="str">
        <f>IF(Setting!J9="","",Setting!J9)</f>
        <v>Akhmad Rifki Assegaf</v>
      </c>
      <c r="D8" s="9">
        <f>IF(Setting!K9="","",Setting!K9)</f>
        <v>2008029</v>
      </c>
      <c r="E8" s="17" t="s">
        <v>336</v>
      </c>
      <c r="F8" s="17" t="s">
        <v>336</v>
      </c>
      <c r="G8" s="17" t="s">
        <v>336</v>
      </c>
    </row>
    <row r="9" spans="2:7">
      <c r="B9" s="7">
        <v>5</v>
      </c>
      <c r="C9" s="8" t="str">
        <f>IF(Setting!J10="","",Setting!J10)</f>
        <v>Almas Sabih Wahindra</v>
      </c>
      <c r="D9" s="9">
        <f>IF(Setting!K10="","",Setting!K10)</f>
        <v>2008034</v>
      </c>
      <c r="E9" s="17" t="s">
        <v>336</v>
      </c>
      <c r="F9" s="17" t="s">
        <v>336</v>
      </c>
      <c r="G9" s="17" t="s">
        <v>336</v>
      </c>
    </row>
    <row r="10" spans="2:7">
      <c r="B10" s="7">
        <v>6</v>
      </c>
      <c r="C10" s="8" t="str">
        <f>IF(Setting!J11="","",Setting!J11)</f>
        <v>Aria Fenha Apri Bima</v>
      </c>
      <c r="D10" s="9">
        <f>IF(Setting!K11="","",Setting!K11)</f>
        <v>2008054</v>
      </c>
      <c r="E10" s="17" t="s">
        <v>336</v>
      </c>
      <c r="F10" s="17">
        <v>4</v>
      </c>
      <c r="G10" s="17" t="s">
        <v>336</v>
      </c>
    </row>
    <row r="11" spans="2:7">
      <c r="B11" s="7">
        <v>7</v>
      </c>
      <c r="C11" s="8" t="str">
        <f>IF(Setting!J12="","",Setting!J12)</f>
        <v>Baharuddin Barkah Pratama</v>
      </c>
      <c r="D11" s="9">
        <f>IF(Setting!K12="","",Setting!K12)</f>
        <v>2008075</v>
      </c>
      <c r="E11" s="17" t="s">
        <v>336</v>
      </c>
      <c r="F11" s="17">
        <v>2</v>
      </c>
      <c r="G11" s="17" t="s">
        <v>336</v>
      </c>
    </row>
    <row r="12" spans="2:7">
      <c r="B12" s="7">
        <v>8</v>
      </c>
      <c r="C12" s="8" t="str">
        <f>IF(Setting!J13="","",Setting!J13)</f>
        <v>Daffa Arya Pudyastungkara</v>
      </c>
      <c r="D12" s="9">
        <f>IF(Setting!K13="","",Setting!K13)</f>
        <v>2008089</v>
      </c>
      <c r="E12" s="17" t="s">
        <v>336</v>
      </c>
      <c r="F12" s="17" t="s">
        <v>336</v>
      </c>
      <c r="G12" s="17" t="s">
        <v>336</v>
      </c>
    </row>
    <row r="13" spans="2:7">
      <c r="B13" s="7">
        <v>9</v>
      </c>
      <c r="C13" s="8" t="str">
        <f>IF(Setting!J14="","",Setting!J14)</f>
        <v>Dody Muhammad Pasha</v>
      </c>
      <c r="D13" s="9">
        <f>IF(Setting!K14="","",Setting!K14)</f>
        <v>2008095</v>
      </c>
      <c r="E13" s="17" t="s">
        <v>336</v>
      </c>
      <c r="F13" s="17" t="s">
        <v>336</v>
      </c>
      <c r="G13" s="17" t="s">
        <v>336</v>
      </c>
    </row>
    <row r="14" spans="2:7">
      <c r="B14" s="7">
        <v>10</v>
      </c>
      <c r="C14" s="8" t="str">
        <f>IF(Setting!J15="","",Setting!J15)</f>
        <v>Elga Perdana</v>
      </c>
      <c r="D14" s="9">
        <f>IF(Setting!K15="","",Setting!K15)</f>
        <v>2008099</v>
      </c>
      <c r="E14" s="17" t="s">
        <v>336</v>
      </c>
      <c r="F14" s="17" t="s">
        <v>336</v>
      </c>
      <c r="G14" s="17" t="s">
        <v>336</v>
      </c>
    </row>
    <row r="15" spans="2:7">
      <c r="B15" s="7">
        <v>11</v>
      </c>
      <c r="C15" s="8" t="str">
        <f>IF(Setting!J16="","",Setting!J16)</f>
        <v>Fathoni Daniswara</v>
      </c>
      <c r="D15" s="9">
        <f>IF(Setting!K16="","",Setting!K16)</f>
        <v>2008118</v>
      </c>
      <c r="E15" s="17" t="s">
        <v>336</v>
      </c>
      <c r="F15" s="17" t="s">
        <v>336</v>
      </c>
      <c r="G15" s="17" t="s">
        <v>336</v>
      </c>
    </row>
    <row r="16" spans="2:7">
      <c r="B16" s="7">
        <v>12</v>
      </c>
      <c r="C16" s="8" t="str">
        <f>IF(Setting!J17="","",Setting!J17)</f>
        <v>Gading Setyo Manunggal</v>
      </c>
      <c r="D16" s="9">
        <f>IF(Setting!K17="","",Setting!K17)</f>
        <v>2008127</v>
      </c>
      <c r="E16" s="17" t="s">
        <v>336</v>
      </c>
      <c r="F16" s="17" t="s">
        <v>336</v>
      </c>
      <c r="G16" s="17" t="s">
        <v>336</v>
      </c>
    </row>
    <row r="17" spans="2:7">
      <c r="B17" s="7">
        <v>13</v>
      </c>
      <c r="C17" s="8" t="str">
        <f>IF(Setting!J18="","",Setting!J18)</f>
        <v>Ghifari Mabrur Al Burhani</v>
      </c>
      <c r="D17" s="9">
        <f>IF(Setting!K18="","",Setting!K18)</f>
        <v>2008128</v>
      </c>
      <c r="E17" s="17" t="s">
        <v>336</v>
      </c>
      <c r="F17" s="17">
        <v>2</v>
      </c>
      <c r="G17" s="17" t="s">
        <v>336</v>
      </c>
    </row>
    <row r="18" spans="2:7">
      <c r="B18" s="7">
        <v>14</v>
      </c>
      <c r="C18" s="8" t="str">
        <f>IF(Setting!J19="","",Setting!J19)</f>
        <v>Hafid Mahreza Ilham</v>
      </c>
      <c r="D18" s="9">
        <f>IF(Setting!K19="","",Setting!K19)</f>
        <v>2008131</v>
      </c>
      <c r="E18" s="17" t="s">
        <v>336</v>
      </c>
      <c r="F18" s="17">
        <v>2</v>
      </c>
      <c r="G18" s="17" t="s">
        <v>336</v>
      </c>
    </row>
    <row r="19" spans="2:7">
      <c r="B19" s="7">
        <v>15</v>
      </c>
      <c r="C19" s="8" t="str">
        <f>IF(Setting!J20="","",Setting!J20)</f>
        <v>Haidar Rafif Hibatulloh</v>
      </c>
      <c r="D19" s="9">
        <f>IF(Setting!K20="","",Setting!K20)</f>
        <v>2008132</v>
      </c>
      <c r="E19" s="17" t="s">
        <v>336</v>
      </c>
      <c r="F19" s="17" t="s">
        <v>336</v>
      </c>
      <c r="G19" s="17" t="s">
        <v>336</v>
      </c>
    </row>
    <row r="20" spans="2:7">
      <c r="B20" s="7">
        <v>16</v>
      </c>
      <c r="C20" s="8" t="str">
        <f>IF(Setting!J21="","",Setting!J21)</f>
        <v>Kelvin Oktabrian Ramadhan</v>
      </c>
      <c r="D20" s="9">
        <f>IF(Setting!K21="","",Setting!K21)</f>
        <v>2008169</v>
      </c>
      <c r="E20" s="17" t="s">
        <v>336</v>
      </c>
      <c r="F20" s="17">
        <v>2</v>
      </c>
      <c r="G20" s="17" t="s">
        <v>336</v>
      </c>
    </row>
    <row r="21" spans="2:7">
      <c r="B21" s="7">
        <v>17</v>
      </c>
      <c r="C21" s="8" t="str">
        <f>IF(Setting!J22="","",Setting!J22)</f>
        <v>Mohamad Khoiril Afwa</v>
      </c>
      <c r="D21" s="9">
        <f>IF(Setting!K22="","",Setting!K22)</f>
        <v>2008197</v>
      </c>
      <c r="E21" s="17" t="s">
        <v>336</v>
      </c>
      <c r="F21" s="17" t="s">
        <v>336</v>
      </c>
      <c r="G21" s="17" t="s">
        <v>336</v>
      </c>
    </row>
    <row r="22" spans="2:7">
      <c r="B22" s="7">
        <v>18</v>
      </c>
      <c r="C22" s="8" t="str">
        <f>IF(Setting!J23="","",Setting!J23)</f>
        <v>Muhammad Hanif Pearlyaradja</v>
      </c>
      <c r="D22" s="9">
        <f>IF(Setting!K23="","",Setting!K23)</f>
        <v>2008214</v>
      </c>
      <c r="E22" s="17" t="s">
        <v>336</v>
      </c>
      <c r="F22" s="17">
        <v>1</v>
      </c>
      <c r="G22" s="17" t="s">
        <v>336</v>
      </c>
    </row>
    <row r="23" spans="2:7">
      <c r="B23" s="7">
        <v>19</v>
      </c>
      <c r="C23" s="8" t="str">
        <f>IF(Setting!J24="","",Setting!J24)</f>
        <v>Muhammad Maurel Han</v>
      </c>
      <c r="D23" s="9">
        <f>IF(Setting!K24="","",Setting!K24)</f>
        <v>2008218</v>
      </c>
      <c r="E23" s="17">
        <v>2</v>
      </c>
      <c r="F23" s="17" t="s">
        <v>336</v>
      </c>
      <c r="G23" s="17" t="s">
        <v>336</v>
      </c>
    </row>
    <row r="24" spans="2:7">
      <c r="B24" s="7">
        <v>20</v>
      </c>
      <c r="C24" s="8" t="str">
        <f>IF(Setting!J25="","",Setting!J25)</f>
        <v>Muhammad Niam Masykuri</v>
      </c>
      <c r="D24" s="9">
        <f>IF(Setting!K25="","",Setting!K25)</f>
        <v>2008220</v>
      </c>
      <c r="E24" s="17" t="s">
        <v>336</v>
      </c>
      <c r="F24" s="17">
        <v>1</v>
      </c>
      <c r="G24" s="17" t="s">
        <v>336</v>
      </c>
    </row>
    <row r="25" spans="2:7">
      <c r="B25" s="7">
        <v>21</v>
      </c>
      <c r="C25" s="8" t="str">
        <f>IF(Setting!J26="","",Setting!J26)</f>
        <v>Muhammad Nur Arzhian Kusuma</v>
      </c>
      <c r="D25" s="9">
        <f>IF(Setting!K26="","",Setting!K26)</f>
        <v>2008221</v>
      </c>
      <c r="E25" s="17">
        <v>1</v>
      </c>
      <c r="F25" s="17">
        <v>2</v>
      </c>
      <c r="G25" s="17" t="s">
        <v>336</v>
      </c>
    </row>
    <row r="26" spans="2:7">
      <c r="B26" s="7">
        <v>22</v>
      </c>
      <c r="C26" s="8" t="str">
        <f>IF(Setting!J27="","",Setting!J27)</f>
        <v>Muhammad Rafif Rizqullah</v>
      </c>
      <c r="D26" s="9">
        <f>IF(Setting!K27="","",Setting!K27)</f>
        <v>2008222</v>
      </c>
      <c r="E26" s="17" t="s">
        <v>336</v>
      </c>
      <c r="F26" s="17">
        <v>1</v>
      </c>
      <c r="G26" s="17" t="s">
        <v>336</v>
      </c>
    </row>
    <row r="27" spans="2:7">
      <c r="B27" s="7">
        <v>23</v>
      </c>
      <c r="C27" s="8" t="str">
        <f>IF(Setting!J28="","",Setting!J28)</f>
        <v>Muhammad Raihan Al Faridzi</v>
      </c>
      <c r="D27" s="9">
        <f>IF(Setting!K28="","",Setting!K28)</f>
        <v>2008223</v>
      </c>
      <c r="E27" s="17" t="s">
        <v>336</v>
      </c>
      <c r="F27" s="17">
        <v>2</v>
      </c>
      <c r="G27" s="17" t="s">
        <v>336</v>
      </c>
    </row>
    <row r="28" spans="2:7">
      <c r="B28" s="7">
        <v>24</v>
      </c>
      <c r="C28" s="8" t="str">
        <f>IF(Setting!J29="","",Setting!J29)</f>
        <v>Muhammad Rakan Hafidh Al Ghalib</v>
      </c>
      <c r="D28" s="9">
        <f>IF(Setting!K29="","",Setting!K29)</f>
        <v>2008224</v>
      </c>
      <c r="E28" s="17" t="s">
        <v>336</v>
      </c>
      <c r="F28" s="17" t="s">
        <v>336</v>
      </c>
      <c r="G28" s="17" t="s">
        <v>336</v>
      </c>
    </row>
    <row r="29" spans="2:7">
      <c r="B29" s="7">
        <v>25</v>
      </c>
      <c r="C29" s="8" t="str">
        <f>IF(Setting!J30="","",Setting!J30)</f>
        <v>Muhammad Syamu Naufal</v>
      </c>
      <c r="D29" s="9">
        <f>IF(Setting!K30="","",Setting!K30)</f>
        <v>2008230</v>
      </c>
      <c r="E29" s="17" t="s">
        <v>336</v>
      </c>
      <c r="F29" s="17">
        <v>1</v>
      </c>
      <c r="G29" s="17" t="s">
        <v>336</v>
      </c>
    </row>
    <row r="30" spans="2:7">
      <c r="B30" s="7">
        <v>26</v>
      </c>
      <c r="C30" s="8" t="str">
        <f>IF(Setting!J31="","",Setting!J31)</f>
        <v>Naufal Muhammad Iqbal</v>
      </c>
      <c r="D30" s="9">
        <f>IF(Setting!K31="","",Setting!K31)</f>
        <v>2008251</v>
      </c>
      <c r="E30" s="17" t="s">
        <v>336</v>
      </c>
      <c r="F30" s="17" t="s">
        <v>336</v>
      </c>
      <c r="G30" s="17" t="s">
        <v>336</v>
      </c>
    </row>
    <row r="31" spans="2:7">
      <c r="B31" s="7">
        <v>27</v>
      </c>
      <c r="C31" s="8" t="str">
        <f>IF(Setting!J32="","",Setting!J32)</f>
        <v>Nauval Nur Mustafa</v>
      </c>
      <c r="D31" s="9">
        <f>IF(Setting!K32="","",Setting!K32)</f>
        <v>2008253</v>
      </c>
      <c r="E31" s="17">
        <v>2</v>
      </c>
      <c r="F31" s="17">
        <v>2</v>
      </c>
      <c r="G31" s="17" t="s">
        <v>336</v>
      </c>
    </row>
    <row r="32" spans="2:7">
      <c r="B32" s="7">
        <v>28</v>
      </c>
      <c r="C32" s="8" t="str">
        <f>IF(Setting!J33="","",Setting!J33)</f>
        <v>Oriegano Kanahaya  Siagian</v>
      </c>
      <c r="D32" s="9">
        <f>IF(Setting!K33="","",Setting!K33)</f>
        <v>2008272</v>
      </c>
      <c r="E32" s="17" t="s">
        <v>336</v>
      </c>
      <c r="F32" s="17">
        <v>2</v>
      </c>
      <c r="G32" s="17" t="s">
        <v>336</v>
      </c>
    </row>
    <row r="33" spans="2:7">
      <c r="B33" s="7">
        <v>29</v>
      </c>
      <c r="C33" s="8" t="str">
        <f>IF(Setting!J34="","",Setting!J34)</f>
        <v>Rafif Mahatma Indrastata</v>
      </c>
      <c r="D33" s="9">
        <f>IF(Setting!K34="","",Setting!K34)</f>
        <v>2008282</v>
      </c>
      <c r="E33" s="17">
        <v>2</v>
      </c>
      <c r="F33" s="17">
        <v>3</v>
      </c>
      <c r="G33" s="17" t="s">
        <v>336</v>
      </c>
    </row>
    <row r="34" spans="2:7">
      <c r="B34" s="7">
        <v>30</v>
      </c>
      <c r="C34" s="8" t="str">
        <f>IF(Setting!J35="","",Setting!J35)</f>
        <v>Rayhan Yoga Edy Pratama</v>
      </c>
      <c r="D34" s="9">
        <f>IF(Setting!K35="","",Setting!K35)</f>
        <v>2008296</v>
      </c>
      <c r="E34" s="17" t="s">
        <v>336</v>
      </c>
      <c r="F34" s="17">
        <v>2</v>
      </c>
      <c r="G34" s="17" t="s">
        <v>336</v>
      </c>
    </row>
    <row r="35" spans="2:7">
      <c r="B35" s="7">
        <v>31</v>
      </c>
      <c r="C35" s="8" t="str">
        <f>IF(Setting!J36="","",Setting!J36)</f>
        <v>Rusianto Munif</v>
      </c>
      <c r="D35" s="9">
        <f>IF(Setting!K36="","",Setting!K36)</f>
        <v>2008307</v>
      </c>
      <c r="E35" s="18" t="s">
        <v>336</v>
      </c>
      <c r="F35" s="18" t="s">
        <v>336</v>
      </c>
      <c r="G35" s="18" t="s">
        <v>336</v>
      </c>
    </row>
    <row r="36" spans="2:7">
      <c r="B36" s="7">
        <v>32</v>
      </c>
      <c r="C36" s="8" t="str">
        <f>IF(Setting!J37="","",Setting!J37)</f>
        <v>Zaidan Mu'afy Althaf</v>
      </c>
      <c r="D36" s="9">
        <f>IF(Setting!K37="","",Setting!K37)</f>
        <v>2008347</v>
      </c>
      <c r="E36" s="18" t="s">
        <v>336</v>
      </c>
      <c r="F36" s="18" t="s">
        <v>336</v>
      </c>
      <c r="G36" s="18" t="s">
        <v>336</v>
      </c>
    </row>
    <row r="37" spans="2:7">
      <c r="B37" s="7">
        <v>33</v>
      </c>
      <c r="C37" s="8" t="str">
        <f>IF(Setting!J38="","",Setting!J38)</f>
        <v/>
      </c>
      <c r="D37" s="9" t="str">
        <f>IF(Setting!K38="","",Setting!K38)</f>
        <v/>
      </c>
      <c r="E37" s="18"/>
      <c r="F37" s="18"/>
      <c r="G37" s="18"/>
    </row>
    <row r="38" spans="2:7">
      <c r="B38" s="7">
        <v>34</v>
      </c>
      <c r="C38" s="8" t="str">
        <f>IF(Setting!J39="","",Setting!J39)</f>
        <v/>
      </c>
      <c r="D38" s="9" t="str">
        <f>IF(Setting!K39="","",Setting!K39)</f>
        <v/>
      </c>
      <c r="E38" s="18"/>
      <c r="F38" s="18"/>
      <c r="G38" s="18"/>
    </row>
    <row r="39" spans="2:7">
      <c r="B39" s="7">
        <v>35</v>
      </c>
      <c r="C39" s="8" t="str">
        <f>IF(Setting!J40="","",Setting!J40)</f>
        <v/>
      </c>
      <c r="D39" s="9" t="str">
        <f>IF(Setting!K40="","",Setting!K40)</f>
        <v/>
      </c>
      <c r="E39" s="18"/>
      <c r="F39" s="18"/>
      <c r="G39" s="18"/>
    </row>
    <row r="40" spans="2:7">
      <c r="B40" s="7">
        <v>36</v>
      </c>
      <c r="C40" s="8" t="str">
        <f>IF(Setting!J41="","",Setting!J41)</f>
        <v/>
      </c>
      <c r="D40" s="9" t="str">
        <f>IF(Setting!K41="","",Setting!K41)</f>
        <v/>
      </c>
      <c r="E40" s="18"/>
      <c r="F40" s="18"/>
      <c r="G40" s="18"/>
    </row>
    <row r="41" spans="2:7">
      <c r="B41" s="7">
        <v>37</v>
      </c>
      <c r="C41" s="8" t="str">
        <f>IF(Setting!J42="","",Setting!J42)</f>
        <v/>
      </c>
      <c r="D41" s="9" t="str">
        <f>IF(Setting!K42="","",Setting!K42)</f>
        <v/>
      </c>
      <c r="E41" s="18"/>
      <c r="F41" s="18"/>
      <c r="G41" s="18"/>
    </row>
    <row r="42" spans="2:7">
      <c r="B42" s="7">
        <v>38</v>
      </c>
      <c r="C42" s="8" t="str">
        <f>IF(Setting!J43="","",Setting!J43)</f>
        <v/>
      </c>
      <c r="D42" s="9" t="str">
        <f>IF(Setting!K43="","",Setting!K43)</f>
        <v/>
      </c>
      <c r="E42" s="18"/>
      <c r="F42" s="18"/>
      <c r="G42" s="18"/>
    </row>
    <row r="43" spans="2:7">
      <c r="B43" s="7">
        <v>39</v>
      </c>
      <c r="C43" s="8" t="str">
        <f>IF(Setting!J44="","",Setting!J44)</f>
        <v/>
      </c>
      <c r="D43" s="9" t="str">
        <f>IF(Setting!K44="","",Setting!K44)</f>
        <v/>
      </c>
      <c r="E43" s="18"/>
      <c r="F43" s="18"/>
      <c r="G43" s="18"/>
    </row>
    <row r="44" spans="2:7">
      <c r="B44" s="7">
        <v>40</v>
      </c>
      <c r="C44" s="8" t="str">
        <f>IF(Setting!J45="","",Setting!J45)</f>
        <v/>
      </c>
      <c r="D44" s="9" t="str">
        <f>IF(Setting!K45="","",Setting!K45)</f>
        <v/>
      </c>
      <c r="E44" s="18"/>
      <c r="F44" s="18"/>
      <c r="G44" s="18"/>
    </row>
  </sheetData>
  <sheetProtection algorithmName="SHA-512" hashValue="1a8Gq66tu5GthCt6UUZnYYrE3kdCfBUL24ALdUPoeGr6SPojKKppsyOt6RXYbaASf8Bh3Q5j1M8OrrMIbnWPuA==" saltValue="mUc6EJr9kYuOaOKY4niaCQ==" spinCount="100000" sheet="1" objects="1" scenarios="1" selectLockedCells="1"/>
  <mergeCells count="4">
    <mergeCell ref="E3:G3"/>
    <mergeCell ref="B3:B4"/>
    <mergeCell ref="C3:C4"/>
    <mergeCell ref="D3:D4"/>
  </mergeCells>
  <pageMargins left="0.7" right="0.7" top="0.75" bottom="0.75" header="0.3" footer="0.3"/>
  <pageSetup paperSize="300"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zoomScale="70" zoomScaleNormal="70" workbookViewId="0">
      <pane xSplit="3" ySplit="5" topLeftCell="D6" activePane="bottomRight" state="frozenSplit"/>
      <selection pane="topRight"/>
      <selection pane="bottomLeft"/>
      <selection pane="bottomRight" activeCell="D6" sqref="D6"/>
    </sheetView>
  </sheetViews>
  <sheetFormatPr defaultColWidth="9" defaultRowHeight="15"/>
  <cols>
    <col min="1" max="1" width="16.140625" customWidth="1"/>
    <col min="2" max="2" width="28" customWidth="1"/>
    <col min="3" max="3" width="11.85546875" style="4" customWidth="1"/>
    <col min="4" max="11" width="33" customWidth="1"/>
  </cols>
  <sheetData>
    <row r="1" spans="1:11" ht="30" customHeight="1">
      <c r="B1" s="5" t="str">
        <f>"Input Data Prestasi Siswa Kelas "&amp;Setting!E11&amp;" Tahun "&amp;Setting!E14&amp;" Semester "&amp;Setting!E15&amp;""</f>
        <v>Input Data Prestasi Siswa Kelas X.MIPA 4 Tahun 2020/2021 Semester I</v>
      </c>
    </row>
    <row r="3" spans="1:11">
      <c r="A3" s="291" t="s">
        <v>322</v>
      </c>
      <c r="B3" s="291" t="s">
        <v>308</v>
      </c>
      <c r="C3" s="291" t="s">
        <v>323</v>
      </c>
      <c r="D3" s="292" t="s">
        <v>171</v>
      </c>
      <c r="E3" s="292"/>
      <c r="F3" s="292"/>
      <c r="G3" s="292"/>
      <c r="H3" s="292" t="s">
        <v>337</v>
      </c>
      <c r="I3" s="292"/>
      <c r="J3" s="292"/>
      <c r="K3" s="292"/>
    </row>
    <row r="4" spans="1:11">
      <c r="A4" s="291"/>
      <c r="B4" s="291"/>
      <c r="C4" s="291"/>
      <c r="D4" s="293" t="s">
        <v>338</v>
      </c>
      <c r="E4" s="293" t="s">
        <v>339</v>
      </c>
      <c r="F4" s="293" t="s">
        <v>340</v>
      </c>
      <c r="G4" s="293" t="s">
        <v>341</v>
      </c>
      <c r="H4" s="293">
        <v>1</v>
      </c>
      <c r="I4" s="293">
        <v>2</v>
      </c>
      <c r="J4" s="293">
        <v>3</v>
      </c>
      <c r="K4" s="293">
        <v>4</v>
      </c>
    </row>
    <row r="5" spans="1:11">
      <c r="A5" s="291"/>
      <c r="B5" s="291"/>
      <c r="C5" s="291"/>
      <c r="D5" s="293"/>
      <c r="E5" s="293"/>
      <c r="F5" s="293"/>
      <c r="G5" s="293"/>
      <c r="H5" s="293"/>
      <c r="I5" s="293"/>
      <c r="J5" s="293"/>
      <c r="K5" s="293"/>
    </row>
    <row r="6" spans="1:11" ht="29.25" customHeight="1">
      <c r="A6" s="7">
        <v>1</v>
      </c>
      <c r="B6" s="8" t="str">
        <f>IF(Setting!J6="","",Setting!J6)</f>
        <v>Abdul Fattah Irfan Al Mubaroq</v>
      </c>
      <c r="C6" s="9">
        <f>IF(Setting!K6="","",Setting!K6)</f>
        <v>2008004</v>
      </c>
      <c r="D6" s="10"/>
      <c r="E6" s="10"/>
      <c r="F6" s="10"/>
      <c r="G6" s="10"/>
      <c r="H6" s="10"/>
      <c r="I6" s="10"/>
      <c r="J6" s="10"/>
      <c r="K6" s="10"/>
    </row>
    <row r="7" spans="1:11" ht="29.25" customHeight="1">
      <c r="A7" s="7">
        <v>2</v>
      </c>
      <c r="B7" s="8" t="str">
        <f>IF(Setting!J7="","",Setting!J7)</f>
        <v>Adam Zidane Danata Pranugroho</v>
      </c>
      <c r="C7" s="9">
        <f>IF(Setting!K7="","",Setting!K7)</f>
        <v>2008009</v>
      </c>
      <c r="D7" s="10"/>
      <c r="E7" s="10"/>
      <c r="F7" s="10"/>
      <c r="G7" s="10"/>
      <c r="H7" s="10"/>
      <c r="I7" s="10"/>
      <c r="J7" s="10"/>
      <c r="K7" s="10"/>
    </row>
    <row r="8" spans="1:11" ht="29.25" customHeight="1">
      <c r="A8" s="7">
        <v>3</v>
      </c>
      <c r="B8" s="8" t="str">
        <f>IF(Setting!J8="","",Setting!J8)</f>
        <v>Ahmad Fikry</v>
      </c>
      <c r="C8" s="9">
        <f>IF(Setting!K8="","",Setting!K8)</f>
        <v>2008021</v>
      </c>
      <c r="D8" s="10"/>
      <c r="E8" s="10"/>
      <c r="F8" s="10"/>
      <c r="G8" s="10"/>
      <c r="H8" s="10"/>
      <c r="I8" s="10"/>
      <c r="J8" s="10"/>
      <c r="K8" s="10"/>
    </row>
    <row r="9" spans="1:11" ht="29.25" customHeight="1">
      <c r="A9" s="7">
        <v>4</v>
      </c>
      <c r="B9" s="8" t="str">
        <f>IF(Setting!J9="","",Setting!J9)</f>
        <v>Akhmad Rifki Assegaf</v>
      </c>
      <c r="C9" s="9">
        <f>IF(Setting!K9="","",Setting!K9)</f>
        <v>2008029</v>
      </c>
      <c r="D9" s="10"/>
      <c r="E9" s="10"/>
      <c r="F9" s="10"/>
      <c r="G9" s="10"/>
      <c r="H9" s="10"/>
      <c r="I9" s="10"/>
      <c r="J9" s="10"/>
      <c r="K9" s="10"/>
    </row>
    <row r="10" spans="1:11" ht="29.25" customHeight="1">
      <c r="A10" s="7">
        <v>5</v>
      </c>
      <c r="B10" s="8" t="str">
        <f>IF(Setting!J10="","",Setting!J10)</f>
        <v>Almas Sabih Wahindra</v>
      </c>
      <c r="C10" s="9">
        <f>IF(Setting!K10="","",Setting!K10)</f>
        <v>2008034</v>
      </c>
      <c r="D10" s="10"/>
      <c r="E10" s="10"/>
      <c r="F10" s="10"/>
      <c r="G10" s="10"/>
      <c r="H10" s="10"/>
      <c r="I10" s="10"/>
      <c r="J10" s="10"/>
      <c r="K10" s="10"/>
    </row>
    <row r="11" spans="1:11" ht="29.25" customHeight="1">
      <c r="A11" s="7">
        <v>6</v>
      </c>
      <c r="B11" s="8" t="str">
        <f>IF(Setting!J11="","",Setting!J11)</f>
        <v>Aria Fenha Apri Bima</v>
      </c>
      <c r="C11" s="9">
        <f>IF(Setting!K11="","",Setting!K11)</f>
        <v>2008054</v>
      </c>
      <c r="D11" s="10"/>
      <c r="E11" s="10"/>
      <c r="F11" s="10"/>
      <c r="G11" s="10"/>
      <c r="H11" s="10"/>
      <c r="I11" s="10"/>
      <c r="J11" s="10"/>
      <c r="K11" s="10"/>
    </row>
    <row r="12" spans="1:11" ht="29.25" customHeight="1">
      <c r="A12" s="7">
        <v>7</v>
      </c>
      <c r="B12" s="8" t="str">
        <f>IF(Setting!J12="","",Setting!J12)</f>
        <v>Baharuddin Barkah Pratama</v>
      </c>
      <c r="C12" s="9">
        <f>IF(Setting!K12="","",Setting!K12)</f>
        <v>2008075</v>
      </c>
      <c r="D12" s="10"/>
      <c r="E12" s="10"/>
      <c r="F12" s="10"/>
      <c r="G12" s="10"/>
      <c r="H12" s="10"/>
      <c r="I12" s="10"/>
      <c r="J12" s="10"/>
      <c r="K12" s="10"/>
    </row>
    <row r="13" spans="1:11" ht="29.25" customHeight="1">
      <c r="A13" s="7">
        <v>8</v>
      </c>
      <c r="B13" s="8" t="str">
        <f>IF(Setting!J13="","",Setting!J13)</f>
        <v>Daffa Arya Pudyastungkara</v>
      </c>
      <c r="C13" s="9">
        <f>IF(Setting!K13="","",Setting!K13)</f>
        <v>2008089</v>
      </c>
      <c r="D13" s="10"/>
      <c r="E13" s="10"/>
      <c r="F13" s="10"/>
      <c r="G13" s="10"/>
      <c r="H13" s="10"/>
      <c r="I13" s="10"/>
      <c r="J13" s="10"/>
      <c r="K13" s="10"/>
    </row>
    <row r="14" spans="1:11" ht="29.25" customHeight="1">
      <c r="A14" s="7">
        <v>9</v>
      </c>
      <c r="B14" s="8" t="str">
        <f>IF(Setting!J14="","",Setting!J14)</f>
        <v>Dody Muhammad Pasha</v>
      </c>
      <c r="C14" s="9">
        <f>IF(Setting!K14="","",Setting!K14)</f>
        <v>2008095</v>
      </c>
      <c r="D14" s="10"/>
      <c r="E14" s="10"/>
      <c r="F14" s="10"/>
      <c r="G14" s="10"/>
      <c r="H14" s="10"/>
      <c r="I14" s="10"/>
      <c r="J14" s="10"/>
      <c r="K14" s="10"/>
    </row>
    <row r="15" spans="1:11" ht="29.25" customHeight="1">
      <c r="A15" s="7">
        <v>10</v>
      </c>
      <c r="B15" s="8" t="str">
        <f>IF(Setting!J15="","",Setting!J15)</f>
        <v>Elga Perdana</v>
      </c>
      <c r="C15" s="9">
        <f>IF(Setting!K15="","",Setting!K15)</f>
        <v>2008099</v>
      </c>
      <c r="D15" s="10"/>
      <c r="E15" s="10"/>
      <c r="F15" s="10"/>
      <c r="G15" s="10"/>
      <c r="H15" s="10"/>
      <c r="I15" s="10"/>
      <c r="J15" s="10"/>
      <c r="K15" s="10"/>
    </row>
    <row r="16" spans="1:11" ht="29.25" customHeight="1">
      <c r="A16" s="7">
        <v>11</v>
      </c>
      <c r="B16" s="8" t="str">
        <f>IF(Setting!J16="","",Setting!J16)</f>
        <v>Fathoni Daniswara</v>
      </c>
      <c r="C16" s="9">
        <f>IF(Setting!K16="","",Setting!K16)</f>
        <v>2008118</v>
      </c>
      <c r="D16" s="10"/>
      <c r="E16" s="10"/>
      <c r="F16" s="10"/>
      <c r="G16" s="10"/>
      <c r="H16" s="10"/>
      <c r="I16" s="10"/>
      <c r="J16" s="10"/>
      <c r="K16" s="10"/>
    </row>
    <row r="17" spans="1:11" ht="29.25" customHeight="1">
      <c r="A17" s="7">
        <v>12</v>
      </c>
      <c r="B17" s="8" t="str">
        <f>IF(Setting!J17="","",Setting!J17)</f>
        <v>Gading Setyo Manunggal</v>
      </c>
      <c r="C17" s="9">
        <f>IF(Setting!K17="","",Setting!K17)</f>
        <v>2008127</v>
      </c>
      <c r="D17" s="10"/>
      <c r="E17" s="10"/>
      <c r="F17" s="10"/>
      <c r="G17" s="10"/>
      <c r="H17" s="10"/>
      <c r="I17" s="10"/>
      <c r="J17" s="10"/>
      <c r="K17" s="10"/>
    </row>
    <row r="18" spans="1:11" ht="29.25" customHeight="1">
      <c r="A18" s="7">
        <v>13</v>
      </c>
      <c r="B18" s="8" t="str">
        <f>IF(Setting!J18="","",Setting!J18)</f>
        <v>Ghifari Mabrur Al Burhani</v>
      </c>
      <c r="C18" s="9">
        <f>IF(Setting!K18="","",Setting!K18)</f>
        <v>2008128</v>
      </c>
      <c r="D18" s="10"/>
      <c r="E18" s="10"/>
      <c r="F18" s="10"/>
      <c r="G18" s="10"/>
      <c r="H18" s="10"/>
      <c r="I18" s="10"/>
      <c r="J18" s="10"/>
      <c r="K18" s="10"/>
    </row>
    <row r="19" spans="1:11" ht="29.25" customHeight="1">
      <c r="A19" s="7">
        <v>14</v>
      </c>
      <c r="B19" s="8" t="str">
        <f>IF(Setting!J19="","",Setting!J19)</f>
        <v>Hafid Mahreza Ilham</v>
      </c>
      <c r="C19" s="9">
        <f>IF(Setting!K19="","",Setting!K19)</f>
        <v>2008131</v>
      </c>
      <c r="D19" s="10"/>
      <c r="E19" s="10"/>
      <c r="F19" s="10"/>
      <c r="G19" s="10"/>
      <c r="H19" s="10"/>
      <c r="I19" s="10"/>
      <c r="J19" s="10"/>
      <c r="K19" s="10"/>
    </row>
    <row r="20" spans="1:11" ht="29.25" customHeight="1">
      <c r="A20" s="7">
        <v>15</v>
      </c>
      <c r="B20" s="8" t="str">
        <f>IF(Setting!J20="","",Setting!J20)</f>
        <v>Haidar Rafif Hibatulloh</v>
      </c>
      <c r="C20" s="9">
        <f>IF(Setting!K20="","",Setting!K20)</f>
        <v>2008132</v>
      </c>
      <c r="D20" s="10"/>
      <c r="E20" s="10"/>
      <c r="F20" s="10"/>
      <c r="G20" s="10"/>
      <c r="H20" s="10"/>
      <c r="I20" s="10"/>
      <c r="J20" s="10"/>
      <c r="K20" s="10"/>
    </row>
    <row r="21" spans="1:11" ht="29.25" customHeight="1">
      <c r="A21" s="7">
        <v>16</v>
      </c>
      <c r="B21" s="8" t="str">
        <f>IF(Setting!J21="","",Setting!J21)</f>
        <v>Kelvin Oktabrian Ramadhan</v>
      </c>
      <c r="C21" s="9">
        <f>IF(Setting!K21="","",Setting!K21)</f>
        <v>2008169</v>
      </c>
      <c r="D21" s="10"/>
      <c r="E21" s="10"/>
      <c r="F21" s="10"/>
      <c r="G21" s="10"/>
      <c r="H21" s="10"/>
      <c r="I21" s="10"/>
      <c r="J21" s="10"/>
      <c r="K21" s="10"/>
    </row>
    <row r="22" spans="1:11" ht="29.25" customHeight="1">
      <c r="A22" s="7">
        <v>17</v>
      </c>
      <c r="B22" s="8" t="str">
        <f>IF(Setting!J22="","",Setting!J22)</f>
        <v>Mohamad Khoiril Afwa</v>
      </c>
      <c r="C22" s="9">
        <f>IF(Setting!K22="","",Setting!K22)</f>
        <v>2008197</v>
      </c>
      <c r="D22" s="10"/>
      <c r="E22" s="10"/>
      <c r="F22" s="10"/>
      <c r="G22" s="10"/>
      <c r="H22" s="10"/>
      <c r="I22" s="10"/>
      <c r="J22" s="10"/>
      <c r="K22" s="10"/>
    </row>
    <row r="23" spans="1:11" ht="29.25" customHeight="1">
      <c r="A23" s="7">
        <v>18</v>
      </c>
      <c r="B23" s="8" t="str">
        <f>IF(Setting!J23="","",Setting!J23)</f>
        <v>Muhammad Hanif Pearlyaradja</v>
      </c>
      <c r="C23" s="9">
        <f>IF(Setting!K23="","",Setting!K23)</f>
        <v>2008214</v>
      </c>
      <c r="D23" s="10"/>
      <c r="E23" s="10"/>
      <c r="F23" s="10"/>
      <c r="G23" s="10"/>
      <c r="H23" s="10"/>
      <c r="I23" s="10"/>
      <c r="J23" s="10"/>
      <c r="K23" s="10"/>
    </row>
    <row r="24" spans="1:11" ht="29.25" customHeight="1">
      <c r="A24" s="7">
        <v>19</v>
      </c>
      <c r="B24" s="8" t="str">
        <f>IF(Setting!J24="","",Setting!J24)</f>
        <v>Muhammad Maurel Han</v>
      </c>
      <c r="C24" s="9">
        <f>IF(Setting!K24="","",Setting!K24)</f>
        <v>2008218</v>
      </c>
      <c r="D24" s="10"/>
      <c r="E24" s="10"/>
      <c r="F24" s="10"/>
      <c r="G24" s="10"/>
      <c r="H24" s="10"/>
      <c r="I24" s="10"/>
      <c r="J24" s="10"/>
      <c r="K24" s="10"/>
    </row>
    <row r="25" spans="1:11" ht="29.25" customHeight="1">
      <c r="A25" s="7">
        <v>20</v>
      </c>
      <c r="B25" s="8" t="str">
        <f>IF(Setting!J25="","",Setting!J25)</f>
        <v>Muhammad Niam Masykuri</v>
      </c>
      <c r="C25" s="9">
        <f>IF(Setting!K25="","",Setting!K25)</f>
        <v>2008220</v>
      </c>
      <c r="D25" s="10"/>
      <c r="E25" s="10"/>
      <c r="F25" s="10"/>
      <c r="G25" s="10"/>
      <c r="H25" s="10"/>
      <c r="I25" s="10"/>
      <c r="J25" s="10"/>
      <c r="K25" s="10"/>
    </row>
    <row r="26" spans="1:11" ht="29.25" customHeight="1">
      <c r="A26" s="7">
        <v>21</v>
      </c>
      <c r="B26" s="8" t="str">
        <f>IF(Setting!J26="","",Setting!J26)</f>
        <v>Muhammad Nur Arzhian Kusuma</v>
      </c>
      <c r="C26" s="9">
        <f>IF(Setting!K26="","",Setting!K26)</f>
        <v>2008221</v>
      </c>
      <c r="D26" s="10"/>
      <c r="E26" s="10"/>
      <c r="F26" s="10"/>
      <c r="G26" s="10"/>
      <c r="H26" s="10"/>
      <c r="I26" s="10"/>
      <c r="J26" s="10"/>
      <c r="K26" s="10"/>
    </row>
    <row r="27" spans="1:11" ht="29.25" customHeight="1">
      <c r="A27" s="7">
        <v>22</v>
      </c>
      <c r="B27" s="8" t="str">
        <f>IF(Setting!J27="","",Setting!J27)</f>
        <v>Muhammad Rafif Rizqullah</v>
      </c>
      <c r="C27" s="9">
        <f>IF(Setting!K27="","",Setting!K27)</f>
        <v>2008222</v>
      </c>
      <c r="D27" s="10"/>
      <c r="E27" s="10"/>
      <c r="F27" s="10"/>
      <c r="G27" s="10"/>
      <c r="H27" s="10"/>
      <c r="I27" s="10"/>
      <c r="J27" s="10"/>
      <c r="K27" s="10"/>
    </row>
    <row r="28" spans="1:11" ht="29.25" customHeight="1">
      <c r="A28" s="7">
        <v>23</v>
      </c>
      <c r="B28" s="8" t="str">
        <f>IF(Setting!J28="","",Setting!J28)</f>
        <v>Muhammad Raihan Al Faridzi</v>
      </c>
      <c r="C28" s="9">
        <f>IF(Setting!K28="","",Setting!K28)</f>
        <v>2008223</v>
      </c>
      <c r="D28" s="10"/>
      <c r="E28" s="10"/>
      <c r="F28" s="10"/>
      <c r="G28" s="10"/>
      <c r="H28" s="10"/>
      <c r="I28" s="10"/>
      <c r="J28" s="10"/>
      <c r="K28" s="10"/>
    </row>
    <row r="29" spans="1:11" ht="29.25" customHeight="1">
      <c r="A29" s="7">
        <v>24</v>
      </c>
      <c r="B29" s="8" t="str">
        <f>IF(Setting!J29="","",Setting!J29)</f>
        <v>Muhammad Rakan Hafidh Al Ghalib</v>
      </c>
      <c r="C29" s="9">
        <f>IF(Setting!K29="","",Setting!K29)</f>
        <v>2008224</v>
      </c>
      <c r="D29" s="10"/>
      <c r="E29" s="10"/>
      <c r="F29" s="10"/>
      <c r="G29" s="10"/>
      <c r="H29" s="10"/>
      <c r="I29" s="10"/>
      <c r="J29" s="10"/>
      <c r="K29" s="10"/>
    </row>
    <row r="30" spans="1:11" ht="29.25" customHeight="1">
      <c r="A30" s="7">
        <v>25</v>
      </c>
      <c r="B30" s="8" t="str">
        <f>IF(Setting!J30="","",Setting!J30)</f>
        <v>Muhammad Syamu Naufal</v>
      </c>
      <c r="C30" s="9">
        <f>IF(Setting!K30="","",Setting!K30)</f>
        <v>2008230</v>
      </c>
      <c r="D30" s="10"/>
      <c r="E30" s="10"/>
      <c r="F30" s="10"/>
      <c r="G30" s="10"/>
      <c r="H30" s="10"/>
      <c r="I30" s="10"/>
      <c r="J30" s="10"/>
      <c r="K30" s="10"/>
    </row>
    <row r="31" spans="1:11" ht="29.25" customHeight="1">
      <c r="A31" s="7">
        <v>26</v>
      </c>
      <c r="B31" s="8" t="str">
        <f>IF(Setting!J31="","",Setting!J31)</f>
        <v>Naufal Muhammad Iqbal</v>
      </c>
      <c r="C31" s="9">
        <f>IF(Setting!K31="","",Setting!K31)</f>
        <v>2008251</v>
      </c>
      <c r="D31" s="10"/>
      <c r="E31" s="10"/>
      <c r="F31" s="10"/>
      <c r="G31" s="10"/>
      <c r="H31" s="10"/>
      <c r="I31" s="10"/>
      <c r="J31" s="10"/>
      <c r="K31" s="10"/>
    </row>
    <row r="32" spans="1:11" ht="29.25" customHeight="1">
      <c r="A32" s="7">
        <v>27</v>
      </c>
      <c r="B32" s="8" t="str">
        <f>IF(Setting!J32="","",Setting!J32)</f>
        <v>Nauval Nur Mustafa</v>
      </c>
      <c r="C32" s="9">
        <f>IF(Setting!K32="","",Setting!K32)</f>
        <v>2008253</v>
      </c>
      <c r="D32" s="10"/>
      <c r="E32" s="10"/>
      <c r="F32" s="10"/>
      <c r="G32" s="10"/>
      <c r="H32" s="10"/>
      <c r="I32" s="10"/>
      <c r="J32" s="10"/>
      <c r="K32" s="10"/>
    </row>
    <row r="33" spans="1:11" ht="29.25" customHeight="1">
      <c r="A33" s="7">
        <v>28</v>
      </c>
      <c r="B33" s="8" t="str">
        <f>IF(Setting!J33="","",Setting!J33)</f>
        <v>Oriegano Kanahaya  Siagian</v>
      </c>
      <c r="C33" s="9">
        <f>IF(Setting!K33="","",Setting!K33)</f>
        <v>2008272</v>
      </c>
      <c r="D33" s="10"/>
      <c r="E33" s="10"/>
      <c r="F33" s="10"/>
      <c r="G33" s="10"/>
      <c r="H33" s="10"/>
      <c r="I33" s="10"/>
      <c r="J33" s="10"/>
      <c r="K33" s="10"/>
    </row>
    <row r="34" spans="1:11" ht="29.25" customHeight="1">
      <c r="A34" s="7">
        <v>29</v>
      </c>
      <c r="B34" s="8" t="str">
        <f>IF(Setting!J34="","",Setting!J34)</f>
        <v>Rafif Mahatma Indrastata</v>
      </c>
      <c r="C34" s="9">
        <f>IF(Setting!K34="","",Setting!K34)</f>
        <v>2008282</v>
      </c>
      <c r="D34" s="10"/>
      <c r="E34" s="10"/>
      <c r="F34" s="10"/>
      <c r="G34" s="10"/>
      <c r="H34" s="10"/>
      <c r="I34" s="10"/>
      <c r="J34" s="10"/>
      <c r="K34" s="10"/>
    </row>
    <row r="35" spans="1:11" ht="29.25" customHeight="1">
      <c r="A35" s="7">
        <v>30</v>
      </c>
      <c r="B35" s="8" t="str">
        <f>IF(Setting!J35="","",Setting!J35)</f>
        <v>Rayhan Yoga Edy Pratama</v>
      </c>
      <c r="C35" s="9">
        <f>IF(Setting!K35="","",Setting!K35)</f>
        <v>2008296</v>
      </c>
      <c r="D35" s="10"/>
      <c r="E35" s="10"/>
      <c r="F35" s="10"/>
      <c r="G35" s="10"/>
      <c r="H35" s="10"/>
      <c r="I35" s="10"/>
      <c r="J35" s="10"/>
      <c r="K35" s="10"/>
    </row>
    <row r="36" spans="1:11" ht="29.25" customHeight="1">
      <c r="A36" s="7">
        <v>31</v>
      </c>
      <c r="B36" s="8" t="str">
        <f>IF(Setting!J36="","",Setting!J36)</f>
        <v>Rusianto Munif</v>
      </c>
      <c r="C36" s="9">
        <f>IF(Setting!K36="","",Setting!K36)</f>
        <v>2008307</v>
      </c>
      <c r="D36" s="11"/>
      <c r="E36" s="11"/>
      <c r="F36" s="11"/>
      <c r="G36" s="11"/>
      <c r="H36" s="11"/>
      <c r="I36" s="11"/>
      <c r="J36" s="11"/>
      <c r="K36" s="11"/>
    </row>
    <row r="37" spans="1:11" ht="29.25" customHeight="1">
      <c r="A37" s="7">
        <v>32</v>
      </c>
      <c r="B37" s="8" t="str">
        <f>IF(Setting!J37="","",Setting!J37)</f>
        <v>Zaidan Mu'afy Althaf</v>
      </c>
      <c r="C37" s="9">
        <f>IF(Setting!K37="","",Setting!K37)</f>
        <v>2008347</v>
      </c>
      <c r="D37" s="11"/>
      <c r="E37" s="11"/>
      <c r="F37" s="11"/>
      <c r="G37" s="11"/>
      <c r="H37" s="11"/>
      <c r="I37" s="11"/>
      <c r="J37" s="11"/>
      <c r="K37" s="11"/>
    </row>
    <row r="38" spans="1:11" ht="29.25" customHeight="1">
      <c r="A38" s="7">
        <v>33</v>
      </c>
      <c r="B38" s="8" t="str">
        <f>IF(Setting!J38="","",Setting!J38)</f>
        <v/>
      </c>
      <c r="C38" s="9" t="str">
        <f>IF(Setting!K38="","",Setting!K38)</f>
        <v/>
      </c>
      <c r="D38" s="11"/>
      <c r="E38" s="11"/>
      <c r="F38" s="11"/>
      <c r="G38" s="11"/>
      <c r="H38" s="11"/>
      <c r="I38" s="11"/>
      <c r="J38" s="11"/>
      <c r="K38" s="11"/>
    </row>
    <row r="39" spans="1:11" ht="29.25" customHeight="1">
      <c r="A39" s="7">
        <v>34</v>
      </c>
      <c r="B39" s="8" t="str">
        <f>IF(Setting!J39="","",Setting!J39)</f>
        <v/>
      </c>
      <c r="C39" s="9" t="str">
        <f>IF(Setting!K39="","",Setting!K39)</f>
        <v/>
      </c>
      <c r="D39" s="11"/>
      <c r="E39" s="11"/>
      <c r="F39" s="11"/>
      <c r="G39" s="11"/>
      <c r="H39" s="11"/>
      <c r="I39" s="11"/>
      <c r="J39" s="11"/>
      <c r="K39" s="11"/>
    </row>
    <row r="40" spans="1:11" ht="29.25" customHeight="1">
      <c r="A40" s="7">
        <v>35</v>
      </c>
      <c r="B40" s="8" t="str">
        <f>IF(Setting!J40="","",Setting!J40)</f>
        <v/>
      </c>
      <c r="C40" s="9" t="str">
        <f>IF(Setting!K40="","",Setting!K40)</f>
        <v/>
      </c>
      <c r="D40" s="11"/>
      <c r="E40" s="11"/>
      <c r="F40" s="11"/>
      <c r="G40" s="11"/>
      <c r="H40" s="11"/>
      <c r="I40" s="11"/>
      <c r="J40" s="11"/>
      <c r="K40" s="11"/>
    </row>
    <row r="41" spans="1:11" ht="29.25" customHeight="1">
      <c r="A41" s="7">
        <v>36</v>
      </c>
      <c r="B41" s="8" t="str">
        <f>IF(Setting!J41="","",Setting!J41)</f>
        <v/>
      </c>
      <c r="C41" s="9" t="str">
        <f>IF(Setting!K41="","",Setting!K41)</f>
        <v/>
      </c>
      <c r="D41" s="11"/>
      <c r="E41" s="11"/>
      <c r="F41" s="11"/>
      <c r="G41" s="11"/>
      <c r="H41" s="11"/>
      <c r="I41" s="11"/>
      <c r="J41" s="11"/>
      <c r="K41" s="11"/>
    </row>
    <row r="42" spans="1:11" ht="29.25" customHeight="1">
      <c r="A42" s="7">
        <v>37</v>
      </c>
      <c r="B42" s="8" t="str">
        <f>IF(Setting!J42="","",Setting!J42)</f>
        <v/>
      </c>
      <c r="C42" s="9" t="str">
        <f>IF(Setting!K42="","",Setting!K42)</f>
        <v/>
      </c>
      <c r="D42" s="11"/>
      <c r="E42" s="11"/>
      <c r="F42" s="11"/>
      <c r="G42" s="11"/>
      <c r="H42" s="11"/>
      <c r="I42" s="11"/>
      <c r="J42" s="11"/>
      <c r="K42" s="11"/>
    </row>
    <row r="43" spans="1:11" ht="29.25" customHeight="1">
      <c r="A43" s="7">
        <v>38</v>
      </c>
      <c r="B43" s="8" t="str">
        <f>IF(Setting!J43="","",Setting!J43)</f>
        <v/>
      </c>
      <c r="C43" s="9" t="str">
        <f>IF(Setting!K43="","",Setting!K43)</f>
        <v/>
      </c>
      <c r="D43" s="11"/>
      <c r="E43" s="11"/>
      <c r="F43" s="11"/>
      <c r="G43" s="11"/>
      <c r="H43" s="11"/>
      <c r="I43" s="11"/>
      <c r="J43" s="11"/>
      <c r="K43" s="11"/>
    </row>
    <row r="44" spans="1:11" ht="29.25" customHeight="1">
      <c r="A44" s="7">
        <v>39</v>
      </c>
      <c r="B44" s="8" t="str">
        <f>IF(Setting!J44="","",Setting!J44)</f>
        <v/>
      </c>
      <c r="C44" s="9" t="str">
        <f>IF(Setting!K44="","",Setting!K44)</f>
        <v/>
      </c>
      <c r="D44" s="11"/>
      <c r="E44" s="11"/>
      <c r="F44" s="11"/>
      <c r="G44" s="11"/>
      <c r="H44" s="11"/>
      <c r="I44" s="11"/>
      <c r="J44" s="11"/>
      <c r="K44" s="11"/>
    </row>
    <row r="45" spans="1:11" ht="29.25" customHeight="1">
      <c r="A45" s="7">
        <v>40</v>
      </c>
      <c r="B45" s="8" t="str">
        <f>IF(Setting!J45="","",Setting!J45)</f>
        <v/>
      </c>
      <c r="C45" s="9" t="str">
        <f>IF(Setting!K45="","",Setting!K45)</f>
        <v/>
      </c>
      <c r="D45" s="11"/>
      <c r="E45" s="11"/>
      <c r="F45" s="11"/>
      <c r="G45" s="11"/>
      <c r="H45" s="11"/>
      <c r="I45" s="11"/>
      <c r="J45" s="11"/>
      <c r="K45" s="11"/>
    </row>
    <row r="46" spans="1:11">
      <c r="C46"/>
    </row>
  </sheetData>
  <sheetProtection algorithmName="SHA-512" hashValue="xniykW8ZuUR3C5H+7MKGYXaAHPZeOBEmbtvrpSqaLg2C7aI+z3BGei67zaVasiFPi1EDfvn+J1aji3Na+Jbp2Q==" saltValue="d8HqgmUKVtbkvftbxjaeRw==" spinCount="100000" sheet="1" objects="1" scenarios="1" selectLockedCells="1"/>
  <mergeCells count="13">
    <mergeCell ref="D3:G3"/>
    <mergeCell ref="H3:K3"/>
    <mergeCell ref="A3:A5"/>
    <mergeCell ref="B3:B5"/>
    <mergeCell ref="C3:C5"/>
    <mergeCell ref="D4:D5"/>
    <mergeCell ref="E4:E5"/>
    <mergeCell ref="F4:F5"/>
    <mergeCell ref="G4:G5"/>
    <mergeCell ref="H4:H5"/>
    <mergeCell ref="I4:I5"/>
    <mergeCell ref="J4:J5"/>
    <mergeCell ref="K4:K5"/>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40"/>
  <sheetViews>
    <sheetView workbookViewId="0"/>
  </sheetViews>
  <sheetFormatPr defaultColWidth="9" defaultRowHeight="15"/>
  <sheetData>
    <row r="1" spans="1:67">
      <c r="A1" t="s">
        <v>4</v>
      </c>
      <c r="B1" s="294" t="s">
        <v>342</v>
      </c>
      <c r="C1" s="295"/>
      <c r="D1" s="1" t="s">
        <v>343</v>
      </c>
      <c r="E1" s="1"/>
      <c r="F1" s="296" t="s">
        <v>344</v>
      </c>
      <c r="G1" s="296"/>
      <c r="H1" s="3" t="s">
        <v>345</v>
      </c>
      <c r="I1" s="3"/>
      <c r="J1" s="1" t="s">
        <v>346</v>
      </c>
      <c r="K1" s="1"/>
      <c r="L1" s="3" t="s">
        <v>347</v>
      </c>
      <c r="M1" s="3"/>
      <c r="N1" s="1" t="s">
        <v>348</v>
      </c>
      <c r="O1" s="1"/>
      <c r="P1" s="3" t="s">
        <v>349</v>
      </c>
      <c r="Q1" s="3"/>
      <c r="R1" s="1" t="s">
        <v>350</v>
      </c>
      <c r="S1" s="1"/>
      <c r="T1" s="3" t="s">
        <v>351</v>
      </c>
      <c r="U1" s="3"/>
      <c r="V1" s="1" t="s">
        <v>352</v>
      </c>
      <c r="W1" s="1"/>
      <c r="X1" s="3" t="s">
        <v>353</v>
      </c>
      <c r="Y1" s="3"/>
      <c r="Z1" s="1" t="s">
        <v>354</v>
      </c>
      <c r="AA1" s="1"/>
      <c r="AB1" s="3" t="s">
        <v>355</v>
      </c>
      <c r="AC1" s="3"/>
      <c r="AD1" s="1" t="s">
        <v>356</v>
      </c>
      <c r="AE1" s="1"/>
      <c r="AF1" s="3" t="s">
        <v>357</v>
      </c>
      <c r="AG1" s="3"/>
      <c r="AH1" s="1" t="s">
        <v>358</v>
      </c>
      <c r="AI1" s="1"/>
      <c r="AJ1" s="3" t="s">
        <v>359</v>
      </c>
      <c r="AK1" s="3"/>
      <c r="AL1" s="1" t="s">
        <v>360</v>
      </c>
      <c r="AM1" s="1"/>
      <c r="AN1" s="3" t="s">
        <v>361</v>
      </c>
      <c r="AO1" s="3"/>
      <c r="AP1" s="1" t="s">
        <v>362</v>
      </c>
      <c r="AQ1" s="1"/>
      <c r="AR1" s="3" t="s">
        <v>363</v>
      </c>
      <c r="AS1" s="3"/>
      <c r="AT1" s="1" t="s">
        <v>364</v>
      </c>
      <c r="AU1" s="1"/>
      <c r="AV1" s="3" t="s">
        <v>365</v>
      </c>
      <c r="AW1" s="3"/>
      <c r="AX1" s="1" t="s">
        <v>366</v>
      </c>
      <c r="AY1" s="1"/>
      <c r="AZ1" s="3" t="s">
        <v>367</v>
      </c>
      <c r="BA1" s="3"/>
      <c r="BB1" s="1" t="s">
        <v>368</v>
      </c>
      <c r="BC1" s="1"/>
      <c r="BD1" s="3" t="s">
        <v>369</v>
      </c>
      <c r="BE1" s="3"/>
    </row>
    <row r="2" spans="1:67">
      <c r="B2" s="2" t="s">
        <v>308</v>
      </c>
      <c r="C2" s="2" t="s">
        <v>323</v>
      </c>
      <c r="D2" t="s">
        <v>308</v>
      </c>
      <c r="E2" t="s">
        <v>323</v>
      </c>
      <c r="F2" s="2" t="s">
        <v>308</v>
      </c>
      <c r="G2" s="2" t="s">
        <v>323</v>
      </c>
      <c r="H2" s="3" t="s">
        <v>308</v>
      </c>
      <c r="I2" s="3" t="s">
        <v>323</v>
      </c>
      <c r="J2" t="s">
        <v>308</v>
      </c>
      <c r="K2" t="s">
        <v>323</v>
      </c>
      <c r="L2" s="3" t="s">
        <v>308</v>
      </c>
      <c r="M2" s="3" t="s">
        <v>323</v>
      </c>
      <c r="N2" t="s">
        <v>308</v>
      </c>
      <c r="O2" t="s">
        <v>323</v>
      </c>
      <c r="P2" s="3" t="s">
        <v>308</v>
      </c>
      <c r="Q2" s="3" t="s">
        <v>323</v>
      </c>
      <c r="R2" t="s">
        <v>308</v>
      </c>
      <c r="S2" t="s">
        <v>323</v>
      </c>
      <c r="T2" s="3" t="s">
        <v>308</v>
      </c>
      <c r="U2" s="3" t="s">
        <v>323</v>
      </c>
      <c r="V2" t="s">
        <v>308</v>
      </c>
      <c r="W2" t="s">
        <v>323</v>
      </c>
      <c r="X2" s="3" t="s">
        <v>308</v>
      </c>
      <c r="Y2" s="3" t="s">
        <v>323</v>
      </c>
      <c r="Z2" t="s">
        <v>308</v>
      </c>
      <c r="AA2" t="s">
        <v>323</v>
      </c>
      <c r="AB2" s="3" t="s">
        <v>308</v>
      </c>
      <c r="AC2" s="3" t="s">
        <v>323</v>
      </c>
      <c r="AD2" t="s">
        <v>308</v>
      </c>
      <c r="AE2" t="s">
        <v>323</v>
      </c>
      <c r="AF2" s="3" t="s">
        <v>308</v>
      </c>
      <c r="AG2" s="3" t="s">
        <v>323</v>
      </c>
      <c r="AH2" t="s">
        <v>308</v>
      </c>
      <c r="AI2" t="s">
        <v>323</v>
      </c>
      <c r="AJ2" s="3" t="s">
        <v>308</v>
      </c>
      <c r="AK2" s="3" t="s">
        <v>323</v>
      </c>
      <c r="AL2" t="s">
        <v>308</v>
      </c>
      <c r="AM2" t="s">
        <v>323</v>
      </c>
      <c r="AN2" s="3" t="s">
        <v>308</v>
      </c>
      <c r="AO2" s="3" t="s">
        <v>323</v>
      </c>
      <c r="AP2" t="s">
        <v>308</v>
      </c>
      <c r="AQ2" t="s">
        <v>323</v>
      </c>
      <c r="AR2" s="3" t="s">
        <v>308</v>
      </c>
      <c r="AS2" s="3" t="s">
        <v>323</v>
      </c>
      <c r="AT2" t="s">
        <v>308</v>
      </c>
      <c r="AU2" t="s">
        <v>323</v>
      </c>
      <c r="AV2" s="3" t="s">
        <v>308</v>
      </c>
      <c r="AW2" s="3" t="s">
        <v>323</v>
      </c>
      <c r="AX2" t="s">
        <v>308</v>
      </c>
      <c r="AY2" t="s">
        <v>323</v>
      </c>
      <c r="AZ2" s="3" t="s">
        <v>308</v>
      </c>
      <c r="BA2" s="3" t="s">
        <v>323</v>
      </c>
      <c r="BB2" t="s">
        <v>308</v>
      </c>
      <c r="BC2" t="s">
        <v>323</v>
      </c>
      <c r="BD2" s="3" t="s">
        <v>308</v>
      </c>
      <c r="BE2" s="3" t="s">
        <v>323</v>
      </c>
      <c r="BF2" t="s">
        <v>308</v>
      </c>
      <c r="BG2" t="s">
        <v>323</v>
      </c>
      <c r="BH2" t="s">
        <v>308</v>
      </c>
      <c r="BI2" t="s">
        <v>323</v>
      </c>
      <c r="BJ2" t="s">
        <v>308</v>
      </c>
      <c r="BK2" t="s">
        <v>323</v>
      </c>
      <c r="BL2" t="s">
        <v>308</v>
      </c>
      <c r="BM2" t="s">
        <v>323</v>
      </c>
      <c r="BN2" t="s">
        <v>308</v>
      </c>
      <c r="BO2" t="s">
        <v>323</v>
      </c>
    </row>
    <row r="3" spans="1:67">
      <c r="A3">
        <v>1</v>
      </c>
      <c r="B3" s="2" t="s">
        <v>370</v>
      </c>
      <c r="C3" s="2">
        <v>19071001</v>
      </c>
      <c r="D3" t="s">
        <v>371</v>
      </c>
      <c r="E3">
        <v>19071006</v>
      </c>
      <c r="F3" s="2" t="s">
        <v>372</v>
      </c>
      <c r="G3" s="2">
        <v>19071002</v>
      </c>
      <c r="H3" s="3" t="s">
        <v>373</v>
      </c>
      <c r="I3" s="3">
        <v>19071003</v>
      </c>
      <c r="J3" t="s">
        <v>374</v>
      </c>
      <c r="K3">
        <v>19071004</v>
      </c>
      <c r="L3" s="3" t="s">
        <v>375</v>
      </c>
      <c r="M3" s="3">
        <v>19072131</v>
      </c>
      <c r="N3" t="s">
        <v>376</v>
      </c>
      <c r="O3">
        <v>19072140</v>
      </c>
      <c r="P3" s="3" t="s">
        <v>377</v>
      </c>
      <c r="Q3" s="3">
        <v>19072133</v>
      </c>
      <c r="R3" t="s">
        <v>378</v>
      </c>
      <c r="S3">
        <v>19072137</v>
      </c>
      <c r="T3" s="3" t="s">
        <v>379</v>
      </c>
      <c r="U3" s="3">
        <v>19072130</v>
      </c>
      <c r="V3" t="s">
        <v>380</v>
      </c>
      <c r="W3">
        <v>19072143</v>
      </c>
      <c r="X3" s="3" t="s">
        <v>381</v>
      </c>
      <c r="Y3" s="3">
        <v>19072136</v>
      </c>
      <c r="Z3" t="s">
        <v>382</v>
      </c>
      <c r="AA3">
        <v>18061001</v>
      </c>
      <c r="AB3" s="3" t="s">
        <v>383</v>
      </c>
      <c r="AC3" s="3">
        <v>18061002</v>
      </c>
      <c r="AD3" t="s">
        <v>384</v>
      </c>
      <c r="AE3">
        <v>18061017</v>
      </c>
      <c r="AF3" s="3" t="s">
        <v>385</v>
      </c>
      <c r="AG3" s="3">
        <v>18061012</v>
      </c>
      <c r="AH3" t="s">
        <v>386</v>
      </c>
      <c r="AI3">
        <v>18062122</v>
      </c>
      <c r="AJ3" s="3" t="s">
        <v>387</v>
      </c>
      <c r="AK3" s="3">
        <v>18062121</v>
      </c>
      <c r="AL3" t="s">
        <v>388</v>
      </c>
      <c r="AM3">
        <v>18062124</v>
      </c>
      <c r="AN3" s="3" t="s">
        <v>389</v>
      </c>
      <c r="AO3" s="3">
        <v>18062123</v>
      </c>
      <c r="AP3" t="s">
        <v>390</v>
      </c>
      <c r="AQ3">
        <v>18062127</v>
      </c>
      <c r="AR3" s="3" t="s">
        <v>391</v>
      </c>
      <c r="AS3" s="3">
        <v>1705006</v>
      </c>
      <c r="AT3" t="s">
        <v>392</v>
      </c>
      <c r="AU3">
        <v>1705002</v>
      </c>
      <c r="AV3" s="3" t="s">
        <v>393</v>
      </c>
      <c r="AW3" s="3">
        <v>1705008</v>
      </c>
      <c r="AX3" t="s">
        <v>394</v>
      </c>
      <c r="AY3">
        <v>1705009</v>
      </c>
      <c r="AZ3" s="3" t="s">
        <v>395</v>
      </c>
      <c r="BA3" s="3">
        <v>1705015</v>
      </c>
      <c r="BB3" t="s">
        <v>396</v>
      </c>
      <c r="BC3">
        <v>1705024</v>
      </c>
      <c r="BD3" s="3" t="s">
        <v>397</v>
      </c>
      <c r="BE3" s="3">
        <v>1705001</v>
      </c>
    </row>
    <row r="4" spans="1:67">
      <c r="A4">
        <v>2</v>
      </c>
      <c r="B4" s="2" t="s">
        <v>398</v>
      </c>
      <c r="C4" s="2">
        <v>19071009</v>
      </c>
      <c r="D4" t="s">
        <v>399</v>
      </c>
      <c r="E4">
        <v>19071010</v>
      </c>
      <c r="F4" s="2" t="s">
        <v>400</v>
      </c>
      <c r="G4" s="2">
        <v>19071007</v>
      </c>
      <c r="H4" s="3" t="s">
        <v>401</v>
      </c>
      <c r="I4" s="3">
        <v>19071005</v>
      </c>
      <c r="J4" t="s">
        <v>402</v>
      </c>
      <c r="K4">
        <v>19071014</v>
      </c>
      <c r="L4" s="3" t="s">
        <v>403</v>
      </c>
      <c r="M4" s="3">
        <v>19072138</v>
      </c>
      <c r="N4" t="s">
        <v>404</v>
      </c>
      <c r="O4">
        <v>19072182</v>
      </c>
      <c r="P4" s="3" t="s">
        <v>405</v>
      </c>
      <c r="Q4" s="3">
        <v>19072134</v>
      </c>
      <c r="R4" t="s">
        <v>406</v>
      </c>
      <c r="S4">
        <v>19072139</v>
      </c>
      <c r="T4" s="3" t="s">
        <v>407</v>
      </c>
      <c r="U4" s="3">
        <v>19072132</v>
      </c>
      <c r="V4" t="s">
        <v>408</v>
      </c>
      <c r="W4">
        <v>19072167</v>
      </c>
      <c r="X4" s="3" t="s">
        <v>409</v>
      </c>
      <c r="Y4" s="3">
        <v>19072141</v>
      </c>
      <c r="Z4" t="s">
        <v>410</v>
      </c>
      <c r="AA4">
        <v>18061014</v>
      </c>
      <c r="AB4" s="3" t="s">
        <v>411</v>
      </c>
      <c r="AC4" s="3">
        <v>18061004</v>
      </c>
      <c r="AD4" t="s">
        <v>412</v>
      </c>
      <c r="AE4">
        <v>18061021</v>
      </c>
      <c r="AF4" s="3" t="s">
        <v>413</v>
      </c>
      <c r="AG4" s="3">
        <v>18061013</v>
      </c>
      <c r="AH4" t="s">
        <v>414</v>
      </c>
      <c r="AI4">
        <v>18062130</v>
      </c>
      <c r="AJ4" s="3" t="s">
        <v>415</v>
      </c>
      <c r="AK4" s="3">
        <v>18062132</v>
      </c>
      <c r="AL4" t="s">
        <v>416</v>
      </c>
      <c r="AM4">
        <v>18062126</v>
      </c>
      <c r="AN4" s="3" t="s">
        <v>417</v>
      </c>
      <c r="AO4" s="3">
        <v>18062128</v>
      </c>
      <c r="AP4" t="s">
        <v>418</v>
      </c>
      <c r="AQ4">
        <v>18062138</v>
      </c>
      <c r="AR4" s="3" t="s">
        <v>419</v>
      </c>
      <c r="AS4" s="3">
        <v>1705021</v>
      </c>
      <c r="AT4" t="s">
        <v>420</v>
      </c>
      <c r="AU4">
        <v>1705003</v>
      </c>
      <c r="AV4" s="3" t="s">
        <v>421</v>
      </c>
      <c r="AW4" s="3">
        <v>1705010</v>
      </c>
      <c r="AX4" t="s">
        <v>422</v>
      </c>
      <c r="AY4">
        <v>1705017</v>
      </c>
      <c r="AZ4" s="3" t="s">
        <v>423</v>
      </c>
      <c r="BA4" s="3">
        <v>1705018</v>
      </c>
      <c r="BB4" t="s">
        <v>424</v>
      </c>
      <c r="BC4">
        <v>1705031</v>
      </c>
      <c r="BD4" s="3" t="s">
        <v>425</v>
      </c>
      <c r="BE4" s="3">
        <v>1705007</v>
      </c>
    </row>
    <row r="5" spans="1:67">
      <c r="A5">
        <v>3</v>
      </c>
      <c r="B5" s="2" t="s">
        <v>426</v>
      </c>
      <c r="C5" s="2">
        <v>19071011</v>
      </c>
      <c r="D5" t="s">
        <v>427</v>
      </c>
      <c r="E5">
        <v>19071015</v>
      </c>
      <c r="F5" s="2" t="s">
        <v>428</v>
      </c>
      <c r="G5" s="2">
        <v>19071008</v>
      </c>
      <c r="H5" s="3" t="s">
        <v>429</v>
      </c>
      <c r="I5" s="3">
        <v>19071017</v>
      </c>
      <c r="J5" t="s">
        <v>430</v>
      </c>
      <c r="K5">
        <v>19071021</v>
      </c>
      <c r="L5" s="3" t="s">
        <v>431</v>
      </c>
      <c r="M5" s="3">
        <v>19072144</v>
      </c>
      <c r="N5" t="s">
        <v>432</v>
      </c>
      <c r="O5">
        <v>19072193</v>
      </c>
      <c r="P5" s="3" t="s">
        <v>433</v>
      </c>
      <c r="Q5" s="3">
        <v>19072152</v>
      </c>
      <c r="R5" t="s">
        <v>434</v>
      </c>
      <c r="S5">
        <v>19072159</v>
      </c>
      <c r="T5" s="3" t="s">
        <v>435</v>
      </c>
      <c r="U5" s="3">
        <v>19072135</v>
      </c>
      <c r="V5" t="s">
        <v>436</v>
      </c>
      <c r="W5">
        <v>19072173</v>
      </c>
      <c r="X5" s="3" t="s">
        <v>437</v>
      </c>
      <c r="Y5" s="3">
        <v>19072142</v>
      </c>
      <c r="Z5" t="s">
        <v>438</v>
      </c>
      <c r="AA5">
        <v>18061023</v>
      </c>
      <c r="AB5" s="3" t="s">
        <v>439</v>
      </c>
      <c r="AC5" s="3">
        <v>18061005</v>
      </c>
      <c r="AD5" t="s">
        <v>440</v>
      </c>
      <c r="AE5">
        <v>18061024</v>
      </c>
      <c r="AF5" s="3" t="s">
        <v>441</v>
      </c>
      <c r="AG5" s="3">
        <v>18061016</v>
      </c>
      <c r="AH5" t="s">
        <v>442</v>
      </c>
      <c r="AI5">
        <v>18062143</v>
      </c>
      <c r="AJ5" s="3" t="s">
        <v>443</v>
      </c>
      <c r="AK5" s="3">
        <v>18062139</v>
      </c>
      <c r="AL5" t="s">
        <v>444</v>
      </c>
      <c r="AM5">
        <v>18062129</v>
      </c>
      <c r="AN5" s="3" t="s">
        <v>445</v>
      </c>
      <c r="AO5" s="3">
        <v>18062133</v>
      </c>
      <c r="AP5" t="s">
        <v>446</v>
      </c>
      <c r="AQ5">
        <v>18062141</v>
      </c>
      <c r="AR5" s="3" t="s">
        <v>447</v>
      </c>
      <c r="AS5" s="3">
        <v>1705028</v>
      </c>
      <c r="AT5" t="s">
        <v>448</v>
      </c>
      <c r="AU5">
        <v>1705005</v>
      </c>
      <c r="AV5" s="3" t="s">
        <v>449</v>
      </c>
      <c r="AW5" s="3">
        <v>1705011</v>
      </c>
      <c r="AX5" t="s">
        <v>450</v>
      </c>
      <c r="AY5">
        <v>1705022</v>
      </c>
      <c r="AZ5" s="3" t="s">
        <v>451</v>
      </c>
      <c r="BA5" s="3">
        <v>1705035</v>
      </c>
      <c r="BB5" t="s">
        <v>452</v>
      </c>
      <c r="BC5">
        <v>1705045</v>
      </c>
      <c r="BD5" s="3" t="s">
        <v>453</v>
      </c>
      <c r="BE5" s="3">
        <v>1705016</v>
      </c>
    </row>
    <row r="6" spans="1:67">
      <c r="A6">
        <v>4</v>
      </c>
      <c r="B6" s="2" t="s">
        <v>454</v>
      </c>
      <c r="C6" s="2">
        <v>19071016</v>
      </c>
      <c r="D6" t="s">
        <v>455</v>
      </c>
      <c r="E6">
        <v>19071019</v>
      </c>
      <c r="F6" s="2" t="s">
        <v>456</v>
      </c>
      <c r="G6" s="2">
        <v>19071012</v>
      </c>
      <c r="H6" s="3" t="s">
        <v>457</v>
      </c>
      <c r="I6" s="3">
        <v>19071023</v>
      </c>
      <c r="J6" t="s">
        <v>458</v>
      </c>
      <c r="K6">
        <v>19071024</v>
      </c>
      <c r="L6" s="3" t="s">
        <v>459</v>
      </c>
      <c r="M6" s="3">
        <v>19072150</v>
      </c>
      <c r="N6" t="s">
        <v>460</v>
      </c>
      <c r="O6">
        <v>19072206</v>
      </c>
      <c r="P6" s="3" t="s">
        <v>461</v>
      </c>
      <c r="Q6" s="3">
        <v>19072158</v>
      </c>
      <c r="R6" t="s">
        <v>462</v>
      </c>
      <c r="S6">
        <v>19072164</v>
      </c>
      <c r="T6" s="3" t="s">
        <v>463</v>
      </c>
      <c r="U6" s="3">
        <v>19072148</v>
      </c>
      <c r="V6" t="s">
        <v>464</v>
      </c>
      <c r="W6">
        <v>19072184</v>
      </c>
      <c r="X6" s="3" t="s">
        <v>465</v>
      </c>
      <c r="Y6" s="3">
        <v>19072145</v>
      </c>
      <c r="Z6" t="s">
        <v>466</v>
      </c>
      <c r="AA6">
        <v>18061028</v>
      </c>
      <c r="AB6" s="3" t="s">
        <v>467</v>
      </c>
      <c r="AC6" s="3">
        <v>18061006</v>
      </c>
      <c r="AD6" t="s">
        <v>468</v>
      </c>
      <c r="AE6">
        <v>18061027</v>
      </c>
      <c r="AF6" s="3" t="s">
        <v>469</v>
      </c>
      <c r="AG6" s="3">
        <v>18061019</v>
      </c>
      <c r="AH6" t="s">
        <v>470</v>
      </c>
      <c r="AI6">
        <v>18062147</v>
      </c>
      <c r="AJ6" s="3" t="s">
        <v>471</v>
      </c>
      <c r="AK6" s="3">
        <v>18062144</v>
      </c>
      <c r="AL6" t="s">
        <v>472</v>
      </c>
      <c r="AM6">
        <v>18062131</v>
      </c>
      <c r="AN6" s="3" t="s">
        <v>473</v>
      </c>
      <c r="AO6" s="3">
        <v>18062136</v>
      </c>
      <c r="AP6" t="s">
        <v>474</v>
      </c>
      <c r="AQ6">
        <v>18062142</v>
      </c>
      <c r="AR6" s="3" t="s">
        <v>475</v>
      </c>
      <c r="AS6" s="3">
        <v>1705052</v>
      </c>
      <c r="AT6" t="s">
        <v>476</v>
      </c>
      <c r="AU6">
        <v>1705019</v>
      </c>
      <c r="AV6" s="3" t="s">
        <v>477</v>
      </c>
      <c r="AW6" s="3">
        <v>1705012</v>
      </c>
      <c r="AX6" t="s">
        <v>478</v>
      </c>
      <c r="AY6">
        <v>1705025</v>
      </c>
      <c r="AZ6" s="3" t="s">
        <v>479</v>
      </c>
      <c r="BA6" s="3">
        <v>1705038</v>
      </c>
      <c r="BB6" t="s">
        <v>480</v>
      </c>
      <c r="BC6">
        <v>1705050</v>
      </c>
      <c r="BD6" s="3" t="s">
        <v>481</v>
      </c>
      <c r="BE6" s="3">
        <v>1705023</v>
      </c>
    </row>
    <row r="7" spans="1:67">
      <c r="A7">
        <v>5</v>
      </c>
      <c r="B7" s="2" t="s">
        <v>482</v>
      </c>
      <c r="C7" s="2">
        <v>19071038</v>
      </c>
      <c r="D7" t="s">
        <v>483</v>
      </c>
      <c r="E7">
        <v>19071030</v>
      </c>
      <c r="F7" s="2" t="s">
        <v>484</v>
      </c>
      <c r="G7" s="2">
        <v>19071013</v>
      </c>
      <c r="H7" s="3" t="s">
        <v>485</v>
      </c>
      <c r="I7" s="3">
        <v>19071026</v>
      </c>
      <c r="J7" t="s">
        <v>486</v>
      </c>
      <c r="K7">
        <v>19071028</v>
      </c>
      <c r="L7" s="3" t="s">
        <v>487</v>
      </c>
      <c r="M7" s="3">
        <v>19072155</v>
      </c>
      <c r="N7" t="s">
        <v>488</v>
      </c>
      <c r="O7">
        <v>19072209</v>
      </c>
      <c r="P7" s="3" t="s">
        <v>489</v>
      </c>
      <c r="Q7" s="3">
        <v>19072163</v>
      </c>
      <c r="R7" t="s">
        <v>490</v>
      </c>
      <c r="S7">
        <v>19072165</v>
      </c>
      <c r="T7" s="3" t="s">
        <v>491</v>
      </c>
      <c r="U7" s="3">
        <v>19072151</v>
      </c>
      <c r="V7" t="s">
        <v>492</v>
      </c>
      <c r="W7">
        <v>19072191</v>
      </c>
      <c r="X7" s="3" t="s">
        <v>493</v>
      </c>
      <c r="Y7" s="3">
        <v>19072146</v>
      </c>
      <c r="Z7" t="s">
        <v>494</v>
      </c>
      <c r="AA7">
        <v>18061033</v>
      </c>
      <c r="AB7" s="3" t="s">
        <v>495</v>
      </c>
      <c r="AC7" s="3">
        <v>18061007</v>
      </c>
      <c r="AD7" t="s">
        <v>496</v>
      </c>
      <c r="AE7">
        <v>18061035</v>
      </c>
      <c r="AF7" s="3" t="s">
        <v>497</v>
      </c>
      <c r="AG7" s="3">
        <v>18061020</v>
      </c>
      <c r="AH7" t="s">
        <v>498</v>
      </c>
      <c r="AI7">
        <v>18062148</v>
      </c>
      <c r="AJ7" s="3" t="s">
        <v>499</v>
      </c>
      <c r="AK7" s="3">
        <v>18062146</v>
      </c>
      <c r="AL7" t="s">
        <v>500</v>
      </c>
      <c r="AM7">
        <v>18062134</v>
      </c>
      <c r="AN7" s="3" t="s">
        <v>501</v>
      </c>
      <c r="AO7" s="3">
        <v>18062137</v>
      </c>
      <c r="AP7" t="s">
        <v>502</v>
      </c>
      <c r="AQ7">
        <v>18062155</v>
      </c>
      <c r="AR7" s="3" t="s">
        <v>503</v>
      </c>
      <c r="AS7" s="3">
        <v>1705070</v>
      </c>
      <c r="AT7" t="s">
        <v>504</v>
      </c>
      <c r="AU7">
        <v>1705030</v>
      </c>
      <c r="AV7" s="3" t="s">
        <v>505</v>
      </c>
      <c r="AW7" s="3">
        <v>1705013</v>
      </c>
      <c r="AX7" t="s">
        <v>506</v>
      </c>
      <c r="AY7">
        <v>1705026</v>
      </c>
      <c r="AZ7" s="3" t="s">
        <v>507</v>
      </c>
      <c r="BA7" s="3">
        <v>1705041</v>
      </c>
      <c r="BB7" t="s">
        <v>508</v>
      </c>
      <c r="BC7">
        <v>1705054</v>
      </c>
      <c r="BD7" s="3" t="s">
        <v>509</v>
      </c>
      <c r="BE7" s="3">
        <v>1705037</v>
      </c>
    </row>
    <row r="8" spans="1:67">
      <c r="A8">
        <v>6</v>
      </c>
      <c r="B8" s="2" t="s">
        <v>510</v>
      </c>
      <c r="C8" s="2">
        <v>19071039</v>
      </c>
      <c r="D8" t="s">
        <v>511</v>
      </c>
      <c r="E8">
        <v>19071032</v>
      </c>
      <c r="F8" s="2" t="s">
        <v>512</v>
      </c>
      <c r="G8" s="2">
        <v>19071018</v>
      </c>
      <c r="H8" s="3" t="s">
        <v>513</v>
      </c>
      <c r="I8" s="3">
        <v>19071029</v>
      </c>
      <c r="J8" t="s">
        <v>514</v>
      </c>
      <c r="K8">
        <v>19071031</v>
      </c>
      <c r="L8" s="3" t="s">
        <v>515</v>
      </c>
      <c r="M8" s="3">
        <v>19072160</v>
      </c>
      <c r="N8" t="s">
        <v>516</v>
      </c>
      <c r="O8">
        <v>19072210</v>
      </c>
      <c r="P8" s="3" t="s">
        <v>517</v>
      </c>
      <c r="Q8" s="3">
        <v>19072166</v>
      </c>
      <c r="R8" t="s">
        <v>518</v>
      </c>
      <c r="S8">
        <v>19072177</v>
      </c>
      <c r="T8" s="3" t="s">
        <v>519</v>
      </c>
      <c r="U8" s="3">
        <v>19072153</v>
      </c>
      <c r="V8" t="s">
        <v>520</v>
      </c>
      <c r="W8">
        <v>19072195</v>
      </c>
      <c r="X8" s="3" t="s">
        <v>521</v>
      </c>
      <c r="Y8" s="3">
        <v>19072147</v>
      </c>
      <c r="Z8" t="s">
        <v>522</v>
      </c>
      <c r="AA8">
        <v>18061037</v>
      </c>
      <c r="AB8" s="3" t="s">
        <v>523</v>
      </c>
      <c r="AC8" s="3">
        <v>18061008</v>
      </c>
      <c r="AD8" t="s">
        <v>524</v>
      </c>
      <c r="AE8">
        <v>18061041</v>
      </c>
      <c r="AF8" s="3" t="s">
        <v>525</v>
      </c>
      <c r="AG8" s="3">
        <v>18061022</v>
      </c>
      <c r="AH8" t="s">
        <v>526</v>
      </c>
      <c r="AI8">
        <v>18062154</v>
      </c>
      <c r="AJ8" s="3" t="s">
        <v>527</v>
      </c>
      <c r="AK8" s="3">
        <v>18062156</v>
      </c>
      <c r="AL8" t="s">
        <v>528</v>
      </c>
      <c r="AM8">
        <v>18062135</v>
      </c>
      <c r="AN8" s="3" t="s">
        <v>529</v>
      </c>
      <c r="AO8" s="3">
        <v>18062140</v>
      </c>
      <c r="AP8" t="s">
        <v>530</v>
      </c>
      <c r="AQ8">
        <v>18062157</v>
      </c>
      <c r="AR8" s="3" t="s">
        <v>531</v>
      </c>
      <c r="AS8" s="3">
        <v>1705207</v>
      </c>
      <c r="AT8" t="s">
        <v>532</v>
      </c>
      <c r="AU8">
        <v>1705040</v>
      </c>
      <c r="AV8" s="3" t="s">
        <v>533</v>
      </c>
      <c r="AW8" s="3">
        <v>1705014</v>
      </c>
      <c r="AX8" t="s">
        <v>534</v>
      </c>
      <c r="AY8">
        <v>1705032</v>
      </c>
      <c r="AZ8" s="3" t="s">
        <v>535</v>
      </c>
      <c r="BA8" s="3">
        <v>1705042</v>
      </c>
      <c r="BB8" t="s">
        <v>536</v>
      </c>
      <c r="BC8">
        <v>1705055</v>
      </c>
      <c r="BD8" s="3" t="s">
        <v>537</v>
      </c>
      <c r="BE8" s="3">
        <v>1705044</v>
      </c>
    </row>
    <row r="9" spans="1:67">
      <c r="A9">
        <v>7</v>
      </c>
      <c r="B9" s="2" t="s">
        <v>538</v>
      </c>
      <c r="C9" s="2">
        <v>19071041</v>
      </c>
      <c r="D9" t="s">
        <v>539</v>
      </c>
      <c r="E9">
        <v>19071045</v>
      </c>
      <c r="F9" s="2" t="s">
        <v>540</v>
      </c>
      <c r="G9" s="2">
        <v>19071020</v>
      </c>
      <c r="H9" s="3" t="s">
        <v>541</v>
      </c>
      <c r="I9" s="3">
        <v>19071033</v>
      </c>
      <c r="J9" t="s">
        <v>542</v>
      </c>
      <c r="K9">
        <v>19071035</v>
      </c>
      <c r="L9" s="3" t="s">
        <v>543</v>
      </c>
      <c r="M9" s="3">
        <v>19072170</v>
      </c>
      <c r="N9" t="s">
        <v>544</v>
      </c>
      <c r="O9">
        <v>19072223</v>
      </c>
      <c r="P9" s="3" t="s">
        <v>545</v>
      </c>
      <c r="Q9" s="3">
        <v>19072168</v>
      </c>
      <c r="R9" t="s">
        <v>546</v>
      </c>
      <c r="S9">
        <v>19072181</v>
      </c>
      <c r="T9" s="3" t="s">
        <v>547</v>
      </c>
      <c r="U9" s="3">
        <v>19072154</v>
      </c>
      <c r="V9" t="s">
        <v>548</v>
      </c>
      <c r="W9">
        <v>19072197</v>
      </c>
      <c r="X9" s="3" t="s">
        <v>549</v>
      </c>
      <c r="Y9" s="3">
        <v>19072149</v>
      </c>
      <c r="Z9" t="s">
        <v>550</v>
      </c>
      <c r="AA9">
        <v>18061038</v>
      </c>
      <c r="AB9" s="3" t="s">
        <v>551</v>
      </c>
      <c r="AC9" s="3">
        <v>18061010</v>
      </c>
      <c r="AD9" t="s">
        <v>552</v>
      </c>
      <c r="AE9">
        <v>18061054</v>
      </c>
      <c r="AF9" s="3" t="s">
        <v>553</v>
      </c>
      <c r="AG9" s="3">
        <v>18061025</v>
      </c>
      <c r="AH9" t="s">
        <v>554</v>
      </c>
      <c r="AI9">
        <v>18062164</v>
      </c>
      <c r="AJ9" s="3" t="s">
        <v>555</v>
      </c>
      <c r="AK9" s="3">
        <v>18062158</v>
      </c>
      <c r="AL9" t="s">
        <v>556</v>
      </c>
      <c r="AM9">
        <v>18062145</v>
      </c>
      <c r="AN9" s="3" t="s">
        <v>557</v>
      </c>
      <c r="AO9" s="3">
        <v>18062151</v>
      </c>
      <c r="AP9" t="s">
        <v>558</v>
      </c>
      <c r="AQ9">
        <v>18062162</v>
      </c>
      <c r="AR9" s="3" t="s">
        <v>559</v>
      </c>
      <c r="AS9" s="3">
        <v>1705076</v>
      </c>
      <c r="AT9" t="s">
        <v>560</v>
      </c>
      <c r="AU9">
        <v>1705060</v>
      </c>
      <c r="AV9" s="3" t="s">
        <v>561</v>
      </c>
      <c r="AW9" s="3">
        <v>1705020</v>
      </c>
      <c r="AX9" t="s">
        <v>562</v>
      </c>
      <c r="AY9">
        <v>1705033</v>
      </c>
      <c r="AZ9" s="3" t="s">
        <v>563</v>
      </c>
      <c r="BA9" s="3">
        <v>1705043</v>
      </c>
      <c r="BB9" t="s">
        <v>564</v>
      </c>
      <c r="BC9">
        <v>1705072</v>
      </c>
      <c r="BD9" s="3" t="s">
        <v>565</v>
      </c>
      <c r="BE9" s="3">
        <v>1705049</v>
      </c>
    </row>
    <row r="10" spans="1:67">
      <c r="A10">
        <v>8</v>
      </c>
      <c r="B10" s="2" t="s">
        <v>566</v>
      </c>
      <c r="C10" s="2">
        <v>19071057</v>
      </c>
      <c r="D10" t="s">
        <v>567</v>
      </c>
      <c r="E10">
        <v>19071046</v>
      </c>
      <c r="F10" s="2" t="s">
        <v>568</v>
      </c>
      <c r="G10" s="2">
        <v>19071022</v>
      </c>
      <c r="H10" s="3" t="s">
        <v>569</v>
      </c>
      <c r="I10" s="3">
        <v>19071037</v>
      </c>
      <c r="J10" t="s">
        <v>570</v>
      </c>
      <c r="K10">
        <v>19071040</v>
      </c>
      <c r="L10" s="3" t="s">
        <v>571</v>
      </c>
      <c r="M10" s="3">
        <v>19072172</v>
      </c>
      <c r="N10" t="s">
        <v>572</v>
      </c>
      <c r="O10">
        <v>19072226</v>
      </c>
      <c r="P10" s="3" t="s">
        <v>573</v>
      </c>
      <c r="Q10" s="3">
        <v>19072183</v>
      </c>
      <c r="R10" t="s">
        <v>574</v>
      </c>
      <c r="S10">
        <v>19072186</v>
      </c>
      <c r="T10" s="3" t="s">
        <v>575</v>
      </c>
      <c r="U10" s="3">
        <v>19072156</v>
      </c>
      <c r="V10" t="s">
        <v>576</v>
      </c>
      <c r="W10">
        <v>19072204</v>
      </c>
      <c r="X10" s="3" t="s">
        <v>577</v>
      </c>
      <c r="Y10" s="3">
        <v>19072157</v>
      </c>
      <c r="Z10" t="s">
        <v>578</v>
      </c>
      <c r="AA10">
        <v>18061039</v>
      </c>
      <c r="AB10" s="3" t="s">
        <v>579</v>
      </c>
      <c r="AC10" s="3">
        <v>18061015</v>
      </c>
      <c r="AD10" t="s">
        <v>580</v>
      </c>
      <c r="AE10">
        <v>18061057</v>
      </c>
      <c r="AF10" s="3" t="s">
        <v>581</v>
      </c>
      <c r="AG10" s="3">
        <v>18061036</v>
      </c>
      <c r="AH10" t="s">
        <v>582</v>
      </c>
      <c r="AI10">
        <v>18062170</v>
      </c>
      <c r="AJ10" s="3" t="s">
        <v>583</v>
      </c>
      <c r="AK10" s="3">
        <v>18062160</v>
      </c>
      <c r="AL10" t="s">
        <v>584</v>
      </c>
      <c r="AM10">
        <v>18062149</v>
      </c>
      <c r="AN10" s="3" t="s">
        <v>585</v>
      </c>
      <c r="AO10" s="3">
        <v>18062153</v>
      </c>
      <c r="AP10" t="s">
        <v>586</v>
      </c>
      <c r="AQ10">
        <v>18062169</v>
      </c>
      <c r="AR10" s="3" t="s">
        <v>587</v>
      </c>
      <c r="AS10" s="3">
        <v>1705080</v>
      </c>
      <c r="AT10" t="s">
        <v>588</v>
      </c>
      <c r="AU10">
        <v>1705064</v>
      </c>
      <c r="AV10" s="3" t="s">
        <v>589</v>
      </c>
      <c r="AW10" s="3">
        <v>1705057</v>
      </c>
      <c r="AX10" t="s">
        <v>590</v>
      </c>
      <c r="AY10">
        <v>1705034</v>
      </c>
      <c r="AZ10" s="3" t="s">
        <v>591</v>
      </c>
      <c r="BA10" s="3">
        <v>1705051</v>
      </c>
      <c r="BB10" t="s">
        <v>592</v>
      </c>
      <c r="BC10">
        <v>1705074</v>
      </c>
      <c r="BD10" s="3" t="s">
        <v>593</v>
      </c>
      <c r="BE10" s="3">
        <v>1705053</v>
      </c>
    </row>
    <row r="11" spans="1:67">
      <c r="A11">
        <v>9</v>
      </c>
      <c r="B11" s="2" t="s">
        <v>594</v>
      </c>
      <c r="C11" s="2">
        <v>19071061</v>
      </c>
      <c r="D11" t="s">
        <v>595</v>
      </c>
      <c r="E11">
        <v>19071055</v>
      </c>
      <c r="F11" s="2" t="s">
        <v>596</v>
      </c>
      <c r="G11" s="2">
        <v>19071025</v>
      </c>
      <c r="H11" s="3" t="s">
        <v>597</v>
      </c>
      <c r="I11" s="3">
        <v>19071042</v>
      </c>
      <c r="J11" t="s">
        <v>598</v>
      </c>
      <c r="K11">
        <v>19071044</v>
      </c>
      <c r="L11" s="3" t="s">
        <v>599</v>
      </c>
      <c r="M11" s="3">
        <v>19072176</v>
      </c>
      <c r="N11" t="s">
        <v>600</v>
      </c>
      <c r="O11">
        <v>19072232</v>
      </c>
      <c r="P11" s="3" t="s">
        <v>601</v>
      </c>
      <c r="Q11" s="3">
        <v>19072185</v>
      </c>
      <c r="R11" t="s">
        <v>602</v>
      </c>
      <c r="S11">
        <v>19072202</v>
      </c>
      <c r="T11" s="3" t="s">
        <v>603</v>
      </c>
      <c r="U11" s="3">
        <v>19072161</v>
      </c>
      <c r="V11" t="s">
        <v>604</v>
      </c>
      <c r="W11">
        <v>19072228</v>
      </c>
      <c r="X11" s="3" t="s">
        <v>605</v>
      </c>
      <c r="Y11" s="3">
        <v>19072162</v>
      </c>
      <c r="Z11" t="s">
        <v>606</v>
      </c>
      <c r="AA11">
        <v>18061040</v>
      </c>
      <c r="AB11" s="3" t="s">
        <v>607</v>
      </c>
      <c r="AC11" s="3">
        <v>18061026</v>
      </c>
      <c r="AD11" t="s">
        <v>608</v>
      </c>
      <c r="AE11">
        <v>18061059</v>
      </c>
      <c r="AF11" s="3" t="s">
        <v>609</v>
      </c>
      <c r="AG11" s="3">
        <v>18061048</v>
      </c>
      <c r="AH11" t="s">
        <v>610</v>
      </c>
      <c r="AI11">
        <v>18062178</v>
      </c>
      <c r="AJ11" s="3" t="s">
        <v>611</v>
      </c>
      <c r="AK11" s="3">
        <v>18062163</v>
      </c>
      <c r="AL11" t="s">
        <v>612</v>
      </c>
      <c r="AM11">
        <v>18062152</v>
      </c>
      <c r="AN11" s="3" t="s">
        <v>613</v>
      </c>
      <c r="AO11" s="3">
        <v>18062159</v>
      </c>
      <c r="AP11" t="s">
        <v>614</v>
      </c>
      <c r="AQ11">
        <v>18062179</v>
      </c>
      <c r="AR11" s="3" t="s">
        <v>615</v>
      </c>
      <c r="AS11" s="3">
        <v>1705085</v>
      </c>
      <c r="AT11" t="s">
        <v>616</v>
      </c>
      <c r="AU11">
        <v>1705075</v>
      </c>
      <c r="AV11" s="3" t="s">
        <v>617</v>
      </c>
      <c r="AW11" s="3">
        <v>1705059</v>
      </c>
      <c r="AX11" t="s">
        <v>618</v>
      </c>
      <c r="AY11">
        <v>1705039</v>
      </c>
      <c r="AZ11" s="3" t="s">
        <v>619</v>
      </c>
      <c r="BA11" s="3">
        <v>1705056</v>
      </c>
      <c r="BB11" t="s">
        <v>620</v>
      </c>
      <c r="BC11">
        <v>1705094</v>
      </c>
      <c r="BD11" s="3" t="s">
        <v>621</v>
      </c>
      <c r="BE11" s="3">
        <v>1705066</v>
      </c>
    </row>
    <row r="12" spans="1:67">
      <c r="A12">
        <v>10</v>
      </c>
      <c r="B12" s="2" t="s">
        <v>622</v>
      </c>
      <c r="C12" s="2">
        <v>19071062</v>
      </c>
      <c r="D12" t="s">
        <v>623</v>
      </c>
      <c r="E12">
        <v>19071056</v>
      </c>
      <c r="F12" s="2" t="s">
        <v>624</v>
      </c>
      <c r="G12" s="2">
        <v>19071027</v>
      </c>
      <c r="H12" s="3" t="s">
        <v>625</v>
      </c>
      <c r="I12" s="3">
        <v>19071052</v>
      </c>
      <c r="J12" t="s">
        <v>626</v>
      </c>
      <c r="K12">
        <v>19071048</v>
      </c>
      <c r="L12" s="3" t="s">
        <v>627</v>
      </c>
      <c r="M12" s="3">
        <v>19072180</v>
      </c>
      <c r="N12" t="s">
        <v>628</v>
      </c>
      <c r="O12">
        <v>19072235</v>
      </c>
      <c r="P12" s="3" t="s">
        <v>629</v>
      </c>
      <c r="Q12" s="3">
        <v>19072190</v>
      </c>
      <c r="R12" t="s">
        <v>630</v>
      </c>
      <c r="S12">
        <v>19072216</v>
      </c>
      <c r="T12" s="3" t="s">
        <v>631</v>
      </c>
      <c r="U12" s="3">
        <v>19072169</v>
      </c>
      <c r="V12" t="s">
        <v>632</v>
      </c>
      <c r="W12">
        <v>19072229</v>
      </c>
      <c r="X12" s="3" t="s">
        <v>633</v>
      </c>
      <c r="Y12" s="3">
        <v>19072171</v>
      </c>
      <c r="Z12" t="s">
        <v>634</v>
      </c>
      <c r="AA12">
        <v>18061045</v>
      </c>
      <c r="AB12" s="3" t="s">
        <v>635</v>
      </c>
      <c r="AC12" s="3">
        <v>18061029</v>
      </c>
      <c r="AD12" t="s">
        <v>636</v>
      </c>
      <c r="AE12">
        <v>18061065</v>
      </c>
      <c r="AF12" s="3" t="s">
        <v>637</v>
      </c>
      <c r="AG12" s="3">
        <v>18061056</v>
      </c>
      <c r="AH12" t="s">
        <v>638</v>
      </c>
      <c r="AI12">
        <v>18062187</v>
      </c>
      <c r="AJ12" s="3" t="s">
        <v>639</v>
      </c>
      <c r="AK12" s="3">
        <v>18062167</v>
      </c>
      <c r="AL12" t="s">
        <v>640</v>
      </c>
      <c r="AM12">
        <v>18062161</v>
      </c>
      <c r="AN12" s="3" t="s">
        <v>641</v>
      </c>
      <c r="AO12" s="3">
        <v>18062174</v>
      </c>
      <c r="AP12" t="s">
        <v>642</v>
      </c>
      <c r="AQ12">
        <v>18062279</v>
      </c>
      <c r="AR12" s="3" t="s">
        <v>643</v>
      </c>
      <c r="AS12" s="3">
        <v>1705099</v>
      </c>
      <c r="AT12" t="s">
        <v>644</v>
      </c>
      <c r="AU12">
        <v>1705091</v>
      </c>
      <c r="AV12" s="3" t="s">
        <v>645</v>
      </c>
      <c r="AW12" s="3">
        <v>1705069</v>
      </c>
      <c r="AX12" t="s">
        <v>646</v>
      </c>
      <c r="AY12">
        <v>1705048</v>
      </c>
      <c r="AZ12" s="3" t="s">
        <v>647</v>
      </c>
      <c r="BA12" s="3">
        <v>1705062</v>
      </c>
      <c r="BB12" t="s">
        <v>648</v>
      </c>
      <c r="BC12">
        <v>1705105</v>
      </c>
      <c r="BD12" s="3" t="s">
        <v>649</v>
      </c>
      <c r="BE12" s="3">
        <v>1705077</v>
      </c>
    </row>
    <row r="13" spans="1:67">
      <c r="A13">
        <v>11</v>
      </c>
      <c r="B13" s="2" t="s">
        <v>650</v>
      </c>
      <c r="C13" s="2">
        <v>19071066</v>
      </c>
      <c r="D13" t="s">
        <v>651</v>
      </c>
      <c r="E13">
        <v>19071058</v>
      </c>
      <c r="F13" s="2" t="s">
        <v>652</v>
      </c>
      <c r="G13" s="2">
        <v>19071034</v>
      </c>
      <c r="H13" s="3" t="s">
        <v>653</v>
      </c>
      <c r="I13" s="3">
        <v>19071059</v>
      </c>
      <c r="J13" t="s">
        <v>654</v>
      </c>
      <c r="K13">
        <v>19071051</v>
      </c>
      <c r="L13" s="3" t="s">
        <v>655</v>
      </c>
      <c r="M13" s="3">
        <v>19072187</v>
      </c>
      <c r="N13" t="s">
        <v>656</v>
      </c>
      <c r="O13">
        <v>19072244</v>
      </c>
      <c r="P13" s="3" t="s">
        <v>657</v>
      </c>
      <c r="Q13" s="3">
        <v>19072192</v>
      </c>
      <c r="R13" t="s">
        <v>658</v>
      </c>
      <c r="S13">
        <v>19072217</v>
      </c>
      <c r="T13" s="3" t="s">
        <v>659</v>
      </c>
      <c r="U13" s="3">
        <v>19072318</v>
      </c>
      <c r="V13" t="s">
        <v>660</v>
      </c>
      <c r="W13">
        <v>19072233</v>
      </c>
      <c r="X13" s="3" t="s">
        <v>661</v>
      </c>
      <c r="Y13" s="3">
        <v>19072175</v>
      </c>
      <c r="Z13" t="s">
        <v>662</v>
      </c>
      <c r="AA13">
        <v>18061050</v>
      </c>
      <c r="AB13" s="3" t="s">
        <v>663</v>
      </c>
      <c r="AC13" s="3">
        <v>18061031</v>
      </c>
      <c r="AD13" t="s">
        <v>664</v>
      </c>
      <c r="AE13">
        <v>18061069</v>
      </c>
      <c r="AF13" s="3" t="s">
        <v>665</v>
      </c>
      <c r="AG13" s="3">
        <v>18061058</v>
      </c>
      <c r="AH13" t="s">
        <v>666</v>
      </c>
      <c r="AI13">
        <v>18062189</v>
      </c>
      <c r="AJ13" s="3" t="s">
        <v>667</v>
      </c>
      <c r="AK13" s="3">
        <v>18062171</v>
      </c>
      <c r="AL13" t="s">
        <v>668</v>
      </c>
      <c r="AM13">
        <v>18062165</v>
      </c>
      <c r="AN13" s="3" t="s">
        <v>669</v>
      </c>
      <c r="AO13" s="3">
        <v>18062183</v>
      </c>
      <c r="AP13" t="s">
        <v>670</v>
      </c>
      <c r="AQ13">
        <v>18062182</v>
      </c>
      <c r="AR13" s="3" t="s">
        <v>671</v>
      </c>
      <c r="AS13" s="3">
        <v>1705111</v>
      </c>
      <c r="AT13" t="s">
        <v>672</v>
      </c>
      <c r="AU13">
        <v>1705095</v>
      </c>
      <c r="AV13" s="3" t="s">
        <v>673</v>
      </c>
      <c r="AW13" s="3">
        <v>1705084</v>
      </c>
      <c r="AX13" t="s">
        <v>674</v>
      </c>
      <c r="AY13">
        <v>1705068</v>
      </c>
      <c r="AZ13" s="3" t="s">
        <v>675</v>
      </c>
      <c r="BA13" s="3">
        <v>1705073</v>
      </c>
      <c r="BB13" t="s">
        <v>676</v>
      </c>
      <c r="BC13">
        <v>1705106</v>
      </c>
      <c r="BD13" s="3" t="s">
        <v>677</v>
      </c>
      <c r="BE13" s="3">
        <v>1705078</v>
      </c>
    </row>
    <row r="14" spans="1:67">
      <c r="A14">
        <v>12</v>
      </c>
      <c r="B14" s="2" t="s">
        <v>678</v>
      </c>
      <c r="C14" s="2">
        <v>19071069</v>
      </c>
      <c r="D14" t="s">
        <v>679</v>
      </c>
      <c r="E14">
        <v>19071060</v>
      </c>
      <c r="F14" s="2" t="s">
        <v>680</v>
      </c>
      <c r="G14" s="2">
        <v>19071036</v>
      </c>
      <c r="H14" s="3" t="s">
        <v>681</v>
      </c>
      <c r="I14" s="3">
        <v>19071068</v>
      </c>
      <c r="J14" t="s">
        <v>682</v>
      </c>
      <c r="K14">
        <v>19071054</v>
      </c>
      <c r="L14" s="3" t="s">
        <v>683</v>
      </c>
      <c r="M14" s="3">
        <v>19072188</v>
      </c>
      <c r="N14" t="s">
        <v>684</v>
      </c>
      <c r="O14">
        <v>19072245</v>
      </c>
      <c r="P14" s="3" t="s">
        <v>685</v>
      </c>
      <c r="Q14" s="3">
        <v>19072199</v>
      </c>
      <c r="R14" t="s">
        <v>686</v>
      </c>
      <c r="S14">
        <v>19072219</v>
      </c>
      <c r="T14" s="3" t="s">
        <v>687</v>
      </c>
      <c r="U14" s="3">
        <v>19072174</v>
      </c>
      <c r="V14" t="s">
        <v>688</v>
      </c>
      <c r="W14">
        <v>19072234</v>
      </c>
      <c r="X14" s="3" t="s">
        <v>689</v>
      </c>
      <c r="Y14" s="3">
        <v>19072189</v>
      </c>
      <c r="Z14" t="s">
        <v>690</v>
      </c>
      <c r="AA14">
        <v>18061051</v>
      </c>
      <c r="AB14" s="3" t="s">
        <v>691</v>
      </c>
      <c r="AC14" s="3">
        <v>18061043</v>
      </c>
      <c r="AD14" t="s">
        <v>692</v>
      </c>
      <c r="AE14">
        <v>18061070</v>
      </c>
      <c r="AF14" s="3" t="s">
        <v>693</v>
      </c>
      <c r="AG14" s="3">
        <v>18061063</v>
      </c>
      <c r="AH14" t="s">
        <v>694</v>
      </c>
      <c r="AI14">
        <v>18062190</v>
      </c>
      <c r="AJ14" s="3" t="s">
        <v>695</v>
      </c>
      <c r="AK14" s="3">
        <v>18062196</v>
      </c>
      <c r="AL14" t="s">
        <v>696</v>
      </c>
      <c r="AM14">
        <v>18062166</v>
      </c>
      <c r="AN14" s="3" t="s">
        <v>697</v>
      </c>
      <c r="AO14" s="3">
        <v>18062188</v>
      </c>
      <c r="AP14" t="s">
        <v>698</v>
      </c>
      <c r="AQ14">
        <v>18062191</v>
      </c>
      <c r="AR14" s="3" t="s">
        <v>699</v>
      </c>
      <c r="AS14" s="3">
        <v>1705139</v>
      </c>
      <c r="AT14" t="s">
        <v>700</v>
      </c>
      <c r="AU14">
        <v>1705107</v>
      </c>
      <c r="AV14" s="3" t="s">
        <v>701</v>
      </c>
      <c r="AW14" s="3">
        <v>1705088</v>
      </c>
      <c r="AX14" t="s">
        <v>702</v>
      </c>
      <c r="AY14">
        <v>1705071</v>
      </c>
      <c r="AZ14" s="3" t="s">
        <v>703</v>
      </c>
      <c r="BA14" s="3">
        <v>1705081</v>
      </c>
      <c r="BB14" t="s">
        <v>704</v>
      </c>
      <c r="BC14">
        <v>1705109</v>
      </c>
      <c r="BD14" s="3" t="s">
        <v>667</v>
      </c>
      <c r="BE14" s="3">
        <v>1705079</v>
      </c>
    </row>
    <row r="15" spans="1:67">
      <c r="A15">
        <v>13</v>
      </c>
      <c r="B15" s="2" t="s">
        <v>705</v>
      </c>
      <c r="C15" s="2">
        <v>19071074</v>
      </c>
      <c r="D15" t="s">
        <v>706</v>
      </c>
      <c r="E15">
        <v>19071064</v>
      </c>
      <c r="F15" s="2" t="s">
        <v>707</v>
      </c>
      <c r="G15" s="2">
        <v>19071043</v>
      </c>
      <c r="H15" s="3" t="s">
        <v>708</v>
      </c>
      <c r="I15" s="3">
        <v>19071071</v>
      </c>
      <c r="J15" t="s">
        <v>709</v>
      </c>
      <c r="K15">
        <v>19071063</v>
      </c>
      <c r="L15" s="3" t="s">
        <v>710</v>
      </c>
      <c r="M15" s="3">
        <v>19072196</v>
      </c>
      <c r="N15" t="s">
        <v>711</v>
      </c>
      <c r="O15">
        <v>19072247</v>
      </c>
      <c r="P15" s="3" t="s">
        <v>712</v>
      </c>
      <c r="Q15" s="3">
        <v>19072207</v>
      </c>
      <c r="R15" t="s">
        <v>713</v>
      </c>
      <c r="S15">
        <v>19072222</v>
      </c>
      <c r="T15" s="3" t="s">
        <v>714</v>
      </c>
      <c r="U15" s="3">
        <v>19072178</v>
      </c>
      <c r="V15" t="s">
        <v>715</v>
      </c>
      <c r="W15">
        <v>19072236</v>
      </c>
      <c r="X15" s="3" t="s">
        <v>716</v>
      </c>
      <c r="Y15" s="3">
        <v>19072194</v>
      </c>
      <c r="Z15" t="s">
        <v>717</v>
      </c>
      <c r="AA15">
        <v>18061062</v>
      </c>
      <c r="AB15" s="3" t="s">
        <v>718</v>
      </c>
      <c r="AC15" s="3">
        <v>18061044</v>
      </c>
      <c r="AD15" t="s">
        <v>719</v>
      </c>
      <c r="AE15">
        <v>18061073</v>
      </c>
      <c r="AF15" s="3" t="s">
        <v>720</v>
      </c>
      <c r="AG15" s="3">
        <v>18061064</v>
      </c>
      <c r="AH15" t="s">
        <v>721</v>
      </c>
      <c r="AI15">
        <v>18062198</v>
      </c>
      <c r="AJ15" s="3" t="s">
        <v>722</v>
      </c>
      <c r="AK15" s="3">
        <v>18062200</v>
      </c>
      <c r="AL15" t="s">
        <v>723</v>
      </c>
      <c r="AM15">
        <v>18062172</v>
      </c>
      <c r="AN15" s="3" t="s">
        <v>724</v>
      </c>
      <c r="AO15" s="3">
        <v>18062194</v>
      </c>
      <c r="AP15" t="s">
        <v>725</v>
      </c>
      <c r="AQ15">
        <v>18062192</v>
      </c>
      <c r="AR15" s="3" t="s">
        <v>726</v>
      </c>
      <c r="AS15" s="3">
        <v>1705122</v>
      </c>
      <c r="AT15" t="s">
        <v>727</v>
      </c>
      <c r="AU15">
        <v>1705110</v>
      </c>
      <c r="AV15" s="3" t="s">
        <v>728</v>
      </c>
      <c r="AW15" s="3">
        <v>1705089</v>
      </c>
      <c r="AX15" t="s">
        <v>729</v>
      </c>
      <c r="AY15">
        <v>1705092</v>
      </c>
      <c r="AZ15" s="3" t="s">
        <v>730</v>
      </c>
      <c r="BA15" s="3">
        <v>1705082</v>
      </c>
      <c r="BB15" t="s">
        <v>731</v>
      </c>
      <c r="BC15">
        <v>1705119</v>
      </c>
      <c r="BD15" s="3" t="s">
        <v>732</v>
      </c>
      <c r="BE15" s="3">
        <v>1705087</v>
      </c>
    </row>
    <row r="16" spans="1:67">
      <c r="A16">
        <v>14</v>
      </c>
      <c r="B16" s="2" t="s">
        <v>733</v>
      </c>
      <c r="C16" s="2">
        <v>19071078</v>
      </c>
      <c r="D16" t="s">
        <v>734</v>
      </c>
      <c r="E16">
        <v>19071067</v>
      </c>
      <c r="F16" s="2" t="s">
        <v>735</v>
      </c>
      <c r="G16" s="2">
        <v>19071047</v>
      </c>
      <c r="H16" s="3" t="s">
        <v>736</v>
      </c>
      <c r="I16" s="3">
        <v>19071075</v>
      </c>
      <c r="J16" t="s">
        <v>737</v>
      </c>
      <c r="K16">
        <v>19071070</v>
      </c>
      <c r="L16" s="3" t="s">
        <v>738</v>
      </c>
      <c r="M16" s="3">
        <v>19072203</v>
      </c>
      <c r="N16" t="s">
        <v>739</v>
      </c>
      <c r="O16">
        <v>19072254</v>
      </c>
      <c r="P16" s="3" t="s">
        <v>740</v>
      </c>
      <c r="Q16" s="3">
        <v>19072208</v>
      </c>
      <c r="R16" t="s">
        <v>741</v>
      </c>
      <c r="S16">
        <v>19072231</v>
      </c>
      <c r="T16" s="3" t="s">
        <v>742</v>
      </c>
      <c r="U16" s="3">
        <v>19072179</v>
      </c>
      <c r="V16" t="s">
        <v>743</v>
      </c>
      <c r="W16">
        <v>19072242</v>
      </c>
      <c r="X16" s="3" t="s">
        <v>744</v>
      </c>
      <c r="Y16" s="3">
        <v>19072201</v>
      </c>
      <c r="Z16" t="s">
        <v>745</v>
      </c>
      <c r="AA16">
        <v>18061093</v>
      </c>
      <c r="AB16" s="3" t="s">
        <v>746</v>
      </c>
      <c r="AC16" s="3">
        <v>18061049</v>
      </c>
      <c r="AD16" t="s">
        <v>747</v>
      </c>
      <c r="AE16">
        <v>18061079</v>
      </c>
      <c r="AF16" s="3" t="s">
        <v>748</v>
      </c>
      <c r="AG16" s="3">
        <v>18061066</v>
      </c>
      <c r="AH16" t="s">
        <v>749</v>
      </c>
      <c r="AI16">
        <v>18062202</v>
      </c>
      <c r="AJ16" s="3" t="s">
        <v>750</v>
      </c>
      <c r="AK16" s="3">
        <v>18062201</v>
      </c>
      <c r="AL16" t="s">
        <v>751</v>
      </c>
      <c r="AM16">
        <v>18062173</v>
      </c>
      <c r="AN16" s="3" t="s">
        <v>752</v>
      </c>
      <c r="AO16" s="3">
        <v>18062206</v>
      </c>
      <c r="AP16" t="s">
        <v>753</v>
      </c>
      <c r="AQ16">
        <v>18062195</v>
      </c>
      <c r="AR16" s="3" t="s">
        <v>754</v>
      </c>
      <c r="AS16" s="3">
        <v>1705127</v>
      </c>
      <c r="AT16" t="s">
        <v>755</v>
      </c>
      <c r="AU16">
        <v>1705118</v>
      </c>
      <c r="AV16" s="3" t="s">
        <v>756</v>
      </c>
      <c r="AW16" s="3">
        <v>1705090</v>
      </c>
      <c r="AX16" t="s">
        <v>757</v>
      </c>
      <c r="AY16">
        <v>1705093</v>
      </c>
      <c r="AZ16" s="3" t="s">
        <v>758</v>
      </c>
      <c r="BA16" s="3">
        <v>1705083</v>
      </c>
      <c r="BB16" t="s">
        <v>759</v>
      </c>
      <c r="BC16">
        <v>1705123</v>
      </c>
      <c r="BD16" s="3" t="s">
        <v>760</v>
      </c>
      <c r="BE16" s="3">
        <v>1705102</v>
      </c>
    </row>
    <row r="17" spans="1:57">
      <c r="A17">
        <v>15</v>
      </c>
      <c r="B17" s="2" t="s">
        <v>761</v>
      </c>
      <c r="C17" s="2">
        <v>19071085</v>
      </c>
      <c r="D17" t="s">
        <v>762</v>
      </c>
      <c r="E17">
        <v>19071072</v>
      </c>
      <c r="F17" s="2" t="s">
        <v>763</v>
      </c>
      <c r="G17" s="2">
        <v>19071049</v>
      </c>
      <c r="H17" s="3" t="s">
        <v>764</v>
      </c>
      <c r="I17" s="3">
        <v>19071082</v>
      </c>
      <c r="J17" t="s">
        <v>765</v>
      </c>
      <c r="K17">
        <v>19071073</v>
      </c>
      <c r="L17" s="3" t="s">
        <v>766</v>
      </c>
      <c r="M17" s="3">
        <v>19072205</v>
      </c>
      <c r="N17" t="s">
        <v>767</v>
      </c>
      <c r="O17">
        <v>19072259</v>
      </c>
      <c r="P17" s="3" t="s">
        <v>768</v>
      </c>
      <c r="Q17" s="3">
        <v>19072211</v>
      </c>
      <c r="R17" t="s">
        <v>769</v>
      </c>
      <c r="S17">
        <v>19072241</v>
      </c>
      <c r="T17" s="3" t="s">
        <v>770</v>
      </c>
      <c r="U17" s="3">
        <v>19072198</v>
      </c>
      <c r="V17" t="s">
        <v>771</v>
      </c>
      <c r="W17">
        <v>19072251</v>
      </c>
      <c r="X17" s="3" t="s">
        <v>772</v>
      </c>
      <c r="Y17" s="3">
        <v>19072212</v>
      </c>
      <c r="Z17" t="s">
        <v>773</v>
      </c>
      <c r="AA17">
        <v>18061094</v>
      </c>
      <c r="AB17" s="3" t="s">
        <v>774</v>
      </c>
      <c r="AC17" s="3">
        <v>18061052</v>
      </c>
      <c r="AD17" t="s">
        <v>775</v>
      </c>
      <c r="AE17">
        <v>18061080</v>
      </c>
      <c r="AF17" s="3" t="s">
        <v>776</v>
      </c>
      <c r="AG17" s="3">
        <v>18061067</v>
      </c>
      <c r="AH17" t="s">
        <v>777</v>
      </c>
      <c r="AI17">
        <v>18062211</v>
      </c>
      <c r="AJ17" s="3" t="s">
        <v>778</v>
      </c>
      <c r="AK17" s="3">
        <v>18062203</v>
      </c>
      <c r="AL17" t="s">
        <v>779</v>
      </c>
      <c r="AM17">
        <v>18062175</v>
      </c>
      <c r="AN17" s="3" t="s">
        <v>780</v>
      </c>
      <c r="AO17" s="3">
        <v>18062208</v>
      </c>
      <c r="AP17" t="s">
        <v>781</v>
      </c>
      <c r="AQ17">
        <v>18062197</v>
      </c>
      <c r="AR17" s="3" t="s">
        <v>782</v>
      </c>
      <c r="AS17" s="3">
        <v>1705131</v>
      </c>
      <c r="AT17" t="s">
        <v>783</v>
      </c>
      <c r="AU17">
        <v>1705128</v>
      </c>
      <c r="AV17" s="3" t="s">
        <v>784</v>
      </c>
      <c r="AW17" s="3">
        <v>1705100</v>
      </c>
      <c r="AX17" t="s">
        <v>785</v>
      </c>
      <c r="AY17">
        <v>1705097</v>
      </c>
      <c r="AZ17" s="3" t="s">
        <v>786</v>
      </c>
      <c r="BA17" s="3">
        <v>1705098</v>
      </c>
      <c r="BB17" t="s">
        <v>787</v>
      </c>
      <c r="BC17">
        <v>1705153</v>
      </c>
      <c r="BD17" s="3" t="s">
        <v>788</v>
      </c>
      <c r="BE17" s="3">
        <v>1705103</v>
      </c>
    </row>
    <row r="18" spans="1:57">
      <c r="A18">
        <v>16</v>
      </c>
      <c r="B18" s="2" t="s">
        <v>789</v>
      </c>
      <c r="C18" s="2">
        <v>19071092</v>
      </c>
      <c r="D18" t="s">
        <v>790</v>
      </c>
      <c r="E18">
        <v>19071081</v>
      </c>
      <c r="F18" s="2" t="s">
        <v>791</v>
      </c>
      <c r="G18" s="2">
        <v>19071050</v>
      </c>
      <c r="H18" s="3" t="s">
        <v>792</v>
      </c>
      <c r="I18" s="3">
        <v>19071084</v>
      </c>
      <c r="J18" t="s">
        <v>793</v>
      </c>
      <c r="K18">
        <v>19071080</v>
      </c>
      <c r="L18" s="3" t="s">
        <v>794</v>
      </c>
      <c r="M18" s="3">
        <v>19072224</v>
      </c>
      <c r="N18" t="s">
        <v>795</v>
      </c>
      <c r="O18">
        <v>19072266</v>
      </c>
      <c r="P18" s="3" t="s">
        <v>796</v>
      </c>
      <c r="Q18" s="3">
        <v>19072213</v>
      </c>
      <c r="R18" t="s">
        <v>797</v>
      </c>
      <c r="S18">
        <v>19072255</v>
      </c>
      <c r="T18" s="3" t="s">
        <v>798</v>
      </c>
      <c r="U18" s="3">
        <v>19072200</v>
      </c>
      <c r="V18" t="s">
        <v>799</v>
      </c>
      <c r="W18">
        <v>19072253</v>
      </c>
      <c r="X18" s="3" t="s">
        <v>800</v>
      </c>
      <c r="Y18" s="3">
        <v>19072214</v>
      </c>
      <c r="Z18" t="s">
        <v>801</v>
      </c>
      <c r="AA18">
        <v>18061096</v>
      </c>
      <c r="AB18" s="3" t="s">
        <v>802</v>
      </c>
      <c r="AC18" s="3">
        <v>18061053</v>
      </c>
      <c r="AD18" t="s">
        <v>803</v>
      </c>
      <c r="AE18">
        <v>18061081</v>
      </c>
      <c r="AF18" s="3" t="s">
        <v>804</v>
      </c>
      <c r="AG18" s="3">
        <v>18061068</v>
      </c>
      <c r="AH18" t="s">
        <v>805</v>
      </c>
      <c r="AI18">
        <v>18062216</v>
      </c>
      <c r="AJ18" s="3" t="s">
        <v>806</v>
      </c>
      <c r="AK18" s="3">
        <v>18062207</v>
      </c>
      <c r="AL18" t="s">
        <v>807</v>
      </c>
      <c r="AM18">
        <v>18062176</v>
      </c>
      <c r="AN18" s="3" t="s">
        <v>808</v>
      </c>
      <c r="AO18" s="3">
        <v>18062210</v>
      </c>
      <c r="AP18" t="s">
        <v>809</v>
      </c>
      <c r="AQ18">
        <v>18062199</v>
      </c>
      <c r="AR18" s="3" t="s">
        <v>810</v>
      </c>
      <c r="AS18" s="3">
        <v>1705132</v>
      </c>
      <c r="AT18" t="s">
        <v>811</v>
      </c>
      <c r="AU18">
        <v>1705129</v>
      </c>
      <c r="AV18" s="3" t="s">
        <v>812</v>
      </c>
      <c r="AW18" s="3">
        <v>1705101</v>
      </c>
      <c r="AX18" t="s">
        <v>813</v>
      </c>
      <c r="AY18">
        <v>1705104</v>
      </c>
      <c r="AZ18" s="3" t="s">
        <v>814</v>
      </c>
      <c r="BA18" s="3">
        <v>1705113</v>
      </c>
      <c r="BB18" t="s">
        <v>815</v>
      </c>
      <c r="BC18">
        <v>1705155</v>
      </c>
      <c r="BD18" s="3" t="s">
        <v>816</v>
      </c>
      <c r="BE18" s="3">
        <v>1705108</v>
      </c>
    </row>
    <row r="19" spans="1:57">
      <c r="A19">
        <v>17</v>
      </c>
      <c r="B19" s="2" t="s">
        <v>817</v>
      </c>
      <c r="C19" s="2">
        <v>19071094</v>
      </c>
      <c r="D19" t="s">
        <v>818</v>
      </c>
      <c r="E19">
        <v>19071087</v>
      </c>
      <c r="F19" s="2" t="s">
        <v>819</v>
      </c>
      <c r="G19" s="2">
        <v>19071065</v>
      </c>
      <c r="H19" s="3" t="s">
        <v>820</v>
      </c>
      <c r="I19" s="3">
        <v>19071100</v>
      </c>
      <c r="J19" t="s">
        <v>821</v>
      </c>
      <c r="K19">
        <v>19071083</v>
      </c>
      <c r="L19" s="3" t="s">
        <v>822</v>
      </c>
      <c r="M19" s="3">
        <v>19072237</v>
      </c>
      <c r="N19" t="s">
        <v>823</v>
      </c>
      <c r="O19">
        <v>19072268</v>
      </c>
      <c r="P19" s="3" t="s">
        <v>824</v>
      </c>
      <c r="Q19" s="3">
        <v>19072238</v>
      </c>
      <c r="R19" t="s">
        <v>825</v>
      </c>
      <c r="S19">
        <v>19072257</v>
      </c>
      <c r="T19" s="3" t="s">
        <v>826</v>
      </c>
      <c r="U19" s="3">
        <v>19072221</v>
      </c>
      <c r="V19" t="s">
        <v>827</v>
      </c>
      <c r="W19">
        <v>19072261</v>
      </c>
      <c r="X19" s="3" t="s">
        <v>828</v>
      </c>
      <c r="Y19" s="3">
        <v>19072215</v>
      </c>
      <c r="Z19" t="s">
        <v>829</v>
      </c>
      <c r="AA19">
        <v>18061102</v>
      </c>
      <c r="AB19" s="3" t="s">
        <v>830</v>
      </c>
      <c r="AC19" s="3">
        <v>18061055</v>
      </c>
      <c r="AD19" t="s">
        <v>831</v>
      </c>
      <c r="AE19">
        <v>18061082</v>
      </c>
      <c r="AF19" s="3" t="s">
        <v>832</v>
      </c>
      <c r="AG19" s="3">
        <v>18061071</v>
      </c>
      <c r="AH19" t="s">
        <v>833</v>
      </c>
      <c r="AI19">
        <v>18062219</v>
      </c>
      <c r="AJ19" s="3" t="s">
        <v>834</v>
      </c>
      <c r="AK19" s="3">
        <v>18062220</v>
      </c>
      <c r="AL19" t="s">
        <v>835</v>
      </c>
      <c r="AM19">
        <v>18062177</v>
      </c>
      <c r="AN19" s="3" t="s">
        <v>836</v>
      </c>
      <c r="AO19" s="3">
        <v>18062212</v>
      </c>
      <c r="AP19" t="s">
        <v>837</v>
      </c>
      <c r="AQ19">
        <v>18062205</v>
      </c>
      <c r="AR19" s="3" t="s">
        <v>838</v>
      </c>
      <c r="AS19" s="3">
        <v>1705138</v>
      </c>
      <c r="AT19" t="s">
        <v>839</v>
      </c>
      <c r="AU19">
        <v>1705130</v>
      </c>
      <c r="AV19" s="3" t="s">
        <v>840</v>
      </c>
      <c r="AW19" s="3">
        <v>1705121</v>
      </c>
      <c r="AX19" t="s">
        <v>841</v>
      </c>
      <c r="AY19">
        <v>1705115</v>
      </c>
      <c r="AZ19" s="3" t="s">
        <v>842</v>
      </c>
      <c r="BA19" s="3">
        <v>1705114</v>
      </c>
      <c r="BB19" t="s">
        <v>843</v>
      </c>
      <c r="BC19">
        <v>1705164</v>
      </c>
      <c r="BD19" s="3" t="s">
        <v>844</v>
      </c>
      <c r="BE19" s="3">
        <v>1705112</v>
      </c>
    </row>
    <row r="20" spans="1:57">
      <c r="A20">
        <v>18</v>
      </c>
      <c r="B20" s="2" t="s">
        <v>845</v>
      </c>
      <c r="C20" s="2">
        <v>19071096</v>
      </c>
      <c r="D20" t="s">
        <v>846</v>
      </c>
      <c r="E20">
        <v>19071088</v>
      </c>
      <c r="F20" s="2" t="s">
        <v>847</v>
      </c>
      <c r="G20" s="2">
        <v>19071076</v>
      </c>
      <c r="H20" s="3" t="s">
        <v>848</v>
      </c>
      <c r="I20" s="3">
        <v>19071103</v>
      </c>
      <c r="J20" t="s">
        <v>849</v>
      </c>
      <c r="K20">
        <v>19071086</v>
      </c>
      <c r="L20" s="3" t="s">
        <v>850</v>
      </c>
      <c r="M20" s="3">
        <v>19072246</v>
      </c>
      <c r="N20" t="s">
        <v>851</v>
      </c>
      <c r="O20">
        <v>19072276</v>
      </c>
      <c r="P20" s="3" t="s">
        <v>852</v>
      </c>
      <c r="Q20" s="3">
        <v>19072249</v>
      </c>
      <c r="R20" t="s">
        <v>853</v>
      </c>
      <c r="S20">
        <v>19072281</v>
      </c>
      <c r="T20" s="3" t="s">
        <v>854</v>
      </c>
      <c r="U20" s="3">
        <v>19072230</v>
      </c>
      <c r="V20" t="s">
        <v>855</v>
      </c>
      <c r="W20">
        <v>19072267</v>
      </c>
      <c r="X20" s="3" t="s">
        <v>856</v>
      </c>
      <c r="Y20" s="3">
        <v>19072218</v>
      </c>
      <c r="Z20" t="s">
        <v>857</v>
      </c>
      <c r="AA20">
        <v>18061103</v>
      </c>
      <c r="AB20" s="3" t="s">
        <v>858</v>
      </c>
      <c r="AC20" s="3">
        <v>18061060</v>
      </c>
      <c r="AD20" t="s">
        <v>859</v>
      </c>
      <c r="AE20">
        <v>18061087</v>
      </c>
      <c r="AF20" s="3" t="s">
        <v>860</v>
      </c>
      <c r="AG20" s="3">
        <v>18061074</v>
      </c>
      <c r="AH20" t="s">
        <v>861</v>
      </c>
      <c r="AI20">
        <v>18062221</v>
      </c>
      <c r="AJ20" s="3" t="s">
        <v>862</v>
      </c>
      <c r="AK20" s="3">
        <v>18062224</v>
      </c>
      <c r="AL20" t="s">
        <v>863</v>
      </c>
      <c r="AM20">
        <v>18062185</v>
      </c>
      <c r="AN20" s="3" t="s">
        <v>864</v>
      </c>
      <c r="AO20" s="3">
        <v>18062215</v>
      </c>
      <c r="AP20" t="s">
        <v>865</v>
      </c>
      <c r="AQ20">
        <v>18062217</v>
      </c>
      <c r="AR20" s="3" t="s">
        <v>866</v>
      </c>
      <c r="AS20" s="3">
        <v>1705140</v>
      </c>
      <c r="AT20" t="s">
        <v>867</v>
      </c>
      <c r="AU20">
        <v>1705133</v>
      </c>
      <c r="AV20" s="3" t="s">
        <v>868</v>
      </c>
      <c r="AW20" s="3">
        <v>1705124</v>
      </c>
      <c r="AX20" t="s">
        <v>869</v>
      </c>
      <c r="AY20">
        <v>1705120</v>
      </c>
      <c r="AZ20" s="3" t="s">
        <v>870</v>
      </c>
      <c r="BA20" s="3">
        <v>1705116</v>
      </c>
      <c r="BB20" t="s">
        <v>871</v>
      </c>
      <c r="BC20">
        <v>1705166</v>
      </c>
      <c r="BD20" s="3" t="s">
        <v>872</v>
      </c>
      <c r="BE20" s="3">
        <v>1705168</v>
      </c>
    </row>
    <row r="21" spans="1:57">
      <c r="A21">
        <v>19</v>
      </c>
      <c r="B21" s="2" t="s">
        <v>873</v>
      </c>
      <c r="C21" s="2">
        <v>19071105</v>
      </c>
      <c r="D21" t="s">
        <v>874</v>
      </c>
      <c r="E21">
        <v>19071089</v>
      </c>
      <c r="F21" s="2" t="s">
        <v>875</v>
      </c>
      <c r="G21" s="2">
        <v>19071077</v>
      </c>
      <c r="H21" s="3" t="s">
        <v>876</v>
      </c>
      <c r="I21" s="3">
        <v>19071109</v>
      </c>
      <c r="J21" t="s">
        <v>877</v>
      </c>
      <c r="K21">
        <v>19071101</v>
      </c>
      <c r="L21" s="3" t="s">
        <v>878</v>
      </c>
      <c r="M21" s="3">
        <v>19072252</v>
      </c>
      <c r="N21" t="s">
        <v>879</v>
      </c>
      <c r="O21">
        <v>19072287</v>
      </c>
      <c r="P21" s="3" t="s">
        <v>880</v>
      </c>
      <c r="Q21" s="3">
        <v>19072250</v>
      </c>
      <c r="R21" t="s">
        <v>881</v>
      </c>
      <c r="S21">
        <v>19072288</v>
      </c>
      <c r="T21" s="3" t="s">
        <v>882</v>
      </c>
      <c r="U21" s="3">
        <v>19072239</v>
      </c>
      <c r="V21" t="s">
        <v>883</v>
      </c>
      <c r="W21">
        <v>19072275</v>
      </c>
      <c r="X21" s="3" t="s">
        <v>884</v>
      </c>
      <c r="Y21" s="3">
        <v>19072220</v>
      </c>
      <c r="Z21" t="s">
        <v>885</v>
      </c>
      <c r="AA21">
        <v>18061107</v>
      </c>
      <c r="AB21" s="3" t="s">
        <v>886</v>
      </c>
      <c r="AC21" s="3">
        <v>18061072</v>
      </c>
      <c r="AD21" t="s">
        <v>887</v>
      </c>
      <c r="AE21">
        <v>18061090</v>
      </c>
      <c r="AF21" s="3" t="s">
        <v>888</v>
      </c>
      <c r="AG21" s="3">
        <v>18061076</v>
      </c>
      <c r="AH21" t="s">
        <v>889</v>
      </c>
      <c r="AI21">
        <v>18062227</v>
      </c>
      <c r="AJ21" s="3" t="s">
        <v>890</v>
      </c>
      <c r="AK21" s="3">
        <v>18062225</v>
      </c>
      <c r="AL21" t="s">
        <v>891</v>
      </c>
      <c r="AM21">
        <v>18062186</v>
      </c>
      <c r="AN21" s="3" t="s">
        <v>892</v>
      </c>
      <c r="AO21" s="3">
        <v>18062223</v>
      </c>
      <c r="AP21" t="s">
        <v>893</v>
      </c>
      <c r="AQ21">
        <v>18062218</v>
      </c>
      <c r="AR21" s="3" t="s">
        <v>894</v>
      </c>
      <c r="AS21" s="3">
        <v>1705143</v>
      </c>
      <c r="AT21" t="s">
        <v>895</v>
      </c>
      <c r="AU21">
        <v>1705134</v>
      </c>
      <c r="AV21" s="3" t="s">
        <v>896</v>
      </c>
      <c r="AW21" s="3">
        <v>1705146</v>
      </c>
      <c r="AX21" t="s">
        <v>897</v>
      </c>
      <c r="AY21">
        <v>1705157</v>
      </c>
      <c r="AZ21" s="3" t="s">
        <v>898</v>
      </c>
      <c r="BA21" s="3">
        <v>1705117</v>
      </c>
      <c r="BB21" t="s">
        <v>899</v>
      </c>
      <c r="BC21">
        <v>1705176</v>
      </c>
      <c r="BD21" s="3" t="s">
        <v>900</v>
      </c>
      <c r="BE21" s="3">
        <v>1705172</v>
      </c>
    </row>
    <row r="22" spans="1:57">
      <c r="A22">
        <v>20</v>
      </c>
      <c r="B22" s="2" t="s">
        <v>901</v>
      </c>
      <c r="C22" s="2">
        <v>19071108</v>
      </c>
      <c r="D22" t="s">
        <v>902</v>
      </c>
      <c r="E22">
        <v>19071090</v>
      </c>
      <c r="F22" s="2" t="s">
        <v>903</v>
      </c>
      <c r="G22" s="2">
        <v>19071095</v>
      </c>
      <c r="H22" s="3" t="s">
        <v>904</v>
      </c>
      <c r="I22" s="3">
        <v>19071118</v>
      </c>
      <c r="J22" t="s">
        <v>905</v>
      </c>
      <c r="K22">
        <v>19071104</v>
      </c>
      <c r="L22" s="3" t="s">
        <v>906</v>
      </c>
      <c r="M22" s="3">
        <v>19072256</v>
      </c>
      <c r="N22" t="s">
        <v>907</v>
      </c>
      <c r="O22">
        <v>19072291</v>
      </c>
      <c r="P22" s="3" t="s">
        <v>908</v>
      </c>
      <c r="Q22" s="3">
        <v>19072260</v>
      </c>
      <c r="R22" t="s">
        <v>909</v>
      </c>
      <c r="S22">
        <v>19072289</v>
      </c>
      <c r="T22" s="3" t="s">
        <v>910</v>
      </c>
      <c r="U22" s="3">
        <v>19072243</v>
      </c>
      <c r="V22" t="s">
        <v>911</v>
      </c>
      <c r="W22">
        <v>19072277</v>
      </c>
      <c r="X22" s="3" t="s">
        <v>912</v>
      </c>
      <c r="Y22" s="3">
        <v>19072225</v>
      </c>
      <c r="Z22" t="s">
        <v>913</v>
      </c>
      <c r="AA22">
        <v>18061110</v>
      </c>
      <c r="AB22" s="3" t="s">
        <v>914</v>
      </c>
      <c r="AC22" s="3">
        <v>18061075</v>
      </c>
      <c r="AD22" t="s">
        <v>915</v>
      </c>
      <c r="AE22">
        <v>18061092</v>
      </c>
      <c r="AF22" s="3" t="s">
        <v>916</v>
      </c>
      <c r="AG22" s="3">
        <v>18061077</v>
      </c>
      <c r="AH22" t="s">
        <v>917</v>
      </c>
      <c r="AI22">
        <v>18062233</v>
      </c>
      <c r="AJ22" s="3" t="s">
        <v>918</v>
      </c>
      <c r="AK22" s="3">
        <v>18062238</v>
      </c>
      <c r="AL22" t="s">
        <v>919</v>
      </c>
      <c r="AM22">
        <v>18062214</v>
      </c>
      <c r="AN22" s="3" t="s">
        <v>920</v>
      </c>
      <c r="AO22" s="3">
        <v>18062232</v>
      </c>
      <c r="AP22" t="s">
        <v>921</v>
      </c>
      <c r="AQ22">
        <v>18062226</v>
      </c>
      <c r="AR22" s="3" t="s">
        <v>922</v>
      </c>
      <c r="AS22" s="3">
        <v>1705145</v>
      </c>
      <c r="AT22" t="s">
        <v>923</v>
      </c>
      <c r="AU22">
        <v>1705137</v>
      </c>
      <c r="AV22" s="3" t="s">
        <v>924</v>
      </c>
      <c r="AW22" s="3">
        <v>1705126</v>
      </c>
      <c r="AX22" t="s">
        <v>925</v>
      </c>
      <c r="AY22">
        <v>1705163</v>
      </c>
      <c r="AZ22" s="3" t="s">
        <v>926</v>
      </c>
      <c r="BA22" s="3">
        <v>1705125</v>
      </c>
      <c r="BB22" t="s">
        <v>927</v>
      </c>
      <c r="BC22">
        <v>1705184</v>
      </c>
      <c r="BD22" s="3" t="s">
        <v>928</v>
      </c>
      <c r="BE22" s="3">
        <v>1705173</v>
      </c>
    </row>
    <row r="23" spans="1:57">
      <c r="A23">
        <v>21</v>
      </c>
      <c r="B23" s="2" t="s">
        <v>929</v>
      </c>
      <c r="C23" s="2">
        <v>19071113</v>
      </c>
      <c r="D23" t="s">
        <v>930</v>
      </c>
      <c r="E23">
        <v>19071091</v>
      </c>
      <c r="F23" s="2" t="s">
        <v>931</v>
      </c>
      <c r="G23" s="2">
        <v>19071097</v>
      </c>
      <c r="H23" s="3" t="s">
        <v>932</v>
      </c>
      <c r="I23" s="3">
        <v>19071126</v>
      </c>
      <c r="J23" t="s">
        <v>933</v>
      </c>
      <c r="K23">
        <v>19071106</v>
      </c>
      <c r="L23" s="3" t="s">
        <v>934</v>
      </c>
      <c r="M23" s="3">
        <v>19072262</v>
      </c>
      <c r="N23" t="s">
        <v>935</v>
      </c>
      <c r="O23">
        <v>19072292</v>
      </c>
      <c r="P23" s="3" t="s">
        <v>936</v>
      </c>
      <c r="Q23" s="3">
        <v>19072273</v>
      </c>
      <c r="R23" t="s">
        <v>937</v>
      </c>
      <c r="S23">
        <v>19072296</v>
      </c>
      <c r="T23" s="3" t="s">
        <v>938</v>
      </c>
      <c r="U23" s="3">
        <v>19072263</v>
      </c>
      <c r="V23" t="s">
        <v>939</v>
      </c>
      <c r="W23">
        <v>19072278</v>
      </c>
      <c r="X23" s="3" t="s">
        <v>940</v>
      </c>
      <c r="Y23" s="3">
        <v>19072227</v>
      </c>
      <c r="Z23" t="s">
        <v>941</v>
      </c>
      <c r="AA23">
        <v>18061116</v>
      </c>
      <c r="AB23" s="3" t="s">
        <v>942</v>
      </c>
      <c r="AC23" s="3">
        <v>18061085</v>
      </c>
      <c r="AD23" t="s">
        <v>943</v>
      </c>
      <c r="AE23">
        <v>18061099</v>
      </c>
      <c r="AF23" s="3" t="s">
        <v>944</v>
      </c>
      <c r="AG23" s="3">
        <v>18061078</v>
      </c>
      <c r="AH23" t="s">
        <v>945</v>
      </c>
      <c r="AI23">
        <v>18062245</v>
      </c>
      <c r="AJ23" s="3" t="s">
        <v>946</v>
      </c>
      <c r="AK23" s="3">
        <v>18062240</v>
      </c>
      <c r="AL23" t="s">
        <v>947</v>
      </c>
      <c r="AM23">
        <v>18062213</v>
      </c>
      <c r="AN23" s="3" t="s">
        <v>948</v>
      </c>
      <c r="AO23" s="3">
        <v>18062243</v>
      </c>
      <c r="AP23" t="s">
        <v>949</v>
      </c>
      <c r="AQ23">
        <v>18062251</v>
      </c>
      <c r="AR23" s="3" t="s">
        <v>950</v>
      </c>
      <c r="AS23" s="3">
        <v>1705154</v>
      </c>
      <c r="AT23" t="s">
        <v>951</v>
      </c>
      <c r="AU23">
        <v>1705144</v>
      </c>
      <c r="AV23" s="3" t="s">
        <v>952</v>
      </c>
      <c r="AW23" s="3">
        <v>1705136</v>
      </c>
      <c r="AX23" t="s">
        <v>953</v>
      </c>
      <c r="AY23">
        <v>1705171</v>
      </c>
      <c r="AZ23" s="3" t="s">
        <v>954</v>
      </c>
      <c r="BA23" s="3">
        <v>1705156</v>
      </c>
      <c r="BB23" t="s">
        <v>955</v>
      </c>
      <c r="BC23">
        <v>1705185</v>
      </c>
      <c r="BD23" s="3" t="s">
        <v>956</v>
      </c>
      <c r="BE23" s="3">
        <v>1705180</v>
      </c>
    </row>
    <row r="24" spans="1:57">
      <c r="A24">
        <v>22</v>
      </c>
      <c r="B24" s="2" t="s">
        <v>957</v>
      </c>
      <c r="C24" s="2">
        <v>19071127</v>
      </c>
      <c r="D24" t="s">
        <v>958</v>
      </c>
      <c r="E24">
        <v>19071102</v>
      </c>
      <c r="F24" s="2" t="s">
        <v>959</v>
      </c>
      <c r="G24" s="2">
        <v>19071098</v>
      </c>
      <c r="J24" t="s">
        <v>960</v>
      </c>
      <c r="K24">
        <v>19071116</v>
      </c>
      <c r="L24" s="3" t="s">
        <v>961</v>
      </c>
      <c r="M24" s="3">
        <v>19072270</v>
      </c>
      <c r="N24" t="s">
        <v>962</v>
      </c>
      <c r="O24">
        <v>19072294</v>
      </c>
      <c r="P24" s="3" t="s">
        <v>963</v>
      </c>
      <c r="Q24" s="3">
        <v>19072279</v>
      </c>
      <c r="R24" t="s">
        <v>964</v>
      </c>
      <c r="S24">
        <v>19072300</v>
      </c>
      <c r="T24" s="3" t="s">
        <v>965</v>
      </c>
      <c r="U24" s="3">
        <v>19072264</v>
      </c>
      <c r="V24" t="s">
        <v>966</v>
      </c>
      <c r="W24">
        <v>19072301</v>
      </c>
      <c r="X24" s="3" t="s">
        <v>967</v>
      </c>
      <c r="Y24" s="3">
        <v>19072240</v>
      </c>
      <c r="Z24" t="s">
        <v>968</v>
      </c>
      <c r="AA24">
        <v>18061117</v>
      </c>
      <c r="AB24" s="3" t="s">
        <v>969</v>
      </c>
      <c r="AC24" s="3">
        <v>18061086</v>
      </c>
      <c r="AD24" t="s">
        <v>970</v>
      </c>
      <c r="AE24">
        <v>18061100</v>
      </c>
      <c r="AF24" s="3" t="s">
        <v>971</v>
      </c>
      <c r="AG24" s="3">
        <v>18061083</v>
      </c>
      <c r="AH24" t="s">
        <v>972</v>
      </c>
      <c r="AI24">
        <v>18062253</v>
      </c>
      <c r="AJ24" s="3" t="s">
        <v>973</v>
      </c>
      <c r="AK24" s="3">
        <v>18062241</v>
      </c>
      <c r="AL24" t="s">
        <v>974</v>
      </c>
      <c r="AM24">
        <v>18062222</v>
      </c>
      <c r="AN24" s="3" t="s">
        <v>975</v>
      </c>
      <c r="AO24" s="3">
        <v>18062246</v>
      </c>
      <c r="AP24" t="s">
        <v>976</v>
      </c>
      <c r="AQ24">
        <v>18062257</v>
      </c>
      <c r="AR24" s="3" t="s">
        <v>977</v>
      </c>
      <c r="AS24" s="3">
        <v>1705160</v>
      </c>
      <c r="AT24" t="s">
        <v>297</v>
      </c>
      <c r="AU24">
        <v>1705147</v>
      </c>
      <c r="AV24" s="3" t="s">
        <v>978</v>
      </c>
      <c r="AW24" s="3">
        <v>1705141</v>
      </c>
      <c r="AX24" t="s">
        <v>979</v>
      </c>
      <c r="AY24">
        <v>1705182</v>
      </c>
      <c r="AZ24" s="3" t="s">
        <v>980</v>
      </c>
      <c r="BA24" s="3">
        <v>1705186</v>
      </c>
      <c r="BB24" t="s">
        <v>981</v>
      </c>
      <c r="BC24">
        <v>1705188</v>
      </c>
      <c r="BD24" s="3" t="s">
        <v>982</v>
      </c>
      <c r="BE24" s="3">
        <v>1705191</v>
      </c>
    </row>
    <row r="25" spans="1:57">
      <c r="A25">
        <v>23</v>
      </c>
      <c r="B25" s="2" t="s">
        <v>983</v>
      </c>
      <c r="C25" s="2">
        <v>19071129</v>
      </c>
      <c r="D25" t="s">
        <v>984</v>
      </c>
      <c r="E25">
        <v>19071107</v>
      </c>
      <c r="F25" s="2" t="s">
        <v>985</v>
      </c>
      <c r="G25" s="2">
        <v>19071099</v>
      </c>
      <c r="J25" t="s">
        <v>986</v>
      </c>
      <c r="K25">
        <v>19071125</v>
      </c>
      <c r="L25" s="3" t="s">
        <v>987</v>
      </c>
      <c r="M25" s="3">
        <v>19072280</v>
      </c>
      <c r="N25" t="s">
        <v>988</v>
      </c>
      <c r="O25">
        <v>19072298</v>
      </c>
      <c r="P25" s="3" t="s">
        <v>989</v>
      </c>
      <c r="Q25" s="3">
        <v>19072293</v>
      </c>
      <c r="R25" t="s">
        <v>990</v>
      </c>
      <c r="S25">
        <v>19072303</v>
      </c>
      <c r="T25" s="3" t="s">
        <v>991</v>
      </c>
      <c r="U25" s="3">
        <v>19072265</v>
      </c>
      <c r="V25" t="s">
        <v>992</v>
      </c>
      <c r="W25">
        <v>19072304</v>
      </c>
      <c r="X25" s="3" t="s">
        <v>993</v>
      </c>
      <c r="Y25" s="3">
        <v>19072248</v>
      </c>
      <c r="AB25" s="3" t="s">
        <v>994</v>
      </c>
      <c r="AC25" s="3">
        <v>18061088</v>
      </c>
      <c r="AD25" t="s">
        <v>995</v>
      </c>
      <c r="AE25">
        <v>18061101</v>
      </c>
      <c r="AF25" s="3" t="s">
        <v>996</v>
      </c>
      <c r="AG25" s="3">
        <v>18061084</v>
      </c>
      <c r="AH25" t="s">
        <v>997</v>
      </c>
      <c r="AI25">
        <v>18062256</v>
      </c>
      <c r="AJ25" s="3" t="s">
        <v>998</v>
      </c>
      <c r="AK25" s="3">
        <v>18062244</v>
      </c>
      <c r="AL25" t="s">
        <v>999</v>
      </c>
      <c r="AM25">
        <v>18062228</v>
      </c>
      <c r="AN25" s="3" t="s">
        <v>1000</v>
      </c>
      <c r="AO25" s="3">
        <v>18062247</v>
      </c>
      <c r="AP25" t="s">
        <v>1001</v>
      </c>
      <c r="AQ25">
        <v>18062258</v>
      </c>
      <c r="AR25" s="3" t="s">
        <v>1002</v>
      </c>
      <c r="AS25" s="3">
        <v>1705161</v>
      </c>
      <c r="AT25" t="s">
        <v>1003</v>
      </c>
      <c r="AU25">
        <v>1705148</v>
      </c>
      <c r="AV25" s="3" t="s">
        <v>1004</v>
      </c>
      <c r="AW25" s="3">
        <v>1705151</v>
      </c>
      <c r="AX25" t="s">
        <v>1005</v>
      </c>
      <c r="AY25">
        <v>1705183</v>
      </c>
      <c r="AZ25" s="3" t="s">
        <v>1006</v>
      </c>
      <c r="BA25" s="3">
        <v>1705189</v>
      </c>
      <c r="BB25" t="s">
        <v>1007</v>
      </c>
      <c r="BC25">
        <v>1705190</v>
      </c>
      <c r="BD25" s="3" t="s">
        <v>1008</v>
      </c>
      <c r="BE25" s="3">
        <v>1705194</v>
      </c>
    </row>
    <row r="26" spans="1:57">
      <c r="A26">
        <v>24</v>
      </c>
      <c r="D26" t="s">
        <v>1009</v>
      </c>
      <c r="E26">
        <v>19071111</v>
      </c>
      <c r="F26" s="2" t="s">
        <v>1010</v>
      </c>
      <c r="G26" s="2">
        <v>19071110</v>
      </c>
      <c r="L26" s="3" t="s">
        <v>1011</v>
      </c>
      <c r="M26" s="3">
        <v>19072284</v>
      </c>
      <c r="N26" t="s">
        <v>1012</v>
      </c>
      <c r="O26">
        <v>19072310</v>
      </c>
      <c r="P26" s="3" t="s">
        <v>1013</v>
      </c>
      <c r="Q26" s="3">
        <v>19072295</v>
      </c>
      <c r="R26" t="s">
        <v>1014</v>
      </c>
      <c r="S26">
        <v>19072307</v>
      </c>
      <c r="T26" s="3" t="s">
        <v>1015</v>
      </c>
      <c r="U26" s="3">
        <v>19072271</v>
      </c>
      <c r="V26" t="s">
        <v>1016</v>
      </c>
      <c r="W26">
        <v>19072306</v>
      </c>
      <c r="X26" s="3" t="s">
        <v>1017</v>
      </c>
      <c r="Y26" s="3">
        <v>19072258</v>
      </c>
      <c r="AB26" s="3" t="s">
        <v>1018</v>
      </c>
      <c r="AC26" s="3">
        <v>18061097</v>
      </c>
      <c r="AD26" t="s">
        <v>1019</v>
      </c>
      <c r="AE26">
        <v>18061105</v>
      </c>
      <c r="AF26" s="3" t="s">
        <v>1020</v>
      </c>
      <c r="AG26" s="3">
        <v>18061091</v>
      </c>
      <c r="AH26" t="s">
        <v>1021</v>
      </c>
      <c r="AI26">
        <v>18062259</v>
      </c>
      <c r="AJ26" s="3" t="s">
        <v>1022</v>
      </c>
      <c r="AK26" s="3">
        <v>18062252</v>
      </c>
      <c r="AL26" t="s">
        <v>1023</v>
      </c>
      <c r="AM26">
        <v>18062234</v>
      </c>
      <c r="AN26" s="3" t="s">
        <v>1024</v>
      </c>
      <c r="AO26" s="3">
        <v>18062249</v>
      </c>
      <c r="AP26" t="s">
        <v>1025</v>
      </c>
      <c r="AQ26">
        <v>18062262</v>
      </c>
      <c r="AR26" s="3" t="s">
        <v>1026</v>
      </c>
      <c r="AS26" s="3">
        <v>1705162</v>
      </c>
      <c r="AT26" t="s">
        <v>1027</v>
      </c>
      <c r="AU26">
        <v>1705149</v>
      </c>
      <c r="AV26" s="3" t="s">
        <v>1028</v>
      </c>
      <c r="AW26" s="3">
        <v>1705159</v>
      </c>
      <c r="AX26" t="s">
        <v>1029</v>
      </c>
      <c r="AY26">
        <v>1705187</v>
      </c>
      <c r="AZ26" s="3" t="s">
        <v>1030</v>
      </c>
      <c r="BA26" s="3">
        <v>1705192</v>
      </c>
      <c r="BB26" t="s">
        <v>1031</v>
      </c>
      <c r="BC26">
        <v>1705203</v>
      </c>
      <c r="BD26" s="3" t="s">
        <v>1032</v>
      </c>
      <c r="BE26" s="3">
        <v>1705209</v>
      </c>
    </row>
    <row r="27" spans="1:57">
      <c r="A27">
        <v>25</v>
      </c>
      <c r="D27" t="s">
        <v>1033</v>
      </c>
      <c r="E27">
        <v>19071112</v>
      </c>
      <c r="F27" s="2" t="s">
        <v>1034</v>
      </c>
      <c r="G27" s="2">
        <v>19071114</v>
      </c>
      <c r="L27" s="3" t="s">
        <v>1035</v>
      </c>
      <c r="M27" s="3">
        <v>19072286</v>
      </c>
      <c r="N27" t="s">
        <v>1036</v>
      </c>
      <c r="O27">
        <v>19072317</v>
      </c>
      <c r="P27" s="3" t="s">
        <v>1037</v>
      </c>
      <c r="Q27" s="3">
        <v>19072297</v>
      </c>
      <c r="R27" t="s">
        <v>1038</v>
      </c>
      <c r="S27">
        <v>19072312</v>
      </c>
      <c r="T27" s="3" t="s">
        <v>1039</v>
      </c>
      <c r="U27" s="3">
        <v>19072283</v>
      </c>
      <c r="V27" t="s">
        <v>1040</v>
      </c>
      <c r="W27">
        <v>19072309</v>
      </c>
      <c r="X27" s="3" t="s">
        <v>1041</v>
      </c>
      <c r="Y27" s="3">
        <v>19072269</v>
      </c>
      <c r="AB27" s="3" t="s">
        <v>1042</v>
      </c>
      <c r="AC27" s="3">
        <v>18061098</v>
      </c>
      <c r="AD27" t="s">
        <v>1043</v>
      </c>
      <c r="AE27">
        <v>18061108</v>
      </c>
      <c r="AF27" s="3" t="s">
        <v>1044</v>
      </c>
      <c r="AG27" s="3">
        <v>18061095</v>
      </c>
      <c r="AH27" t="s">
        <v>1045</v>
      </c>
      <c r="AI27">
        <v>18062263</v>
      </c>
      <c r="AJ27" s="3" t="s">
        <v>1046</v>
      </c>
      <c r="AK27" s="3">
        <v>18062254</v>
      </c>
      <c r="AL27" t="s">
        <v>1047</v>
      </c>
      <c r="AM27">
        <v>18062239</v>
      </c>
      <c r="AN27" s="3" t="s">
        <v>1048</v>
      </c>
      <c r="AO27" s="3">
        <v>18062250</v>
      </c>
      <c r="AP27" t="s">
        <v>1049</v>
      </c>
      <c r="AQ27">
        <v>18062270</v>
      </c>
      <c r="AR27" s="3" t="s">
        <v>1050</v>
      </c>
      <c r="AS27" s="3">
        <v>1705198</v>
      </c>
      <c r="AT27" t="s">
        <v>1051</v>
      </c>
      <c r="AU27">
        <v>1705150</v>
      </c>
      <c r="AV27" s="3" t="s">
        <v>1052</v>
      </c>
      <c r="AW27" s="3">
        <v>1705175</v>
      </c>
      <c r="AX27" t="s">
        <v>1053</v>
      </c>
      <c r="AY27">
        <v>1705193</v>
      </c>
      <c r="AZ27" s="3" t="s">
        <v>1054</v>
      </c>
      <c r="BA27" s="3">
        <v>1705206</v>
      </c>
      <c r="BB27" t="s">
        <v>1055</v>
      </c>
      <c r="BC27">
        <v>1705204</v>
      </c>
      <c r="BD27" s="3" t="s">
        <v>1056</v>
      </c>
      <c r="BE27" s="3">
        <v>1705205</v>
      </c>
    </row>
    <row r="28" spans="1:57">
      <c r="A28">
        <v>26</v>
      </c>
      <c r="D28" t="s">
        <v>1057</v>
      </c>
      <c r="E28">
        <v>19071117</v>
      </c>
      <c r="F28" s="2" t="s">
        <v>1058</v>
      </c>
      <c r="G28" s="2">
        <v>19071115</v>
      </c>
      <c r="L28" s="3" t="s">
        <v>1059</v>
      </c>
      <c r="M28" s="3">
        <v>19072299</v>
      </c>
      <c r="R28" t="s">
        <v>1060</v>
      </c>
      <c r="S28">
        <v>19072313</v>
      </c>
      <c r="T28" s="3" t="s">
        <v>1061</v>
      </c>
      <c r="U28" s="3">
        <v>19072315</v>
      </c>
      <c r="X28" s="3" t="s">
        <v>1062</v>
      </c>
      <c r="Y28" s="3">
        <v>19072272</v>
      </c>
      <c r="AB28" s="3" t="s">
        <v>1063</v>
      </c>
      <c r="AC28" s="3">
        <v>18061109</v>
      </c>
      <c r="AD28" t="s">
        <v>1064</v>
      </c>
      <c r="AE28">
        <v>18061115</v>
      </c>
      <c r="AF28" s="3" t="s">
        <v>1065</v>
      </c>
      <c r="AG28" s="3">
        <v>18061104</v>
      </c>
      <c r="AH28" t="s">
        <v>1066</v>
      </c>
      <c r="AI28">
        <v>18062273</v>
      </c>
      <c r="AJ28" s="3" t="s">
        <v>1067</v>
      </c>
      <c r="AK28" s="3">
        <v>18062260</v>
      </c>
      <c r="AL28" t="s">
        <v>1068</v>
      </c>
      <c r="AM28">
        <v>18062255</v>
      </c>
      <c r="AN28" s="3" t="s">
        <v>1069</v>
      </c>
      <c r="AO28" s="3">
        <v>18062261</v>
      </c>
      <c r="AP28" t="s">
        <v>1070</v>
      </c>
      <c r="AQ28">
        <v>18062272</v>
      </c>
      <c r="AR28" s="3" t="s">
        <v>1071</v>
      </c>
      <c r="AS28" s="3">
        <v>1705200</v>
      </c>
      <c r="AT28" t="s">
        <v>1072</v>
      </c>
      <c r="AU28">
        <v>1705178</v>
      </c>
      <c r="AV28" s="3" t="s">
        <v>1073</v>
      </c>
      <c r="AW28" s="3">
        <v>1705177</v>
      </c>
      <c r="AX28" t="s">
        <v>1074</v>
      </c>
      <c r="AY28">
        <v>1705202</v>
      </c>
      <c r="AZ28" s="3" t="s">
        <v>1075</v>
      </c>
      <c r="BA28" s="3">
        <v>1705199</v>
      </c>
    </row>
    <row r="29" spans="1:57">
      <c r="A29">
        <v>27</v>
      </c>
      <c r="D29" t="s">
        <v>1076</v>
      </c>
      <c r="E29">
        <v>19071119</v>
      </c>
      <c r="F29" s="2" t="s">
        <v>1077</v>
      </c>
      <c r="G29" s="2">
        <v>19071121</v>
      </c>
      <c r="R29" t="s">
        <v>1078</v>
      </c>
      <c r="S29">
        <v>19072314</v>
      </c>
      <c r="X29" s="3" t="s">
        <v>1079</v>
      </c>
      <c r="Y29" s="3">
        <v>19072274</v>
      </c>
      <c r="AB29" s="3" t="s">
        <v>1080</v>
      </c>
      <c r="AC29" s="3">
        <v>18061113</v>
      </c>
      <c r="AD29" t="s">
        <v>1081</v>
      </c>
      <c r="AE29">
        <v>18061118</v>
      </c>
      <c r="AF29" s="3" t="s">
        <v>1082</v>
      </c>
      <c r="AG29" s="3">
        <v>18061120</v>
      </c>
      <c r="AH29" t="s">
        <v>1083</v>
      </c>
      <c r="AI29">
        <v>18062275</v>
      </c>
      <c r="AJ29" s="3" t="s">
        <v>1084</v>
      </c>
      <c r="AK29" s="3">
        <v>18062265</v>
      </c>
      <c r="AL29" t="s">
        <v>1085</v>
      </c>
      <c r="AM29">
        <v>18062264</v>
      </c>
      <c r="AN29" s="3" t="s">
        <v>1086</v>
      </c>
      <c r="AO29" s="3">
        <v>18062269</v>
      </c>
      <c r="AP29" t="s">
        <v>1087</v>
      </c>
      <c r="AQ29">
        <v>18062280</v>
      </c>
      <c r="AR29" s="3" t="s">
        <v>1088</v>
      </c>
      <c r="AS29" s="3">
        <v>1705201</v>
      </c>
      <c r="AT29" t="s">
        <v>1089</v>
      </c>
      <c r="AU29">
        <v>1705179</v>
      </c>
      <c r="AV29" s="3" t="s">
        <v>1090</v>
      </c>
      <c r="AW29" s="3">
        <v>1705195</v>
      </c>
    </row>
    <row r="30" spans="1:57">
      <c r="A30">
        <v>28</v>
      </c>
      <c r="D30" t="s">
        <v>1091</v>
      </c>
      <c r="E30">
        <v>19071120</v>
      </c>
      <c r="F30" s="2" t="s">
        <v>1092</v>
      </c>
      <c r="G30" s="2">
        <v>19071122</v>
      </c>
      <c r="X30" s="3" t="s">
        <v>1093</v>
      </c>
      <c r="Y30" s="3">
        <v>19072282</v>
      </c>
      <c r="AH30" t="s">
        <v>1094</v>
      </c>
      <c r="AI30">
        <v>18062184</v>
      </c>
      <c r="AJ30" s="3" t="s">
        <v>1095</v>
      </c>
      <c r="AK30" s="3">
        <v>18062268</v>
      </c>
      <c r="AL30" t="s">
        <v>1096</v>
      </c>
      <c r="AM30">
        <v>18062278</v>
      </c>
      <c r="AN30" s="3" t="s">
        <v>1097</v>
      </c>
      <c r="AO30" s="3">
        <v>18062276</v>
      </c>
      <c r="AV30" s="3" t="s">
        <v>1098</v>
      </c>
      <c r="AW30" s="3">
        <v>1705197</v>
      </c>
    </row>
    <row r="31" spans="1:57">
      <c r="A31">
        <v>29</v>
      </c>
      <c r="D31" t="s">
        <v>1099</v>
      </c>
      <c r="E31">
        <v>19071123</v>
      </c>
      <c r="F31" s="2" t="s">
        <v>1100</v>
      </c>
      <c r="G31" s="2">
        <v>19071124</v>
      </c>
      <c r="X31" s="3" t="s">
        <v>1101</v>
      </c>
      <c r="Y31" s="3">
        <v>19072285</v>
      </c>
      <c r="AH31" t="s">
        <v>1102</v>
      </c>
      <c r="AI31">
        <v>18062236</v>
      </c>
      <c r="AN31" s="3" t="s">
        <v>1103</v>
      </c>
      <c r="AO31" s="3">
        <v>18062277</v>
      </c>
    </row>
    <row r="32" spans="1:57">
      <c r="A32">
        <v>30</v>
      </c>
      <c r="D32" t="s">
        <v>1104</v>
      </c>
      <c r="E32">
        <v>19071128</v>
      </c>
      <c r="X32" s="3" t="s">
        <v>1105</v>
      </c>
      <c r="Y32" s="3">
        <v>19072290</v>
      </c>
      <c r="AH32" t="s">
        <v>1106</v>
      </c>
      <c r="AI32">
        <v>18062267</v>
      </c>
    </row>
    <row r="33" spans="1:25">
      <c r="A33">
        <v>31</v>
      </c>
      <c r="X33" s="3" t="s">
        <v>1107</v>
      </c>
      <c r="Y33" s="3">
        <v>19072302</v>
      </c>
    </row>
    <row r="34" spans="1:25">
      <c r="A34">
        <v>32</v>
      </c>
      <c r="X34" s="3" t="s">
        <v>1108</v>
      </c>
      <c r="Y34" s="3">
        <v>19072305</v>
      </c>
    </row>
    <row r="35" spans="1:25">
      <c r="A35">
        <v>33</v>
      </c>
      <c r="X35" s="3" t="s">
        <v>1109</v>
      </c>
      <c r="Y35" s="3">
        <v>19072308</v>
      </c>
    </row>
    <row r="36" spans="1:25">
      <c r="A36">
        <v>34</v>
      </c>
      <c r="X36" s="3" t="s">
        <v>1110</v>
      </c>
      <c r="Y36" s="3">
        <v>19072311</v>
      </c>
    </row>
    <row r="37" spans="1:25">
      <c r="A37">
        <v>35</v>
      </c>
      <c r="X37" s="3" t="s">
        <v>1111</v>
      </c>
      <c r="Y37" s="3">
        <v>19072316</v>
      </c>
    </row>
    <row r="38" spans="1:25">
      <c r="A38">
        <v>36</v>
      </c>
    </row>
    <row r="39" spans="1:25">
      <c r="A39">
        <v>37</v>
      </c>
    </row>
    <row r="40" spans="1:25">
      <c r="A40">
        <v>38</v>
      </c>
    </row>
  </sheetData>
  <mergeCells count="2">
    <mergeCell ref="B1:C1"/>
    <mergeCell ref="F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T47"/>
  <sheetViews>
    <sheetView view="pageBreakPreview" zoomScale="60" zoomScaleNormal="60" workbookViewId="0"/>
  </sheetViews>
  <sheetFormatPr defaultColWidth="9.140625" defaultRowHeight="15"/>
  <cols>
    <col min="1" max="1" width="6.140625" style="14" customWidth="1"/>
    <col min="2" max="2" width="34.5703125" customWidth="1"/>
    <col min="3" max="3" width="13" style="4" customWidth="1"/>
    <col min="4" max="4" width="23.7109375" style="4" customWidth="1"/>
    <col min="5" max="5" width="28.42578125" customWidth="1"/>
    <col min="6" max="22" width="9.7109375" customWidth="1"/>
  </cols>
  <sheetData>
    <row r="1" spans="1:24" ht="13.5" customHeight="1">
      <c r="A1"/>
    </row>
    <row r="2" spans="1:24" ht="26.25">
      <c r="A2"/>
      <c r="C2" s="5" t="str">
        <f>"Legger Dinas "&amp;Setting!E5&amp;" Semester "&amp;Setting!E15&amp;" "&amp;Home!K19&amp;" Kelas "&amp;Setting!E11&amp;""</f>
        <v>Legger Dinas SMA ABBS Surakarta Semester I  Kelas X.MIPA 4</v>
      </c>
    </row>
    <row r="4" spans="1:24" s="13" customFormat="1" ht="33.75" customHeight="1">
      <c r="A4" s="169" t="s">
        <v>0</v>
      </c>
      <c r="B4" s="171" t="s">
        <v>1</v>
      </c>
      <c r="C4" s="168" t="s">
        <v>2</v>
      </c>
      <c r="D4" s="168" t="s">
        <v>3</v>
      </c>
      <c r="E4" s="168" t="s">
        <v>4</v>
      </c>
      <c r="F4" s="168" t="s">
        <v>5</v>
      </c>
      <c r="G4" s="172" t="s">
        <v>6</v>
      </c>
      <c r="H4" s="172"/>
      <c r="I4" s="172"/>
      <c r="J4" s="172"/>
      <c r="K4" s="172"/>
      <c r="L4" s="172"/>
      <c r="M4" s="173" t="s">
        <v>7</v>
      </c>
      <c r="N4" s="173"/>
      <c r="O4" s="173"/>
      <c r="P4" s="173"/>
      <c r="Q4" s="174" t="s">
        <v>8</v>
      </c>
      <c r="R4" s="172"/>
      <c r="S4" s="172"/>
      <c r="T4" s="172"/>
      <c r="U4" s="175" t="s">
        <v>9</v>
      </c>
      <c r="V4" s="175"/>
      <c r="W4" s="168" t="s">
        <v>10</v>
      </c>
      <c r="X4" s="168" t="s">
        <v>11</v>
      </c>
    </row>
    <row r="5" spans="1:24" s="39" customFormat="1" ht="78.75" customHeight="1">
      <c r="A5" s="170"/>
      <c r="B5" s="171"/>
      <c r="C5" s="168"/>
      <c r="D5" s="168"/>
      <c r="E5" s="168"/>
      <c r="F5" s="168"/>
      <c r="G5" s="154" t="s">
        <v>12</v>
      </c>
      <c r="H5" s="155" t="s">
        <v>13</v>
      </c>
      <c r="I5" s="156" t="s">
        <v>14</v>
      </c>
      <c r="J5" s="155" t="s">
        <v>15</v>
      </c>
      <c r="K5" s="155" t="s">
        <v>16</v>
      </c>
      <c r="L5" s="155" t="s">
        <v>17</v>
      </c>
      <c r="M5" s="157" t="s">
        <v>18</v>
      </c>
      <c r="N5" s="158" t="s">
        <v>19</v>
      </c>
      <c r="O5" s="158" t="s">
        <v>20</v>
      </c>
      <c r="P5" s="158" t="s">
        <v>21</v>
      </c>
      <c r="Q5" s="159" t="s">
        <v>15</v>
      </c>
      <c r="R5" s="159" t="s">
        <v>22</v>
      </c>
      <c r="S5" s="159" t="s">
        <v>23</v>
      </c>
      <c r="T5" s="159" t="s">
        <v>24</v>
      </c>
      <c r="U5" s="160" t="s">
        <v>17</v>
      </c>
      <c r="V5" s="160" t="s">
        <v>25</v>
      </c>
      <c r="W5" s="168"/>
      <c r="X5" s="168"/>
    </row>
    <row r="6" spans="1:24" s="40" customFormat="1" ht="24" customHeight="1">
      <c r="A6" s="41">
        <v>1</v>
      </c>
      <c r="B6" s="41">
        <v>2</v>
      </c>
      <c r="C6" s="43">
        <v>3</v>
      </c>
      <c r="D6" s="41">
        <v>4</v>
      </c>
      <c r="E6" s="43">
        <v>5</v>
      </c>
      <c r="F6" s="43">
        <v>6</v>
      </c>
      <c r="G6" s="47">
        <v>7</v>
      </c>
      <c r="H6" s="47">
        <v>8</v>
      </c>
      <c r="I6" s="47">
        <v>9</v>
      </c>
      <c r="J6" s="47">
        <v>10</v>
      </c>
      <c r="K6" s="47">
        <v>11</v>
      </c>
      <c r="L6" s="47">
        <v>12</v>
      </c>
      <c r="M6" s="54">
        <v>13</v>
      </c>
      <c r="N6" s="54">
        <v>14</v>
      </c>
      <c r="O6" s="54">
        <v>15</v>
      </c>
      <c r="P6" s="54">
        <v>16</v>
      </c>
      <c r="Q6" s="47">
        <v>17</v>
      </c>
      <c r="R6" s="47">
        <v>18</v>
      </c>
      <c r="S6" s="47">
        <v>19</v>
      </c>
      <c r="T6" s="47">
        <v>20</v>
      </c>
      <c r="U6" s="55">
        <v>21</v>
      </c>
      <c r="V6" s="55">
        <v>22</v>
      </c>
      <c r="W6" s="43">
        <v>23</v>
      </c>
      <c r="X6" s="43">
        <v>24</v>
      </c>
    </row>
    <row r="7" spans="1:24">
      <c r="A7" s="44">
        <v>1</v>
      </c>
      <c r="B7" s="45" t="str">
        <f>IF(Setting!J6="","",Setting!J6)</f>
        <v>Abdul Fattah Irfan Al Mubaroq</v>
      </c>
      <c r="C7" s="46">
        <v>2008004</v>
      </c>
      <c r="D7" s="164" t="str">
        <f>IF(Setting!J6="","",Setting!L6)</f>
        <v>0047308275</v>
      </c>
      <c r="E7" s="9" t="str">
        <f>IF(Setting!J6="","",Setting!$E$11)</f>
        <v>X.MIPA 4</v>
      </c>
      <c r="F7" s="9" t="str">
        <f>IF(Setting!J6="","",Setting!$E$15)</f>
        <v>I</v>
      </c>
      <c r="G7" s="9">
        <v>86</v>
      </c>
      <c r="H7" s="9">
        <f>IF(Legger!P9="","",Legger!P9)</f>
        <v>83</v>
      </c>
      <c r="I7" s="9">
        <f>IF(Legger!V9="","",Legger!V9)</f>
        <v>87</v>
      </c>
      <c r="J7" s="9">
        <f>IF(Legger!AB9="","",Legger!AB9)</f>
        <v>80</v>
      </c>
      <c r="K7" s="9">
        <f>IF(Legger!AH9="","",Legger!AH9)</f>
        <v>83</v>
      </c>
      <c r="L7" s="9">
        <v>88</v>
      </c>
      <c r="M7" s="9">
        <f>IF(Legger!AT9="","",Legger!AT9)</f>
        <v>89</v>
      </c>
      <c r="N7" s="161">
        <f>IF(Legger!AZ9="","",Legger!AZ9)</f>
        <v>84</v>
      </c>
      <c r="O7" s="9">
        <f>IF(Legger!BF9="","",Legger!BF9)</f>
        <v>87</v>
      </c>
      <c r="P7" s="9">
        <f>IF(Legger!BL9="","",Legger!BL9)</f>
        <v>87</v>
      </c>
      <c r="Q7" s="9">
        <f>IF(Legger!BR9="","",Legger!BR9)</f>
        <v>81</v>
      </c>
      <c r="R7" s="9">
        <f>IF(Legger!BX9="","",Legger!BX9)</f>
        <v>84</v>
      </c>
      <c r="S7" s="9">
        <v>82</v>
      </c>
      <c r="T7" s="9">
        <f>IF(Legger!CJ9="","",Legger!CJ9)</f>
        <v>85</v>
      </c>
      <c r="U7" s="9">
        <f>IF(Legger!CP9="","",Legger!CP9)</f>
        <v>86</v>
      </c>
      <c r="V7" s="9">
        <f>IF(Legger!CV9="","",Legger!CV9)</f>
        <v>91</v>
      </c>
      <c r="W7" s="9">
        <f>IF(Setting!J6="","",SUM(G7:V7))</f>
        <v>1363</v>
      </c>
      <c r="X7" s="9">
        <f>IF(Setting!J6="","",RANK(W7,$W$7:$W$46))</f>
        <v>26</v>
      </c>
    </row>
    <row r="8" spans="1:24">
      <c r="A8" s="44">
        <v>2</v>
      </c>
      <c r="B8" s="45" t="str">
        <f>IF(Setting!J7="","",Setting!J7)</f>
        <v>Adam Zidane Danata Pranugroho</v>
      </c>
      <c r="C8" s="46">
        <v>2008009</v>
      </c>
      <c r="D8" s="164" t="str">
        <f>IF(Setting!J7="","",Setting!L7)</f>
        <v>0051700957</v>
      </c>
      <c r="E8" s="9" t="str">
        <f>IF(Setting!J7="","",Setting!$E$11)</f>
        <v>X.MIPA 4</v>
      </c>
      <c r="F8" s="9" t="str">
        <f>IF(Setting!J7="","",Setting!$E$15)</f>
        <v>I</v>
      </c>
      <c r="G8" s="9">
        <f>IF(Legger!J10="","",Legger!J10)</f>
        <v>90</v>
      </c>
      <c r="H8" s="9">
        <f>IF(Legger!P10="","",Legger!P10)</f>
        <v>86</v>
      </c>
      <c r="I8" s="9">
        <f>IF(Legger!V10="","",Legger!V10)</f>
        <v>90</v>
      </c>
      <c r="J8" s="9">
        <v>88</v>
      </c>
      <c r="K8" s="9">
        <f>IF(Legger!AH10="","",Legger!AH10)</f>
        <v>92</v>
      </c>
      <c r="L8" s="9">
        <f>IF(Legger!AN10="","",Legger!AN10)</f>
        <v>91</v>
      </c>
      <c r="M8" s="9">
        <f>IF(Legger!AT10="","",Legger!AT10)</f>
        <v>90</v>
      </c>
      <c r="N8" s="161">
        <f>IF(Legger!AZ10="","",Legger!AZ10)</f>
        <v>87</v>
      </c>
      <c r="O8" s="9">
        <f>IF(Legger!BF10="","",Legger!BF10)</f>
        <v>88</v>
      </c>
      <c r="P8" s="9">
        <f>IF(Legger!BL10="","",Legger!BL10)</f>
        <v>90</v>
      </c>
      <c r="Q8" s="9">
        <v>87</v>
      </c>
      <c r="R8" s="9">
        <v>90</v>
      </c>
      <c r="S8" s="9">
        <v>89</v>
      </c>
      <c r="T8" s="9">
        <f>IF(Legger!CJ10="","",Legger!CJ10)</f>
        <v>91</v>
      </c>
      <c r="U8" s="9">
        <f>IF(Legger!CP10="","",Legger!CP10)</f>
        <v>88</v>
      </c>
      <c r="V8" s="9">
        <f>IF(Legger!CV10="","",Legger!CV10)</f>
        <v>92</v>
      </c>
      <c r="W8" s="9">
        <f>IF(Setting!J7="","",SUM(G8:V8))</f>
        <v>1429</v>
      </c>
      <c r="X8" s="9">
        <f>IF(Setting!J7="","",RANK(W8,$W$7:$W$46))</f>
        <v>4</v>
      </c>
    </row>
    <row r="9" spans="1:24">
      <c r="A9" s="44">
        <v>3</v>
      </c>
      <c r="B9" s="45" t="str">
        <f>IF(Setting!J8="","",Setting!J8)</f>
        <v>Ahmad Fikry</v>
      </c>
      <c r="C9" s="46">
        <f>IF(Setting!J8="","",Setting!K8)</f>
        <v>2008021</v>
      </c>
      <c r="D9" s="164" t="str">
        <f>IF(Setting!J8="","",Setting!L8)</f>
        <v xml:space="preserve">0050998196 </v>
      </c>
      <c r="E9" s="9" t="str">
        <f>IF(Setting!J8="","",Setting!$E$11)</f>
        <v>X.MIPA 4</v>
      </c>
      <c r="F9" s="9" t="str">
        <f>IF(Setting!J8="","",Setting!$E$15)</f>
        <v>I</v>
      </c>
      <c r="G9" s="9">
        <f>IF(Legger!J11="","",Legger!J11)</f>
        <v>88</v>
      </c>
      <c r="H9" s="9">
        <f>IF(Legger!P11="","",Legger!P11)</f>
        <v>86</v>
      </c>
      <c r="I9" s="9">
        <f>IF(Legger!V11="","",Legger!V11)</f>
        <v>91</v>
      </c>
      <c r="J9" s="9">
        <f>IF(Legger!AB11="","",Legger!AB11)</f>
        <v>83</v>
      </c>
      <c r="K9" s="9">
        <f>IF(Legger!AH11="","",Legger!AH11)</f>
        <v>88</v>
      </c>
      <c r="L9" s="9">
        <v>90</v>
      </c>
      <c r="M9" s="9">
        <f>IF(Legger!AT11="","",Legger!AT11)</f>
        <v>90</v>
      </c>
      <c r="N9" s="161">
        <f>IF(Legger!AZ11="","",Legger!AZ11)</f>
        <v>87</v>
      </c>
      <c r="O9" s="9">
        <f>IF(Legger!BF11="","",Legger!BF11)</f>
        <v>85</v>
      </c>
      <c r="P9" s="9">
        <f>IF(Legger!BL11="","",Legger!BL11)</f>
        <v>91</v>
      </c>
      <c r="Q9" s="9">
        <f>IF(Legger!BR11="","",Legger!BR11)</f>
        <v>91</v>
      </c>
      <c r="R9" s="9">
        <f>IF(Legger!BX11="","",Legger!BX11)</f>
        <v>87</v>
      </c>
      <c r="S9" s="9">
        <f>IF(Legger!CD11="","",Legger!CD11)</f>
        <v>89</v>
      </c>
      <c r="T9" s="9">
        <f>IF(Legger!CJ11="","",Legger!CJ11)</f>
        <v>88</v>
      </c>
      <c r="U9" s="9">
        <f>IF(Legger!CP11="","",Legger!CP11)</f>
        <v>86</v>
      </c>
      <c r="V9" s="9">
        <f>IF(Legger!CV11="","",Legger!CV11)</f>
        <v>90</v>
      </c>
      <c r="W9" s="9">
        <f>IF(Setting!J8="","",SUM(G9:V9))</f>
        <v>1410</v>
      </c>
      <c r="X9" s="9">
        <f>IF(Setting!J8="","",RANK(W9,$W$7:$W$46))</f>
        <v>9</v>
      </c>
    </row>
    <row r="10" spans="1:24">
      <c r="A10" s="44">
        <v>4</v>
      </c>
      <c r="B10" s="45" t="str">
        <f>IF(Setting!J9="","",Setting!J9)</f>
        <v>Akhmad Rifki Assegaf</v>
      </c>
      <c r="C10" s="46">
        <f>IF(Setting!J9="","",Setting!K9)</f>
        <v>2008029</v>
      </c>
      <c r="D10" s="164" t="str">
        <f>IF(Setting!J9="","",Setting!L9)</f>
        <v xml:space="preserve">0058425358 </v>
      </c>
      <c r="E10" s="9" t="str">
        <f>IF(Setting!J9="","",Setting!$E$11)</f>
        <v>X.MIPA 4</v>
      </c>
      <c r="F10" s="9" t="str">
        <f>IF(Setting!J9="","",Setting!$E$15)</f>
        <v>I</v>
      </c>
      <c r="G10" s="9">
        <f>IF(Legger!J12="","",Legger!J12)</f>
        <v>91</v>
      </c>
      <c r="H10" s="9">
        <f>IF(Legger!P12="","",Legger!P12)</f>
        <v>88</v>
      </c>
      <c r="I10" s="9">
        <f>IF(Legger!V12="","",Legger!V12)</f>
        <v>90</v>
      </c>
      <c r="J10" s="9">
        <f>IF(Legger!AB12="","",Legger!AB12)</f>
        <v>90</v>
      </c>
      <c r="K10" s="9">
        <f>IF(Legger!AH12="","",Legger!AH12)</f>
        <v>90</v>
      </c>
      <c r="L10" s="9">
        <f>IF(Legger!AN12="","",Legger!AN12)</f>
        <v>91</v>
      </c>
      <c r="M10" s="9">
        <v>89</v>
      </c>
      <c r="N10" s="161">
        <f>IF(Legger!AZ12="","",Legger!AZ12)</f>
        <v>87</v>
      </c>
      <c r="O10" s="9">
        <f>IF(Legger!BF12="","",Legger!BF12)</f>
        <v>88</v>
      </c>
      <c r="P10" s="9">
        <f>IF(Legger!BL12="","",Legger!BL12)</f>
        <v>90</v>
      </c>
      <c r="Q10" s="9">
        <f>IF(Legger!BR12="","",Legger!BR12)</f>
        <v>91</v>
      </c>
      <c r="R10" s="9">
        <f>IF(Legger!BX12="","",Legger!BX12)</f>
        <v>90</v>
      </c>
      <c r="S10" s="9">
        <f>IF(Legger!CD12="","",Legger!CD12)</f>
        <v>87</v>
      </c>
      <c r="T10" s="9">
        <v>90</v>
      </c>
      <c r="U10" s="9">
        <f>IF(Legger!CP12="","",Legger!CP12)</f>
        <v>90</v>
      </c>
      <c r="V10" s="9">
        <f>IF(Legger!CV12="","",Legger!CV12)</f>
        <v>92</v>
      </c>
      <c r="W10" s="9">
        <f>IF(Setting!J9="","",SUM(G10:V10))</f>
        <v>1434</v>
      </c>
      <c r="X10" s="9">
        <f>IF(Setting!J9="","",RANK(W10,$W$7:$W$46))</f>
        <v>1</v>
      </c>
    </row>
    <row r="11" spans="1:24">
      <c r="A11" s="44">
        <v>5</v>
      </c>
      <c r="B11" s="45" t="str">
        <f>IF(Setting!J10="","",Setting!J10)</f>
        <v>Almas Sabih Wahindra</v>
      </c>
      <c r="C11" s="46">
        <f>IF(Setting!J10="","",Setting!K10)</f>
        <v>2008034</v>
      </c>
      <c r="D11" s="164" t="str">
        <f>IF(Setting!J10="","",Setting!L10)</f>
        <v>0059000208</v>
      </c>
      <c r="E11" s="9" t="str">
        <f>IF(Setting!J10="","",Setting!$E$11)</f>
        <v>X.MIPA 4</v>
      </c>
      <c r="F11" s="9" t="str">
        <f>IF(Setting!J10="","",Setting!$E$15)</f>
        <v>I</v>
      </c>
      <c r="G11" s="9">
        <f>IF(Legger!J13="","",Legger!J13)</f>
        <v>88</v>
      </c>
      <c r="H11" s="9">
        <f>IF(Legger!P13="","",Legger!P13)</f>
        <v>88</v>
      </c>
      <c r="I11" s="9">
        <f>IF(Legger!V13="","",Legger!V13)</f>
        <v>89</v>
      </c>
      <c r="J11" s="9">
        <f>IF(Legger!AB13="","",Legger!AB13)</f>
        <v>82</v>
      </c>
      <c r="K11" s="9">
        <f>IF(Legger!AH13="","",Legger!AH13)</f>
        <v>81</v>
      </c>
      <c r="L11" s="9">
        <f>IF(Legger!AN13="","",Legger!AN13)</f>
        <v>84</v>
      </c>
      <c r="M11" s="9">
        <f>IF(Legger!AT13="","",Legger!AT13)</f>
        <v>89</v>
      </c>
      <c r="N11" s="161">
        <f>IF(Legger!AZ13="","",Legger!AZ13)</f>
        <v>85</v>
      </c>
      <c r="O11" s="9">
        <f>IF(Legger!BF13="","",Legger!BF13)</f>
        <v>84</v>
      </c>
      <c r="P11" s="9">
        <f>IF(Legger!BL13="","",Legger!BL13)</f>
        <v>89</v>
      </c>
      <c r="Q11" s="9">
        <f>IF(Legger!BR13="","",Legger!BR13)</f>
        <v>87</v>
      </c>
      <c r="R11" s="9">
        <f>IF(Legger!BX13="","",Legger!BX13)</f>
        <v>87</v>
      </c>
      <c r="S11" s="9">
        <f>IF(Legger!CD13="","",Legger!CD13)</f>
        <v>86</v>
      </c>
      <c r="T11" s="9">
        <f>IF(Legger!CJ13="","",Legger!CJ13)</f>
        <v>85</v>
      </c>
      <c r="U11" s="9">
        <f>IF(Legger!CP13="","",Legger!CP13)</f>
        <v>83</v>
      </c>
      <c r="V11" s="9">
        <f>IF(Legger!CV13="","",Legger!CV13)</f>
        <v>91</v>
      </c>
      <c r="W11" s="9">
        <f>IF(Setting!J10="","",SUM(G11:V11))</f>
        <v>1378</v>
      </c>
      <c r="X11" s="9">
        <f>IF(Setting!J10="","",RANK(W11,$W$7:$W$46))</f>
        <v>21</v>
      </c>
    </row>
    <row r="12" spans="1:24">
      <c r="A12" s="44">
        <v>6</v>
      </c>
      <c r="B12" s="45" t="str">
        <f>IF(Setting!J11="","",Setting!J11)</f>
        <v>Aria Fenha Apri Bima</v>
      </c>
      <c r="C12" s="46">
        <f>IF(Setting!J11="","",Setting!K11)</f>
        <v>2008054</v>
      </c>
      <c r="D12" s="164" t="str">
        <f>IF(Setting!J11="","",Setting!L11)</f>
        <v>0058068365</v>
      </c>
      <c r="E12" s="9" t="str">
        <f>IF(Setting!J11="","",Setting!$E$11)</f>
        <v>X.MIPA 4</v>
      </c>
      <c r="F12" s="9" t="str">
        <f>IF(Setting!J11="","",Setting!$E$15)</f>
        <v>I</v>
      </c>
      <c r="G12" s="9">
        <f>IF(Legger!J14="","",Legger!J14)</f>
        <v>90</v>
      </c>
      <c r="H12" s="9">
        <f>IF(Legger!P14="","",Legger!P14)</f>
        <v>89</v>
      </c>
      <c r="I12" s="9">
        <f>IF(Legger!V14="","",Legger!V14)</f>
        <v>91</v>
      </c>
      <c r="J12" s="9">
        <f>IF(Legger!AB14="","",Legger!AB14)</f>
        <v>91</v>
      </c>
      <c r="K12" s="9">
        <f>IF(Legger!AH14="","",Legger!AH14)</f>
        <v>90</v>
      </c>
      <c r="L12" s="9">
        <f>IF(Legger!AN14="","",Legger!AN14)</f>
        <v>89</v>
      </c>
      <c r="M12" s="9">
        <f>IF(Legger!AT14="","",Legger!AT14)</f>
        <v>89</v>
      </c>
      <c r="N12" s="161">
        <f>IF(Legger!AZ14="","",Legger!AZ14)</f>
        <v>87</v>
      </c>
      <c r="O12" s="9">
        <f>IF(Legger!BF14="","",Legger!BF14)</f>
        <v>87</v>
      </c>
      <c r="P12" s="9">
        <f>IF(Legger!BL14="","",Legger!BL14)</f>
        <v>91</v>
      </c>
      <c r="Q12" s="9">
        <f>IF(Legger!BR14="","",Legger!BR14)</f>
        <v>91</v>
      </c>
      <c r="R12" s="9">
        <f>IF(Legger!BX14="","",Legger!BX14)</f>
        <v>87</v>
      </c>
      <c r="S12" s="9">
        <f>IF(Legger!CD14="","",Legger!CD14)</f>
        <v>90</v>
      </c>
      <c r="T12" s="9">
        <f>IF(Legger!CJ14="","",Legger!CJ14)</f>
        <v>88</v>
      </c>
      <c r="U12" s="9">
        <f>IF(Legger!CP14="","",Legger!CP14)</f>
        <v>88</v>
      </c>
      <c r="V12" s="9">
        <f>IF(Legger!CV14="","",Legger!CV14)</f>
        <v>92</v>
      </c>
      <c r="W12" s="9">
        <f>IF(Setting!J11="","",SUM(G12:V12))</f>
        <v>1430</v>
      </c>
      <c r="X12" s="9">
        <f>IF(Setting!J11="","",RANK(W12,$W$7:$W$46))</f>
        <v>3</v>
      </c>
    </row>
    <row r="13" spans="1:24">
      <c r="A13" s="44">
        <v>7</v>
      </c>
      <c r="B13" s="45" t="s">
        <v>26</v>
      </c>
      <c r="C13" s="46">
        <f>IF(Setting!J12="","",Setting!K12)</f>
        <v>2008075</v>
      </c>
      <c r="D13" s="164" t="str">
        <f>IF(Setting!J12="","",Setting!L12)</f>
        <v>0024374235</v>
      </c>
      <c r="E13" s="9" t="str">
        <f>IF(Setting!J12="","",Setting!$E$11)</f>
        <v>X.MIPA 4</v>
      </c>
      <c r="F13" s="9" t="str">
        <f>IF(Setting!J12="","",Setting!$E$15)</f>
        <v>I</v>
      </c>
      <c r="G13" s="9">
        <f>IF(Legger!J15="","",Legger!J15)</f>
        <v>85</v>
      </c>
      <c r="H13" s="9">
        <f>IF(Legger!P15="","",Legger!P15)</f>
        <v>83</v>
      </c>
      <c r="I13" s="9">
        <f>IF(Legger!V15="","",Legger!V15)</f>
        <v>82</v>
      </c>
      <c r="J13" s="9">
        <f>IF(Legger!AB15="","",Legger!AB15)</f>
        <v>80</v>
      </c>
      <c r="K13" s="9">
        <f>IF(Legger!AH15="","",Legger!AH15)</f>
        <v>82</v>
      </c>
      <c r="L13" s="9">
        <f>IF(Legger!AN15="","",Legger!AN15)</f>
        <v>84</v>
      </c>
      <c r="M13" s="9">
        <f>IF(Legger!AT15="","",Legger!AT15)</f>
        <v>90</v>
      </c>
      <c r="N13" s="161">
        <f>IF(Legger!AZ15="","",Legger!AZ15)</f>
        <v>82</v>
      </c>
      <c r="O13" s="9">
        <f>IF(Legger!BF15="","",Legger!BF15)</f>
        <v>81</v>
      </c>
      <c r="P13" s="9">
        <f>IF(Legger!BL15="","",Legger!BL15)</f>
        <v>82</v>
      </c>
      <c r="Q13" s="9">
        <f>IF(Legger!BR15="","",Legger!BR15)</f>
        <v>80</v>
      </c>
      <c r="R13" s="9">
        <f>IF(Legger!BX15="","",Legger!BX15)</f>
        <v>83</v>
      </c>
      <c r="S13" s="9">
        <f>IF(Legger!CD15="","",Legger!CD15)</f>
        <v>81</v>
      </c>
      <c r="T13" s="9">
        <f>IF(Legger!CJ15="","",Legger!CJ15)</f>
        <v>83</v>
      </c>
      <c r="U13" s="9">
        <f>IF(Legger!CP15="","",Legger!CP15)</f>
        <v>83</v>
      </c>
      <c r="V13" s="9">
        <f>IF(Legger!CV15="","",Legger!CV15)</f>
        <v>89</v>
      </c>
      <c r="W13" s="9">
        <f>IF(Setting!J12="","",SUM(G13:V13))</f>
        <v>1330</v>
      </c>
      <c r="X13" s="9">
        <f>IF(Setting!J12="","",RANK(W13,$W$7:$W$46))</f>
        <v>32</v>
      </c>
    </row>
    <row r="14" spans="1:24">
      <c r="A14" s="44">
        <v>8</v>
      </c>
      <c r="B14" s="45" t="str">
        <f>IF(Setting!J13="","",Setting!J13)</f>
        <v>Daffa Arya Pudyastungkara</v>
      </c>
      <c r="C14" s="46">
        <f>IF(Setting!J13="","",Setting!K13)</f>
        <v>2008089</v>
      </c>
      <c r="D14" s="164" t="str">
        <f>IF(Setting!J13="","",Setting!L13)</f>
        <v>0043620048</v>
      </c>
      <c r="E14" s="9" t="str">
        <f>IF(Setting!J13="","",Setting!$E$11)</f>
        <v>X.MIPA 4</v>
      </c>
      <c r="F14" s="9" t="str">
        <f>IF(Setting!J13="","",Setting!$E$15)</f>
        <v>I</v>
      </c>
      <c r="G14" s="9">
        <f>IF(Legger!J16="","",Legger!J16)</f>
        <v>90</v>
      </c>
      <c r="H14" s="9">
        <f>IF(Legger!P16="","",Legger!P16)</f>
        <v>89</v>
      </c>
      <c r="I14" s="9">
        <f>IF(Legger!V16="","",Legger!V16)</f>
        <v>91</v>
      </c>
      <c r="J14" s="9">
        <f>IF(Legger!AB16="","",Legger!AB16)</f>
        <v>86</v>
      </c>
      <c r="K14" s="9">
        <v>88</v>
      </c>
      <c r="L14" s="9">
        <f>IF(Legger!AN16="","",Legger!AN16)</f>
        <v>89</v>
      </c>
      <c r="M14" s="9">
        <f>IF(Legger!AT16="","",Legger!AT16)</f>
        <v>89</v>
      </c>
      <c r="N14" s="161">
        <f>IF(Legger!AZ16="","",Legger!AZ16)</f>
        <v>87</v>
      </c>
      <c r="O14" s="9">
        <f>IF(Legger!BF16="","",Legger!BF16)</f>
        <v>87</v>
      </c>
      <c r="P14" s="9">
        <f>IF(Legger!BL16="","",Legger!BL16)</f>
        <v>91</v>
      </c>
      <c r="Q14" s="9">
        <f>IF(Legger!BR16="","",Legger!BR16)</f>
        <v>91</v>
      </c>
      <c r="R14" s="9">
        <f>IF(Legger!BX16="","",Legger!BX16)</f>
        <v>89</v>
      </c>
      <c r="S14" s="9">
        <f>IF(Legger!CD16="","",Legger!CD16)</f>
        <v>88</v>
      </c>
      <c r="T14" s="9">
        <f>IF(Legger!CJ16="","",Legger!CJ16)</f>
        <v>89</v>
      </c>
      <c r="U14" s="9">
        <f>IF(Legger!CP16="","",Legger!CP16)</f>
        <v>86</v>
      </c>
      <c r="V14" s="9">
        <f>IF(Legger!CV16="","",Legger!CV16)</f>
        <v>92</v>
      </c>
      <c r="W14" s="9">
        <f>IF(Setting!J13="","",SUM(G14:V14))</f>
        <v>1422</v>
      </c>
      <c r="X14" s="9">
        <f>IF(Setting!J13="","",RANK(W14,$W$7:$W$46))</f>
        <v>6</v>
      </c>
    </row>
    <row r="15" spans="1:24">
      <c r="A15" s="44">
        <v>9</v>
      </c>
      <c r="B15" s="45" t="str">
        <f>IF(Setting!J14="","",Setting!J14)</f>
        <v>Dody Muhammad Pasha</v>
      </c>
      <c r="C15" s="46">
        <f>IF(Setting!J14="","",Setting!K14)</f>
        <v>2008095</v>
      </c>
      <c r="D15" s="164" t="str">
        <f>IF(Setting!J14="","",Setting!L14)</f>
        <v>0053814584</v>
      </c>
      <c r="E15" s="9" t="str">
        <f>IF(Setting!J14="","",Setting!$E$11)</f>
        <v>X.MIPA 4</v>
      </c>
      <c r="F15" s="9" t="str">
        <f>IF(Setting!J14="","",Setting!$E$15)</f>
        <v>I</v>
      </c>
      <c r="G15" s="9">
        <f>IF(Legger!J17="","",Legger!J17)</f>
        <v>91</v>
      </c>
      <c r="H15" s="9">
        <f>IF(Legger!P17="","",Legger!P17)</f>
        <v>88</v>
      </c>
      <c r="I15" s="9">
        <f>IF(Legger!V17="","",Legger!V17)</f>
        <v>91</v>
      </c>
      <c r="J15" s="9">
        <f>IF(Legger!AB17="","",Legger!AB17)</f>
        <v>87</v>
      </c>
      <c r="K15" s="9">
        <f>IF(Legger!AH17="","",Legger!AH17)</f>
        <v>93</v>
      </c>
      <c r="L15" s="9">
        <f>IF(Legger!AN17="","",Legger!AN17)</f>
        <v>90</v>
      </c>
      <c r="M15" s="9">
        <f>IF(Legger!AT17="","",Legger!AT17)</f>
        <v>90</v>
      </c>
      <c r="N15" s="161">
        <f>IF(Legger!AZ17="","",Legger!AZ17)</f>
        <v>89</v>
      </c>
      <c r="O15" s="9">
        <f>IF(Legger!BF17="","",Legger!BF17)</f>
        <v>89</v>
      </c>
      <c r="P15" s="9">
        <v>90</v>
      </c>
      <c r="Q15" s="9">
        <f>IF(Legger!BR17="","",Legger!BR17)</f>
        <v>89</v>
      </c>
      <c r="R15" s="9">
        <f>IF(Legger!BX17="","",Legger!BX17)</f>
        <v>86</v>
      </c>
      <c r="S15" s="9">
        <f>IF(Legger!CD17="","",Legger!CD17)</f>
        <v>87</v>
      </c>
      <c r="T15" s="9">
        <f>IF(Legger!CJ17="","",Legger!CJ17)</f>
        <v>90</v>
      </c>
      <c r="U15" s="9">
        <f>IF(Legger!CP17="","",Legger!CP17)</f>
        <v>87</v>
      </c>
      <c r="V15" s="9">
        <f>IF(Legger!CV17="","",Legger!CV17)</f>
        <v>92</v>
      </c>
      <c r="W15" s="9">
        <f>IF(Setting!J14="","",SUM(G15:V15))</f>
        <v>1429</v>
      </c>
      <c r="X15" s="9">
        <f>IF(Setting!J14="","",RANK(W15,$W$7:$W$46))</f>
        <v>4</v>
      </c>
    </row>
    <row r="16" spans="1:24">
      <c r="A16" s="44">
        <v>10</v>
      </c>
      <c r="B16" s="45" t="str">
        <f>IF(Setting!J15="","",Setting!J15)</f>
        <v>Elga Perdana</v>
      </c>
      <c r="C16" s="46">
        <v>2008099</v>
      </c>
      <c r="D16" s="164" t="str">
        <f>IF(Setting!J15="","",Setting!L15)</f>
        <v>0054718584</v>
      </c>
      <c r="E16" s="9" t="str">
        <f>IF(Setting!J15="","",Setting!$E$11)</f>
        <v>X.MIPA 4</v>
      </c>
      <c r="F16" s="9" t="str">
        <f>IF(Setting!J15="","",Setting!$E$15)</f>
        <v>I</v>
      </c>
      <c r="G16" s="9">
        <f>IF(Legger!J18="","",Legger!J18)</f>
        <v>81</v>
      </c>
      <c r="H16" s="9">
        <f>IF(Legger!P18="","",Legger!P18)</f>
        <v>83</v>
      </c>
      <c r="I16" s="9">
        <f>IF(Legger!V18="","",Legger!V18)</f>
        <v>90</v>
      </c>
      <c r="J16" s="9">
        <f>IF(Legger!AB18="","",Legger!AB18)</f>
        <v>80</v>
      </c>
      <c r="K16" s="9">
        <f>IF(Legger!AH18="","",Legger!AH18)</f>
        <v>80</v>
      </c>
      <c r="L16" s="9">
        <f>IF(Legger!AN18="","",Legger!AN18)</f>
        <v>86</v>
      </c>
      <c r="M16" s="9">
        <f>IF(Legger!AT18="","",Legger!AT18)</f>
        <v>88</v>
      </c>
      <c r="N16" s="161">
        <f>IF(Legger!AZ18="","",Legger!AZ18)</f>
        <v>85</v>
      </c>
      <c r="O16" s="9">
        <f>IF(Legger!BF18="","",Legger!BF18)</f>
        <v>80</v>
      </c>
      <c r="P16" s="9">
        <f>IF(Legger!BL18="","",Legger!BL18)</f>
        <v>90</v>
      </c>
      <c r="Q16" s="9">
        <f>IF(Legger!BR18="","",Legger!BR18)</f>
        <v>80</v>
      </c>
      <c r="R16" s="9">
        <f>IF(Legger!BX18="","",Legger!BX18)</f>
        <v>87</v>
      </c>
      <c r="S16" s="9">
        <f>IF(Legger!CD18="","",Legger!CD18)</f>
        <v>83</v>
      </c>
      <c r="T16" s="9">
        <f>IF(Legger!CJ18="","",Legger!CJ18)</f>
        <v>81</v>
      </c>
      <c r="U16" s="9">
        <f>IF(Legger!CP18="","",Legger!CP18)</f>
        <v>84</v>
      </c>
      <c r="V16" s="9">
        <f>IF(Legger!CV18="","",Legger!CV18)</f>
        <v>88</v>
      </c>
      <c r="W16" s="9">
        <f>IF(Setting!J15="","",SUM(G16:V16))</f>
        <v>1346</v>
      </c>
      <c r="X16" s="9">
        <f>IF(Setting!J15="","",RANK(W16,$W$7:$W$46))</f>
        <v>29</v>
      </c>
    </row>
    <row r="17" spans="1:24">
      <c r="A17" s="44">
        <v>11</v>
      </c>
      <c r="B17" s="45" t="str">
        <f>IF(Setting!J16="","",Setting!J16)</f>
        <v>Fathoni Daniswara</v>
      </c>
      <c r="C17" s="46">
        <f>IF(Setting!J16="","",Setting!K16)</f>
        <v>2008118</v>
      </c>
      <c r="D17" s="164" t="str">
        <f>IF(Setting!J16="","",Setting!L16)</f>
        <v>0057882873</v>
      </c>
      <c r="E17" s="9" t="str">
        <f>IF(Setting!J16="","",Setting!$E$11)</f>
        <v>X.MIPA 4</v>
      </c>
      <c r="F17" s="9" t="str">
        <f>IF(Setting!J16="","",Setting!$E$15)</f>
        <v>I</v>
      </c>
      <c r="G17" s="9">
        <f>IF(Legger!J19="","",Legger!J19)</f>
        <v>90</v>
      </c>
      <c r="H17" s="9">
        <f>IF(Legger!P19="","",Legger!P19)</f>
        <v>88</v>
      </c>
      <c r="I17" s="9">
        <f>IF(Legger!V19="","",Legger!V19)</f>
        <v>91</v>
      </c>
      <c r="J17" s="9">
        <f>IF(Legger!AB19="","",Legger!AB19)</f>
        <v>88</v>
      </c>
      <c r="K17" s="9">
        <f>IF(Legger!AH19="","",Legger!AH19)</f>
        <v>88</v>
      </c>
      <c r="L17" s="9">
        <f>IF(Legger!AN19="","",Legger!AN19)</f>
        <v>86</v>
      </c>
      <c r="M17" s="9">
        <f>IF(Legger!AT19="","",Legger!AT19)</f>
        <v>89</v>
      </c>
      <c r="N17" s="161">
        <f>IF(Legger!AZ19="","",Legger!AZ19)</f>
        <v>88</v>
      </c>
      <c r="O17" s="9">
        <f>IF(Legger!BF19="","",Legger!BF19)</f>
        <v>87</v>
      </c>
      <c r="P17" s="9">
        <f>IF(Legger!BL19="","",Legger!BL19)</f>
        <v>91</v>
      </c>
      <c r="Q17" s="9">
        <f>IF(Legger!BR19="","",Legger!BR19)</f>
        <v>90</v>
      </c>
      <c r="R17" s="9">
        <f>IF(Legger!BX19="","",Legger!BX19)</f>
        <v>88</v>
      </c>
      <c r="S17" s="9">
        <f>IF(Legger!CD19="","",Legger!CD19)</f>
        <v>87</v>
      </c>
      <c r="T17" s="9">
        <f>IF(Legger!CJ19="","",Legger!CJ19)</f>
        <v>89</v>
      </c>
      <c r="U17" s="9">
        <f>IF(Legger!CP19="","",Legger!CP19)</f>
        <v>85</v>
      </c>
      <c r="V17" s="9">
        <f>IF(Legger!CV19="","",Legger!CV19)</f>
        <v>90</v>
      </c>
      <c r="W17" s="9">
        <f>IF(Setting!J16="","",SUM(G17:V17))</f>
        <v>1415</v>
      </c>
      <c r="X17" s="9">
        <f>IF(Setting!J16="","",RANK(W17,$W$7:$W$46))</f>
        <v>8</v>
      </c>
    </row>
    <row r="18" spans="1:24">
      <c r="A18" s="44">
        <v>12</v>
      </c>
      <c r="B18" s="45" t="str">
        <f>IF(Setting!J17="","",Setting!J17)</f>
        <v>Gading Setyo Manunggal</v>
      </c>
      <c r="C18" s="46">
        <f>IF(Setting!J17="","",Setting!K17)</f>
        <v>2008127</v>
      </c>
      <c r="D18" s="164" t="str">
        <f>IF(Setting!J17="","",Setting!L17)</f>
        <v>0052532940</v>
      </c>
      <c r="E18" s="9" t="str">
        <f>IF(Setting!J17="","",Setting!$E$11)</f>
        <v>X.MIPA 4</v>
      </c>
      <c r="F18" s="9" t="str">
        <f>IF(Setting!J17="","",Setting!$E$15)</f>
        <v>I</v>
      </c>
      <c r="G18" s="9">
        <f>IF(Legger!J20="","",Legger!J20)</f>
        <v>89</v>
      </c>
      <c r="H18" s="9">
        <f>IF(Legger!P20="","",Legger!P20)</f>
        <v>85</v>
      </c>
      <c r="I18" s="9">
        <f>IF(Legger!V20="","",Legger!V20)</f>
        <v>87</v>
      </c>
      <c r="J18" s="9">
        <f>IF(Legger!AB20="","",Legger!AB20)</f>
        <v>80</v>
      </c>
      <c r="K18" s="9">
        <f>IF(Legger!AH20="","",Legger!AH20)</f>
        <v>83</v>
      </c>
      <c r="L18" s="9">
        <f>IF(Legger!AN20="","",Legger!AN20)</f>
        <v>84</v>
      </c>
      <c r="M18" s="9">
        <f>IF(Legger!AT20="","",Legger!AT20)</f>
        <v>88</v>
      </c>
      <c r="N18" s="161">
        <f>IF(Legger!AZ20="","",Legger!AZ20)</f>
        <v>86</v>
      </c>
      <c r="O18" s="9">
        <f>IF(Legger!BF20="","",Legger!BF20)</f>
        <v>83</v>
      </c>
      <c r="P18" s="9">
        <f>IF(Legger!BL20="","",Legger!BL20)</f>
        <v>87</v>
      </c>
      <c r="Q18" s="9">
        <f>IF(Legger!BR20="","",Legger!BR20)</f>
        <v>82</v>
      </c>
      <c r="R18" s="9">
        <f>IF(Legger!BX20="","",Legger!BX20)</f>
        <v>83</v>
      </c>
      <c r="S18" s="9">
        <f>IF(Legger!CD20="","",Legger!CD20)</f>
        <v>84</v>
      </c>
      <c r="T18" s="9">
        <f>IF(Legger!CJ20="","",Legger!CJ20)</f>
        <v>85</v>
      </c>
      <c r="U18" s="9">
        <f>IF(Legger!CP20="","",Legger!CP20)</f>
        <v>83</v>
      </c>
      <c r="V18" s="9">
        <f>IF(Legger!CV20="","",Legger!CV20)</f>
        <v>91</v>
      </c>
      <c r="W18" s="9">
        <f>IF(Setting!J17="","",SUM(G18:V18))</f>
        <v>1360</v>
      </c>
      <c r="X18" s="9">
        <f>IF(Setting!J17="","",RANK(W18,$W$7:$W$46))</f>
        <v>27</v>
      </c>
    </row>
    <row r="19" spans="1:24">
      <c r="A19" s="44">
        <v>13</v>
      </c>
      <c r="B19" s="45" t="str">
        <f>IF(Setting!J18="","",Setting!J18)</f>
        <v>Ghifari Mabrur Al Burhani</v>
      </c>
      <c r="C19" s="46">
        <v>1705134</v>
      </c>
      <c r="D19" s="164" t="str">
        <f>IF(Setting!J18="","",Setting!L18)</f>
        <v>0068080234</v>
      </c>
      <c r="E19" s="9" t="str">
        <f>IF(Setting!J18="","",Setting!$E$11)</f>
        <v>X.MIPA 4</v>
      </c>
      <c r="F19" s="9" t="str">
        <f>IF(Setting!J18="","",Setting!$E$15)</f>
        <v>I</v>
      </c>
      <c r="G19" s="9">
        <f>IF(Legger!J21="","",Legger!J21)</f>
        <v>83</v>
      </c>
      <c r="H19" s="9">
        <f>IF(Legger!P21="","",Legger!P21)</f>
        <v>86</v>
      </c>
      <c r="I19" s="9">
        <f>IF(Legger!V21="","",Legger!V21)</f>
        <v>86</v>
      </c>
      <c r="J19" s="9">
        <f>IF(Legger!AB21="","",Legger!AB21)</f>
        <v>80</v>
      </c>
      <c r="K19" s="9">
        <f>IF(Legger!AH21="","",Legger!AH21)</f>
        <v>86</v>
      </c>
      <c r="L19" s="9">
        <f>IF(Legger!AN21="","",Legger!AN21)</f>
        <v>90</v>
      </c>
      <c r="M19" s="9">
        <f>IF(Legger!AT21="","",Legger!AT21)</f>
        <v>89</v>
      </c>
      <c r="N19" s="161">
        <v>87</v>
      </c>
      <c r="O19" s="9">
        <f>IF(Legger!BF21="","",Legger!BF21)</f>
        <v>84</v>
      </c>
      <c r="P19" s="9">
        <f>IF(Legger!BL21="","",Legger!BL21)</f>
        <v>86</v>
      </c>
      <c r="Q19" s="9">
        <f>IF(Legger!BR21="","",Legger!BR21)</f>
        <v>82</v>
      </c>
      <c r="R19" s="9">
        <f>IF(Legger!BX21="","",Legger!BX21)</f>
        <v>83</v>
      </c>
      <c r="S19" s="9">
        <f>IF(Legger!CD21="","",Legger!CD21)</f>
        <v>82</v>
      </c>
      <c r="T19" s="9">
        <f>IF(Legger!CJ21="","",Legger!CJ21)</f>
        <v>86</v>
      </c>
      <c r="U19" s="9">
        <f>IF(Legger!CP21="","",Legger!CP21)</f>
        <v>86</v>
      </c>
      <c r="V19" s="9">
        <f>IF(Legger!CV21="","",Legger!CV21)</f>
        <v>88</v>
      </c>
      <c r="W19" s="9">
        <f>IF(Setting!J18="","",SUM(G19:V19))</f>
        <v>1364</v>
      </c>
      <c r="X19" s="9">
        <f>IF(Setting!J18="","",RANK(W19,$W$7:$W$46))</f>
        <v>24</v>
      </c>
    </row>
    <row r="20" spans="1:24">
      <c r="A20" s="44">
        <v>14</v>
      </c>
      <c r="B20" s="45" t="str">
        <f>IF(Setting!J19="","",Setting!J19)</f>
        <v>Hafid Mahreza Ilham</v>
      </c>
      <c r="C20" s="46">
        <f>IF(Setting!J19="","",Setting!K19)</f>
        <v>2008131</v>
      </c>
      <c r="D20" s="164" t="str">
        <f>IF(Setting!J19="","",Setting!L19)</f>
        <v xml:space="preserve"> 0058288476</v>
      </c>
      <c r="E20" s="9" t="str">
        <f>IF(Setting!J19="","",Setting!$E$11)</f>
        <v>X.MIPA 4</v>
      </c>
      <c r="F20" s="9" t="str">
        <f>IF(Setting!J19="","",Setting!$E$15)</f>
        <v>I</v>
      </c>
      <c r="G20" s="9">
        <f>IF(Legger!J22="","",Legger!J22)</f>
        <v>82</v>
      </c>
      <c r="H20" s="9">
        <f>IF(Legger!P22="","",Legger!P22)</f>
        <v>83</v>
      </c>
      <c r="I20" s="9">
        <f>IF(Legger!V22="","",Legger!V22)</f>
        <v>85</v>
      </c>
      <c r="J20" s="9">
        <f>IF(Legger!AB22="","",Legger!AB22)</f>
        <v>80</v>
      </c>
      <c r="K20" s="9">
        <f>IF(Legger!AH22="","",Legger!AH22)</f>
        <v>81</v>
      </c>
      <c r="L20" s="9">
        <f>IF(Legger!AN22="","",Legger!AN22)</f>
        <v>82</v>
      </c>
      <c r="M20" s="9">
        <f>IF(Legger!AT22="","",Legger!AT22)</f>
        <v>88</v>
      </c>
      <c r="N20" s="161">
        <f>IF(Legger!AZ22="","",Legger!AZ22)</f>
        <v>84</v>
      </c>
      <c r="O20" s="9">
        <f>IF(Legger!BF22="","",Legger!BF22)</f>
        <v>80</v>
      </c>
      <c r="P20" s="9">
        <f>IF(Legger!BL22="","",Legger!BL22)</f>
        <v>85</v>
      </c>
      <c r="Q20" s="9">
        <f>IF(Legger!BR22="","",Legger!BR22)</f>
        <v>80</v>
      </c>
      <c r="R20" s="9">
        <f>IF(Legger!BX22="","",Legger!BX22)</f>
        <v>82</v>
      </c>
      <c r="S20" s="9">
        <f>IF(Legger!CD22="","",Legger!CD22)</f>
        <v>83</v>
      </c>
      <c r="T20" s="9">
        <f>IF(Legger!CJ22="","",Legger!CJ22)</f>
        <v>82</v>
      </c>
      <c r="U20" s="9">
        <f>IF(Legger!CP22="","",Legger!CP22)</f>
        <v>75</v>
      </c>
      <c r="V20" s="9">
        <f>IF(Legger!CV22="","",Legger!CV22)</f>
        <v>82</v>
      </c>
      <c r="W20" s="9">
        <v>1382</v>
      </c>
      <c r="X20" s="9">
        <f>IF(Setting!J19="","",RANK(W20,$W$7:$W$46))</f>
        <v>19</v>
      </c>
    </row>
    <row r="21" spans="1:24">
      <c r="A21" s="44">
        <v>15</v>
      </c>
      <c r="B21" s="45" t="str">
        <f>IF(Setting!J20="","",Setting!J20)</f>
        <v>Haidar Rafif Hibatulloh</v>
      </c>
      <c r="C21" s="46">
        <f>IF(Setting!J20="","",Setting!K20)</f>
        <v>2008132</v>
      </c>
      <c r="D21" s="164" t="str">
        <f>IF(Setting!J20="","",Setting!L20)</f>
        <v>0054005743</v>
      </c>
      <c r="E21" s="9" t="str">
        <f>IF(Setting!J20="","",Setting!$E$11)</f>
        <v>X.MIPA 4</v>
      </c>
      <c r="F21" s="9" t="str">
        <f>IF(Setting!J20="","",Setting!$E$15)</f>
        <v>I</v>
      </c>
      <c r="G21" s="9">
        <f>IF(Legger!J23="","",Legger!J23)</f>
        <v>88</v>
      </c>
      <c r="H21" s="9">
        <f>IF(Legger!P23="","",Legger!P23)</f>
        <v>86</v>
      </c>
      <c r="I21" s="9">
        <f>IF(Legger!V23="","",Legger!V23)</f>
        <v>91</v>
      </c>
      <c r="J21" s="9">
        <f>IF(Legger!AB23="","",Legger!AB23)</f>
        <v>80</v>
      </c>
      <c r="K21" s="9">
        <f>IF(Legger!AH23="","",Legger!AH23)</f>
        <v>84</v>
      </c>
      <c r="L21" s="9">
        <f>IF(Legger!AN23="","",Legger!AN23)</f>
        <v>88</v>
      </c>
      <c r="M21" s="9">
        <f>IF(Legger!AT23="","",Legger!AT23)</f>
        <v>89</v>
      </c>
      <c r="N21" s="161">
        <f>IF(Legger!AZ23="","",Legger!AZ23)</f>
        <v>88</v>
      </c>
      <c r="O21" s="9">
        <f>IF(Legger!BF23="","",Legger!BF23)</f>
        <v>84</v>
      </c>
      <c r="P21" s="9">
        <f>IF(Legger!BL23="","",Legger!BL23)</f>
        <v>91</v>
      </c>
      <c r="Q21" s="9">
        <f>IF(Legger!BR23="","",Legger!BR23)</f>
        <v>89</v>
      </c>
      <c r="R21" s="9">
        <f>IF(Legger!BX23="","",Legger!BX23)</f>
        <v>87</v>
      </c>
      <c r="S21" s="9">
        <f>IF(Legger!CD23="","",Legger!CD23)</f>
        <v>88</v>
      </c>
      <c r="T21" s="9">
        <f>IF(Legger!CJ23="","",Legger!CJ23)</f>
        <v>87</v>
      </c>
      <c r="U21" s="9">
        <f>IF(Legger!CP23="","",Legger!CP23)</f>
        <v>86</v>
      </c>
      <c r="V21" s="9">
        <f>IF(Legger!CV23="","",Legger!CV23)</f>
        <v>91</v>
      </c>
      <c r="W21" s="9">
        <f>IF(Setting!J20="","",SUM(G21:V21))</f>
        <v>1397</v>
      </c>
      <c r="X21" s="9">
        <f>IF(Setting!J20="","",RANK(W21,$W$7:$W$46))</f>
        <v>13</v>
      </c>
    </row>
    <row r="22" spans="1:24">
      <c r="A22" s="44">
        <v>16</v>
      </c>
      <c r="B22" s="45" t="str">
        <f>IF(Setting!J21="","",Setting!J21)</f>
        <v>Kelvin Oktabrian Ramadhan</v>
      </c>
      <c r="C22" s="46">
        <f>IF(Setting!J21="","",Setting!K21)</f>
        <v>2008169</v>
      </c>
      <c r="D22" s="164" t="str">
        <f>IF(Setting!J21="","",Setting!L21)</f>
        <v>0045893001</v>
      </c>
      <c r="E22" s="9" t="str">
        <f>IF(Setting!J21="","",Setting!$E$11)</f>
        <v>X.MIPA 4</v>
      </c>
      <c r="F22" s="9" t="str">
        <f>IF(Setting!J21="","",Setting!$E$15)</f>
        <v>I</v>
      </c>
      <c r="G22" s="9">
        <f>IF(Legger!J24="","",Legger!J24)</f>
        <v>90</v>
      </c>
      <c r="H22" s="9">
        <f>IF(Legger!P24="","",Legger!P24)</f>
        <v>86</v>
      </c>
      <c r="I22" s="9">
        <f>IF(Legger!V24="","",Legger!V24)</f>
        <v>87</v>
      </c>
      <c r="J22" s="9">
        <f>IF(Legger!AB24="","",Legger!AB24)</f>
        <v>86</v>
      </c>
      <c r="K22" s="9">
        <f>IF(Legger!AH24="","",Legger!AH24)</f>
        <v>88</v>
      </c>
      <c r="L22" s="9">
        <f>IF(Legger!AN24="","",Legger!AN24)</f>
        <v>88</v>
      </c>
      <c r="M22" s="9">
        <f>IF(Legger!AT24="","",Legger!AT24)</f>
        <v>89</v>
      </c>
      <c r="N22" s="161">
        <v>89</v>
      </c>
      <c r="O22" s="9">
        <f>IF(Legger!BF24="","",Legger!BF24)</f>
        <v>89</v>
      </c>
      <c r="P22" s="9">
        <f>IF(Legger!BL24="","",Legger!BL24)</f>
        <v>87</v>
      </c>
      <c r="Q22" s="9">
        <f>IF(Legger!BR24="","",Legger!BR24)</f>
        <v>88</v>
      </c>
      <c r="R22" s="9">
        <f>IF(Legger!BX24="","",Legger!BX24)</f>
        <v>86</v>
      </c>
      <c r="S22" s="9">
        <f>IF(Legger!CD24="","",Legger!CD24)</f>
        <v>88</v>
      </c>
      <c r="T22" s="9">
        <f>IF(Legger!CJ24="","",Legger!CJ24)</f>
        <v>90</v>
      </c>
      <c r="U22" s="9">
        <f>IF(Legger!CP24="","",Legger!CP24)</f>
        <v>86</v>
      </c>
      <c r="V22" s="9">
        <f>IF(Legger!CV24="","",Legger!CV24)</f>
        <v>92</v>
      </c>
      <c r="W22" s="9">
        <f>IF(Setting!J21="","",SUM(G22:V22))</f>
        <v>1409</v>
      </c>
      <c r="X22" s="9">
        <f>IF(Setting!J21="","",RANK(W22,$W$7:$W$46))</f>
        <v>10</v>
      </c>
    </row>
    <row r="23" spans="1:24">
      <c r="A23" s="44">
        <v>17</v>
      </c>
      <c r="B23" s="45" t="str">
        <f>IF(Setting!J22="","",Setting!J22)</f>
        <v>Mohamad Khoiril Afwa</v>
      </c>
      <c r="C23" s="46">
        <f>IF(Setting!J22="","",Setting!K22)</f>
        <v>2008197</v>
      </c>
      <c r="D23" s="164" t="str">
        <f>IF(Setting!J22="","",Setting!L22)</f>
        <v>0044910894</v>
      </c>
      <c r="E23" s="9" t="str">
        <f>IF(Setting!J22="","",Setting!$E$11)</f>
        <v>X.MIPA 4</v>
      </c>
      <c r="F23" s="9" t="str">
        <f>IF(Setting!J22="","",Setting!$E$15)</f>
        <v>I</v>
      </c>
      <c r="G23" s="9">
        <f>IF(Legger!J25="","",Legger!J25)</f>
        <v>80</v>
      </c>
      <c r="H23" s="9">
        <f>IF(Legger!P25="","",Legger!P25)</f>
        <v>85</v>
      </c>
      <c r="I23" s="9">
        <f>IF(Legger!V25="","",Legger!V25)</f>
        <v>91</v>
      </c>
      <c r="J23" s="9">
        <f>IF(Legger!AB25="","",Legger!AB25)</f>
        <v>80</v>
      </c>
      <c r="K23" s="9">
        <f>IF(Legger!AH25="","",Legger!AH25)</f>
        <v>85</v>
      </c>
      <c r="L23" s="9">
        <f>IF(Legger!AN25="","",Legger!AN25)</f>
        <v>86</v>
      </c>
      <c r="M23" s="9">
        <f>IF(Legger!AT25="","",Legger!AT25)</f>
        <v>89</v>
      </c>
      <c r="N23" s="161">
        <f>IF(Legger!AZ25="","",Legger!AZ25)</f>
        <v>85</v>
      </c>
      <c r="O23" s="9">
        <f>IF(Legger!BF25="","",Legger!BF25)</f>
        <v>84</v>
      </c>
      <c r="P23" s="9">
        <f>IF(Legger!BL25="","",Legger!BL25)</f>
        <v>91</v>
      </c>
      <c r="Q23" s="9">
        <f>IF(Legger!BR25="","",Legger!BR25)</f>
        <v>81</v>
      </c>
      <c r="R23" s="9">
        <f>IF(Legger!BX25="","",Legger!BX25)</f>
        <v>83</v>
      </c>
      <c r="S23" s="9">
        <f>IF(Legger!CD25="","",Legger!CD25)</f>
        <v>84</v>
      </c>
      <c r="T23" s="9">
        <f>IF(Legger!CJ25="","",Legger!CJ25)</f>
        <v>84</v>
      </c>
      <c r="U23" s="9">
        <f>IF(Legger!CP25="","",Legger!CP25)</f>
        <v>85</v>
      </c>
      <c r="V23" s="9">
        <f>IF(Legger!CV25="","",Legger!CV25)</f>
        <v>91</v>
      </c>
      <c r="W23" s="9">
        <f>IF(Setting!J22="","",SUM(G23:V23))</f>
        <v>1364</v>
      </c>
      <c r="X23" s="9">
        <f>IF(Setting!J22="","",RANK(W23,$W$7:$W$46))</f>
        <v>24</v>
      </c>
    </row>
    <row r="24" spans="1:24">
      <c r="A24" s="44">
        <v>18</v>
      </c>
      <c r="B24" s="45" t="str">
        <f>IF(Setting!J23="","",Setting!J23)</f>
        <v>Muhammad Hanif Pearlyaradja</v>
      </c>
      <c r="C24" s="46">
        <f>IF(Setting!J23="","",Setting!K23)</f>
        <v>2008214</v>
      </c>
      <c r="D24" s="164" t="str">
        <f>IF(Setting!J23="","",Setting!L23)</f>
        <v>0052096412</v>
      </c>
      <c r="E24" s="9" t="str">
        <f>IF(Setting!J23="","",Setting!$E$11)</f>
        <v>X.MIPA 4</v>
      </c>
      <c r="F24" s="9" t="str">
        <f>IF(Setting!J23="","",Setting!$E$15)</f>
        <v>I</v>
      </c>
      <c r="G24" s="9">
        <f>IF(Legger!J26="","",Legger!J26)</f>
        <v>90</v>
      </c>
      <c r="H24" s="9">
        <f>IF(Legger!P26="","",Legger!P26)</f>
        <v>86</v>
      </c>
      <c r="I24" s="9">
        <f>IF(Legger!V26="","",Legger!V26)</f>
        <v>91</v>
      </c>
      <c r="J24" s="9">
        <f>IF(Legger!AB26="","",Legger!AB26)</f>
        <v>80</v>
      </c>
      <c r="K24" s="9">
        <f>IF(Legger!AH26="","",Legger!AH26)</f>
        <v>88</v>
      </c>
      <c r="L24" s="9">
        <f>IF(Legger!AN26="","",Legger!AN26)</f>
        <v>88</v>
      </c>
      <c r="M24" s="9">
        <f>IF(Legger!AT26="","",Legger!AT26)</f>
        <v>89</v>
      </c>
      <c r="N24" s="161">
        <f>IF(Legger!AZ26="","",Legger!AZ26)</f>
        <v>84</v>
      </c>
      <c r="O24" s="9">
        <f>IF(Legger!BF26="","",Legger!BF26)</f>
        <v>87</v>
      </c>
      <c r="P24" s="9">
        <f>IF(Legger!BL26="","",Legger!BL26)</f>
        <v>91</v>
      </c>
      <c r="Q24" s="9">
        <f>IF(Legger!BR26="","",Legger!BR26)</f>
        <v>88</v>
      </c>
      <c r="R24" s="9">
        <f>IF(Legger!BX26="","",Legger!BX26)</f>
        <v>87</v>
      </c>
      <c r="S24" s="9">
        <f>IF(Legger!CD26="","",Legger!CD26)</f>
        <v>87</v>
      </c>
      <c r="T24" s="9">
        <f>IF(Legger!CJ26="","",Legger!CJ26)</f>
        <v>88</v>
      </c>
      <c r="U24" s="9">
        <f>IF(Legger!CP26="","",Legger!CP26)</f>
        <v>87</v>
      </c>
      <c r="V24" s="9">
        <f>IF(Legger!CV26="","",Legger!CV26)</f>
        <v>85</v>
      </c>
      <c r="W24" s="9">
        <f>IF(Setting!J23="","",SUM(G24:V24))</f>
        <v>1396</v>
      </c>
      <c r="X24" s="9">
        <f>IF(Setting!J23="","",RANK(W24,$W$7:$W$46))</f>
        <v>14</v>
      </c>
    </row>
    <row r="25" spans="1:24">
      <c r="A25" s="44">
        <v>19</v>
      </c>
      <c r="B25" s="45" t="str">
        <f>IF(Setting!J24="","",Setting!J24)</f>
        <v>Muhammad Maurel Han</v>
      </c>
      <c r="C25" s="46">
        <f>IF(Setting!J24="","",Setting!K24)</f>
        <v>2008218</v>
      </c>
      <c r="D25" s="164" t="str">
        <f>IF(Setting!J24="","",Setting!L24)</f>
        <v>9015578324</v>
      </c>
      <c r="E25" s="9" t="str">
        <f>IF(Setting!J24="","",Setting!$E$11)</f>
        <v>X.MIPA 4</v>
      </c>
      <c r="F25" s="9" t="str">
        <f>IF(Setting!J24="","",Setting!$E$15)</f>
        <v>I</v>
      </c>
      <c r="G25" s="9">
        <f>IF(Legger!J27="","",Legger!J27)</f>
        <v>81</v>
      </c>
      <c r="H25" s="9">
        <f>IF(Legger!P27="","",Legger!P27)</f>
        <v>83</v>
      </c>
      <c r="I25" s="9">
        <f>IF(Legger!V27="","",Legger!V27)</f>
        <v>87</v>
      </c>
      <c r="J25" s="9">
        <f>IF(Legger!AB27="","",Legger!AB27)</f>
        <v>80</v>
      </c>
      <c r="K25" s="9">
        <f>IF(Legger!AH27="","",Legger!AH27)</f>
        <v>81</v>
      </c>
      <c r="L25" s="9">
        <f>IF(Legger!AN27="","",Legger!AN27)</f>
        <v>84</v>
      </c>
      <c r="M25" s="9">
        <f>IF(Legger!AT27="","",Legger!AT27)</f>
        <v>89</v>
      </c>
      <c r="N25" s="161">
        <f>IF(Legger!AZ27="","",Legger!AZ27)</f>
        <v>86</v>
      </c>
      <c r="O25" s="9">
        <f>IF(Legger!BF27="","",Legger!BF27)</f>
        <v>86</v>
      </c>
      <c r="P25" s="9">
        <f>IF(Legger!BL27="","",Legger!BL27)</f>
        <v>87</v>
      </c>
      <c r="Q25" s="9">
        <f>IF(Legger!BR27="","",Legger!BR27)</f>
        <v>80</v>
      </c>
      <c r="R25" s="9">
        <f>IF(Legger!BX27="","",Legger!BX27)</f>
        <v>82</v>
      </c>
      <c r="S25" s="9">
        <f>IF(Legger!CD27="","",Legger!CD27)</f>
        <v>82</v>
      </c>
      <c r="T25" s="9">
        <f>IF(Legger!CJ27="","",Legger!CJ27)</f>
        <v>84</v>
      </c>
      <c r="U25" s="9">
        <f>IF(Legger!CP27="","",Legger!CP27)</f>
        <v>83</v>
      </c>
      <c r="V25" s="9">
        <f>IF(Legger!CV27="","",Legger!CV27)</f>
        <v>86</v>
      </c>
      <c r="W25" s="9">
        <f>IF(Setting!J24="","",SUM(G25:V25))</f>
        <v>1341</v>
      </c>
      <c r="X25" s="9">
        <f>IF(Setting!J24="","",RANK(W25,$W$7:$W$46))</f>
        <v>31</v>
      </c>
    </row>
    <row r="26" spans="1:24">
      <c r="A26" s="44">
        <v>20</v>
      </c>
      <c r="B26" s="45" t="str">
        <f>IF(Setting!J25="","",Setting!J25)</f>
        <v>Muhammad Niam Masykuri</v>
      </c>
      <c r="C26" s="46">
        <f>IF(Setting!J25="","",Setting!K25)</f>
        <v>2008220</v>
      </c>
      <c r="D26" s="164" t="str">
        <f>IF(Setting!J25="","",Setting!L25)</f>
        <v xml:space="preserve"> 0044193368</v>
      </c>
      <c r="E26" s="9" t="str">
        <f>IF(Setting!J25="","",Setting!$E$11)</f>
        <v>X.MIPA 4</v>
      </c>
      <c r="F26" s="9" t="str">
        <f>IF(Setting!J25="","",Setting!$E$15)</f>
        <v>I</v>
      </c>
      <c r="G26" s="9">
        <f>IF(Legger!J28="","",Legger!J28)</f>
        <v>89</v>
      </c>
      <c r="H26" s="9">
        <f>IF(Legger!P28="","",Legger!P28)</f>
        <v>88</v>
      </c>
      <c r="I26" s="9">
        <f>IF(Legger!V28="","",Legger!V28)</f>
        <v>88</v>
      </c>
      <c r="J26" s="9">
        <f>IF(Legger!AB28="","",Legger!AB28)</f>
        <v>84</v>
      </c>
      <c r="K26" s="9">
        <f>IF(Legger!AH28="","",Legger!AH28)</f>
        <v>87</v>
      </c>
      <c r="L26" s="9">
        <f>IF(Legger!AN28="","",Legger!AN28)</f>
        <v>88</v>
      </c>
      <c r="M26" s="9">
        <f>IF(Legger!AT28="","",Legger!AT28)</f>
        <v>89</v>
      </c>
      <c r="N26" s="161">
        <f>IF(Legger!AZ28="","",Legger!AZ28)</f>
        <v>85</v>
      </c>
      <c r="O26" s="9">
        <f>IF(Legger!BF28="","",Legger!BF28)</f>
        <v>84</v>
      </c>
      <c r="P26" s="9">
        <f>IF(Legger!BL28="","",Legger!BL28)</f>
        <v>88</v>
      </c>
      <c r="Q26" s="9">
        <f>IF(Legger!BR28="","",Legger!BR28)</f>
        <v>88</v>
      </c>
      <c r="R26" s="9">
        <f>IF(Legger!BX28="","",Legger!BX28)</f>
        <v>87</v>
      </c>
      <c r="S26" s="9">
        <f>IF(Legger!CD28="","",Legger!CD28)</f>
        <v>89</v>
      </c>
      <c r="T26" s="9">
        <f>IF(Legger!CJ28="","",Legger!CJ28)</f>
        <v>85</v>
      </c>
      <c r="U26" s="9">
        <f>IF(Legger!CP28="","",Legger!CP28)</f>
        <v>84</v>
      </c>
      <c r="V26" s="9">
        <f>IF(Legger!CV28="","",Legger!CV28)</f>
        <v>90</v>
      </c>
      <c r="W26" s="9">
        <f>IF(Setting!J25="","",SUM(G26:V26))</f>
        <v>1393</v>
      </c>
      <c r="X26" s="9">
        <f>IF(Setting!J25="","",RANK(W26,$W$7:$W$46))</f>
        <v>15</v>
      </c>
    </row>
    <row r="27" spans="1:24">
      <c r="A27" s="44">
        <v>21</v>
      </c>
      <c r="B27" s="45" t="str">
        <f>IF(Setting!J26="","",Setting!J26)</f>
        <v>Muhammad Nur Arzhian Kusuma</v>
      </c>
      <c r="C27" s="46">
        <f>IF(Setting!J26="","",Setting!K26)</f>
        <v>2008221</v>
      </c>
      <c r="D27" s="164" t="str">
        <f>IF(Setting!J26="","",Setting!L26)</f>
        <v>0053421781</v>
      </c>
      <c r="E27" s="9" t="str">
        <f>IF(Setting!J26="","",Setting!$E$11)</f>
        <v>X.MIPA 4</v>
      </c>
      <c r="F27" s="9" t="str">
        <f>IF(Setting!J26="","",Setting!$E$15)</f>
        <v>I</v>
      </c>
      <c r="G27" s="9">
        <f>IF(Legger!J29="","",Legger!J29)</f>
        <v>88</v>
      </c>
      <c r="H27" s="9">
        <f>IF(Legger!P29="","",Legger!P29)</f>
        <v>88</v>
      </c>
      <c r="I27" s="9">
        <f>IF(Legger!V29="","",Legger!V29)</f>
        <v>91</v>
      </c>
      <c r="J27" s="9">
        <f>IF(Legger!AB29="","",Legger!AB29)</f>
        <v>80</v>
      </c>
      <c r="K27" s="9">
        <f>IF(Legger!AH29="","",Legger!AH29)</f>
        <v>86</v>
      </c>
      <c r="L27" s="9">
        <f>IF(Legger!AN29="","",Legger!AN29)</f>
        <v>86</v>
      </c>
      <c r="M27" s="9">
        <f>IF(Legger!AT29="","",Legger!AT29)</f>
        <v>89</v>
      </c>
      <c r="N27" s="161">
        <f>IF(Legger!AZ29="","",Legger!AZ29)</f>
        <v>84</v>
      </c>
      <c r="O27" s="9">
        <f>IF(Legger!BF29="","",Legger!BF29)</f>
        <v>87</v>
      </c>
      <c r="P27" s="9">
        <f>IF(Legger!BL29="","",Legger!BL29)</f>
        <v>91</v>
      </c>
      <c r="Q27" s="9">
        <f>IF(Legger!BR29="","",Legger!BR29)</f>
        <v>83</v>
      </c>
      <c r="R27" s="9">
        <f>IF(Legger!BX29="","",Legger!BX29)</f>
        <v>86</v>
      </c>
      <c r="S27" s="9">
        <f>IF(Legger!CD29="","",Legger!CD29)</f>
        <v>88</v>
      </c>
      <c r="T27" s="9">
        <f>IF(Legger!CJ29="","",Legger!CJ29)</f>
        <v>87</v>
      </c>
      <c r="U27" s="9">
        <f>IF(Legger!CP29="","",Legger!CP29)</f>
        <v>83</v>
      </c>
      <c r="V27" s="9">
        <f>IF(Legger!CV29="","",Legger!CV29)</f>
        <v>88</v>
      </c>
      <c r="W27" s="9">
        <f>IF(Setting!J26="","",SUM(G27:V27))</f>
        <v>1385</v>
      </c>
      <c r="X27" s="9">
        <f>IF(Setting!J26="","",RANK(W27,$W$7:$W$46))</f>
        <v>17</v>
      </c>
    </row>
    <row r="28" spans="1:24">
      <c r="A28" s="44">
        <v>22</v>
      </c>
      <c r="B28" s="45" t="str">
        <f>IF(Setting!J27="","",Setting!J27)</f>
        <v>Muhammad Rafif Rizqullah</v>
      </c>
      <c r="C28" s="46">
        <f>IF(Setting!J27="","",Setting!K27)</f>
        <v>2008222</v>
      </c>
      <c r="D28" s="164" t="str">
        <f>IF(Setting!J27="","",Setting!L27)</f>
        <v>0044559979</v>
      </c>
      <c r="E28" s="9" t="str">
        <f>IF(Setting!J27="","",Setting!$E$11)</f>
        <v>X.MIPA 4</v>
      </c>
      <c r="F28" s="9" t="str">
        <f>IF(Setting!J27="","",Setting!$E$15)</f>
        <v>I</v>
      </c>
      <c r="G28" s="9">
        <f>IF(Legger!J30="","",Legger!J30)</f>
        <v>87</v>
      </c>
      <c r="H28" s="9">
        <f>IF(Legger!P30="","",Legger!P30)</f>
        <v>87</v>
      </c>
      <c r="I28" s="9">
        <f>IF(Legger!V30="","",Legger!V30)</f>
        <v>89</v>
      </c>
      <c r="J28" s="9">
        <f>IF(Legger!AB30="","",Legger!AB30)</f>
        <v>88</v>
      </c>
      <c r="K28" s="9">
        <f>IF(Legger!AH30="","",Legger!AH30)</f>
        <v>88</v>
      </c>
      <c r="L28" s="9">
        <f>IF(Legger!AN30="","",Legger!AN30)</f>
        <v>84</v>
      </c>
      <c r="M28" s="9">
        <f>IF(Legger!AT30="","",Legger!AT30)</f>
        <v>89</v>
      </c>
      <c r="N28" s="161">
        <f>IF(Legger!AZ30="","",Legger!AZ30)</f>
        <v>87</v>
      </c>
      <c r="O28" s="9">
        <f>IF(Legger!BF30="","",Legger!BF30)</f>
        <v>88</v>
      </c>
      <c r="P28" s="9">
        <f>IF(Legger!BL30="","",Legger!BL30)</f>
        <v>89</v>
      </c>
      <c r="Q28" s="9">
        <f>IF(Legger!BR30="","",Legger!BR30)</f>
        <v>88</v>
      </c>
      <c r="R28" s="9">
        <f>IF(Legger!BX30="","",Legger!BX30)</f>
        <v>87</v>
      </c>
      <c r="S28" s="9">
        <f>IF(Legger!CD30="","",Legger!CD30)</f>
        <v>85</v>
      </c>
      <c r="T28" s="9">
        <f>IF(Legger!CJ30="","",Legger!CJ30)</f>
        <v>89</v>
      </c>
      <c r="U28" s="9">
        <f>IF(Legger!CP30="","",Legger!CP30)</f>
        <v>85</v>
      </c>
      <c r="V28" s="9">
        <f>IF(Legger!CV30="","",Legger!CV30)</f>
        <v>90</v>
      </c>
      <c r="W28" s="9">
        <f>IF(Setting!J27="","",SUM(G28:V28))</f>
        <v>1400</v>
      </c>
      <c r="X28" s="9">
        <f>IF(Setting!J27="","",RANK(W28,$W$7:$W$46))</f>
        <v>12</v>
      </c>
    </row>
    <row r="29" spans="1:24">
      <c r="A29" s="44">
        <v>23</v>
      </c>
      <c r="B29" s="45" t="str">
        <f>IF(Setting!J28="","",Setting!J28)</f>
        <v>Muhammad Raihan Al Faridzi</v>
      </c>
      <c r="C29" s="46">
        <f>IF(Setting!J28="","",Setting!K28)</f>
        <v>2008223</v>
      </c>
      <c r="D29" s="164" t="str">
        <f>IF(Setting!J28="","",Setting!L28)</f>
        <v>0047682955</v>
      </c>
      <c r="E29" s="9" t="str">
        <f>IF(Setting!J28="","",Setting!$E$11)</f>
        <v>X.MIPA 4</v>
      </c>
      <c r="F29" s="9" t="str">
        <f>IF(Setting!J28="","",Setting!$E$15)</f>
        <v>I</v>
      </c>
      <c r="G29" s="9">
        <f>IF(Legger!J31="","",Legger!J31)</f>
        <v>89</v>
      </c>
      <c r="H29" s="9">
        <f>IF(Legger!P31="","",Legger!P31)</f>
        <v>86</v>
      </c>
      <c r="I29" s="9">
        <f>IF(Legger!V31="","",Legger!V31)</f>
        <v>87</v>
      </c>
      <c r="J29" s="9">
        <f>IF(Legger!AB31="","",Legger!AB31)</f>
        <v>89</v>
      </c>
      <c r="K29" s="9">
        <f>IF(Legger!AH31="","",Legger!AH31)</f>
        <v>86</v>
      </c>
      <c r="L29" s="9">
        <f>IF(Legger!AN31="","",Legger!AN31)</f>
        <v>86</v>
      </c>
      <c r="M29" s="9">
        <f>IF(Legger!AT31="","",Legger!AT31)</f>
        <v>89</v>
      </c>
      <c r="N29" s="161">
        <f>IF(Legger!AZ31="","",Legger!AZ31)</f>
        <v>84</v>
      </c>
      <c r="O29" s="9">
        <f>IF(Legger!BF31="","",Legger!BF31)</f>
        <v>90</v>
      </c>
      <c r="P29" s="9">
        <f>IF(Legger!BL31="","",Legger!BL31)</f>
        <v>87</v>
      </c>
      <c r="Q29" s="9">
        <f>IF(Legger!BR31="","",Legger!BR31)</f>
        <v>88</v>
      </c>
      <c r="R29" s="9">
        <f>IF(Legger!BX31="","",Legger!BX31)</f>
        <v>89</v>
      </c>
      <c r="S29" s="9">
        <f>IF(Legger!CD31="","",Legger!CD31)</f>
        <v>88</v>
      </c>
      <c r="T29" s="9">
        <f>IF(Legger!CJ31="","",Legger!CJ31)</f>
        <v>89</v>
      </c>
      <c r="U29" s="9">
        <f>IF(Legger!CP31="","",Legger!CP31)</f>
        <v>86</v>
      </c>
      <c r="V29" s="9">
        <f>IF(Legger!CV31="","",Legger!CV31)</f>
        <v>92</v>
      </c>
      <c r="W29" s="9">
        <f>IF(Setting!J28="","",SUM(G29:V29))</f>
        <v>1405</v>
      </c>
      <c r="X29" s="9">
        <f>IF(Setting!J28="","",RANK(W29,$W$7:$W$46))</f>
        <v>11</v>
      </c>
    </row>
    <row r="30" spans="1:24">
      <c r="A30" s="44">
        <v>24</v>
      </c>
      <c r="B30" s="45" t="str">
        <f>IF(Setting!J29="","",Setting!J29)</f>
        <v>Muhammad Rakan Hafidh Al Ghalib</v>
      </c>
      <c r="C30" s="46">
        <f>IF(Setting!J29="","",Setting!K29)</f>
        <v>2008224</v>
      </c>
      <c r="D30" s="164" t="str">
        <f>IF(Setting!J29="","",Setting!L29)</f>
        <v>0053955049</v>
      </c>
      <c r="E30" s="9" t="str">
        <f>IF(Setting!J29="","",Setting!$E$11)</f>
        <v>X.MIPA 4</v>
      </c>
      <c r="F30" s="9" t="str">
        <f>IF(Setting!J29="","",Setting!$E$15)</f>
        <v>I</v>
      </c>
      <c r="G30" s="9">
        <f>IF(Legger!J32="","",Legger!J32)</f>
        <v>91</v>
      </c>
      <c r="H30" s="9">
        <f>IF(Legger!P32="","",Legger!P32)</f>
        <v>88</v>
      </c>
      <c r="I30" s="9">
        <f>IF(Legger!V32="","",Legger!V32)</f>
        <v>90</v>
      </c>
      <c r="J30" s="9">
        <f>IF(Legger!AB32="","",Legger!AB32)</f>
        <v>88</v>
      </c>
      <c r="K30" s="9">
        <f>IF(Legger!AH32="","",Legger!AH32)</f>
        <v>90</v>
      </c>
      <c r="L30" s="9">
        <f>IF(Legger!AN32="","",Legger!AN32)</f>
        <v>90</v>
      </c>
      <c r="M30" s="9">
        <f>IF(Legger!AT32="","",Legger!AT32)</f>
        <v>89</v>
      </c>
      <c r="N30" s="161">
        <f>IF(Legger!AZ32="","",Legger!AZ32)</f>
        <v>88</v>
      </c>
      <c r="O30" s="9">
        <f>IF(Legger!BF32="","",Legger!BF32)</f>
        <v>89</v>
      </c>
      <c r="P30" s="9">
        <f>IF(Legger!BL32="","",Legger!BL32)</f>
        <v>90</v>
      </c>
      <c r="Q30" s="9">
        <f>IF(Legger!BR32="","",Legger!BR32)</f>
        <v>91</v>
      </c>
      <c r="R30" s="9">
        <f>IF(Legger!BX32="","",Legger!BX32)</f>
        <v>88</v>
      </c>
      <c r="S30" s="9">
        <f>IF(Legger!CD32="","",Legger!CD32)</f>
        <v>89</v>
      </c>
      <c r="T30" s="9">
        <f>IF(Legger!CJ32="","",Legger!CJ32)</f>
        <v>90</v>
      </c>
      <c r="U30" s="9">
        <f>IF(Legger!CP32="","",Legger!CP32)</f>
        <v>88</v>
      </c>
      <c r="V30" s="9">
        <f>IF(Legger!CV32="","",Legger!CV32)</f>
        <v>92</v>
      </c>
      <c r="W30" s="9">
        <f>IF(Setting!J29="","",SUM(G30:V30))</f>
        <v>1431</v>
      </c>
      <c r="X30" s="9">
        <f>IF(Setting!J29="","",RANK(W30,$W$7:$W$46))</f>
        <v>2</v>
      </c>
    </row>
    <row r="31" spans="1:24">
      <c r="A31" s="44">
        <v>25</v>
      </c>
      <c r="B31" s="45" t="str">
        <f>IF(Setting!J30="","",Setting!J30)</f>
        <v>Muhammad Syamu Naufal</v>
      </c>
      <c r="C31" s="46">
        <f>IF(Setting!J30="","",Setting!K30)</f>
        <v>2008230</v>
      </c>
      <c r="D31" s="164" t="str">
        <f>IF(Setting!J30="","",Setting!L30)</f>
        <v>0045892500</v>
      </c>
      <c r="E31" s="9" t="str">
        <f>IF(Setting!J30="","",Setting!$E$11)</f>
        <v>X.MIPA 4</v>
      </c>
      <c r="F31" s="9" t="str">
        <f>IF(Setting!J30="","",Setting!$E$15)</f>
        <v>I</v>
      </c>
      <c r="G31" s="9">
        <f>IF(Legger!J33="","",Legger!J33)</f>
        <v>86</v>
      </c>
      <c r="H31" s="9">
        <f>IF(Legger!P33="","",Legger!P33)</f>
        <v>86</v>
      </c>
      <c r="I31" s="9">
        <f>IF(Legger!V33="","",Legger!V33)</f>
        <v>89</v>
      </c>
      <c r="J31" s="9">
        <f>IF(Legger!AB33="","",Legger!AB33)</f>
        <v>84</v>
      </c>
      <c r="K31" s="9">
        <f>IF(Legger!AH33="","",Legger!AH33)</f>
        <v>85</v>
      </c>
      <c r="L31" s="9">
        <f>IF(Legger!AN33="","",Legger!AN33)</f>
        <v>87</v>
      </c>
      <c r="M31" s="9">
        <f>IF(Legger!AT33="","",Legger!AT33)</f>
        <v>89</v>
      </c>
      <c r="N31" s="161">
        <f>IF(Legger!AZ33="","",Legger!AZ33)</f>
        <v>87</v>
      </c>
      <c r="O31" s="9">
        <f>IF(Legger!BF33="","",Legger!BF33)</f>
        <v>88</v>
      </c>
      <c r="P31" s="9">
        <f>IF(Legger!BL33="","",Legger!BL33)</f>
        <v>89</v>
      </c>
      <c r="Q31" s="9">
        <f>IF(Legger!BR33="","",Legger!BR33)</f>
        <v>86</v>
      </c>
      <c r="R31" s="9">
        <f>IF(Legger!BX33="","",Legger!BX33)</f>
        <v>83</v>
      </c>
      <c r="S31" s="9">
        <f>IF(Legger!CD33="","",Legger!CD33)</f>
        <v>85</v>
      </c>
      <c r="T31" s="9">
        <f>IF(Legger!CJ33="","",Legger!CJ33)</f>
        <v>88</v>
      </c>
      <c r="U31" s="9">
        <f>IF(Legger!CP33="","",Legger!CP33)</f>
        <v>84</v>
      </c>
      <c r="V31" s="9">
        <f>IF(Legger!CV33="","",Legger!CV33)</f>
        <v>88</v>
      </c>
      <c r="W31" s="9">
        <f>IF(Setting!J30="","",SUM(G31:V31))</f>
        <v>1384</v>
      </c>
      <c r="X31" s="9">
        <f>IF(Setting!J30="","",RANK(W31,$W$7:$W$46))</f>
        <v>18</v>
      </c>
    </row>
    <row r="32" spans="1:24">
      <c r="A32" s="44">
        <v>26</v>
      </c>
      <c r="B32" s="45" t="str">
        <f>IF(Setting!J31="","",Setting!J31)</f>
        <v>Naufal Muhammad Iqbal</v>
      </c>
      <c r="C32" s="46">
        <f>IF(Setting!J31="","",Setting!K31)</f>
        <v>2008251</v>
      </c>
      <c r="D32" s="164" t="str">
        <f>IF(Setting!J31="","",Setting!L31)</f>
        <v>0056904636</v>
      </c>
      <c r="E32" s="9" t="str">
        <f>IF(Setting!J31="","",Setting!$E$11)</f>
        <v>X.MIPA 4</v>
      </c>
      <c r="F32" s="9" t="str">
        <f>IF(Setting!J31="","",Setting!$E$15)</f>
        <v>I</v>
      </c>
      <c r="G32" s="9">
        <f>IF(Legger!J34="","",Legger!J34)</f>
        <v>86</v>
      </c>
      <c r="H32" s="9">
        <f>IF(Legger!P34="","",Legger!P34)</f>
        <v>84</v>
      </c>
      <c r="I32" s="9">
        <f>IF(Legger!V34="","",Legger!V34)</f>
        <v>88</v>
      </c>
      <c r="J32" s="9">
        <f>IF(Legger!AB34="","",Legger!AB34)</f>
        <v>80</v>
      </c>
      <c r="K32" s="9">
        <f>IF(Legger!AH34="","",Legger!AH34)</f>
        <v>80</v>
      </c>
      <c r="L32" s="9">
        <f>IF(Legger!AN34="","",Legger!AN34)</f>
        <v>85</v>
      </c>
      <c r="M32" s="9">
        <f>IF(Legger!AT34="","",Legger!AT34)</f>
        <v>90</v>
      </c>
      <c r="N32" s="161">
        <f>IF(Legger!AZ34="","",Legger!AZ34)</f>
        <v>83</v>
      </c>
      <c r="O32" s="9">
        <f>IF(Legger!BF34="","",Legger!BF34)</f>
        <v>80</v>
      </c>
      <c r="P32" s="9">
        <f>IF(Legger!BL34="","",Legger!BL34)</f>
        <v>88</v>
      </c>
      <c r="Q32" s="9">
        <f>IF(Legger!BR34="","",Legger!BR34)</f>
        <v>81</v>
      </c>
      <c r="R32" s="9">
        <f>IF(Legger!BX34="","",Legger!BX34)</f>
        <v>84</v>
      </c>
      <c r="S32" s="9">
        <f>IF(Legger!CD34="","",Legger!CD34)</f>
        <v>88</v>
      </c>
      <c r="T32" s="9">
        <f>IF(Legger!CJ34="","",Legger!CJ34)</f>
        <v>86</v>
      </c>
      <c r="U32" s="9">
        <f>IF(Legger!CP34="","",Legger!CP34)</f>
        <v>85</v>
      </c>
      <c r="V32" s="9">
        <f>IF(Legger!CV34="","",Legger!CV34)</f>
        <v>88</v>
      </c>
      <c r="W32" s="9">
        <f>IF(Setting!J31="","",SUM(G32:V32))</f>
        <v>1356</v>
      </c>
      <c r="X32" s="9">
        <f>IF(Setting!J31="","",RANK(W32,$W$7:$W$46))</f>
        <v>28</v>
      </c>
    </row>
    <row r="33" spans="1:124">
      <c r="A33" s="44">
        <v>27</v>
      </c>
      <c r="B33" s="45" t="str">
        <f>IF(Setting!J32="","",Setting!J32)</f>
        <v>Nauval Nur Mustafa</v>
      </c>
      <c r="C33" s="46">
        <f>IF(Setting!J32="","",Setting!K32)</f>
        <v>2008253</v>
      </c>
      <c r="D33" s="164" t="str">
        <f>IF(Setting!J32="","",Setting!L32)</f>
        <v>0061518278</v>
      </c>
      <c r="E33" s="9" t="str">
        <f>IF(Setting!J32="","",Setting!$E$11)</f>
        <v>X.MIPA 4</v>
      </c>
      <c r="F33" s="9" t="str">
        <f>IF(Setting!J32="","",Setting!$E$15)</f>
        <v>I</v>
      </c>
      <c r="G33" s="9">
        <f>IF(Legger!J35="","",Legger!J35)</f>
        <v>86</v>
      </c>
      <c r="H33" s="9">
        <f>IF(Legger!P35="","",Legger!P35)</f>
        <v>87</v>
      </c>
      <c r="I33" s="9">
        <f>IF(Legger!V35="","",Legger!V35)</f>
        <v>84</v>
      </c>
      <c r="J33" s="9">
        <f>IF(Legger!AB35="","",Legger!AB35)</f>
        <v>84</v>
      </c>
      <c r="K33" s="9">
        <f>IF(Legger!AH35="","",Legger!AH35)</f>
        <v>87</v>
      </c>
      <c r="L33" s="9">
        <f>IF(Legger!AN35="","",Legger!AN35)</f>
        <v>89</v>
      </c>
      <c r="M33" s="9">
        <f>IF(Legger!AT35="","",Legger!AT35)</f>
        <v>89</v>
      </c>
      <c r="N33" s="161">
        <f>IF(Legger!AZ35="","",Legger!AZ35)</f>
        <v>85</v>
      </c>
      <c r="O33" s="9">
        <f>IF(Legger!BF35="","",Legger!BF35)</f>
        <v>81</v>
      </c>
      <c r="P33" s="9">
        <f>IF(Legger!BL35="","",Legger!BL35)</f>
        <v>84</v>
      </c>
      <c r="Q33" s="9">
        <f>IF(Legger!BR35="","",Legger!BR35)</f>
        <v>81</v>
      </c>
      <c r="R33" s="9">
        <f>IF(Legger!BX35="","",Legger!BX35)</f>
        <v>87</v>
      </c>
      <c r="S33" s="9">
        <f>IF(Legger!CD35="","",Legger!CD35)</f>
        <v>88</v>
      </c>
      <c r="T33" s="9">
        <f>IF(Legger!CJ35="","",Legger!CJ35)</f>
        <v>84</v>
      </c>
      <c r="U33" s="9">
        <f>IF(Legger!CP35="","",Legger!CP35)</f>
        <v>87</v>
      </c>
      <c r="V33" s="9">
        <f>IF(Legger!CV35="","",Legger!CV35)</f>
        <v>89</v>
      </c>
      <c r="W33" s="9">
        <f>IF(Setting!J32="","",SUM(G33:V33))</f>
        <v>1372</v>
      </c>
      <c r="X33" s="9">
        <f>IF(Setting!J32="","",RANK(W33,$W$7:$W$46))</f>
        <v>22</v>
      </c>
    </row>
    <row r="34" spans="1:124">
      <c r="A34" s="44">
        <v>28</v>
      </c>
      <c r="B34" s="45" t="str">
        <f>IF(Setting!J33="","",Setting!J33)</f>
        <v>Oriegano Kanahaya  Siagian</v>
      </c>
      <c r="C34" s="46">
        <f>IF(Setting!J33="","",Setting!K33)</f>
        <v>2008272</v>
      </c>
      <c r="D34" s="164" t="str">
        <f>IF(Setting!J33="","",Setting!L33)</f>
        <v xml:space="preserve"> 0051837216</v>
      </c>
      <c r="E34" s="9" t="str">
        <f>IF(Setting!J33="","",Setting!$E$11)</f>
        <v>X.MIPA 4</v>
      </c>
      <c r="F34" s="9" t="str">
        <f>IF(Setting!J33="","",Setting!$E$15)</f>
        <v>I</v>
      </c>
      <c r="G34" s="9">
        <f>IF(Legger!J36="","",Legger!J36)</f>
        <v>84</v>
      </c>
      <c r="H34" s="9">
        <f>IF(Legger!P36="","",Legger!P36)</f>
        <v>83</v>
      </c>
      <c r="I34" s="9">
        <f>IF(Legger!V36="","",Legger!V36)</f>
        <v>85</v>
      </c>
      <c r="J34" s="9">
        <f>IF(Legger!AB36="","",Legger!AB36)</f>
        <v>80</v>
      </c>
      <c r="K34" s="9">
        <f>IF(Legger!AH36="","",Legger!AH36)</f>
        <v>83</v>
      </c>
      <c r="L34" s="9">
        <f>IF(Legger!AN36="","",Legger!AN36)</f>
        <v>87</v>
      </c>
      <c r="M34" s="9">
        <f>IF(Legger!AT36="","",Legger!AT36)</f>
        <v>90</v>
      </c>
      <c r="N34" s="161">
        <f>IF(Legger!AZ36="","",Legger!AZ36)</f>
        <v>82</v>
      </c>
      <c r="O34" s="9">
        <f>IF(Legger!BF36="","",Legger!BF36)</f>
        <v>83</v>
      </c>
      <c r="P34" s="9">
        <f>IF(Legger!BL36="","",Legger!BL36)</f>
        <v>85</v>
      </c>
      <c r="Q34" s="9">
        <f>IF(Legger!BR36="","",Legger!BR36)</f>
        <v>81</v>
      </c>
      <c r="R34" s="9">
        <f>IF(Legger!BX36="","",Legger!BX36)</f>
        <v>83</v>
      </c>
      <c r="S34" s="9">
        <f>IF(Legger!CD36="","",Legger!CD36)</f>
        <v>86</v>
      </c>
      <c r="T34" s="9">
        <f>IF(Legger!CJ36="","",Legger!CJ36)</f>
        <v>84</v>
      </c>
      <c r="U34" s="9">
        <f>IF(Legger!CP36="","",Legger!CP36)</f>
        <v>84</v>
      </c>
      <c r="V34" s="9">
        <f>IF(Legger!CV36="","",Legger!CV36)</f>
        <v>85</v>
      </c>
      <c r="W34" s="9">
        <f>IF(Setting!J33="","",SUM(G34:V34))</f>
        <v>1345</v>
      </c>
      <c r="X34" s="9">
        <f>IF(Setting!J33="","",RANK(W34,$W$7:$W$46))</f>
        <v>30</v>
      </c>
    </row>
    <row r="35" spans="1:124">
      <c r="A35" s="44">
        <v>29</v>
      </c>
      <c r="B35" s="45" t="str">
        <f>IF(Setting!J34="","",Setting!J34)</f>
        <v>Rafif Mahatma Indrastata</v>
      </c>
      <c r="C35" s="46">
        <f>IF(Setting!J34="","",Setting!K34)</f>
        <v>2008282</v>
      </c>
      <c r="D35" s="164" t="str">
        <f>IF(Setting!J34="","",Setting!L34)</f>
        <v>0045017851</v>
      </c>
      <c r="E35" s="9" t="str">
        <f>IF(Setting!J34="","",Setting!$E$11)</f>
        <v>X.MIPA 4</v>
      </c>
      <c r="F35" s="9" t="str">
        <f>IF(Setting!J34="","",Setting!$E$15)</f>
        <v>I</v>
      </c>
      <c r="G35" s="9">
        <f>IF(Legger!J37="","",Legger!J37)</f>
        <v>87</v>
      </c>
      <c r="H35" s="9">
        <f>IF(Legger!P37="","",Legger!P37)</f>
        <v>86</v>
      </c>
      <c r="I35" s="9">
        <f>IF(Legger!V37="","",Legger!V37)</f>
        <v>90</v>
      </c>
      <c r="J35" s="9">
        <f>IF(Legger!AB37="","",Legger!AB37)</f>
        <v>83</v>
      </c>
      <c r="K35" s="9">
        <f>IF(Legger!AH37="","",Legger!AH37)</f>
        <v>81</v>
      </c>
      <c r="L35" s="9">
        <f>IF(Legger!AN37="","",Legger!AN37)</f>
        <v>87</v>
      </c>
      <c r="M35" s="9">
        <f>IF(Legger!AT37="","",Legger!AT37)</f>
        <v>88</v>
      </c>
      <c r="N35" s="161">
        <f>IF(Legger!AZ37="","",Legger!AZ37)</f>
        <v>87</v>
      </c>
      <c r="O35" s="9">
        <f>IF(Legger!BF37="","",Legger!BF37)</f>
        <v>84</v>
      </c>
      <c r="P35" s="9">
        <f>IF(Legger!BL37="","",Legger!BL37)</f>
        <v>90</v>
      </c>
      <c r="Q35" s="9">
        <f>IF(Legger!BR37="","",Legger!BR37)</f>
        <v>85</v>
      </c>
      <c r="R35" s="9">
        <f>IF(Legger!BX37="","",Legger!BX37)</f>
        <v>87</v>
      </c>
      <c r="S35" s="9">
        <f>IF(Legger!CD37="","",Legger!CD37)</f>
        <v>88</v>
      </c>
      <c r="T35" s="9">
        <f>IF(Legger!CJ37="","",Legger!CJ37)</f>
        <v>83</v>
      </c>
      <c r="U35" s="9">
        <f>IF(Legger!CP37="","",Legger!CP37)</f>
        <v>85</v>
      </c>
      <c r="V35" s="9">
        <f>IF(Legger!CV37="","",Legger!CV37)</f>
        <v>88</v>
      </c>
      <c r="W35" s="9">
        <f>IF(Setting!J34="","",SUM(G35:V35))</f>
        <v>1379</v>
      </c>
      <c r="X35" s="9">
        <f>IF(Setting!J34="","",RANK(W35,$W$7:$W$46))</f>
        <v>20</v>
      </c>
    </row>
    <row r="36" spans="1:124">
      <c r="A36" s="44">
        <v>30</v>
      </c>
      <c r="B36" s="45" t="str">
        <f>IF(Setting!J35="","",Setting!J35)</f>
        <v>Rayhan Yoga Edy Pratama</v>
      </c>
      <c r="C36" s="46">
        <f>IF(Setting!J35="","",Setting!K35)</f>
        <v>2008296</v>
      </c>
      <c r="D36" s="164" t="str">
        <f>IF(Setting!J35="","",Setting!L35)</f>
        <v xml:space="preserve">0041380949 </v>
      </c>
      <c r="E36" s="9" t="str">
        <f>IF(Setting!J35="","",Setting!$E$11)</f>
        <v>X.MIPA 4</v>
      </c>
      <c r="F36" s="9" t="str">
        <f>IF(Setting!J35="","",Setting!$E$15)</f>
        <v>I</v>
      </c>
      <c r="G36" s="9">
        <f>IF(Legger!J38="","",Legger!J38)</f>
        <v>89</v>
      </c>
      <c r="H36" s="9">
        <f>IF(Legger!P38="","",Legger!P38)</f>
        <v>89</v>
      </c>
      <c r="I36" s="9">
        <f>IF(Legger!V38="","",Legger!V38)</f>
        <v>91</v>
      </c>
      <c r="J36" s="9">
        <f>IF(Legger!AB38="","",Legger!AB38)</f>
        <v>86</v>
      </c>
      <c r="K36" s="9">
        <f>IF(Legger!AH38="","",Legger!AH38)</f>
        <v>91</v>
      </c>
      <c r="L36" s="9">
        <f>IF(Legger!AN38="","",Legger!AN38)</f>
        <v>89</v>
      </c>
      <c r="M36" s="9">
        <f>IF(Legger!AT38="","",Legger!AT38)</f>
        <v>89</v>
      </c>
      <c r="N36" s="161">
        <f>IF(Legger!AZ38="","",Legger!AZ38)</f>
        <v>87</v>
      </c>
      <c r="O36" s="9">
        <f>IF(Legger!BF38="","",Legger!BF38)</f>
        <v>86</v>
      </c>
      <c r="P36" s="9">
        <f>IF(Legger!BL38="","",Legger!BL38)</f>
        <v>91</v>
      </c>
      <c r="Q36" s="9">
        <f>IF(Legger!BR38="","",Legger!BR38)</f>
        <v>91</v>
      </c>
      <c r="R36" s="9">
        <f>IF(Legger!BX38="","",Legger!BX38)</f>
        <v>86</v>
      </c>
      <c r="S36" s="9">
        <f>IF(Legger!CD38="","",Legger!CD38)</f>
        <v>89</v>
      </c>
      <c r="T36" s="9">
        <f>IF(Legger!CJ38="","",Legger!CJ38)</f>
        <v>89</v>
      </c>
      <c r="U36" s="9">
        <f>IF(Legger!CP38="","",Legger!CP38)</f>
        <v>85</v>
      </c>
      <c r="V36" s="9">
        <f>IF(Legger!CV38="","",Legger!CV38)</f>
        <v>93</v>
      </c>
      <c r="W36" s="9">
        <f>IF(Setting!J35="","",SUM(G36:V36))</f>
        <v>1421</v>
      </c>
      <c r="X36" s="9">
        <f>IF(Setting!J35="","",RANK(W36,$W$7:$W$46))</f>
        <v>7</v>
      </c>
    </row>
    <row r="37" spans="1:124">
      <c r="A37" s="44">
        <v>31</v>
      </c>
      <c r="B37" s="45" t="str">
        <f>IF(Setting!J36="","",Setting!J36)</f>
        <v>Rusianto Munif</v>
      </c>
      <c r="C37" s="46">
        <f>IF(Setting!J36="","",Setting!K36)</f>
        <v>2008307</v>
      </c>
      <c r="D37" s="164" t="str">
        <f>IF(Setting!J36="","",Setting!L36)</f>
        <v>0060172183</v>
      </c>
      <c r="E37" s="9" t="str">
        <f>IF(Setting!J36="","",Setting!$E$11)</f>
        <v>X.MIPA 4</v>
      </c>
      <c r="F37" s="9" t="str">
        <f>IF(Setting!J36="","",Setting!$E$15)</f>
        <v>I</v>
      </c>
      <c r="G37" s="9">
        <f>IF(Legger!J39="","",Legger!J39)</f>
        <v>85</v>
      </c>
      <c r="H37" s="9">
        <f>IF(Legger!P39="","",Legger!P39)</f>
        <v>85</v>
      </c>
      <c r="I37" s="9">
        <f>IF(Legger!V39="","",Legger!V39)</f>
        <v>89</v>
      </c>
      <c r="J37" s="9">
        <f>IF(Legger!AB39="","",Legger!AB39)</f>
        <v>81</v>
      </c>
      <c r="K37" s="9">
        <f>IF(Legger!AH39="","",Legger!AH39)</f>
        <v>81</v>
      </c>
      <c r="L37" s="9">
        <f>IF(Legger!AN39="","",Legger!AN39)</f>
        <v>84</v>
      </c>
      <c r="M37" s="9">
        <f>IF(Legger!AT39="","",Legger!AT39)</f>
        <v>89</v>
      </c>
      <c r="N37" s="161">
        <f>IF(Legger!AZ39="","",Legger!AZ39)</f>
        <v>85</v>
      </c>
      <c r="O37" s="9">
        <f>IF(Legger!BF39="","",Legger!BF39)</f>
        <v>85</v>
      </c>
      <c r="P37" s="9">
        <f>IF(Legger!BL39="","",Legger!BL39)</f>
        <v>89</v>
      </c>
      <c r="Q37" s="9">
        <f>IF(Legger!BR39="","",Legger!BR39)</f>
        <v>86</v>
      </c>
      <c r="R37" s="9">
        <f>IF(Legger!BX39="","",Legger!BX39)</f>
        <v>84</v>
      </c>
      <c r="S37" s="9">
        <f>IF(Legger!CD39="","",Legger!CD39)</f>
        <v>86</v>
      </c>
      <c r="T37" s="9">
        <f>IF(Legger!CJ39="","",Legger!CJ39)</f>
        <v>87</v>
      </c>
      <c r="U37" s="9">
        <f>IF(Legger!CP39="","",Legger!CP39)</f>
        <v>83</v>
      </c>
      <c r="V37" s="9">
        <f>IF(Legger!CV39="","",Legger!CV39)</f>
        <v>91</v>
      </c>
      <c r="W37" s="9">
        <f>IF(Setting!J36="","",SUM(G37:V37))</f>
        <v>1370</v>
      </c>
      <c r="X37" s="9">
        <f>IF(Setting!J36="","",RANK(W37,$W$7:$W$46))</f>
        <v>23</v>
      </c>
    </row>
    <row r="38" spans="1:124">
      <c r="A38" s="44">
        <v>32</v>
      </c>
      <c r="B38" s="45" t="str">
        <f>IF(Setting!J37="","",Setting!J37)</f>
        <v>Zaidan Mu'afy Althaf</v>
      </c>
      <c r="C38" s="46">
        <f>IF(Setting!J37="","",Setting!K37)</f>
        <v>2008347</v>
      </c>
      <c r="D38" s="164" t="str">
        <f>IF(Setting!J37="","",Setting!L37)</f>
        <v>0056182222</v>
      </c>
      <c r="E38" s="9" t="str">
        <f>IF(Setting!J37="","",Setting!$E$11)</f>
        <v>X.MIPA 4</v>
      </c>
      <c r="F38" s="9" t="str">
        <f>IF(Setting!J37="","",Setting!$E$15)</f>
        <v>I</v>
      </c>
      <c r="G38" s="9">
        <f>IF(Legger!J40="","",Legger!J40)</f>
        <v>89</v>
      </c>
      <c r="H38" s="9">
        <f>IF(Legger!P40="","",Legger!P40)</f>
        <v>88</v>
      </c>
      <c r="I38" s="9">
        <f>IF(Legger!V40="","",Legger!V40)</f>
        <v>91</v>
      </c>
      <c r="J38" s="9">
        <f>IF(Legger!AB40="","",Legger!AB40)</f>
        <v>83</v>
      </c>
      <c r="K38" s="9">
        <f>IF(Legger!AH40="","",Legger!AH40)</f>
        <v>86</v>
      </c>
      <c r="L38" s="9">
        <f>IF(Legger!AN40="","",Legger!AN40)</f>
        <v>86</v>
      </c>
      <c r="M38" s="9">
        <f>IF(Legger!AT40="","",Legger!AT40)</f>
        <v>89</v>
      </c>
      <c r="N38" s="161">
        <f>IF(Legger!AZ40="","",Legger!AZ40)</f>
        <v>87</v>
      </c>
      <c r="O38" s="9">
        <f>IF(Legger!BF40="","",Legger!BF40)</f>
        <v>85</v>
      </c>
      <c r="P38" s="9">
        <f>IF(Legger!BL40="","",Legger!BL40)</f>
        <v>91</v>
      </c>
      <c r="Q38" s="9">
        <f>IF(Legger!BR40="","",Legger!BR40)</f>
        <v>81</v>
      </c>
      <c r="R38" s="9">
        <f>IF(Legger!BX40="","",Legger!BX40)</f>
        <v>87</v>
      </c>
      <c r="S38" s="9">
        <f>IF(Legger!CD40="","",Legger!CD40)</f>
        <v>88</v>
      </c>
      <c r="T38" s="9">
        <f>IF(Legger!CJ40="","",Legger!CJ40)</f>
        <v>84</v>
      </c>
      <c r="U38" s="9">
        <f>IF(Legger!CP40="","",Legger!CP40)</f>
        <v>86</v>
      </c>
      <c r="V38" s="9">
        <f>IF(Legger!CV40="","",Legger!CV40)</f>
        <v>90</v>
      </c>
      <c r="W38" s="9">
        <f>IF(Setting!J37="","",SUM(G38:V38))</f>
        <v>1391</v>
      </c>
      <c r="X38" s="9">
        <f>IF(Setting!J37="","",RANK(W38,$W$7:$W$46))</f>
        <v>16</v>
      </c>
    </row>
    <row r="39" spans="1:124">
      <c r="A39" s="44">
        <v>33</v>
      </c>
      <c r="B39" s="45" t="str">
        <f>IF(Setting!J38="","",Setting!J38)</f>
        <v/>
      </c>
      <c r="C39" s="46" t="str">
        <f>IF(Setting!J38="","",Setting!K38)</f>
        <v/>
      </c>
      <c r="D39" s="46" t="str">
        <f>IF(Setting!J38="","",Setting!L38)</f>
        <v/>
      </c>
      <c r="E39" s="9" t="str">
        <f>IF(Setting!J38="","",Setting!$E$11)</f>
        <v/>
      </c>
      <c r="F39" s="9" t="str">
        <f>IF(Setting!J38="","",Setting!$E$15)</f>
        <v/>
      </c>
      <c r="G39" s="9" t="str">
        <f>IF(Legger!J41="","",Legger!J41)</f>
        <v/>
      </c>
      <c r="H39" s="9" t="str">
        <f>IF(Legger!P41="","",Legger!P41)</f>
        <v/>
      </c>
      <c r="I39" s="9" t="str">
        <f>IF(Legger!V41="","",Legger!V41)</f>
        <v/>
      </c>
      <c r="J39" s="9" t="str">
        <f>IF(Legger!AB41="","",Legger!AB41)</f>
        <v/>
      </c>
      <c r="K39" s="9" t="str">
        <f>IF(Legger!AH41="","",Legger!AH41)</f>
        <v/>
      </c>
      <c r="L39" s="9" t="str">
        <f>IF(Legger!AN41="","",Legger!AN41)</f>
        <v/>
      </c>
      <c r="M39" s="9" t="str">
        <f>IF(Legger!AT41="","",Legger!AT41)</f>
        <v/>
      </c>
      <c r="N39" s="161" t="str">
        <f>IF(Legger!AZ41="","",Legger!AZ41)</f>
        <v/>
      </c>
      <c r="O39" s="9" t="str">
        <f>IF(Legger!BF41="","",Legger!BF41)</f>
        <v/>
      </c>
      <c r="P39" s="9" t="str">
        <f>IF(Legger!BL41="","",Legger!BL41)</f>
        <v/>
      </c>
      <c r="Q39" s="9" t="str">
        <f>IF(Legger!BR41="","",Legger!BR41)</f>
        <v/>
      </c>
      <c r="R39" s="9" t="str">
        <f>IF(Legger!BX41="","",Legger!BX41)</f>
        <v/>
      </c>
      <c r="S39" s="9" t="str">
        <f>IF(Legger!CD41="","",Legger!CD41)</f>
        <v/>
      </c>
      <c r="T39" s="9" t="str">
        <f>IF(Legger!CJ41="","",Legger!CJ41)</f>
        <v/>
      </c>
      <c r="U39" s="9" t="str">
        <f>IF(Legger!CP41="","",Legger!CP41)</f>
        <v/>
      </c>
      <c r="V39" s="9" t="str">
        <f>IF(Legger!CV41="","",Legger!CV41)</f>
        <v/>
      </c>
      <c r="W39" s="9" t="str">
        <f>IF(Setting!J38="","",SUM(G39:V39))</f>
        <v/>
      </c>
      <c r="X39" s="9" t="str">
        <f>IF(Setting!J38="","",RANK(W39,$W$7:$W$46))</f>
        <v/>
      </c>
    </row>
    <row r="40" spans="1:124">
      <c r="A40" s="44">
        <v>34</v>
      </c>
      <c r="B40" s="45" t="str">
        <f>IF(Setting!J39="","",Setting!J39)</f>
        <v/>
      </c>
      <c r="C40" s="46" t="str">
        <f>IF(Setting!J39="","",Setting!K39)</f>
        <v/>
      </c>
      <c r="D40" s="46" t="str">
        <f>IF(Setting!J39="","",Setting!L39)</f>
        <v/>
      </c>
      <c r="E40" s="9" t="str">
        <f>IF(Setting!J39="","",Setting!$E$11)</f>
        <v/>
      </c>
      <c r="F40" s="9" t="str">
        <f>IF(Setting!J39="","",Setting!$E$15)</f>
        <v/>
      </c>
      <c r="G40" s="9" t="str">
        <f>IF(Legger!J42="","",Legger!J42)</f>
        <v/>
      </c>
      <c r="H40" s="9" t="str">
        <f>IF(Legger!P42="","",Legger!P42)</f>
        <v/>
      </c>
      <c r="I40" s="9" t="str">
        <f>IF(Legger!V42="","",Legger!V42)</f>
        <v/>
      </c>
      <c r="J40" s="9" t="str">
        <f>IF(Legger!AB42="","",Legger!AB42)</f>
        <v/>
      </c>
      <c r="K40" s="9" t="str">
        <f>IF(Legger!AH42="","",Legger!AH42)</f>
        <v/>
      </c>
      <c r="L40" s="9" t="str">
        <f>IF(Legger!AN42="","",Legger!AN42)</f>
        <v/>
      </c>
      <c r="M40" s="9" t="str">
        <f>IF(Legger!AT42="","",Legger!AT42)</f>
        <v/>
      </c>
      <c r="N40" s="161" t="str">
        <f>IF(Legger!AZ42="","",Legger!AZ42)</f>
        <v/>
      </c>
      <c r="O40" s="9" t="str">
        <f>IF(Legger!BF42="","",Legger!BF42)</f>
        <v/>
      </c>
      <c r="P40" s="9" t="str">
        <f>IF(Legger!BL42="","",Legger!BL42)</f>
        <v/>
      </c>
      <c r="Q40" s="9" t="str">
        <f>IF(Legger!BR42="","",Legger!BR42)</f>
        <v/>
      </c>
      <c r="R40" s="9" t="str">
        <f>IF(Legger!BX42="","",Legger!BX42)</f>
        <v/>
      </c>
      <c r="S40" s="9" t="str">
        <f>IF(Legger!CD42="","",Legger!CD42)</f>
        <v/>
      </c>
      <c r="T40" s="9" t="str">
        <f>IF(Legger!CJ42="","",Legger!CJ42)</f>
        <v/>
      </c>
      <c r="U40" s="9" t="str">
        <f>IF(Legger!CP42="","",Legger!CP42)</f>
        <v/>
      </c>
      <c r="V40" s="9" t="str">
        <f>IF(Legger!CV42="","",Legger!CV42)</f>
        <v/>
      </c>
      <c r="W40" s="9" t="str">
        <f>IF(Setting!J39="","",SUM(G40:V40))</f>
        <v/>
      </c>
      <c r="X40" s="9" t="str">
        <f>IF(Setting!J39="","",RANK(W40,$W$7:$W$46))</f>
        <v/>
      </c>
    </row>
    <row r="41" spans="1:124">
      <c r="A41" s="44">
        <v>35</v>
      </c>
      <c r="B41" s="45" t="str">
        <f>IF(Setting!J40="","",Setting!J40)</f>
        <v/>
      </c>
      <c r="C41" s="46" t="str">
        <f>IF(Setting!J40="","",Setting!K40)</f>
        <v/>
      </c>
      <c r="D41" s="46" t="str">
        <f>IF(Setting!J40="","",Setting!L40)</f>
        <v/>
      </c>
      <c r="E41" s="9" t="str">
        <f>IF(Setting!J40="","",Setting!$E$11)</f>
        <v/>
      </c>
      <c r="F41" s="9" t="str">
        <f>IF(Setting!J40="","",Setting!$E$15)</f>
        <v/>
      </c>
      <c r="G41" s="9" t="str">
        <f>IF(Legger!J43="","",Legger!J43)</f>
        <v/>
      </c>
      <c r="H41" s="9" t="str">
        <f>IF(Legger!P43="","",Legger!P43)</f>
        <v/>
      </c>
      <c r="I41" s="9" t="str">
        <f>IF(Legger!V43="","",Legger!V43)</f>
        <v/>
      </c>
      <c r="J41" s="9" t="str">
        <f>IF(Legger!AB43="","",Legger!AB43)</f>
        <v/>
      </c>
      <c r="K41" s="9" t="str">
        <f>IF(Legger!AH43="","",Legger!AH43)</f>
        <v/>
      </c>
      <c r="L41" s="9" t="str">
        <f>IF(Legger!AN43="","",Legger!AN43)</f>
        <v/>
      </c>
      <c r="M41" s="9" t="str">
        <f>IF(Legger!AT43="","",Legger!AT43)</f>
        <v/>
      </c>
      <c r="N41" s="161" t="str">
        <f>IF(Legger!AZ43="","",Legger!AZ43)</f>
        <v/>
      </c>
      <c r="O41" s="9" t="str">
        <f>IF(Legger!BF43="","",Legger!BF43)</f>
        <v/>
      </c>
      <c r="P41" s="9" t="str">
        <f>IF(Legger!BL43="","",Legger!BL43)</f>
        <v/>
      </c>
      <c r="Q41" s="9" t="str">
        <f>IF(Legger!BR43="","",Legger!BR43)</f>
        <v/>
      </c>
      <c r="R41" s="9" t="str">
        <f>IF(Legger!BX43="","",Legger!BX43)</f>
        <v/>
      </c>
      <c r="S41" s="9" t="str">
        <f>IF(Legger!CD43="","",Legger!CD43)</f>
        <v/>
      </c>
      <c r="T41" s="9" t="str">
        <f>IF(Legger!CJ43="","",Legger!CJ43)</f>
        <v/>
      </c>
      <c r="U41" s="9" t="str">
        <f>IF(Legger!CP43="","",Legger!CP43)</f>
        <v/>
      </c>
      <c r="V41" s="9" t="str">
        <f>IF(Legger!CV43="","",Legger!CV43)</f>
        <v/>
      </c>
      <c r="W41" s="9" t="str">
        <f>IF(Setting!J40="","",SUM(G41:V41))</f>
        <v/>
      </c>
      <c r="X41" s="9" t="str">
        <f>IF(Setting!J40="","",RANK(W41,$W$7:$W$46))</f>
        <v/>
      </c>
    </row>
    <row r="42" spans="1:124">
      <c r="A42" s="44">
        <v>36</v>
      </c>
      <c r="B42" s="45" t="str">
        <f>IF(Setting!J41="","",Setting!J41)</f>
        <v/>
      </c>
      <c r="C42" s="46" t="str">
        <f>IF(Setting!J41="","",Setting!K41)</f>
        <v/>
      </c>
      <c r="D42" s="46" t="str">
        <f>IF(Setting!J41="","",Setting!L41)</f>
        <v/>
      </c>
      <c r="E42" s="9" t="str">
        <f>IF(Setting!J41="","",Setting!$E$11)</f>
        <v/>
      </c>
      <c r="F42" s="9" t="str">
        <f>IF(Setting!J41="","",Setting!$E$15)</f>
        <v/>
      </c>
      <c r="G42" s="9" t="str">
        <f>IF(Legger!J44="","",Legger!J44)</f>
        <v/>
      </c>
      <c r="H42" s="9" t="str">
        <f>IF(Legger!P44="","",Legger!P44)</f>
        <v/>
      </c>
      <c r="I42" s="9" t="str">
        <f>IF(Legger!V44="","",Legger!V44)</f>
        <v/>
      </c>
      <c r="J42" s="9" t="str">
        <f>IF(Legger!AB44="","",Legger!AB44)</f>
        <v/>
      </c>
      <c r="K42" s="9" t="str">
        <f>IF(Legger!AH44="","",Legger!AH44)</f>
        <v/>
      </c>
      <c r="L42" s="9" t="str">
        <f>IF(Legger!AN44="","",Legger!AN44)</f>
        <v/>
      </c>
      <c r="M42" s="9" t="str">
        <f>IF(Legger!AT44="","",Legger!AT44)</f>
        <v/>
      </c>
      <c r="N42" s="161" t="str">
        <f>IF(Legger!AZ44="","",Legger!AZ44)</f>
        <v/>
      </c>
      <c r="O42" s="9" t="str">
        <f>IF(Legger!BF44="","",Legger!BF44)</f>
        <v/>
      </c>
      <c r="P42" s="9" t="str">
        <f>IF(Legger!BL44="","",Legger!BL44)</f>
        <v/>
      </c>
      <c r="Q42" s="9" t="str">
        <f>IF(Legger!BR44="","",Legger!BR44)</f>
        <v/>
      </c>
      <c r="R42" s="9" t="str">
        <f>IF(Legger!BX44="","",Legger!BX44)</f>
        <v/>
      </c>
      <c r="S42" s="9" t="str">
        <f>IF(Legger!CD44="","",Legger!CD44)</f>
        <v/>
      </c>
      <c r="T42" s="9" t="str">
        <f>IF(Legger!CJ44="","",Legger!CJ44)</f>
        <v/>
      </c>
      <c r="U42" s="9" t="str">
        <f>IF(Legger!CP44="","",Legger!CP44)</f>
        <v/>
      </c>
      <c r="V42" s="9" t="str">
        <f>IF(Legger!CV44="","",Legger!CV44)</f>
        <v/>
      </c>
      <c r="W42" s="9" t="str">
        <f>IF(Setting!J41="","",SUM(G42:V42))</f>
        <v/>
      </c>
      <c r="X42" s="9" t="str">
        <f>IF(Setting!J41="","",RANK(W42,$W$7:$W$46))</f>
        <v/>
      </c>
    </row>
    <row r="43" spans="1:124">
      <c r="A43" s="44">
        <v>37</v>
      </c>
      <c r="B43" s="45" t="str">
        <f>IF(Setting!J42="","",Setting!J42)</f>
        <v/>
      </c>
      <c r="C43" s="46" t="str">
        <f>IF(Setting!J42="","",Setting!K42)</f>
        <v/>
      </c>
      <c r="D43" s="46" t="str">
        <f>IF(Setting!J42="","",Setting!L42)</f>
        <v/>
      </c>
      <c r="E43" s="9" t="str">
        <f>IF(Setting!J42="","",Setting!$E$11)</f>
        <v/>
      </c>
      <c r="F43" s="9" t="str">
        <f>IF(Setting!J42="","",Setting!$E$15)</f>
        <v/>
      </c>
      <c r="G43" s="9" t="str">
        <f>IF(Legger!J45="","",Legger!J45)</f>
        <v/>
      </c>
      <c r="H43" s="9" t="str">
        <f>IF(Legger!P45="","",Legger!P45)</f>
        <v/>
      </c>
      <c r="I43" s="9" t="str">
        <f>IF(Legger!V45="","",Legger!V45)</f>
        <v/>
      </c>
      <c r="J43" s="9" t="str">
        <f>IF(Legger!AB45="","",Legger!AB45)</f>
        <v/>
      </c>
      <c r="K43" s="9" t="str">
        <f>IF(Legger!AH45="","",Legger!AH45)</f>
        <v/>
      </c>
      <c r="L43" s="9" t="str">
        <f>IF(Legger!AN45="","",Legger!AN45)</f>
        <v/>
      </c>
      <c r="M43" s="9" t="str">
        <f>IF(Legger!AT45="","",Legger!AT45)</f>
        <v/>
      </c>
      <c r="N43" s="161" t="str">
        <f>IF(Legger!AZ45="","",Legger!AZ45)</f>
        <v/>
      </c>
      <c r="O43" s="9" t="str">
        <f>IF(Legger!BF45="","",Legger!BF45)</f>
        <v/>
      </c>
      <c r="P43" s="9" t="str">
        <f>IF(Legger!BL45="","",Legger!BL45)</f>
        <v/>
      </c>
      <c r="Q43" s="9" t="str">
        <f>IF(Legger!BR45="","",Legger!BR45)</f>
        <v/>
      </c>
      <c r="R43" s="9" t="str">
        <f>IF(Legger!BX45="","",Legger!BX45)</f>
        <v/>
      </c>
      <c r="S43" s="9" t="str">
        <f>IF(Legger!CD45="","",Legger!CD45)</f>
        <v/>
      </c>
      <c r="T43" s="9" t="str">
        <f>IF(Legger!CJ45="","",Legger!CJ45)</f>
        <v/>
      </c>
      <c r="U43" s="9" t="str">
        <f>IF(Legger!CP45="","",Legger!CP45)</f>
        <v/>
      </c>
      <c r="V43" s="9" t="str">
        <f>IF(Legger!CV45="","",Legger!CV45)</f>
        <v/>
      </c>
      <c r="W43" s="9" t="str">
        <f>IF(Setting!J42="","",SUM(G43:V43))</f>
        <v/>
      </c>
      <c r="X43" s="9" t="str">
        <f>IF(Setting!J42="","",RANK(W43,$W$7:$W$46))</f>
        <v/>
      </c>
    </row>
    <row r="44" spans="1:124">
      <c r="A44" s="44">
        <v>38</v>
      </c>
      <c r="B44" s="45" t="str">
        <f>IF(Setting!J43="","",Setting!J43)</f>
        <v/>
      </c>
      <c r="C44" s="46" t="str">
        <f>IF(Setting!J43="","",Setting!K43)</f>
        <v/>
      </c>
      <c r="D44" s="46" t="str">
        <f>IF(Setting!J43="","",Setting!L43)</f>
        <v/>
      </c>
      <c r="E44" s="9" t="str">
        <f>IF(Setting!J43="","",Setting!$E$11)</f>
        <v/>
      </c>
      <c r="F44" s="9" t="str">
        <f>IF(Setting!J43="","",Setting!$E$15)</f>
        <v/>
      </c>
      <c r="G44" s="9" t="str">
        <f>IF(Legger!J46="","",Legger!J46)</f>
        <v/>
      </c>
      <c r="H44" s="9" t="str">
        <f>IF(Legger!P46="","",Legger!P46)</f>
        <v/>
      </c>
      <c r="I44" s="9" t="str">
        <f>IF(Legger!V46="","",Legger!V46)</f>
        <v/>
      </c>
      <c r="J44" s="9" t="str">
        <f>IF(Legger!AB46="","",Legger!AB46)</f>
        <v/>
      </c>
      <c r="K44" s="9" t="str">
        <f>IF(Legger!AH46="","",Legger!AH46)</f>
        <v/>
      </c>
      <c r="L44" s="9" t="str">
        <f>IF(Legger!AN46="","",Legger!AN46)</f>
        <v/>
      </c>
      <c r="M44" s="9" t="str">
        <f>IF(Legger!AT46="","",Legger!AT46)</f>
        <v/>
      </c>
      <c r="N44" s="161" t="str">
        <f>IF(Legger!AZ46="","",Legger!AZ46)</f>
        <v/>
      </c>
      <c r="O44" s="9" t="str">
        <f>IF(Legger!BF46="","",Legger!BF46)</f>
        <v/>
      </c>
      <c r="P44" s="9" t="str">
        <f>IF(Legger!BL46="","",Legger!BL46)</f>
        <v/>
      </c>
      <c r="Q44" s="9" t="str">
        <f>IF(Legger!BR46="","",Legger!BR46)</f>
        <v/>
      </c>
      <c r="R44" s="9" t="str">
        <f>IF(Legger!BX46="","",Legger!BX46)</f>
        <v/>
      </c>
      <c r="S44" s="9" t="str">
        <f>IF(Legger!CD46="","",Legger!CD46)</f>
        <v/>
      </c>
      <c r="T44" s="9" t="str">
        <f>IF(Legger!CJ46="","",Legger!CJ46)</f>
        <v/>
      </c>
      <c r="U44" s="9" t="str">
        <f>IF(Legger!CP46="","",Legger!CP46)</f>
        <v/>
      </c>
      <c r="V44" s="9" t="str">
        <f>IF(Legger!CV46="","",Legger!CV46)</f>
        <v/>
      </c>
      <c r="W44" s="9" t="str">
        <f>IF(Setting!J43="","",SUM(G44:V44))</f>
        <v/>
      </c>
      <c r="X44" s="9" t="str">
        <f>IF(Setting!J43="","",RANK(W44,$W$7:$W$46))</f>
        <v/>
      </c>
    </row>
    <row r="45" spans="1:124">
      <c r="A45" s="44">
        <v>39</v>
      </c>
      <c r="B45" s="45" t="str">
        <f>IF(Setting!J44="","",Setting!J44)</f>
        <v/>
      </c>
      <c r="C45" s="46" t="str">
        <f>IF(Setting!J44="","",Setting!K44)</f>
        <v/>
      </c>
      <c r="D45" s="46" t="str">
        <f>IF(Setting!J44="","",Setting!L44)</f>
        <v/>
      </c>
      <c r="E45" s="9" t="str">
        <f>IF(Setting!J44="","",Setting!$E$11)</f>
        <v/>
      </c>
      <c r="F45" s="9" t="str">
        <f>IF(Setting!J44="","",Setting!$E$15)</f>
        <v/>
      </c>
      <c r="G45" s="9" t="str">
        <f>IF(Legger!J47="","",Legger!J47)</f>
        <v/>
      </c>
      <c r="H45" s="9" t="str">
        <f>IF(Legger!P47="","",Legger!P47)</f>
        <v/>
      </c>
      <c r="I45" s="9" t="str">
        <f>IF(Legger!V47="","",Legger!V47)</f>
        <v/>
      </c>
      <c r="J45" s="9" t="str">
        <f>IF(Legger!AB47="","",Legger!AB47)</f>
        <v/>
      </c>
      <c r="K45" s="9" t="str">
        <f>IF(Legger!AH47="","",Legger!AH47)</f>
        <v/>
      </c>
      <c r="L45" s="9" t="str">
        <f>IF(Legger!AN47="","",Legger!AN47)</f>
        <v/>
      </c>
      <c r="M45" s="9" t="str">
        <f>IF(Legger!AT47="","",Legger!AT47)</f>
        <v/>
      </c>
      <c r="N45" s="161" t="str">
        <f>IF(Legger!AZ47="","",Legger!AZ47)</f>
        <v/>
      </c>
      <c r="O45" s="9" t="str">
        <f>IF(Legger!BF47="","",Legger!BF47)</f>
        <v/>
      </c>
      <c r="P45" s="9" t="str">
        <f>IF(Legger!BL47="","",Legger!BL47)</f>
        <v/>
      </c>
      <c r="Q45" s="9" t="str">
        <f>IF(Legger!BR47="","",Legger!BR47)</f>
        <v/>
      </c>
      <c r="R45" s="9" t="str">
        <f>IF(Legger!BX47="","",Legger!BX47)</f>
        <v/>
      </c>
      <c r="S45" s="9" t="str">
        <f>IF(Legger!CD47="","",Legger!CD47)</f>
        <v/>
      </c>
      <c r="T45" s="9" t="str">
        <f>IF(Legger!CJ47="","",Legger!CJ47)</f>
        <v/>
      </c>
      <c r="U45" s="9" t="str">
        <f>IF(Legger!CP47="","",Legger!CP47)</f>
        <v/>
      </c>
      <c r="V45" s="9" t="str">
        <f>IF(Legger!CV47="","",Legger!CV47)</f>
        <v/>
      </c>
      <c r="W45" s="9" t="str">
        <f>IF(Setting!J44="","",SUM(G45:V45))</f>
        <v/>
      </c>
      <c r="X45" s="9" t="str">
        <f>IF(Setting!J44="","",RANK(W45,$W$7:$W$46))</f>
        <v/>
      </c>
    </row>
    <row r="46" spans="1:124">
      <c r="A46" s="44">
        <v>40</v>
      </c>
      <c r="B46" s="45" t="str">
        <f>IF(Setting!J45="","",Setting!J45)</f>
        <v/>
      </c>
      <c r="C46" s="46" t="str">
        <f>IF(Setting!J45="","",Setting!K45)</f>
        <v/>
      </c>
      <c r="D46" s="46" t="str">
        <f>IF(Setting!J45="","",Setting!L45)</f>
        <v/>
      </c>
      <c r="E46" s="9" t="str">
        <f>IF(Setting!J45="","",Setting!$E$11)</f>
        <v/>
      </c>
      <c r="F46" s="9" t="str">
        <f>IF(Setting!J45="","",Setting!$E$15)</f>
        <v/>
      </c>
      <c r="G46" s="9" t="str">
        <f>IF(Legger!J48="","",Legger!J48)</f>
        <v/>
      </c>
      <c r="H46" s="9" t="str">
        <f>IF(Legger!P48="","",Legger!P48)</f>
        <v/>
      </c>
      <c r="I46" s="9" t="str">
        <f>IF(Legger!V48="","",Legger!V48)</f>
        <v/>
      </c>
      <c r="J46" s="9" t="str">
        <f>IF(Legger!AB48="","",Legger!AB48)</f>
        <v/>
      </c>
      <c r="K46" s="9" t="str">
        <f>IF(Legger!AH48="","",Legger!AH48)</f>
        <v/>
      </c>
      <c r="L46" s="9" t="str">
        <f>IF(Legger!AN48="","",Legger!AN48)</f>
        <v/>
      </c>
      <c r="M46" s="9" t="str">
        <f>IF(Legger!AT48="","",Legger!AT48)</f>
        <v/>
      </c>
      <c r="N46" s="161" t="str">
        <f>IF(Legger!AZ48="","",Legger!AZ48)</f>
        <v/>
      </c>
      <c r="O46" s="9" t="str">
        <f>IF(Legger!BF48="","",Legger!BF48)</f>
        <v/>
      </c>
      <c r="P46" s="9" t="str">
        <f>IF(Legger!BL48="","",Legger!BL48)</f>
        <v/>
      </c>
      <c r="Q46" s="9" t="str">
        <f>IF(Legger!BR48="","",Legger!BR48)</f>
        <v/>
      </c>
      <c r="R46" s="9" t="str">
        <f>IF(Legger!BX48="","",Legger!BX48)</f>
        <v/>
      </c>
      <c r="S46" s="9" t="str">
        <f>IF(Legger!CD48="","",Legger!CD48)</f>
        <v/>
      </c>
      <c r="T46" s="9" t="str">
        <f>IF(Legger!CJ48="","",Legger!CJ48)</f>
        <v/>
      </c>
      <c r="U46" s="9" t="str">
        <f>IF(Legger!CP48="","",Legger!CP48)</f>
        <v/>
      </c>
      <c r="V46" s="9" t="str">
        <f>IF(Legger!CV48="","",Legger!CV48)</f>
        <v/>
      </c>
      <c r="W46" s="9" t="str">
        <f>IF(Setting!J45="","",SUM(G46:V46))</f>
        <v/>
      </c>
      <c r="X46" s="9" t="str">
        <f>IF(Setting!J45="","",RANK(W46,$W$7:$W$46))</f>
        <v/>
      </c>
    </row>
    <row r="47" spans="1:124" s="4" customFormat="1">
      <c r="A47" s="14"/>
      <c r="B47" s="38"/>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row>
  </sheetData>
  <mergeCells count="12">
    <mergeCell ref="W4:W5"/>
    <mergeCell ref="X4:X5"/>
    <mergeCell ref="G4:L4"/>
    <mergeCell ref="M4:P4"/>
    <mergeCell ref="Q4:T4"/>
    <mergeCell ref="U4:V4"/>
    <mergeCell ref="F4:F5"/>
    <mergeCell ref="A4:A5"/>
    <mergeCell ref="B4:B5"/>
    <mergeCell ref="C4:C5"/>
    <mergeCell ref="D4:D5"/>
    <mergeCell ref="E4:E5"/>
  </mergeCells>
  <pageMargins left="0.70866141732283505" right="0.70866141732283505" top="0.74803149606299202" bottom="0.74803149606299202" header="0.31496062992126" footer="0.31496062992126"/>
  <pageSetup paperSize="120" scale="4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S47"/>
  <sheetViews>
    <sheetView view="pageBreakPreview" zoomScaleNormal="60" zoomScaleSheetLayoutView="100" workbookViewId="0">
      <pane xSplit="5" topLeftCell="F1" activePane="topRight" state="frozenSplit"/>
      <selection pane="topRight"/>
    </sheetView>
  </sheetViews>
  <sheetFormatPr defaultColWidth="9.140625" defaultRowHeight="15"/>
  <cols>
    <col min="1" max="1" width="6.42578125" style="14" customWidth="1"/>
    <col min="2" max="2" width="32.5703125" customWidth="1"/>
    <col min="3" max="3" width="9.140625" style="4" customWidth="1"/>
    <col min="4" max="4" width="20.140625" style="4" customWidth="1"/>
    <col min="5" max="5" width="23" customWidth="1"/>
    <col min="6" max="6" width="8.140625" customWidth="1"/>
    <col min="7" max="20" width="6.7109375" customWidth="1"/>
    <col min="21" max="22" width="7" customWidth="1"/>
    <col min="23" max="24" width="6.7109375" customWidth="1"/>
  </cols>
  <sheetData>
    <row r="1" spans="1:24" ht="13.5" customHeight="1">
      <c r="A1"/>
    </row>
    <row r="2" spans="1:24" ht="26.25">
      <c r="A2"/>
      <c r="C2" s="5" t="str">
        <f>"Ranking Siswa Per Mapel dan Dalam Kelas "&amp;Setting!E5&amp;" Semester "&amp;Setting!E15&amp;" "&amp;Home!K19&amp;" Kelas "&amp;Setting!E11&amp;""</f>
        <v>Ranking Siswa Per Mapel dan Dalam Kelas SMA ABBS Surakarta Semester I  Kelas X.MIPA 4</v>
      </c>
    </row>
    <row r="4" spans="1:24" s="13" customFormat="1" ht="32.25" customHeight="1">
      <c r="A4" s="169" t="s">
        <v>0</v>
      </c>
      <c r="B4" s="171" t="s">
        <v>1</v>
      </c>
      <c r="C4" s="168" t="s">
        <v>2</v>
      </c>
      <c r="D4" s="168" t="s">
        <v>3</v>
      </c>
      <c r="E4" s="168" t="s">
        <v>4</v>
      </c>
      <c r="F4" s="168" t="s">
        <v>5</v>
      </c>
      <c r="G4" s="172" t="s">
        <v>6</v>
      </c>
      <c r="H4" s="172"/>
      <c r="I4" s="172"/>
      <c r="J4" s="172"/>
      <c r="K4" s="172"/>
      <c r="L4" s="172"/>
      <c r="M4" s="173" t="s">
        <v>7</v>
      </c>
      <c r="N4" s="173"/>
      <c r="O4" s="173"/>
      <c r="P4" s="173"/>
      <c r="Q4" s="174" t="s">
        <v>27</v>
      </c>
      <c r="R4" s="172"/>
      <c r="S4" s="172"/>
      <c r="T4" s="172"/>
      <c r="U4" s="175" t="s">
        <v>28</v>
      </c>
      <c r="V4" s="175"/>
      <c r="W4" s="168" t="s">
        <v>29</v>
      </c>
      <c r="X4" s="168" t="s">
        <v>30</v>
      </c>
    </row>
    <row r="5" spans="1:24" s="39" customFormat="1" ht="87.75" customHeight="1">
      <c r="A5" s="170"/>
      <c r="B5" s="171"/>
      <c r="C5" s="168"/>
      <c r="D5" s="168"/>
      <c r="E5" s="168"/>
      <c r="F5" s="168"/>
      <c r="G5" s="154" t="s">
        <v>12</v>
      </c>
      <c r="H5" s="155" t="s">
        <v>13</v>
      </c>
      <c r="I5" s="156" t="s">
        <v>14</v>
      </c>
      <c r="J5" s="155" t="s">
        <v>15</v>
      </c>
      <c r="K5" s="155" t="s">
        <v>16</v>
      </c>
      <c r="L5" s="155" t="s">
        <v>17</v>
      </c>
      <c r="M5" s="157" t="s">
        <v>18</v>
      </c>
      <c r="N5" s="158" t="s">
        <v>19</v>
      </c>
      <c r="O5" s="158" t="s">
        <v>20</v>
      </c>
      <c r="P5" s="158" t="s">
        <v>21</v>
      </c>
      <c r="Q5" s="159" t="s">
        <v>15</v>
      </c>
      <c r="R5" s="159" t="s">
        <v>22</v>
      </c>
      <c r="S5" s="159" t="s">
        <v>23</v>
      </c>
      <c r="T5" s="159" t="s">
        <v>24</v>
      </c>
      <c r="U5" s="160" t="s">
        <v>17</v>
      </c>
      <c r="V5" s="160" t="s">
        <v>25</v>
      </c>
      <c r="W5" s="168"/>
      <c r="X5" s="168"/>
    </row>
    <row r="6" spans="1:24" s="40" customFormat="1" ht="30" customHeight="1">
      <c r="A6" s="41">
        <v>1</v>
      </c>
      <c r="B6" s="41">
        <v>2</v>
      </c>
      <c r="C6" s="43">
        <v>3</v>
      </c>
      <c r="D6" s="41">
        <v>4</v>
      </c>
      <c r="E6" s="43">
        <v>5</v>
      </c>
      <c r="F6" s="43">
        <v>6</v>
      </c>
      <c r="G6" s="47">
        <v>7</v>
      </c>
      <c r="H6" s="47">
        <v>8</v>
      </c>
      <c r="I6" s="47">
        <v>9</v>
      </c>
      <c r="J6" s="47">
        <v>10</v>
      </c>
      <c r="K6" s="47">
        <v>11</v>
      </c>
      <c r="L6" s="47">
        <v>12</v>
      </c>
      <c r="M6" s="54">
        <v>13</v>
      </c>
      <c r="N6" s="54">
        <v>14</v>
      </c>
      <c r="O6" s="54">
        <v>15</v>
      </c>
      <c r="P6" s="54">
        <v>16</v>
      </c>
      <c r="Q6" s="47">
        <v>17</v>
      </c>
      <c r="R6" s="47">
        <v>18</v>
      </c>
      <c r="S6" s="47">
        <v>19</v>
      </c>
      <c r="T6" s="47">
        <v>20</v>
      </c>
      <c r="U6" s="55">
        <v>21</v>
      </c>
      <c r="V6" s="55">
        <v>22</v>
      </c>
      <c r="W6" s="41">
        <v>23</v>
      </c>
      <c r="X6" s="41">
        <v>24</v>
      </c>
    </row>
    <row r="7" spans="1:24">
      <c r="A7" s="44">
        <v>1</v>
      </c>
      <c r="B7" s="45" t="str">
        <f>IF(Setting!J6="","",Setting!J6)</f>
        <v>Abdul Fattah Irfan Al Mubaroq</v>
      </c>
      <c r="C7" s="46">
        <f>IF(Setting!K6="","",Setting!K6)</f>
        <v>2008004</v>
      </c>
      <c r="D7" s="164" t="str">
        <f>IF(Setting!L6="","",Setting!L6)</f>
        <v>0047308275</v>
      </c>
      <c r="E7" s="9" t="str">
        <f>IF(B7="","",Setting!$E$11)</f>
        <v>X.MIPA 4</v>
      </c>
      <c r="F7" s="9" t="str">
        <f>IF(B7="","",Setting!$E$15)</f>
        <v>I</v>
      </c>
      <c r="G7" s="9">
        <f>IF($B7="","",RANK('Legger Dinas'!G7,'Legger Dinas'!G$7:G$46))</f>
        <v>21</v>
      </c>
      <c r="H7" s="9">
        <f>IF($B7="","",RANK('Legger Dinas'!H7,'Legger Dinas'!H$7:H$46))</f>
        <v>27</v>
      </c>
      <c r="I7" s="9">
        <f>IF($B7="","",RANK('Legger Dinas'!I7,'Legger Dinas'!I$7:I$46))</f>
        <v>23</v>
      </c>
      <c r="J7" s="9">
        <f>IF($B7="","",RANK('Legger Dinas'!J7,'Legger Dinas'!J$7:J$46))</f>
        <v>20</v>
      </c>
      <c r="K7" s="9">
        <f>IF($B7="","",RANK('Legger Dinas'!K7,'Legger Dinas'!K$7:K$46))</f>
        <v>22</v>
      </c>
      <c r="L7" s="9">
        <f>IF($B7="","",RANK('Legger Dinas'!L7,'Legger Dinas'!L$7:L$46))</f>
        <v>11</v>
      </c>
      <c r="M7" s="9">
        <f>IF($B7="","",RANK('Legger Dinas'!M7,'Legger Dinas'!M$7:M$46))</f>
        <v>7</v>
      </c>
      <c r="N7" s="9">
        <f>IF($B7="","",RANK('Legger Dinas'!N7,'Legger Dinas'!N$7:N$46))</f>
        <v>25</v>
      </c>
      <c r="O7" s="9">
        <f>IF($B7="","",RANK('Legger Dinas'!O7,'Legger Dinas'!O$7:O$46))</f>
        <v>9</v>
      </c>
      <c r="P7" s="9">
        <f>IF($B7="","",RANK('Legger Dinas'!P7,'Legger Dinas'!P$7:P$46))</f>
        <v>23</v>
      </c>
      <c r="Q7" s="9">
        <f>IF($B7="","",RANK('Legger Dinas'!Q7,'Legger Dinas'!Q$7:Q$46))</f>
        <v>23</v>
      </c>
      <c r="R7" s="9">
        <f>IF($B7="","",RANK('Legger Dinas'!R7,'Legger Dinas'!R$7:R$46))</f>
        <v>22</v>
      </c>
      <c r="S7" s="9">
        <f>IF($B7="","",RANK('Legger Dinas'!S7,'Legger Dinas'!S$7:S$46))</f>
        <v>29</v>
      </c>
      <c r="T7" s="9">
        <f>IF($B7="","",RANK('Legger Dinas'!T7,'Legger Dinas'!T$7:T$46))</f>
        <v>20</v>
      </c>
      <c r="U7" s="9">
        <f>IF(Setting!$E$15="V","",IF(Setting!$E$15="VI","",RANK('Legger Dinas'!U7,'Legger Dinas'!U$7:U$46)))</f>
        <v>8</v>
      </c>
      <c r="V7" s="9">
        <f>IF($B7="","",RANK('Legger Dinas'!V7,'Legger Dinas'!V$7:V$46))</f>
        <v>10</v>
      </c>
      <c r="W7" s="31">
        <f>IF($B7="","",SUM('Legger Dinas'!G7:V7))</f>
        <v>1363</v>
      </c>
      <c r="X7" s="31">
        <f>IF($B7="","",RANK(W7,$W$7:$W$46))</f>
        <v>25</v>
      </c>
    </row>
    <row r="8" spans="1:24">
      <c r="A8" s="44">
        <v>2</v>
      </c>
      <c r="B8" s="45" t="str">
        <f>IF(Setting!J7="","",Setting!J7)</f>
        <v>Adam Zidane Danata Pranugroho</v>
      </c>
      <c r="C8" s="46">
        <f>IF(Setting!K7="","",Setting!K7)</f>
        <v>2008009</v>
      </c>
      <c r="D8" s="164" t="str">
        <f>IF(Setting!L7="","",Setting!L7)</f>
        <v>0051700957</v>
      </c>
      <c r="E8" s="9" t="str">
        <f>IF(B8="","",Setting!$E$11)</f>
        <v>X.MIPA 4</v>
      </c>
      <c r="F8" s="9" t="str">
        <f>IF(B8="","",Setting!$E$15)</f>
        <v>I</v>
      </c>
      <c r="G8" s="9">
        <f>IF($B8="","",RANK('Legger Dinas'!G8,'Legger Dinas'!G$7:G$46))</f>
        <v>4</v>
      </c>
      <c r="H8" s="9">
        <f>IF($B8="","",RANK('Legger Dinas'!H8,'Legger Dinas'!H$7:H$46))</f>
        <v>14</v>
      </c>
      <c r="I8" s="9">
        <f>IF($B8="","",RANK('Legger Dinas'!I8,'Legger Dinas'!I$7:I$46))</f>
        <v>12</v>
      </c>
      <c r="J8" s="9">
        <f>IF($B8="","",RANK('Legger Dinas'!J8,'Legger Dinas'!J$7:J$46))</f>
        <v>4</v>
      </c>
      <c r="K8" s="9">
        <f>IF($B8="","",RANK('Legger Dinas'!K8,'Legger Dinas'!K$7:K$46))</f>
        <v>2</v>
      </c>
      <c r="L8" s="9">
        <f>IF($B8="","",RANK('Legger Dinas'!L8,'Legger Dinas'!L$7:L$46))</f>
        <v>1</v>
      </c>
      <c r="M8" s="9">
        <f>IF($B8="","",RANK('Legger Dinas'!M8,'Legger Dinas'!M$7:M$46))</f>
        <v>1</v>
      </c>
      <c r="N8" s="9">
        <f>IF($B8="","",RANK('Legger Dinas'!N8,'Legger Dinas'!N$7:N$46))</f>
        <v>6</v>
      </c>
      <c r="O8" s="9">
        <f>IF($B8="","",RANK('Legger Dinas'!O8,'Legger Dinas'!O$7:O$46))</f>
        <v>5</v>
      </c>
      <c r="P8" s="9">
        <f>IF($B8="","",RANK('Legger Dinas'!P8,'Legger Dinas'!P$7:P$46))</f>
        <v>11</v>
      </c>
      <c r="Q8" s="9">
        <f>IF($B8="","",RANK('Legger Dinas'!Q8,'Legger Dinas'!Q$7:Q$46))</f>
        <v>15</v>
      </c>
      <c r="R8" s="9">
        <f>IF($B8="","",RANK('Legger Dinas'!R8,'Legger Dinas'!R$7:R$46))</f>
        <v>1</v>
      </c>
      <c r="S8" s="9">
        <f>IF($B8="","",RANK('Legger Dinas'!S8,'Legger Dinas'!S$7:S$46))</f>
        <v>2</v>
      </c>
      <c r="T8" s="9">
        <f>IF($B8="","",RANK('Legger Dinas'!T8,'Legger Dinas'!T$7:T$46))</f>
        <v>1</v>
      </c>
      <c r="U8" s="9">
        <f>IF(Setting!$E$15="V","",IF(Setting!$E$15="VI","",RANK('Legger Dinas'!U8,'Legger Dinas'!U$7:U$46)))</f>
        <v>2</v>
      </c>
      <c r="V8" s="9">
        <f>IF($B8="","",RANK('Legger Dinas'!V8,'Legger Dinas'!V$7:V$46))</f>
        <v>2</v>
      </c>
      <c r="W8" s="31">
        <f>IF($B8="","",SUM('Legger Dinas'!G8:V8))</f>
        <v>1429</v>
      </c>
      <c r="X8" s="31">
        <f t="shared" ref="X8:X46" si="0">IF($B8="","",RANK(W8,$W$7:$W$46))</f>
        <v>4</v>
      </c>
    </row>
    <row r="9" spans="1:24">
      <c r="A9" s="44">
        <v>3</v>
      </c>
      <c r="B9" s="45" t="str">
        <f>IF(Setting!J8="","",Setting!J8)</f>
        <v>Ahmad Fikry</v>
      </c>
      <c r="C9" s="46">
        <f>IF(Setting!K8="","",Setting!K8)</f>
        <v>2008021</v>
      </c>
      <c r="D9" s="164" t="str">
        <f>IF(Setting!L8="","",Setting!L8)</f>
        <v xml:space="preserve">0050998196 </v>
      </c>
      <c r="E9" s="9" t="str">
        <f>IF(B9="","",Setting!$E$11)</f>
        <v>X.MIPA 4</v>
      </c>
      <c r="F9" s="9" t="str">
        <f>IF(B9="","",Setting!$E$15)</f>
        <v>I</v>
      </c>
      <c r="G9" s="9">
        <v>15</v>
      </c>
      <c r="H9" s="9">
        <f>IF($B9="","",RANK('Legger Dinas'!H9,'Legger Dinas'!H$7:H$46))</f>
        <v>14</v>
      </c>
      <c r="I9" s="9">
        <f>IF($B9="","",RANK('Legger Dinas'!I9,'Legger Dinas'!I$7:I$46))</f>
        <v>1</v>
      </c>
      <c r="J9" s="9">
        <f>IF($B9="","",RANK('Legger Dinas'!J9,'Legger Dinas'!J$7:J$46))</f>
        <v>15</v>
      </c>
      <c r="K9" s="9">
        <f>IF($B9="","",RANK('Legger Dinas'!K9,'Legger Dinas'!K$7:K$46))</f>
        <v>7</v>
      </c>
      <c r="L9" s="9">
        <f>IF($B9="","",RANK('Legger Dinas'!L9,'Legger Dinas'!L$7:L$46))</f>
        <v>3</v>
      </c>
      <c r="M9" s="9">
        <f>IF($B9="","",RANK('Legger Dinas'!M9,'Legger Dinas'!M$7:M$46))</f>
        <v>1</v>
      </c>
      <c r="N9" s="9">
        <f>IF($B9="","",RANK('Legger Dinas'!N9,'Legger Dinas'!N$7:N$46))</f>
        <v>6</v>
      </c>
      <c r="O9" s="9">
        <f>IF($B9="","",RANK('Legger Dinas'!O9,'Legger Dinas'!O$7:O$46))</f>
        <v>17</v>
      </c>
      <c r="P9" s="9">
        <f>IF($B9="","",RANK('Legger Dinas'!P9,'Legger Dinas'!P$7:P$46))</f>
        <v>1</v>
      </c>
      <c r="Q9" s="9">
        <f>IF($B9="","",RANK('Legger Dinas'!Q9,'Legger Dinas'!Q$7:Q$46))</f>
        <v>1</v>
      </c>
      <c r="R9" s="9">
        <f>IF($B9="","",RANK('Legger Dinas'!R9,'Legger Dinas'!R$7:R$46))</f>
        <v>7</v>
      </c>
      <c r="S9" s="9">
        <f>IF($B9="","",RANK('Legger Dinas'!S9,'Legger Dinas'!S$7:S$46))</f>
        <v>2</v>
      </c>
      <c r="T9" s="9">
        <f>IF($B9="","",RANK('Legger Dinas'!T9,'Legger Dinas'!T$7:T$46))</f>
        <v>11</v>
      </c>
      <c r="U9" s="9">
        <v>19</v>
      </c>
      <c r="V9" s="9">
        <f>IF($B9="","",RANK('Legger Dinas'!V9,'Legger Dinas'!V$7:V$46))</f>
        <v>16</v>
      </c>
      <c r="W9" s="31">
        <f>IF($B9="","",SUM('Legger Dinas'!G9:V9))</f>
        <v>1410</v>
      </c>
      <c r="X9" s="31">
        <f t="shared" si="0"/>
        <v>9</v>
      </c>
    </row>
    <row r="10" spans="1:24">
      <c r="A10" s="44">
        <v>4</v>
      </c>
      <c r="B10" s="45" t="str">
        <f>IF(Setting!J9="","",Setting!J9)</f>
        <v>Akhmad Rifki Assegaf</v>
      </c>
      <c r="C10" s="46">
        <f>IF(Setting!K9="","",Setting!K9)</f>
        <v>2008029</v>
      </c>
      <c r="D10" s="164" t="str">
        <f>IF(Setting!L9="","",Setting!L9)</f>
        <v xml:space="preserve">0058425358 </v>
      </c>
      <c r="E10" s="9" t="str">
        <f>IF(B10="","",Setting!$E$11)</f>
        <v>X.MIPA 4</v>
      </c>
      <c r="F10" s="9" t="str">
        <f>IF(B10="","",Setting!$E$15)</f>
        <v>I</v>
      </c>
      <c r="G10" s="9">
        <f>IF($B10="","",RANK('Legger Dinas'!G10,'Legger Dinas'!G$7:G$46))</f>
        <v>1</v>
      </c>
      <c r="H10" s="9">
        <f>IF($B10="","",RANK('Legger Dinas'!H10,'Legger Dinas'!H$7:H$46))</f>
        <v>4</v>
      </c>
      <c r="I10" s="9">
        <f>IF($B10="","",RANK('Legger Dinas'!I10,'Legger Dinas'!I$7:I$46))</f>
        <v>12</v>
      </c>
      <c r="J10" s="9">
        <f>IF($B10="","",RANK('Legger Dinas'!J10,'Legger Dinas'!J$7:J$46))</f>
        <v>2</v>
      </c>
      <c r="K10" s="9">
        <f>IF($B10="","",RANK('Legger Dinas'!K10,'Legger Dinas'!K$7:K$46))</f>
        <v>4</v>
      </c>
      <c r="L10" s="9">
        <f>IF($B10="","",RANK('Legger Dinas'!L10,'Legger Dinas'!L$7:L$46))</f>
        <v>1</v>
      </c>
      <c r="M10" s="9">
        <f>IF($B10="","",RANK('Legger Dinas'!M10,'Legger Dinas'!M$7:M$46))</f>
        <v>7</v>
      </c>
      <c r="N10" s="9">
        <f>IF($B10="","",RANK('Legger Dinas'!N10,'Legger Dinas'!N$7:N$46))</f>
        <v>6</v>
      </c>
      <c r="O10" s="9">
        <f>IF($B10="","",RANK('Legger Dinas'!O10,'Legger Dinas'!O$7:O$46))</f>
        <v>5</v>
      </c>
      <c r="P10" s="9">
        <f>IF($B10="","",RANK('Legger Dinas'!P10,'Legger Dinas'!P$7:P$46))</f>
        <v>11</v>
      </c>
      <c r="Q10" s="9">
        <f>IF($B10="","",RANK('Legger Dinas'!Q10,'Legger Dinas'!Q$7:Q$46))</f>
        <v>1</v>
      </c>
      <c r="R10" s="9">
        <f>IF($B10="","",RANK('Legger Dinas'!R10,'Legger Dinas'!R$7:R$46))</f>
        <v>1</v>
      </c>
      <c r="S10" s="9">
        <f>IF($B10="","",RANK('Legger Dinas'!S10,'Legger Dinas'!S$7:S$46))</f>
        <v>16</v>
      </c>
      <c r="T10" s="9">
        <f>IF($B10="","",RANK('Legger Dinas'!T10,'Legger Dinas'!T$7:T$46))</f>
        <v>2</v>
      </c>
      <c r="U10" s="9">
        <f>IF(Setting!$E$15="V","",IF(Setting!$E$15="VI","",RANK('Legger Dinas'!U10,'Legger Dinas'!U$7:U$46)))</f>
        <v>1</v>
      </c>
      <c r="V10" s="9">
        <f>IF($B10="","",RANK('Legger Dinas'!V10,'Legger Dinas'!V$7:V$46))</f>
        <v>2</v>
      </c>
      <c r="W10" s="31">
        <f>IF($B10="","",SUM('Legger Dinas'!G10:V10))</f>
        <v>1434</v>
      </c>
      <c r="X10" s="31">
        <f t="shared" si="0"/>
        <v>1</v>
      </c>
    </row>
    <row r="11" spans="1:24">
      <c r="A11" s="44">
        <v>5</v>
      </c>
      <c r="B11" s="45" t="str">
        <f>IF(Setting!J10="","",Setting!J10)</f>
        <v>Almas Sabih Wahindra</v>
      </c>
      <c r="C11" s="46">
        <f>IF(Setting!K10="","",Setting!K10)</f>
        <v>2008034</v>
      </c>
      <c r="D11" s="164" t="str">
        <f>IF(Setting!L10="","",Setting!L10)</f>
        <v>0059000208</v>
      </c>
      <c r="E11" s="9" t="str">
        <f>IF(B11="","",Setting!$E$11)</f>
        <v>X.MIPA 4</v>
      </c>
      <c r="F11" s="9" t="str">
        <f>IF(B11="","",Setting!$E$15)</f>
        <v>I</v>
      </c>
      <c r="G11" s="9">
        <f>IF($B11="","",RANK('Legger Dinas'!G11,'Legger Dinas'!G$7:G$46))</f>
        <v>15</v>
      </c>
      <c r="H11" s="9">
        <f>IF($B11="","",RANK('Legger Dinas'!H11,'Legger Dinas'!H$7:H$46))</f>
        <v>4</v>
      </c>
      <c r="I11" s="9">
        <f>IF($B11="","",RANK('Legger Dinas'!I11,'Legger Dinas'!I$7:I$46))</f>
        <v>17</v>
      </c>
      <c r="J11" s="9">
        <f>IF($B11="","",RANK('Legger Dinas'!J11,'Legger Dinas'!J$7:J$46))</f>
        <v>18</v>
      </c>
      <c r="K11" s="9">
        <f>IF($B11="","",RANK('Legger Dinas'!K11,'Legger Dinas'!K$7:K$46))</f>
        <v>26</v>
      </c>
      <c r="L11" s="9">
        <f>IF($B11="","",RANK('Legger Dinas'!L11,'Legger Dinas'!L$7:L$46))</f>
        <v>26</v>
      </c>
      <c r="M11" s="9">
        <f>IF($B11="","",RANK('Legger Dinas'!M11,'Legger Dinas'!M$7:M$46))</f>
        <v>7</v>
      </c>
      <c r="N11" s="9">
        <f>IF($B11="","",RANK('Legger Dinas'!N11,'Legger Dinas'!N$7:N$46))</f>
        <v>19</v>
      </c>
      <c r="O11" s="9">
        <f>IF($B11="","",RANK('Legger Dinas'!O11,'Legger Dinas'!O$7:O$46))</f>
        <v>20</v>
      </c>
      <c r="P11" s="9">
        <f>IF($B11="","",RANK('Legger Dinas'!P11,'Legger Dinas'!P$7:P$46))</f>
        <v>17</v>
      </c>
      <c r="Q11" s="9">
        <f>IF($B11="","",RANK('Legger Dinas'!Q11,'Legger Dinas'!Q$7:Q$46))</f>
        <v>15</v>
      </c>
      <c r="R11" s="9">
        <f>IF($B11="","",RANK('Legger Dinas'!R11,'Legger Dinas'!R$7:R$46))</f>
        <v>7</v>
      </c>
      <c r="S11" s="9">
        <f>IF($B11="","",RANK('Legger Dinas'!S11,'Legger Dinas'!S$7:S$46))</f>
        <v>20</v>
      </c>
      <c r="T11" s="9">
        <f>IF($B11="","",RANK('Legger Dinas'!T11,'Legger Dinas'!T$7:T$46))</f>
        <v>20</v>
      </c>
      <c r="U11" s="9">
        <f>IF(Setting!$E$15="V","",IF(Setting!$E$15="VI","",RANK('Legger Dinas'!U11,'Legger Dinas'!U$7:U$46)))</f>
        <v>26</v>
      </c>
      <c r="V11" s="9">
        <f>IF($B11="","",RANK('Legger Dinas'!V11,'Legger Dinas'!V$7:V$46))</f>
        <v>10</v>
      </c>
      <c r="W11" s="31">
        <f>IF($B11="","",SUM('Legger Dinas'!G11:V11))</f>
        <v>1378</v>
      </c>
      <c r="X11" s="31">
        <f t="shared" si="0"/>
        <v>20</v>
      </c>
    </row>
    <row r="12" spans="1:24">
      <c r="A12" s="44">
        <v>6</v>
      </c>
      <c r="B12" s="45" t="str">
        <f>IF(Setting!J11="","",Setting!J11)</f>
        <v>Aria Fenha Apri Bima</v>
      </c>
      <c r="C12" s="46">
        <f>IF(Setting!K11="","",Setting!K11)</f>
        <v>2008054</v>
      </c>
      <c r="D12" s="164" t="str">
        <f>IF(Setting!L11="","",Setting!L11)</f>
        <v>0058068365</v>
      </c>
      <c r="E12" s="9" t="str">
        <f>IF(B12="","",Setting!$E$11)</f>
        <v>X.MIPA 4</v>
      </c>
      <c r="F12" s="9" t="str">
        <f>IF(B12="","",Setting!$E$15)</f>
        <v>I</v>
      </c>
      <c r="G12" s="9">
        <f>IF($B12="","",RANK('Legger Dinas'!G12,'Legger Dinas'!G$7:G$46))</f>
        <v>4</v>
      </c>
      <c r="H12" s="9">
        <f>IF($B12="","",RANK('Legger Dinas'!H12,'Legger Dinas'!H$7:H$46))</f>
        <v>1</v>
      </c>
      <c r="I12" s="9">
        <f>IF($B12="","",RANK('Legger Dinas'!I12,'Legger Dinas'!I$7:I$46))</f>
        <v>1</v>
      </c>
      <c r="J12" s="9">
        <f>IF($B12="","",RANK('Legger Dinas'!J12,'Legger Dinas'!J$7:J$46))</f>
        <v>1</v>
      </c>
      <c r="K12" s="9">
        <f>IF($B12="","",RANK('Legger Dinas'!K12,'Legger Dinas'!K$7:K$46))</f>
        <v>4</v>
      </c>
      <c r="L12" s="9">
        <f>IF($B12="","",RANK('Legger Dinas'!L12,'Legger Dinas'!L$7:L$46))</f>
        <v>7</v>
      </c>
      <c r="M12" s="9">
        <f>IF($B12="","",RANK('Legger Dinas'!M12,'Legger Dinas'!M$7:M$46))</f>
        <v>7</v>
      </c>
      <c r="N12" s="9">
        <f>IF($B12="","",RANK('Legger Dinas'!N12,'Legger Dinas'!N$7:N$46))</f>
        <v>6</v>
      </c>
      <c r="O12" s="9">
        <f>IF($B12="","",RANK('Legger Dinas'!O12,'Legger Dinas'!O$7:O$46))</f>
        <v>9</v>
      </c>
      <c r="P12" s="9">
        <f>IF($B12="","",RANK('Legger Dinas'!P12,'Legger Dinas'!P$7:P$46))</f>
        <v>1</v>
      </c>
      <c r="Q12" s="9">
        <f>IF($B12="","",RANK('Legger Dinas'!Q12,'Legger Dinas'!Q$7:Q$46))</f>
        <v>1</v>
      </c>
      <c r="R12" s="9">
        <f>IF($B12="","",RANK('Legger Dinas'!R12,'Legger Dinas'!R$7:R$46))</f>
        <v>7</v>
      </c>
      <c r="S12" s="9">
        <f>IF($B12="","",RANK('Legger Dinas'!S12,'Legger Dinas'!S$7:S$46))</f>
        <v>1</v>
      </c>
      <c r="T12" s="9">
        <f>IF($B12="","",RANK('Legger Dinas'!T12,'Legger Dinas'!T$7:T$46))</f>
        <v>11</v>
      </c>
      <c r="U12" s="9">
        <f>IF(Setting!$E$15="V","",IF(Setting!$E$15="VI","",RANK('Legger Dinas'!U12,'Legger Dinas'!U$7:U$46)))</f>
        <v>2</v>
      </c>
      <c r="V12" s="9">
        <f>IF($B12="","",RANK('Legger Dinas'!V12,'Legger Dinas'!V$7:V$46))</f>
        <v>2</v>
      </c>
      <c r="W12" s="31">
        <f>IF($B12="","",SUM('Legger Dinas'!G12:V12))</f>
        <v>1430</v>
      </c>
      <c r="X12" s="31">
        <f t="shared" si="0"/>
        <v>3</v>
      </c>
    </row>
    <row r="13" spans="1:24">
      <c r="A13" s="44">
        <v>7</v>
      </c>
      <c r="B13" s="45" t="str">
        <f>IF(Setting!J12="","",Setting!J12)</f>
        <v>Baharuddin Barkah Pratama</v>
      </c>
      <c r="C13" s="46">
        <f>IF(Setting!K12="","",Setting!K12)</f>
        <v>2008075</v>
      </c>
      <c r="D13" s="164" t="str">
        <f>IF(Setting!L12="","",Setting!L12)</f>
        <v>0024374235</v>
      </c>
      <c r="E13" s="9" t="str">
        <f>IF(B13="","",Setting!$E$11)</f>
        <v>X.MIPA 4</v>
      </c>
      <c r="F13" s="9" t="str">
        <f>IF(B13="","",Setting!$E$15)</f>
        <v>I</v>
      </c>
      <c r="G13" s="9">
        <f>IF($B13="","",RANK('Legger Dinas'!G13,'Legger Dinas'!G$7:G$46))</f>
        <v>25</v>
      </c>
      <c r="H13" s="9">
        <f>IF($B13="","",RANK('Legger Dinas'!H13,'Legger Dinas'!H$7:H$46))</f>
        <v>27</v>
      </c>
      <c r="I13" s="9">
        <f>IF($B13="","",RANK('Legger Dinas'!I13,'Legger Dinas'!I$7:I$46))</f>
        <v>32</v>
      </c>
      <c r="J13" s="9">
        <f>IF($B13="","",RANK('Legger Dinas'!J13,'Legger Dinas'!J$7:J$46))</f>
        <v>20</v>
      </c>
      <c r="K13" s="9">
        <f>IF($B13="","",RANK('Legger Dinas'!K13,'Legger Dinas'!K$7:K$46))</f>
        <v>25</v>
      </c>
      <c r="L13" s="9">
        <f>IF($B13="","",RANK('Legger Dinas'!L13,'Legger Dinas'!L$7:L$46))</f>
        <v>26</v>
      </c>
      <c r="M13" s="9">
        <f>IF($B13="","",RANK('Legger Dinas'!M13,'Legger Dinas'!M$7:M$46))</f>
        <v>1</v>
      </c>
      <c r="N13" s="9">
        <f>IF($B13="","",RANK('Legger Dinas'!N13,'Legger Dinas'!N$7:N$46))</f>
        <v>31</v>
      </c>
      <c r="O13" s="9">
        <f>IF($B13="","",RANK('Legger Dinas'!O13,'Legger Dinas'!O$7:O$46))</f>
        <v>28</v>
      </c>
      <c r="P13" s="9">
        <f>IF($B13="","",RANK('Legger Dinas'!P13,'Legger Dinas'!P$7:P$46))</f>
        <v>32</v>
      </c>
      <c r="Q13" s="9">
        <f>IF($B13="","",RANK('Legger Dinas'!Q13,'Legger Dinas'!Q$7:Q$46))</f>
        <v>29</v>
      </c>
      <c r="R13" s="9">
        <f>IF($B13="","",RANK('Legger Dinas'!R13,'Legger Dinas'!R$7:R$46))</f>
        <v>25</v>
      </c>
      <c r="S13" s="9">
        <f>IF($B13="","",RANK('Legger Dinas'!S13,'Legger Dinas'!S$7:S$46))</f>
        <v>32</v>
      </c>
      <c r="T13" s="9">
        <f>IF($B13="","",RANK('Legger Dinas'!T13,'Legger Dinas'!T$7:T$46))</f>
        <v>29</v>
      </c>
      <c r="U13" s="9">
        <f>IF(Setting!$E$15="V","",IF(Setting!$E$15="VI","",RANK('Legger Dinas'!U13,'Legger Dinas'!U$7:U$46)))</f>
        <v>26</v>
      </c>
      <c r="V13" s="9">
        <f>IF($B13="","",RANK('Legger Dinas'!V13,'Legger Dinas'!V$7:V$46))</f>
        <v>21</v>
      </c>
      <c r="W13" s="31">
        <f>IF($B13="","",SUM('Legger Dinas'!G13:V13))</f>
        <v>1330</v>
      </c>
      <c r="X13" s="31">
        <f t="shared" si="0"/>
        <v>31</v>
      </c>
    </row>
    <row r="14" spans="1:24">
      <c r="A14" s="44">
        <v>8</v>
      </c>
      <c r="B14" s="45" t="str">
        <f>IF(Setting!J13="","",Setting!J13)</f>
        <v>Daffa Arya Pudyastungkara</v>
      </c>
      <c r="C14" s="46">
        <f>IF(Setting!K13="","",Setting!K13)</f>
        <v>2008089</v>
      </c>
      <c r="D14" s="164" t="str">
        <f>IF(Setting!L13="","",Setting!L13)</f>
        <v>0043620048</v>
      </c>
      <c r="E14" s="9" t="str">
        <f>IF(B14="","",Setting!$E$11)</f>
        <v>X.MIPA 4</v>
      </c>
      <c r="F14" s="9" t="str">
        <f>IF(B14="","",Setting!$E$15)</f>
        <v>I</v>
      </c>
      <c r="G14" s="9">
        <f>IF($B14="","",RANK('Legger Dinas'!G14,'Legger Dinas'!G$7:G$46))</f>
        <v>4</v>
      </c>
      <c r="H14" s="9">
        <f>IF($B14="","",RANK('Legger Dinas'!H14,'Legger Dinas'!H$7:H$46))</f>
        <v>1</v>
      </c>
      <c r="I14" s="9">
        <f>IF($B14="","",RANK('Legger Dinas'!I14,'Legger Dinas'!I$7:I$46))</f>
        <v>1</v>
      </c>
      <c r="J14" s="9">
        <f>IF($B14="","",RANK('Legger Dinas'!J14,'Legger Dinas'!J$7:J$46))</f>
        <v>9</v>
      </c>
      <c r="K14" s="9">
        <f>IF($B14="","",RANK('Legger Dinas'!K14,'Legger Dinas'!K$7:K$46))</f>
        <v>7</v>
      </c>
      <c r="L14" s="9">
        <f>IF($B14="","",RANK('Legger Dinas'!L14,'Legger Dinas'!L$7:L$46))</f>
        <v>7</v>
      </c>
      <c r="M14" s="9">
        <f>IF($B14="","",RANK('Legger Dinas'!M14,'Legger Dinas'!M$7:M$46))</f>
        <v>7</v>
      </c>
      <c r="N14" s="9">
        <f>IF($B14="","",RANK('Legger Dinas'!N14,'Legger Dinas'!N$7:N$46))</f>
        <v>6</v>
      </c>
      <c r="O14" s="9">
        <f>IF($B14="","",RANK('Legger Dinas'!O14,'Legger Dinas'!O$7:O$46))</f>
        <v>9</v>
      </c>
      <c r="P14" s="9">
        <f>IF($B14="","",RANK('Legger Dinas'!P14,'Legger Dinas'!P$7:P$46))</f>
        <v>1</v>
      </c>
      <c r="Q14" s="9">
        <f>IF($B14="","",RANK('Legger Dinas'!Q14,'Legger Dinas'!Q$7:Q$46))</f>
        <v>1</v>
      </c>
      <c r="R14" s="9">
        <f>IF($B14="","",RANK('Legger Dinas'!R14,'Legger Dinas'!R$7:R$46))</f>
        <v>3</v>
      </c>
      <c r="S14" s="9">
        <f>IF($B14="","",RANK('Legger Dinas'!S14,'Legger Dinas'!S$7:S$46))</f>
        <v>7</v>
      </c>
      <c r="T14" s="9">
        <f>IF($B14="","",RANK('Legger Dinas'!T14,'Legger Dinas'!T$7:T$46))</f>
        <v>6</v>
      </c>
      <c r="U14" s="9">
        <f>IF(Setting!$E$15="V","",IF(Setting!$E$15="VI","",RANK('Legger Dinas'!U14,'Legger Dinas'!U$7:U$46)))</f>
        <v>8</v>
      </c>
      <c r="V14" s="9">
        <f>IF($B14="","",RANK('Legger Dinas'!V14,'Legger Dinas'!V$7:V$46))</f>
        <v>2</v>
      </c>
      <c r="W14" s="31">
        <f>IF($B14="","",SUM('Legger Dinas'!G14:V14))</f>
        <v>1422</v>
      </c>
      <c r="X14" s="31">
        <f t="shared" si="0"/>
        <v>6</v>
      </c>
    </row>
    <row r="15" spans="1:24">
      <c r="A15" s="44">
        <v>9</v>
      </c>
      <c r="B15" s="45" t="str">
        <f>IF(Setting!J14="","",Setting!J14)</f>
        <v>Dody Muhammad Pasha</v>
      </c>
      <c r="C15" s="46">
        <f>IF(Setting!K14="","",Setting!K14)</f>
        <v>2008095</v>
      </c>
      <c r="D15" s="164" t="str">
        <f>IF(Setting!L14="","",Setting!L14)</f>
        <v>0053814584</v>
      </c>
      <c r="E15" s="9" t="str">
        <f>IF(B15="","",Setting!$E$11)</f>
        <v>X.MIPA 4</v>
      </c>
      <c r="F15" s="9" t="str">
        <f>IF(B15="","",Setting!$E$15)</f>
        <v>I</v>
      </c>
      <c r="G15" s="9">
        <f>IF($B15="","",RANK('Legger Dinas'!G15,'Legger Dinas'!G$7:G$46))</f>
        <v>1</v>
      </c>
      <c r="H15" s="9">
        <f>IF($B15="","",RANK('Legger Dinas'!H15,'Legger Dinas'!H$7:H$46))</f>
        <v>4</v>
      </c>
      <c r="I15" s="9">
        <f>IF($B15="","",RANK('Legger Dinas'!I15,'Legger Dinas'!I$7:I$46))</f>
        <v>1</v>
      </c>
      <c r="J15" s="9">
        <f>IF($B15="","",RANK('Legger Dinas'!J15,'Legger Dinas'!J$7:J$46))</f>
        <v>8</v>
      </c>
      <c r="K15" s="9">
        <f>IF($B15="","",RANK('Legger Dinas'!K15,'Legger Dinas'!K$7:K$46))</f>
        <v>1</v>
      </c>
      <c r="L15" s="9">
        <f>IF($B15="","",RANK('Legger Dinas'!L15,'Legger Dinas'!L$7:L$46))</f>
        <v>3</v>
      </c>
      <c r="M15" s="9">
        <f>IF($B15="","",RANK('Legger Dinas'!M15,'Legger Dinas'!M$7:M$46))</f>
        <v>1</v>
      </c>
      <c r="N15" s="9">
        <f>IF($B15="","",RANK('Legger Dinas'!N15,'Legger Dinas'!N$7:N$46))</f>
        <v>1</v>
      </c>
      <c r="O15" s="9">
        <f>IF($B15="","",RANK('Legger Dinas'!O15,'Legger Dinas'!O$7:O$46))</f>
        <v>2</v>
      </c>
      <c r="P15" s="9">
        <f>IF($B15="","",RANK('Legger Dinas'!P15,'Legger Dinas'!P$7:P$46))</f>
        <v>11</v>
      </c>
      <c r="Q15" s="9">
        <f>IF($B15="","",RANK('Legger Dinas'!Q15,'Legger Dinas'!Q$7:Q$46))</f>
        <v>8</v>
      </c>
      <c r="R15" s="9">
        <f>IF($B15="","",RANK('Legger Dinas'!R15,'Legger Dinas'!R$7:R$46))</f>
        <v>18</v>
      </c>
      <c r="S15" s="9">
        <f>IF($B15="","",RANK('Legger Dinas'!S15,'Legger Dinas'!S$7:S$46))</f>
        <v>16</v>
      </c>
      <c r="T15" s="9">
        <f>IF($B15="","",RANK('Legger Dinas'!T15,'Legger Dinas'!T$7:T$46))</f>
        <v>2</v>
      </c>
      <c r="U15" s="9">
        <f>IF(Setting!$E$15="V","",IF(Setting!$E$15="VI","",RANK('Legger Dinas'!U15,'Legger Dinas'!U$7:U$46)))</f>
        <v>5</v>
      </c>
      <c r="V15" s="9">
        <f>IF($B15="","",RANK('Legger Dinas'!V15,'Legger Dinas'!V$7:V$46))</f>
        <v>2</v>
      </c>
      <c r="W15" s="31">
        <f>IF($B15="","",SUM('Legger Dinas'!G15:V15))</f>
        <v>1429</v>
      </c>
      <c r="X15" s="31">
        <f t="shared" si="0"/>
        <v>4</v>
      </c>
    </row>
    <row r="16" spans="1:24">
      <c r="A16" s="44">
        <v>10</v>
      </c>
      <c r="B16" s="45" t="str">
        <f>IF(Setting!J15="","",Setting!J15)</f>
        <v>Elga Perdana</v>
      </c>
      <c r="C16" s="46">
        <f>IF(Setting!K15="","",Setting!K15)</f>
        <v>2008099</v>
      </c>
      <c r="D16" s="164" t="str">
        <f>IF(Setting!L15="","",Setting!L15)</f>
        <v>0054718584</v>
      </c>
      <c r="E16" s="9" t="str">
        <f>IF(B16="","",Setting!$E$11)</f>
        <v>X.MIPA 4</v>
      </c>
      <c r="F16" s="9" t="str">
        <f>IF(B16="","",Setting!$E$15)</f>
        <v>I</v>
      </c>
      <c r="G16" s="9">
        <f>IF($B16="","",RANK('Legger Dinas'!G16,'Legger Dinas'!G$7:G$46))</f>
        <v>30</v>
      </c>
      <c r="H16" s="9">
        <f>IF($B16="","",RANK('Legger Dinas'!H16,'Legger Dinas'!H$7:H$46))</f>
        <v>27</v>
      </c>
      <c r="I16" s="9">
        <f>IF($B16="","",RANK('Legger Dinas'!I16,'Legger Dinas'!I$7:I$46))</f>
        <v>12</v>
      </c>
      <c r="J16" s="9">
        <f>IF($B16="","",RANK('Legger Dinas'!J16,'Legger Dinas'!J$7:J$46))</f>
        <v>20</v>
      </c>
      <c r="K16" s="9">
        <v>31</v>
      </c>
      <c r="L16" s="9">
        <f>IF($B16="","",RANK('Legger Dinas'!L16,'Legger Dinas'!L$7:L$46))</f>
        <v>19</v>
      </c>
      <c r="M16" s="9">
        <f>IF($B16="","",RANK('Legger Dinas'!M16,'Legger Dinas'!M$7:M$46))</f>
        <v>29</v>
      </c>
      <c r="N16" s="9">
        <f>IF($B16="","",RANK('Legger Dinas'!N16,'Legger Dinas'!N$7:N$46))</f>
        <v>19</v>
      </c>
      <c r="O16" s="9">
        <f>IF($B16="","",RANK('Legger Dinas'!O16,'Legger Dinas'!O$7:O$46))</f>
        <v>30</v>
      </c>
      <c r="P16" s="9">
        <f>IF($B16="","",RANK('Legger Dinas'!P16,'Legger Dinas'!P$7:P$46))</f>
        <v>11</v>
      </c>
      <c r="Q16" s="9">
        <f>IF($B16="","",RANK('Legger Dinas'!Q16,'Legger Dinas'!Q$7:Q$46))</f>
        <v>29</v>
      </c>
      <c r="R16" s="9">
        <f>IF($B16="","",RANK('Legger Dinas'!R16,'Legger Dinas'!R$7:R$46))</f>
        <v>7</v>
      </c>
      <c r="S16" s="9">
        <f>IF($B16="","",RANK('Legger Dinas'!S16,'Legger Dinas'!S$7:S$46))</f>
        <v>27</v>
      </c>
      <c r="T16" s="9">
        <f>IF($B16="","",RANK('Legger Dinas'!T16,'Legger Dinas'!T$7:T$46))</f>
        <v>32</v>
      </c>
      <c r="U16" s="9">
        <f>IF(Setting!$E$15="V","",IF(Setting!$E$15="VI","",RANK('Legger Dinas'!U16,'Legger Dinas'!U$7:U$46)))</f>
        <v>22</v>
      </c>
      <c r="V16" s="9">
        <v>23</v>
      </c>
      <c r="W16" s="31">
        <f>IF($B16="","",SUM('Legger Dinas'!G16:V16))</f>
        <v>1346</v>
      </c>
      <c r="X16" s="31">
        <f t="shared" si="0"/>
        <v>28</v>
      </c>
    </row>
    <row r="17" spans="1:24">
      <c r="A17" s="44">
        <v>11</v>
      </c>
      <c r="B17" s="45" t="str">
        <f>IF(Setting!J16="","",Setting!J16)</f>
        <v>Fathoni Daniswara</v>
      </c>
      <c r="C17" s="46">
        <f>IF(Setting!K16="","",Setting!K16)</f>
        <v>2008118</v>
      </c>
      <c r="D17" s="164" t="str">
        <f>IF(Setting!L16="","",Setting!L16)</f>
        <v>0057882873</v>
      </c>
      <c r="E17" s="9" t="str">
        <f>IF(B17="","",Setting!$E$11)</f>
        <v>X.MIPA 4</v>
      </c>
      <c r="F17" s="9" t="str">
        <f>IF(B17="","",Setting!$E$15)</f>
        <v>I</v>
      </c>
      <c r="G17" s="9">
        <f>IF($B17="","",RANK('Legger Dinas'!G17,'Legger Dinas'!G$7:G$46))</f>
        <v>4</v>
      </c>
      <c r="H17" s="9">
        <v>4</v>
      </c>
      <c r="I17" s="9">
        <f>IF($B17="","",RANK('Legger Dinas'!I17,'Legger Dinas'!I$7:I$46))</f>
        <v>1</v>
      </c>
      <c r="J17" s="9">
        <f>IF($B17="","",RANK('Legger Dinas'!J17,'Legger Dinas'!J$7:J$46))</f>
        <v>4</v>
      </c>
      <c r="K17" s="9">
        <f>IF($B17="","",RANK('Legger Dinas'!K17,'Legger Dinas'!K$7:K$46))</f>
        <v>7</v>
      </c>
      <c r="L17" s="9">
        <f>IF($B17="","",RANK('Legger Dinas'!L17,'Legger Dinas'!L$7:L$46))</f>
        <v>19</v>
      </c>
      <c r="M17" s="9">
        <f>IF($B17="","",RANK('Legger Dinas'!M17,'Legger Dinas'!M$7:M$46))</f>
        <v>7</v>
      </c>
      <c r="N17" s="9">
        <f>IF($B17="","",RANK('Legger Dinas'!N17,'Legger Dinas'!N$7:N$46))</f>
        <v>3</v>
      </c>
      <c r="O17" s="9">
        <f>IF($B17="","",RANK('Legger Dinas'!O17,'Legger Dinas'!O$7:O$46))</f>
        <v>9</v>
      </c>
      <c r="P17" s="9">
        <f>IF($B17="","",RANK('Legger Dinas'!P17,'Legger Dinas'!P$7:P$46))</f>
        <v>1</v>
      </c>
      <c r="Q17" s="9">
        <f>IF($B17="","",RANK('Legger Dinas'!Q17,'Legger Dinas'!Q$7:Q$46))</f>
        <v>7</v>
      </c>
      <c r="R17" s="9">
        <f>IF($B17="","",RANK('Legger Dinas'!R17,'Legger Dinas'!R$7:R$46))</f>
        <v>5</v>
      </c>
      <c r="S17" s="9">
        <f>IF($B17="","",RANK('Legger Dinas'!S17,'Legger Dinas'!S$7:S$46))</f>
        <v>16</v>
      </c>
      <c r="T17" s="9">
        <f>IF($B17="","",RANK('Legger Dinas'!T17,'Legger Dinas'!T$7:T$46))</f>
        <v>6</v>
      </c>
      <c r="U17" s="9">
        <f>IF(Setting!$E$15="V","",IF(Setting!$E$15="VI","",RANK('Legger Dinas'!U17,'Legger Dinas'!U$7:U$46)))</f>
        <v>16</v>
      </c>
      <c r="V17" s="9">
        <f>IF($B17="","",RANK('Legger Dinas'!V17,'Legger Dinas'!V$7:V$46))</f>
        <v>16</v>
      </c>
      <c r="W17" s="31">
        <f>IF($B17="","",SUM('Legger Dinas'!G17:V17))</f>
        <v>1415</v>
      </c>
      <c r="X17" s="31">
        <f t="shared" si="0"/>
        <v>8</v>
      </c>
    </row>
    <row r="18" spans="1:24">
      <c r="A18" s="44">
        <v>12</v>
      </c>
      <c r="B18" s="45" t="str">
        <f>IF(Setting!J17="","",Setting!J17)</f>
        <v>Gading Setyo Manunggal</v>
      </c>
      <c r="C18" s="46">
        <f>IF(Setting!K17="","",Setting!K17)</f>
        <v>2008127</v>
      </c>
      <c r="D18" s="164" t="str">
        <f>IF(Setting!L17="","",Setting!L17)</f>
        <v>0052532940</v>
      </c>
      <c r="E18" s="9" t="str">
        <f>IF(B18="","",Setting!$E$11)</f>
        <v>X.MIPA 4</v>
      </c>
      <c r="F18" s="9" t="str">
        <f>IF(B18="","",Setting!$E$15)</f>
        <v>I</v>
      </c>
      <c r="G18" s="9">
        <f>IF($B18="","",RANK('Legger Dinas'!G18,'Legger Dinas'!G$7:G$46))</f>
        <v>10</v>
      </c>
      <c r="H18" s="9">
        <f>IF($B18="","",RANK('Legger Dinas'!H18,'Legger Dinas'!H$7:H$46))</f>
        <v>23</v>
      </c>
      <c r="I18" s="9">
        <f>IF($B18="","",RANK('Legger Dinas'!I18,'Legger Dinas'!I$7:I$46))</f>
        <v>23</v>
      </c>
      <c r="J18" s="9">
        <f>IF($B18="","",RANK('Legger Dinas'!J18,'Legger Dinas'!J$7:J$46))</f>
        <v>20</v>
      </c>
      <c r="K18" s="9">
        <f>IF($B18="","",RANK('Legger Dinas'!K18,'Legger Dinas'!K$7:K$46))</f>
        <v>22</v>
      </c>
      <c r="L18" s="9">
        <f>IF($B18="","",RANK('Legger Dinas'!L18,'Legger Dinas'!L$7:L$46))</f>
        <v>26</v>
      </c>
      <c r="M18" s="9">
        <f>IF($B18="","",RANK('Legger Dinas'!M18,'Legger Dinas'!M$7:M$46))</f>
        <v>29</v>
      </c>
      <c r="N18" s="9">
        <f>IF($B18="","",RANK('Legger Dinas'!N18,'Legger Dinas'!N$7:N$46))</f>
        <v>17</v>
      </c>
      <c r="O18" s="9">
        <f>IF($B18="","",RANK('Legger Dinas'!O18,'Legger Dinas'!O$7:O$46))</f>
        <v>26</v>
      </c>
      <c r="P18" s="9">
        <f>IF($B18="","",RANK('Legger Dinas'!P18,'Legger Dinas'!P$7:P$46))</f>
        <v>23</v>
      </c>
      <c r="Q18" s="9">
        <f>IF($B18="","",RANK('Legger Dinas'!Q18,'Legger Dinas'!Q$7:Q$46))</f>
        <v>21</v>
      </c>
      <c r="R18" s="9">
        <v>19</v>
      </c>
      <c r="S18" s="9">
        <f>IF($B18="","",RANK('Legger Dinas'!S18,'Legger Dinas'!S$7:S$46))</f>
        <v>25</v>
      </c>
      <c r="T18" s="9">
        <f>IF($B18="","",RANK('Legger Dinas'!T18,'Legger Dinas'!T$7:T$46))</f>
        <v>20</v>
      </c>
      <c r="U18" s="9">
        <f>IF(Setting!$E$15="V","",IF(Setting!$E$15="VI","",RANK('Legger Dinas'!U18,'Legger Dinas'!U$7:U$46)))</f>
        <v>26</v>
      </c>
      <c r="V18" s="9">
        <f>IF($B18="","",RANK('Legger Dinas'!V18,'Legger Dinas'!V$7:V$46))</f>
        <v>10</v>
      </c>
      <c r="W18" s="31">
        <f>IF($B18="","",SUM('Legger Dinas'!G18:V18))</f>
        <v>1360</v>
      </c>
      <c r="X18" s="31">
        <f t="shared" si="0"/>
        <v>26</v>
      </c>
    </row>
    <row r="19" spans="1:24">
      <c r="A19" s="44">
        <v>13</v>
      </c>
      <c r="B19" s="45" t="str">
        <f>IF(Setting!J18="","",Setting!J18)</f>
        <v>Ghifari Mabrur Al Burhani</v>
      </c>
      <c r="C19" s="46">
        <f>IF(Setting!K18="","",Setting!K18)</f>
        <v>2008128</v>
      </c>
      <c r="D19" s="164" t="str">
        <f>IF(Setting!L18="","",Setting!L18)</f>
        <v>0068080234</v>
      </c>
      <c r="E19" s="9" t="str">
        <f>IF(B19="","",Setting!$E$11)</f>
        <v>X.MIPA 4</v>
      </c>
      <c r="F19" s="9" t="str">
        <f>IF(B19="","",Setting!$E$15)</f>
        <v>I</v>
      </c>
      <c r="G19" s="9">
        <f>IF($B19="","",RANK('Legger Dinas'!G19,'Legger Dinas'!G$7:G$46))</f>
        <v>28</v>
      </c>
      <c r="H19" s="9">
        <f>IF($B19="","",RANK('Legger Dinas'!H19,'Legger Dinas'!H$7:H$46))</f>
        <v>14</v>
      </c>
      <c r="I19" s="9">
        <f>IF($B19="","",RANK('Legger Dinas'!I19,'Legger Dinas'!I$7:I$46))</f>
        <v>28</v>
      </c>
      <c r="J19" s="9">
        <f>IF($B19="","",RANK('Legger Dinas'!J19,'Legger Dinas'!J$7:J$46))</f>
        <v>20</v>
      </c>
      <c r="K19" s="9">
        <f>IF($B19="","",RANK('Legger Dinas'!K19,'Legger Dinas'!K$7:K$46))</f>
        <v>15</v>
      </c>
      <c r="L19" s="9">
        <f>IF($B19="","",RANK('Legger Dinas'!L19,'Legger Dinas'!L$7:L$46))</f>
        <v>3</v>
      </c>
      <c r="M19" s="9">
        <v>15</v>
      </c>
      <c r="N19" s="9">
        <f>IF($B19="","",RANK('Legger Dinas'!N19,'Legger Dinas'!N$7:N$46))</f>
        <v>6</v>
      </c>
      <c r="O19" s="9">
        <f>IF($B19="","",RANK('Legger Dinas'!O19,'Legger Dinas'!O$7:O$46))</f>
        <v>20</v>
      </c>
      <c r="P19" s="9">
        <f>IF($B19="","",RANK('Legger Dinas'!P19,'Legger Dinas'!P$7:P$46))</f>
        <v>28</v>
      </c>
      <c r="Q19" s="9">
        <f>IF($B19="","",RANK('Legger Dinas'!Q19,'Legger Dinas'!Q$7:Q$46))</f>
        <v>21</v>
      </c>
      <c r="R19" s="9">
        <f>IF($B19="","",RANK('Legger Dinas'!R19,'Legger Dinas'!R$7:R$46))</f>
        <v>25</v>
      </c>
      <c r="S19" s="9">
        <f>IF($B19="","",RANK('Legger Dinas'!S19,'Legger Dinas'!S$7:S$46))</f>
        <v>29</v>
      </c>
      <c r="T19" s="9">
        <f>IF($B19="","",RANK('Legger Dinas'!T19,'Legger Dinas'!T$7:T$46))</f>
        <v>18</v>
      </c>
      <c r="U19" s="9">
        <f>IF(Setting!$E$15="V","",IF(Setting!$E$15="VI","",RANK('Legger Dinas'!U19,'Legger Dinas'!U$7:U$46)))</f>
        <v>8</v>
      </c>
      <c r="V19" s="9">
        <f>IF($B19="","",RANK('Legger Dinas'!V19,'Legger Dinas'!V$7:V$46))</f>
        <v>23</v>
      </c>
      <c r="W19" s="31">
        <f>IF($B19="","",SUM('Legger Dinas'!G19:V19))</f>
        <v>1364</v>
      </c>
      <c r="X19" s="31">
        <f t="shared" si="0"/>
        <v>23</v>
      </c>
    </row>
    <row r="20" spans="1:24">
      <c r="A20" s="44">
        <v>14</v>
      </c>
      <c r="B20" s="45" t="str">
        <f>IF(Setting!J19="","",Setting!J19)</f>
        <v>Hafid Mahreza Ilham</v>
      </c>
      <c r="C20" s="46">
        <f>IF(Setting!K19="","",Setting!K19)</f>
        <v>2008131</v>
      </c>
      <c r="D20" s="164" t="str">
        <f>IF(Setting!L19="","",Setting!L19)</f>
        <v xml:space="preserve"> 0058288476</v>
      </c>
      <c r="E20" s="9" t="s">
        <v>31</v>
      </c>
      <c r="F20" s="9" t="str">
        <f>IF(B20="","",Setting!$E$15)</f>
        <v>I</v>
      </c>
      <c r="G20" s="9">
        <f>IF($B20="","",RANK('Legger Dinas'!G20,'Legger Dinas'!G$7:G$46))</f>
        <v>29</v>
      </c>
      <c r="H20" s="9">
        <f>IF($B20="","",RANK('Legger Dinas'!H20,'Legger Dinas'!H$7:H$46))</f>
        <v>27</v>
      </c>
      <c r="I20" s="9">
        <f>IF($B20="","",RANK('Legger Dinas'!I20,'Legger Dinas'!I$7:I$46))</f>
        <v>29</v>
      </c>
      <c r="J20" s="9">
        <f>IF($B20="","",RANK('Legger Dinas'!J20,'Legger Dinas'!J$7:J$46))</f>
        <v>20</v>
      </c>
      <c r="K20" s="9">
        <f>IF($B20="","",RANK('Legger Dinas'!K20,'Legger Dinas'!K$7:K$46))</f>
        <v>26</v>
      </c>
      <c r="L20" s="9">
        <f>IF($B20="","",RANK('Legger Dinas'!L20,'Legger Dinas'!L$7:L$46))</f>
        <v>32</v>
      </c>
      <c r="M20" s="9">
        <f>IF($B20="","",RANK('Legger Dinas'!M20,'Legger Dinas'!M$7:M$46))</f>
        <v>29</v>
      </c>
      <c r="N20" s="9">
        <v>25</v>
      </c>
      <c r="O20" s="9">
        <f>IF($B20="","",RANK('Legger Dinas'!O20,'Legger Dinas'!O$7:O$46))</f>
        <v>30</v>
      </c>
      <c r="P20" s="9">
        <f>IF($B20="","",RANK('Legger Dinas'!P20,'Legger Dinas'!P$7:P$46))</f>
        <v>29</v>
      </c>
      <c r="Q20" s="9">
        <f>IF($B20="","",RANK('Legger Dinas'!Q20,'Legger Dinas'!Q$7:Q$46))</f>
        <v>29</v>
      </c>
      <c r="R20" s="9">
        <f>IF($B20="","",RANK('Legger Dinas'!R20,'Legger Dinas'!R$7:R$46))</f>
        <v>31</v>
      </c>
      <c r="S20" s="9">
        <f>IF($B20="","",RANK('Legger Dinas'!S20,'Legger Dinas'!S$7:S$46))</f>
        <v>27</v>
      </c>
      <c r="T20" s="9">
        <f>IF($B20="","",RANK('Legger Dinas'!T20,'Legger Dinas'!T$7:T$46))</f>
        <v>31</v>
      </c>
      <c r="U20" s="9">
        <f>IF(Setting!$E$15="V","",IF(Setting!$E$15="VI","",RANK('Legger Dinas'!U20,'Legger Dinas'!U$7:U$46)))</f>
        <v>32</v>
      </c>
      <c r="V20" s="9">
        <f>IF($B20="","",RANK('Legger Dinas'!V20,'Legger Dinas'!V$7:V$46))</f>
        <v>32</v>
      </c>
      <c r="W20" s="31">
        <f>IF($B20="","",SUM('Legger Dinas'!G20:V20))</f>
        <v>1314</v>
      </c>
      <c r="X20" s="31">
        <f t="shared" si="0"/>
        <v>32</v>
      </c>
    </row>
    <row r="21" spans="1:24">
      <c r="A21" s="44">
        <v>15</v>
      </c>
      <c r="B21" s="45" t="str">
        <f>IF(Setting!J20="","",Setting!J20)</f>
        <v>Haidar Rafif Hibatulloh</v>
      </c>
      <c r="C21" s="46">
        <f>IF(Setting!K20="","",Setting!K20)</f>
        <v>2008132</v>
      </c>
      <c r="D21" s="164" t="str">
        <f>IF(Setting!L20="","",Setting!L20)</f>
        <v>0054005743</v>
      </c>
      <c r="E21" s="9" t="str">
        <f>IF(B21="","",Setting!$E$11)</f>
        <v>X.MIPA 4</v>
      </c>
      <c r="F21" s="9" t="str">
        <f>IF(B21="","",Setting!$E$15)</f>
        <v>I</v>
      </c>
      <c r="G21" s="9">
        <f>IF($B21="","",RANK('Legger Dinas'!G21,'Legger Dinas'!G$7:G$46))</f>
        <v>15</v>
      </c>
      <c r="H21" s="9">
        <f>IF($B21="","",RANK('Legger Dinas'!H21,'Legger Dinas'!H$7:H$46))</f>
        <v>14</v>
      </c>
      <c r="I21" s="9">
        <f>IF($B21="","",RANK('Legger Dinas'!I21,'Legger Dinas'!I$7:I$46))</f>
        <v>1</v>
      </c>
      <c r="J21" s="9">
        <f>IF($B21="","",RANK('Legger Dinas'!J21,'Legger Dinas'!J$7:J$46))</f>
        <v>20</v>
      </c>
      <c r="K21" s="9">
        <f>IF($B21="","",RANK('Legger Dinas'!K21,'Legger Dinas'!K$7:K$46))</f>
        <v>21</v>
      </c>
      <c r="L21" s="9">
        <f>IF($B21="","",RANK('Legger Dinas'!L21,'Legger Dinas'!L$7:L$46))</f>
        <v>11</v>
      </c>
      <c r="M21" s="9">
        <f>IF($B21="","",RANK('Legger Dinas'!M21,'Legger Dinas'!M$7:M$46))</f>
        <v>7</v>
      </c>
      <c r="N21" s="9">
        <f>IF($B21="","",RANK('Legger Dinas'!N21,'Legger Dinas'!N$7:N$46))</f>
        <v>3</v>
      </c>
      <c r="O21" s="9">
        <f>IF($B21="","",RANK('Legger Dinas'!O21,'Legger Dinas'!O$7:O$46))</f>
        <v>20</v>
      </c>
      <c r="P21" s="9">
        <f>IF($B21="","",RANK('Legger Dinas'!P21,'Legger Dinas'!P$7:P$46))</f>
        <v>1</v>
      </c>
      <c r="Q21" s="9">
        <f>IF($B21="","",RANK('Legger Dinas'!Q21,'Legger Dinas'!Q$7:Q$46))</f>
        <v>8</v>
      </c>
      <c r="R21" s="9">
        <f>IF($B21="","",RANK('Legger Dinas'!R21,'Legger Dinas'!R$7:R$46))</f>
        <v>7</v>
      </c>
      <c r="S21" s="9">
        <v>7</v>
      </c>
      <c r="T21" s="9">
        <f>IF($B21="","",RANK('Legger Dinas'!T21,'Legger Dinas'!T$7:T$46))</f>
        <v>15</v>
      </c>
      <c r="U21" s="9">
        <f>IF(Setting!$E$15="V","",IF(Setting!$E$15="VI","",RANK('Legger Dinas'!U21,'Legger Dinas'!U$7:U$46)))</f>
        <v>8</v>
      </c>
      <c r="V21" s="9">
        <f>IF($B21="","",RANK('Legger Dinas'!V21,'Legger Dinas'!V$7:V$46))</f>
        <v>10</v>
      </c>
      <c r="W21" s="31">
        <f>IF($B21="","",SUM('Legger Dinas'!G21:V21))</f>
        <v>1397</v>
      </c>
      <c r="X21" s="31">
        <f t="shared" si="0"/>
        <v>13</v>
      </c>
    </row>
    <row r="22" spans="1:24">
      <c r="A22" s="44">
        <v>16</v>
      </c>
      <c r="B22" s="45" t="str">
        <f>IF(Setting!J21="","",Setting!J21)</f>
        <v>Kelvin Oktabrian Ramadhan</v>
      </c>
      <c r="C22" s="46">
        <f>IF(Setting!K21="","",Setting!K21)</f>
        <v>2008169</v>
      </c>
      <c r="D22" s="164" t="str">
        <f>IF(Setting!L21="","",Setting!L21)</f>
        <v>0045893001</v>
      </c>
      <c r="E22" s="9" t="str">
        <f>IF(B22="","",Setting!$E$11)</f>
        <v>X.MIPA 4</v>
      </c>
      <c r="F22" s="9" t="str">
        <f>IF(B22="","",Setting!$E$15)</f>
        <v>I</v>
      </c>
      <c r="G22" s="9">
        <f>IF($B22="","",RANK('Legger Dinas'!G22,'Legger Dinas'!G$7:G$46))</f>
        <v>4</v>
      </c>
      <c r="H22" s="9">
        <f>IF($B22="","",RANK('Legger Dinas'!H22,'Legger Dinas'!H$7:H$46))</f>
        <v>14</v>
      </c>
      <c r="I22" s="9">
        <f>IF($B22="","",RANK('Legger Dinas'!I22,'Legger Dinas'!I$7:I$46))</f>
        <v>23</v>
      </c>
      <c r="J22" s="9">
        <f>IF($B22="","",RANK('Legger Dinas'!J22,'Legger Dinas'!J$7:J$46))</f>
        <v>9</v>
      </c>
      <c r="K22" s="9">
        <f>IF($B22="","",RANK('Legger Dinas'!K22,'Legger Dinas'!K$7:K$46))</f>
        <v>7</v>
      </c>
      <c r="L22" s="9">
        <f>IF($B22="","",RANK('Legger Dinas'!L22,'Legger Dinas'!L$7:L$46))</f>
        <v>11</v>
      </c>
      <c r="M22" s="9">
        <f>IF($B22="","",RANK('Legger Dinas'!M22,'Legger Dinas'!M$7:M$46))</f>
        <v>7</v>
      </c>
      <c r="N22" s="9">
        <f>IF($B22="","",RANK('Legger Dinas'!N22,'Legger Dinas'!N$7:N$46))</f>
        <v>1</v>
      </c>
      <c r="O22" s="9">
        <f>IF($B22="","",RANK('Legger Dinas'!O22,'Legger Dinas'!O$7:O$46))</f>
        <v>2</v>
      </c>
      <c r="P22" s="9">
        <f>IF($B22="","",RANK('Legger Dinas'!P22,'Legger Dinas'!P$7:P$46))</f>
        <v>23</v>
      </c>
      <c r="Q22" s="9">
        <f>IF($B22="","",RANK('Legger Dinas'!Q22,'Legger Dinas'!Q$7:Q$46))</f>
        <v>10</v>
      </c>
      <c r="R22" s="9">
        <f>IF($B22="","",RANK('Legger Dinas'!R22,'Legger Dinas'!R$7:R$46))</f>
        <v>18</v>
      </c>
      <c r="S22" s="9">
        <f>IF($B22="","",RANK('Legger Dinas'!S22,'Legger Dinas'!S$7:S$46))</f>
        <v>7</v>
      </c>
      <c r="T22" s="9">
        <v>27</v>
      </c>
      <c r="U22" s="9">
        <f>IF(Setting!$E$15="V","",IF(Setting!$E$15="VI","",RANK('Legger Dinas'!U22,'Legger Dinas'!U$7:U$46)))</f>
        <v>8</v>
      </c>
      <c r="V22" s="9">
        <f>IF($B22="","",RANK('Legger Dinas'!V22,'Legger Dinas'!V$7:V$46))</f>
        <v>2</v>
      </c>
      <c r="W22" s="31">
        <f>IF($B22="","",SUM('Legger Dinas'!G22:V22))</f>
        <v>1409</v>
      </c>
      <c r="X22" s="31">
        <f t="shared" si="0"/>
        <v>10</v>
      </c>
    </row>
    <row r="23" spans="1:24">
      <c r="A23" s="44">
        <v>17</v>
      </c>
      <c r="B23" s="45" t="str">
        <f>IF(Setting!J22="","",Setting!J22)</f>
        <v>Mohamad Khoiril Afwa</v>
      </c>
      <c r="C23" s="46">
        <f>IF(Setting!K22="","",Setting!K22)</f>
        <v>2008197</v>
      </c>
      <c r="D23" s="164" t="str">
        <f>IF(Setting!L22="","",Setting!L22)</f>
        <v>0044910894</v>
      </c>
      <c r="E23" s="9" t="str">
        <f>IF(B23="","",Setting!$E$11)</f>
        <v>X.MIPA 4</v>
      </c>
      <c r="F23" s="9" t="str">
        <f>IF(B23="","",Setting!$E$15)</f>
        <v>I</v>
      </c>
      <c r="G23" s="9">
        <f>IF($B23="","",RANK('Legger Dinas'!G23,'Legger Dinas'!G$7:G$46))</f>
        <v>32</v>
      </c>
      <c r="H23" s="9">
        <v>19</v>
      </c>
      <c r="I23" s="9">
        <f>IF($B23="","",RANK('Legger Dinas'!I23,'Legger Dinas'!I$7:I$46))</f>
        <v>1</v>
      </c>
      <c r="J23" s="9">
        <f>IF($B23="","",RANK('Legger Dinas'!J23,'Legger Dinas'!J$7:J$46))</f>
        <v>20</v>
      </c>
      <c r="K23" s="9">
        <f>IF($B23="","",RANK('Legger Dinas'!K23,'Legger Dinas'!K$7:K$46))</f>
        <v>19</v>
      </c>
      <c r="L23" s="9">
        <f>IF($B23="","",RANK('Legger Dinas'!L23,'Legger Dinas'!L$7:L$46))</f>
        <v>19</v>
      </c>
      <c r="M23" s="9">
        <f>IF($B23="","",RANK('Legger Dinas'!M23,'Legger Dinas'!M$7:M$46))</f>
        <v>7</v>
      </c>
      <c r="N23" s="9">
        <f>IF($B23="","",RANK('Legger Dinas'!N23,'Legger Dinas'!N$7:N$46))</f>
        <v>19</v>
      </c>
      <c r="O23" s="9">
        <f>IF($B23="","",RANK('Legger Dinas'!O23,'Legger Dinas'!O$7:O$46))</f>
        <v>20</v>
      </c>
      <c r="P23" s="9">
        <f>IF($B23="","",RANK('Legger Dinas'!P23,'Legger Dinas'!P$7:P$46))</f>
        <v>1</v>
      </c>
      <c r="Q23" s="9">
        <f>IF($B23="","",RANK('Legger Dinas'!Q23,'Legger Dinas'!Q$7:Q$46))</f>
        <v>23</v>
      </c>
      <c r="R23" s="9">
        <f>IF($B23="","",RANK('Legger Dinas'!R23,'Legger Dinas'!R$7:R$46))</f>
        <v>25</v>
      </c>
      <c r="S23" s="9">
        <f>IF($B23="","",RANK('Legger Dinas'!S23,'Legger Dinas'!S$7:S$46))</f>
        <v>25</v>
      </c>
      <c r="T23" s="9">
        <f>IF($B23="","",RANK('Legger Dinas'!T23,'Legger Dinas'!T$7:T$46))</f>
        <v>24</v>
      </c>
      <c r="U23" s="9">
        <f>IF(Setting!$E$15="V","",IF(Setting!$E$15="VI","",RANK('Legger Dinas'!U23,'Legger Dinas'!U$7:U$46)))</f>
        <v>16</v>
      </c>
      <c r="V23" s="9">
        <f>IF($B23="","",RANK('Legger Dinas'!V23,'Legger Dinas'!V$7:V$46))</f>
        <v>10</v>
      </c>
      <c r="W23" s="31">
        <f>IF($B23="","",SUM('Legger Dinas'!G23:V23))</f>
        <v>1364</v>
      </c>
      <c r="X23" s="31">
        <f t="shared" si="0"/>
        <v>23</v>
      </c>
    </row>
    <row r="24" spans="1:24">
      <c r="A24" s="44">
        <v>18</v>
      </c>
      <c r="B24" s="45" t="str">
        <f>IF(Setting!J23="","",Setting!J23)</f>
        <v>Muhammad Hanif Pearlyaradja</v>
      </c>
      <c r="C24" s="46">
        <f>IF(Setting!K23="","",Setting!K23)</f>
        <v>2008214</v>
      </c>
      <c r="D24" s="164" t="str">
        <f>IF(Setting!L23="","",Setting!L23)</f>
        <v>0052096412</v>
      </c>
      <c r="E24" s="9" t="str">
        <f>IF(B24="","",Setting!$E$11)</f>
        <v>X.MIPA 4</v>
      </c>
      <c r="F24" s="9" t="str">
        <f>IF(B24="","",Setting!$E$15)</f>
        <v>I</v>
      </c>
      <c r="G24" s="9">
        <f>IF($B24="","",RANK('Legger Dinas'!G24,'Legger Dinas'!G$7:G$46))</f>
        <v>4</v>
      </c>
      <c r="H24" s="9">
        <f>IF($B24="","",RANK('Legger Dinas'!H24,'Legger Dinas'!H$7:H$46))</f>
        <v>14</v>
      </c>
      <c r="I24" s="9">
        <f>IF($B24="","",RANK('Legger Dinas'!I24,'Legger Dinas'!I$7:I$46))</f>
        <v>1</v>
      </c>
      <c r="J24" s="9">
        <f>IF($B24="","",RANK('Legger Dinas'!J24,'Legger Dinas'!J$7:J$46))</f>
        <v>20</v>
      </c>
      <c r="K24" s="9">
        <f>IF($B24="","",RANK('Legger Dinas'!K24,'Legger Dinas'!K$7:K$46))</f>
        <v>7</v>
      </c>
      <c r="L24" s="9">
        <f>IF($B24="","",RANK('Legger Dinas'!L24,'Legger Dinas'!L$7:L$46))</f>
        <v>11</v>
      </c>
      <c r="M24" s="9">
        <f>IF($B24="","",RANK('Legger Dinas'!M24,'Legger Dinas'!M$7:M$46))</f>
        <v>7</v>
      </c>
      <c r="N24" s="9">
        <f>IF($B24="","",RANK('Legger Dinas'!N24,'Legger Dinas'!N$7:N$46))</f>
        <v>25</v>
      </c>
      <c r="O24" s="9">
        <f>IF($B24="","",RANK('Legger Dinas'!O24,'Legger Dinas'!O$7:O$46))</f>
        <v>9</v>
      </c>
      <c r="P24" s="9">
        <f>IF($B24="","",RANK('Legger Dinas'!P24,'Legger Dinas'!P$7:P$46))</f>
        <v>1</v>
      </c>
      <c r="Q24" s="9">
        <f>IF($B24="","",RANK('Legger Dinas'!Q24,'Legger Dinas'!Q$7:Q$46))</f>
        <v>10</v>
      </c>
      <c r="R24" s="9">
        <f>IF($B24="","",RANK('Legger Dinas'!R24,'Legger Dinas'!R$7:R$46))</f>
        <v>7</v>
      </c>
      <c r="S24" s="9">
        <f>IF($B24="","",RANK('Legger Dinas'!S24,'Legger Dinas'!S$7:S$46))</f>
        <v>16</v>
      </c>
      <c r="T24" s="9">
        <f>IF($B24="","",RANK('Legger Dinas'!T24,'Legger Dinas'!T$7:T$46))</f>
        <v>11</v>
      </c>
      <c r="U24" s="9">
        <f>IF(Setting!$E$15="V","",IF(Setting!$E$15="VI","",RANK('Legger Dinas'!U24,'Legger Dinas'!U$7:U$46)))</f>
        <v>5</v>
      </c>
      <c r="V24" s="9">
        <f>IF($B24="","",RANK('Legger Dinas'!V24,'Legger Dinas'!V$7:V$46))</f>
        <v>30</v>
      </c>
      <c r="W24" s="31">
        <f>IF($B24="","",SUM('Legger Dinas'!G24:V24))</f>
        <v>1396</v>
      </c>
      <c r="X24" s="31">
        <f t="shared" si="0"/>
        <v>14</v>
      </c>
    </row>
    <row r="25" spans="1:24">
      <c r="A25" s="44">
        <v>19</v>
      </c>
      <c r="B25" s="45" t="str">
        <f>IF(Setting!J24="","",Setting!J24)</f>
        <v>Muhammad Maurel Han</v>
      </c>
      <c r="C25" s="46">
        <f>IF(Setting!K24="","",Setting!K24)</f>
        <v>2008218</v>
      </c>
      <c r="D25" s="164" t="str">
        <f>IF(Setting!L24="","",Setting!L24)</f>
        <v>9015578324</v>
      </c>
      <c r="E25" s="9" t="str">
        <f>IF(B25="","",Setting!$E$11)</f>
        <v>X.MIPA 4</v>
      </c>
      <c r="F25" s="9" t="str">
        <f>IF(B25="","",Setting!$E$15)</f>
        <v>I</v>
      </c>
      <c r="G25" s="9">
        <f>IF($B25="","",RANK('Legger Dinas'!G25,'Legger Dinas'!G$7:G$46))</f>
        <v>30</v>
      </c>
      <c r="H25" s="9">
        <f>IF($B25="","",RANK('Legger Dinas'!H25,'Legger Dinas'!H$7:H$46))</f>
        <v>27</v>
      </c>
      <c r="I25" s="9">
        <f>IF($B25="","",RANK('Legger Dinas'!I25,'Legger Dinas'!I$7:I$46))</f>
        <v>23</v>
      </c>
      <c r="J25" s="9">
        <f>IF($B25="","",RANK('Legger Dinas'!J25,'Legger Dinas'!J$7:J$46))</f>
        <v>20</v>
      </c>
      <c r="K25" s="9">
        <f>IF($B25="","",RANK('Legger Dinas'!K25,'Legger Dinas'!K$7:K$46))</f>
        <v>26</v>
      </c>
      <c r="L25" s="9">
        <f>IF($B25="","",RANK('Legger Dinas'!L25,'Legger Dinas'!L$7:L$46))</f>
        <v>26</v>
      </c>
      <c r="M25" s="9">
        <f>IF($B25="","",RANK('Legger Dinas'!M25,'Legger Dinas'!M$7:M$46))</f>
        <v>7</v>
      </c>
      <c r="N25" s="9">
        <f>IF($B25="","",RANK('Legger Dinas'!N25,'Legger Dinas'!N$7:N$46))</f>
        <v>17</v>
      </c>
      <c r="O25" s="9">
        <f>IF($B25="","",RANK('Legger Dinas'!O25,'Legger Dinas'!O$7:O$46))</f>
        <v>15</v>
      </c>
      <c r="P25" s="9">
        <f>IF($B25="","",RANK('Legger Dinas'!P25,'Legger Dinas'!P$7:P$46))</f>
        <v>23</v>
      </c>
      <c r="Q25" s="9">
        <f>IF($B25="","",RANK('Legger Dinas'!Q25,'Legger Dinas'!Q$7:Q$46))</f>
        <v>29</v>
      </c>
      <c r="R25" s="9">
        <f>IF($B25="","",RANK('Legger Dinas'!R25,'Legger Dinas'!R$7:R$46))</f>
        <v>31</v>
      </c>
      <c r="S25" s="9">
        <f>IF($B25="","",RANK('Legger Dinas'!S25,'Legger Dinas'!S$7:S$46))</f>
        <v>29</v>
      </c>
      <c r="T25" s="9">
        <f>IF($B25="","",RANK('Legger Dinas'!T25,'Legger Dinas'!T$7:T$46))</f>
        <v>24</v>
      </c>
      <c r="U25" s="9">
        <f>IF(Setting!$E$15="V","",IF(Setting!$E$15="VI","",RANK('Legger Dinas'!U25,'Legger Dinas'!U$7:U$46)))</f>
        <v>26</v>
      </c>
      <c r="V25" s="9">
        <f>IF($B25="","",RANK('Legger Dinas'!V25,'Legger Dinas'!V$7:V$46))</f>
        <v>29</v>
      </c>
      <c r="W25" s="31">
        <f>IF($B25="","",SUM('Legger Dinas'!G25:V25))</f>
        <v>1341</v>
      </c>
      <c r="X25" s="31">
        <f t="shared" si="0"/>
        <v>30</v>
      </c>
    </row>
    <row r="26" spans="1:24">
      <c r="A26" s="44">
        <v>20</v>
      </c>
      <c r="B26" s="45" t="str">
        <f>IF(Setting!J25="","",Setting!J25)</f>
        <v>Muhammad Niam Masykuri</v>
      </c>
      <c r="C26" s="46">
        <f>IF(Setting!K25="","",Setting!K25)</f>
        <v>2008220</v>
      </c>
      <c r="D26" s="164" t="str">
        <f>IF(Setting!L25="","",Setting!L25)</f>
        <v xml:space="preserve"> 0044193368</v>
      </c>
      <c r="E26" s="9" t="str">
        <f>IF(B26="","",Setting!$E$11)</f>
        <v>X.MIPA 4</v>
      </c>
      <c r="F26" s="9" t="str">
        <f>IF(B26="","",Setting!$E$15)</f>
        <v>I</v>
      </c>
      <c r="G26" s="9">
        <f>IF($B26="","",RANK('Legger Dinas'!G26,'Legger Dinas'!G$7:G$46))</f>
        <v>10</v>
      </c>
      <c r="H26" s="9">
        <f>IF($B26="","",RANK('Legger Dinas'!H26,'Legger Dinas'!H$7:H$46))</f>
        <v>4</v>
      </c>
      <c r="I26" s="9">
        <f>IF($B26="","",RANK('Legger Dinas'!I26,'Legger Dinas'!I$7:I$46))</f>
        <v>21</v>
      </c>
      <c r="J26" s="9">
        <f>IF($B26="","",RANK('Legger Dinas'!J26,'Legger Dinas'!J$7:J$46))</f>
        <v>12</v>
      </c>
      <c r="K26" s="9">
        <f>IF($B26="","",RANK('Legger Dinas'!K26,'Legger Dinas'!K$7:K$46))</f>
        <v>13</v>
      </c>
      <c r="L26" s="9">
        <f>IF($B26="","",RANK('Legger Dinas'!L26,'Legger Dinas'!L$7:L$46))</f>
        <v>11</v>
      </c>
      <c r="M26" s="9">
        <f>IF($B26="","",RANK('Legger Dinas'!M26,'Legger Dinas'!M$7:M$46))</f>
        <v>7</v>
      </c>
      <c r="N26" s="9">
        <f>IF($B26="","",RANK('Legger Dinas'!N26,'Legger Dinas'!N$7:N$46))</f>
        <v>19</v>
      </c>
      <c r="O26" s="9">
        <f>IF($B26="","",RANK('Legger Dinas'!O26,'Legger Dinas'!O$7:O$46))</f>
        <v>20</v>
      </c>
      <c r="P26" s="9">
        <f>IF($B26="","",RANK('Legger Dinas'!P26,'Legger Dinas'!P$7:P$46))</f>
        <v>21</v>
      </c>
      <c r="Q26" s="9">
        <f>IF($B26="","",RANK('Legger Dinas'!Q26,'Legger Dinas'!Q$7:Q$46))</f>
        <v>10</v>
      </c>
      <c r="R26" s="9">
        <f>IF($B26="","",RANK('Legger Dinas'!R26,'Legger Dinas'!R$7:R$46))</f>
        <v>7</v>
      </c>
      <c r="S26" s="9">
        <f>IF($B26="","",RANK('Legger Dinas'!S26,'Legger Dinas'!S$7:S$46))</f>
        <v>2</v>
      </c>
      <c r="T26" s="9">
        <f>IF($B26="","",RANK('Legger Dinas'!T26,'Legger Dinas'!T$7:T$46))</f>
        <v>20</v>
      </c>
      <c r="U26" s="9">
        <f>IF(Setting!$E$15="V","",IF(Setting!$E$15="VI","",RANK('Legger Dinas'!U26,'Legger Dinas'!U$7:U$46)))</f>
        <v>22</v>
      </c>
      <c r="V26" s="9">
        <f>IF($B26="","",RANK('Legger Dinas'!V26,'Legger Dinas'!V$7:V$46))</f>
        <v>16</v>
      </c>
      <c r="W26" s="31">
        <f>IF($B26="","",SUM('Legger Dinas'!G26:V26))</f>
        <v>1393</v>
      </c>
      <c r="X26" s="31">
        <f t="shared" si="0"/>
        <v>15</v>
      </c>
    </row>
    <row r="27" spans="1:24">
      <c r="A27" s="44">
        <v>21</v>
      </c>
      <c r="B27" s="45" t="str">
        <f>IF(Setting!J26="","",Setting!J26)</f>
        <v>Muhammad Nur Arzhian Kusuma</v>
      </c>
      <c r="C27" s="46">
        <f>IF(Setting!K26="","",Setting!K26)</f>
        <v>2008221</v>
      </c>
      <c r="D27" s="164" t="str">
        <f>IF(Setting!L26="","",Setting!L26)</f>
        <v>0053421781</v>
      </c>
      <c r="E27" s="9" t="str">
        <f>IF(B27="","",Setting!$E$11)</f>
        <v>X.MIPA 4</v>
      </c>
      <c r="F27" s="9" t="str">
        <f>IF(B27="","",Setting!$E$15)</f>
        <v>I</v>
      </c>
      <c r="G27" s="9">
        <f>IF($B27="","",RANK('Legger Dinas'!G27,'Legger Dinas'!G$7:G$46))</f>
        <v>15</v>
      </c>
      <c r="H27" s="9">
        <f>IF($B27="","",RANK('Legger Dinas'!H27,'Legger Dinas'!H$7:H$46))</f>
        <v>4</v>
      </c>
      <c r="I27" s="9">
        <f>IF($B27="","",RANK('Legger Dinas'!I27,'Legger Dinas'!I$7:I$46))</f>
        <v>1</v>
      </c>
      <c r="J27" s="9">
        <f>IF($B27="","",RANK('Legger Dinas'!J27,'Legger Dinas'!J$7:J$46))</f>
        <v>20</v>
      </c>
      <c r="K27" s="9">
        <f>IF($B27="","",RANK('Legger Dinas'!K27,'Legger Dinas'!K$7:K$46))</f>
        <v>15</v>
      </c>
      <c r="L27" s="9">
        <f>IF($B27="","",RANK('Legger Dinas'!L27,'Legger Dinas'!L$7:L$46))</f>
        <v>19</v>
      </c>
      <c r="M27" s="9">
        <f>IF($B27="","",RANK('Legger Dinas'!M27,'Legger Dinas'!M$7:M$46))</f>
        <v>7</v>
      </c>
      <c r="N27" s="9">
        <f>IF($B27="","",RANK('Legger Dinas'!N27,'Legger Dinas'!N$7:N$46))</f>
        <v>25</v>
      </c>
      <c r="O27" s="9">
        <f>IF($B27="","",RANK('Legger Dinas'!O27,'Legger Dinas'!O$7:O$46))</f>
        <v>9</v>
      </c>
      <c r="P27" s="9">
        <f>IF($B27="","",RANK('Legger Dinas'!P27,'Legger Dinas'!P$7:P$46))</f>
        <v>1</v>
      </c>
      <c r="Q27" s="9">
        <f>IF($B27="","",RANK('Legger Dinas'!Q27,'Legger Dinas'!Q$7:Q$46))</f>
        <v>20</v>
      </c>
      <c r="R27" s="9">
        <f>IF($B27="","",RANK('Legger Dinas'!R27,'Legger Dinas'!R$7:R$46))</f>
        <v>18</v>
      </c>
      <c r="S27" s="9">
        <f>IF($B27="","",RANK('Legger Dinas'!S27,'Legger Dinas'!S$7:S$46))</f>
        <v>7</v>
      </c>
      <c r="T27" s="9">
        <f>IF($B27="","",RANK('Legger Dinas'!T27,'Legger Dinas'!T$7:T$46))</f>
        <v>15</v>
      </c>
      <c r="U27" s="9">
        <f>IF(Setting!$E$15="V","",IF(Setting!$E$15="VI","",RANK('Legger Dinas'!U27,'Legger Dinas'!U$7:U$46)))</f>
        <v>26</v>
      </c>
      <c r="V27" s="9">
        <f>IF($B27="","",RANK('Legger Dinas'!V27,'Legger Dinas'!V$7:V$46))</f>
        <v>23</v>
      </c>
      <c r="W27" s="31">
        <f>IF($B27="","",SUM('Legger Dinas'!G27:V27))</f>
        <v>1385</v>
      </c>
      <c r="X27" s="31">
        <f t="shared" si="0"/>
        <v>17</v>
      </c>
    </row>
    <row r="28" spans="1:24">
      <c r="A28" s="44">
        <v>22</v>
      </c>
      <c r="B28" s="45" t="str">
        <f>IF(Setting!J27="","",Setting!J27)</f>
        <v>Muhammad Rafif Rizqullah</v>
      </c>
      <c r="C28" s="46">
        <f>IF(Setting!K27="","",Setting!K27)</f>
        <v>2008222</v>
      </c>
      <c r="D28" s="164" t="str">
        <f>IF(Setting!L27="","",Setting!L27)</f>
        <v>0044559979</v>
      </c>
      <c r="E28" s="9" t="str">
        <f>IF(B28="","",Setting!$E$11)</f>
        <v>X.MIPA 4</v>
      </c>
      <c r="F28" s="9" t="str">
        <f>IF(B28="","",Setting!$E$15)</f>
        <v>I</v>
      </c>
      <c r="G28" s="9">
        <f>IF($B28="","",RANK('Legger Dinas'!G28,'Legger Dinas'!G$7:G$46))</f>
        <v>19</v>
      </c>
      <c r="H28" s="9">
        <f>IF($B28="","",RANK('Legger Dinas'!H28,'Legger Dinas'!H$7:H$46))</f>
        <v>12</v>
      </c>
      <c r="I28" s="9">
        <f>IF($B28="","",RANK('Legger Dinas'!I28,'Legger Dinas'!I$7:I$46))</f>
        <v>17</v>
      </c>
      <c r="J28" s="9">
        <f>IF($B28="","",RANK('Legger Dinas'!J28,'Legger Dinas'!J$7:J$46))</f>
        <v>4</v>
      </c>
      <c r="K28" s="9">
        <f>IF($B28="","",RANK('Legger Dinas'!K28,'Legger Dinas'!K$7:K$46))</f>
        <v>7</v>
      </c>
      <c r="L28" s="9">
        <f>IF($B28="","",RANK('Legger Dinas'!L28,'Legger Dinas'!L$7:L$46))</f>
        <v>26</v>
      </c>
      <c r="M28" s="9">
        <f>IF($B28="","",RANK('Legger Dinas'!M28,'Legger Dinas'!M$7:M$46))</f>
        <v>7</v>
      </c>
      <c r="N28" s="9">
        <f>IF($B28="","",RANK('Legger Dinas'!N28,'Legger Dinas'!N$7:N$46))</f>
        <v>6</v>
      </c>
      <c r="O28" s="9">
        <f>IF($B28="","",RANK('Legger Dinas'!O28,'Legger Dinas'!O$7:O$46))</f>
        <v>5</v>
      </c>
      <c r="P28" s="9">
        <f>IF($B28="","",RANK('Legger Dinas'!P28,'Legger Dinas'!P$7:P$46))</f>
        <v>17</v>
      </c>
      <c r="Q28" s="9">
        <f>IF($B28="","",RANK('Legger Dinas'!Q28,'Legger Dinas'!Q$7:Q$46))</f>
        <v>10</v>
      </c>
      <c r="R28" s="9">
        <f>IF($B28="","",RANK('Legger Dinas'!R28,'Legger Dinas'!R$7:R$46))</f>
        <v>7</v>
      </c>
      <c r="S28" s="9">
        <f>IF($B28="","",RANK('Legger Dinas'!S28,'Legger Dinas'!S$7:S$46))</f>
        <v>23</v>
      </c>
      <c r="T28" s="9">
        <f>IF($B28="","",RANK('Legger Dinas'!T28,'Legger Dinas'!T$7:T$46))</f>
        <v>6</v>
      </c>
      <c r="U28" s="9">
        <f>IF(Setting!$E$15="V","",IF(Setting!$E$15="VI","",RANK('Legger Dinas'!U28,'Legger Dinas'!U$7:U$46)))</f>
        <v>16</v>
      </c>
      <c r="V28" s="9">
        <f>IF($B28="","",RANK('Legger Dinas'!V28,'Legger Dinas'!V$7:V$46))</f>
        <v>16</v>
      </c>
      <c r="W28" s="31">
        <f>IF($B28="","",SUM('Legger Dinas'!G28:V28))</f>
        <v>1400</v>
      </c>
      <c r="X28" s="31">
        <f t="shared" si="0"/>
        <v>12</v>
      </c>
    </row>
    <row r="29" spans="1:24">
      <c r="A29" s="44">
        <v>23</v>
      </c>
      <c r="B29" s="45" t="str">
        <f>IF(Setting!J28="","",Setting!J28)</f>
        <v>Muhammad Raihan Al Faridzi</v>
      </c>
      <c r="C29" s="46">
        <f>IF(Setting!K28="","",Setting!K28)</f>
        <v>2008223</v>
      </c>
      <c r="D29" s="164" t="str">
        <f>IF(Setting!L28="","",Setting!L28)</f>
        <v>0047682955</v>
      </c>
      <c r="E29" s="9" t="str">
        <f>IF(B29="","",Setting!$E$11)</f>
        <v>X.MIPA 4</v>
      </c>
      <c r="F29" s="9" t="str">
        <f>IF(B29="","",Setting!$E$15)</f>
        <v>I</v>
      </c>
      <c r="G29" s="9">
        <f>IF($B29="","",RANK('Legger Dinas'!G29,'Legger Dinas'!G$7:G$46))</f>
        <v>10</v>
      </c>
      <c r="H29" s="9">
        <f>IF($B29="","",RANK('Legger Dinas'!H29,'Legger Dinas'!H$7:H$46))</f>
        <v>14</v>
      </c>
      <c r="I29" s="9">
        <f>IF($B29="","",RANK('Legger Dinas'!I29,'Legger Dinas'!I$7:I$46))</f>
        <v>23</v>
      </c>
      <c r="J29" s="9">
        <f>IF($B29="","",RANK('Legger Dinas'!J29,'Legger Dinas'!J$7:J$46))</f>
        <v>3</v>
      </c>
      <c r="K29" s="9">
        <f>IF($B29="","",RANK('Legger Dinas'!K29,'Legger Dinas'!K$7:K$46))</f>
        <v>15</v>
      </c>
      <c r="L29" s="9">
        <f>IF($B29="","",RANK('Legger Dinas'!L29,'Legger Dinas'!L$7:L$46))</f>
        <v>19</v>
      </c>
      <c r="M29" s="9">
        <f>IF($B29="","",RANK('Legger Dinas'!M29,'Legger Dinas'!M$7:M$46))</f>
        <v>7</v>
      </c>
      <c r="N29" s="9">
        <f>IF($B29="","",RANK('Legger Dinas'!N29,'Legger Dinas'!N$7:N$46))</f>
        <v>25</v>
      </c>
      <c r="O29" s="9">
        <f>IF($B29="","",RANK('Legger Dinas'!O29,'Legger Dinas'!O$7:O$46))</f>
        <v>1</v>
      </c>
      <c r="P29" s="9">
        <f>IF($B29="","",RANK('Legger Dinas'!P29,'Legger Dinas'!P$7:P$46))</f>
        <v>23</v>
      </c>
      <c r="Q29" s="9">
        <f>IF($B29="","",RANK('Legger Dinas'!Q29,'Legger Dinas'!Q$7:Q$46))</f>
        <v>10</v>
      </c>
      <c r="R29" s="9">
        <f>IF($B29="","",RANK('Legger Dinas'!R29,'Legger Dinas'!R$7:R$46))</f>
        <v>3</v>
      </c>
      <c r="S29" s="9">
        <f>IF($B29="","",RANK('Legger Dinas'!S29,'Legger Dinas'!S$7:S$46))</f>
        <v>7</v>
      </c>
      <c r="T29" s="9">
        <f>IF($B29="","",RANK('Legger Dinas'!T29,'Legger Dinas'!T$7:T$46))</f>
        <v>6</v>
      </c>
      <c r="U29" s="9">
        <f>IF(Setting!$E$15="V","",IF(Setting!$E$15="VI","",RANK('Legger Dinas'!U29,'Legger Dinas'!U$7:U$46)))</f>
        <v>8</v>
      </c>
      <c r="V29" s="9">
        <f>IF($B29="","",RANK('Legger Dinas'!V29,'Legger Dinas'!V$7:V$46))</f>
        <v>2</v>
      </c>
      <c r="W29" s="31">
        <f>IF($B29="","",SUM('Legger Dinas'!G29:V29))</f>
        <v>1405</v>
      </c>
      <c r="X29" s="31">
        <f t="shared" si="0"/>
        <v>11</v>
      </c>
    </row>
    <row r="30" spans="1:24">
      <c r="A30" s="44">
        <v>24</v>
      </c>
      <c r="B30" s="45" t="str">
        <f>IF(Setting!J29="","",Setting!J29)</f>
        <v>Muhammad Rakan Hafidh Al Ghalib</v>
      </c>
      <c r="C30" s="46">
        <f>IF(Setting!K29="","",Setting!K29)</f>
        <v>2008224</v>
      </c>
      <c r="D30" s="164" t="str">
        <f>IF(Setting!L29="","",Setting!L29)</f>
        <v>0053955049</v>
      </c>
      <c r="E30" s="9" t="str">
        <f>IF(B30="","",Setting!$E$11)</f>
        <v>X.MIPA 4</v>
      </c>
      <c r="F30" s="9" t="str">
        <f>IF(B30="","",Setting!$E$15)</f>
        <v>I</v>
      </c>
      <c r="G30" s="9">
        <f>IF($B30="","",RANK('Legger Dinas'!G30,'Legger Dinas'!G$7:G$46))</f>
        <v>1</v>
      </c>
      <c r="H30" s="9">
        <f>IF($B30="","",RANK('Legger Dinas'!H30,'Legger Dinas'!H$7:H$46))</f>
        <v>4</v>
      </c>
      <c r="I30" s="9">
        <f>IF($B30="","",RANK('Legger Dinas'!I30,'Legger Dinas'!I$7:I$46))</f>
        <v>12</v>
      </c>
      <c r="J30" s="9">
        <f>IF($B30="","",RANK('Legger Dinas'!J30,'Legger Dinas'!J$7:J$46))</f>
        <v>4</v>
      </c>
      <c r="K30" s="9">
        <f>IF($B30="","",RANK('Legger Dinas'!K30,'Legger Dinas'!K$7:K$46))</f>
        <v>4</v>
      </c>
      <c r="L30" s="9">
        <f>IF($B30="","",RANK('Legger Dinas'!L30,'Legger Dinas'!L$7:L$46))</f>
        <v>3</v>
      </c>
      <c r="M30" s="9">
        <f>IF($B30="","",RANK('Legger Dinas'!M30,'Legger Dinas'!M$7:M$46))</f>
        <v>7</v>
      </c>
      <c r="N30" s="9">
        <f>IF($B30="","",RANK('Legger Dinas'!N30,'Legger Dinas'!N$7:N$46))</f>
        <v>3</v>
      </c>
      <c r="O30" s="9">
        <f>IF($B30="","",RANK('Legger Dinas'!O30,'Legger Dinas'!O$7:O$46))</f>
        <v>2</v>
      </c>
      <c r="P30" s="9">
        <f>IF($B30="","",RANK('Legger Dinas'!P30,'Legger Dinas'!P$7:P$46))</f>
        <v>11</v>
      </c>
      <c r="Q30" s="9">
        <f>IF($B30="","",RANK('Legger Dinas'!Q30,'Legger Dinas'!Q$7:Q$46))</f>
        <v>1</v>
      </c>
      <c r="R30" s="9">
        <f>IF($B30="","",RANK('Legger Dinas'!R30,'Legger Dinas'!R$7:R$46))</f>
        <v>5</v>
      </c>
      <c r="S30" s="9">
        <f>IF($B30="","",RANK('Legger Dinas'!S30,'Legger Dinas'!S$7:S$46))</f>
        <v>2</v>
      </c>
      <c r="T30" s="9">
        <f>IF($B30="","",RANK('Legger Dinas'!T30,'Legger Dinas'!T$7:T$46))</f>
        <v>2</v>
      </c>
      <c r="U30" s="9">
        <f>IF(Setting!$E$15="V","",IF(Setting!$E$15="VI","",RANK('Legger Dinas'!U30,'Legger Dinas'!U$7:U$46)))</f>
        <v>2</v>
      </c>
      <c r="V30" s="9">
        <f>IF($B30="","",RANK('Legger Dinas'!V30,'Legger Dinas'!V$7:V$46))</f>
        <v>2</v>
      </c>
      <c r="W30" s="31">
        <f>IF($B30="","",SUM('Legger Dinas'!G30:V30))</f>
        <v>1431</v>
      </c>
      <c r="X30" s="31">
        <f t="shared" si="0"/>
        <v>2</v>
      </c>
    </row>
    <row r="31" spans="1:24">
      <c r="A31" s="44">
        <v>25</v>
      </c>
      <c r="B31" s="45" t="str">
        <f>IF(Setting!J30="","",Setting!J30)</f>
        <v>Muhammad Syamu Naufal</v>
      </c>
      <c r="C31" s="46">
        <f>IF(Setting!K30="","",Setting!K30)</f>
        <v>2008230</v>
      </c>
      <c r="D31" s="164" t="str">
        <f>IF(Setting!L30="","",Setting!L30)</f>
        <v>0045892500</v>
      </c>
      <c r="E31" s="9" t="str">
        <f>IF(B31="","",Setting!$E$11)</f>
        <v>X.MIPA 4</v>
      </c>
      <c r="F31" s="9" t="str">
        <f>IF(B31="","",Setting!$E$15)</f>
        <v>I</v>
      </c>
      <c r="G31" s="9">
        <f>IF($B31="","",RANK('Legger Dinas'!G31,'Legger Dinas'!G$7:G$46))</f>
        <v>21</v>
      </c>
      <c r="H31" s="9">
        <f>IF($B31="","",RANK('Legger Dinas'!H31,'Legger Dinas'!H$7:H$46))</f>
        <v>14</v>
      </c>
      <c r="I31" s="9">
        <f>IF($B31="","",RANK('Legger Dinas'!I31,'Legger Dinas'!I$7:I$46))</f>
        <v>17</v>
      </c>
      <c r="J31" s="9">
        <f>IF($B31="","",RANK('Legger Dinas'!J31,'Legger Dinas'!J$7:J$46))</f>
        <v>12</v>
      </c>
      <c r="K31" s="9">
        <f>IF($B31="","",RANK('Legger Dinas'!K31,'Legger Dinas'!K$7:K$46))</f>
        <v>19</v>
      </c>
      <c r="L31" s="9">
        <f>IF($B31="","",RANK('Legger Dinas'!L31,'Legger Dinas'!L$7:L$46))</f>
        <v>16</v>
      </c>
      <c r="M31" s="9">
        <f>IF($B31="","",RANK('Legger Dinas'!M31,'Legger Dinas'!M$7:M$46))</f>
        <v>7</v>
      </c>
      <c r="N31" s="9">
        <f>IF($B31="","",RANK('Legger Dinas'!N31,'Legger Dinas'!N$7:N$46))</f>
        <v>6</v>
      </c>
      <c r="O31" s="9">
        <f>IF($B31="","",RANK('Legger Dinas'!O31,'Legger Dinas'!O$7:O$46))</f>
        <v>5</v>
      </c>
      <c r="P31" s="9">
        <f>IF($B31="","",RANK('Legger Dinas'!P31,'Legger Dinas'!P$7:P$46))</f>
        <v>17</v>
      </c>
      <c r="Q31" s="9">
        <f>IF($B31="","",RANK('Legger Dinas'!Q31,'Legger Dinas'!Q$7:Q$46))</f>
        <v>17</v>
      </c>
      <c r="R31" s="9">
        <f>IF($B31="","",RANK('Legger Dinas'!R31,'Legger Dinas'!R$7:R$46))</f>
        <v>25</v>
      </c>
      <c r="S31" s="9">
        <f>IF($B31="","",RANK('Legger Dinas'!S31,'Legger Dinas'!S$7:S$46))</f>
        <v>23</v>
      </c>
      <c r="T31" s="9">
        <f>IF($B31="","",RANK('Legger Dinas'!T31,'Legger Dinas'!T$7:T$46))</f>
        <v>11</v>
      </c>
      <c r="U31" s="9">
        <f>IF(Setting!$E$15="V","",IF(Setting!$E$15="VI","",RANK('Legger Dinas'!U31,'Legger Dinas'!U$7:U$46)))</f>
        <v>22</v>
      </c>
      <c r="V31" s="9">
        <f>IF($B31="","",RANK('Legger Dinas'!V31,'Legger Dinas'!V$7:V$46))</f>
        <v>23</v>
      </c>
      <c r="W31" s="31">
        <f>IF($B31="","",SUM('Legger Dinas'!G31:V31))</f>
        <v>1384</v>
      </c>
      <c r="X31" s="31">
        <f t="shared" si="0"/>
        <v>18</v>
      </c>
    </row>
    <row r="32" spans="1:24">
      <c r="A32" s="44">
        <v>26</v>
      </c>
      <c r="B32" s="45" t="str">
        <f>IF(Setting!J31="","",Setting!J31)</f>
        <v>Naufal Muhammad Iqbal</v>
      </c>
      <c r="C32" s="46">
        <f>IF(Setting!K31="","",Setting!K31)</f>
        <v>2008251</v>
      </c>
      <c r="D32" s="164" t="str">
        <f>IF(Setting!L31="","",Setting!L31)</f>
        <v>0056904636</v>
      </c>
      <c r="E32" s="9" t="str">
        <f>IF(B32="","",Setting!$E$11)</f>
        <v>X.MIPA 4</v>
      </c>
      <c r="F32" s="9" t="str">
        <f>IF(B32="","",Setting!$E$15)</f>
        <v>I</v>
      </c>
      <c r="G32" s="9">
        <f>IF($B32="","",RANK('Legger Dinas'!G32,'Legger Dinas'!G$7:G$46))</f>
        <v>21</v>
      </c>
      <c r="H32" s="9">
        <f>IF($B32="","",RANK('Legger Dinas'!H32,'Legger Dinas'!H$7:H$46))</f>
        <v>26</v>
      </c>
      <c r="I32" s="9">
        <f>IF($B32="","",RANK('Legger Dinas'!I32,'Legger Dinas'!I$7:I$46))</f>
        <v>21</v>
      </c>
      <c r="J32" s="9">
        <f>IF($B32="","",RANK('Legger Dinas'!J32,'Legger Dinas'!J$7:J$46))</f>
        <v>20</v>
      </c>
      <c r="K32" s="9">
        <f>IF($B32="","",RANK('Legger Dinas'!K32,'Legger Dinas'!K$7:K$46))</f>
        <v>31</v>
      </c>
      <c r="L32" s="9">
        <f>IF($B32="","",RANK('Legger Dinas'!L32,'Legger Dinas'!L$7:L$46))</f>
        <v>25</v>
      </c>
      <c r="M32" s="9">
        <f>IF($B32="","",RANK('Legger Dinas'!M32,'Legger Dinas'!M$7:M$46))</f>
        <v>1</v>
      </c>
      <c r="N32" s="9">
        <f>IF($B32="","",RANK('Legger Dinas'!N32,'Legger Dinas'!N$7:N$46))</f>
        <v>30</v>
      </c>
      <c r="O32" s="9">
        <f>IF($B32="","",RANK('Legger Dinas'!O32,'Legger Dinas'!O$7:O$46))</f>
        <v>30</v>
      </c>
      <c r="P32" s="9">
        <f>IF($B32="","",RANK('Legger Dinas'!P32,'Legger Dinas'!P$7:P$46))</f>
        <v>21</v>
      </c>
      <c r="Q32" s="9">
        <f>IF($B32="","",RANK('Legger Dinas'!Q32,'Legger Dinas'!Q$7:Q$46))</f>
        <v>23</v>
      </c>
      <c r="R32" s="9">
        <f>IF($B32="","",RANK('Legger Dinas'!R32,'Legger Dinas'!R$7:R$46))</f>
        <v>22</v>
      </c>
      <c r="S32" s="9">
        <f>IF($B32="","",RANK('Legger Dinas'!S32,'Legger Dinas'!S$7:S$46))</f>
        <v>7</v>
      </c>
      <c r="T32" s="9">
        <f>IF($B32="","",RANK('Legger Dinas'!T32,'Legger Dinas'!T$7:T$46))</f>
        <v>18</v>
      </c>
      <c r="U32" s="9">
        <f>IF(Setting!$E$15="V","",IF(Setting!$E$15="VI","",RANK('Legger Dinas'!U32,'Legger Dinas'!U$7:U$46)))</f>
        <v>16</v>
      </c>
      <c r="V32" s="9">
        <f>IF($B32="","",RANK('Legger Dinas'!V32,'Legger Dinas'!V$7:V$46))</f>
        <v>23</v>
      </c>
      <c r="W32" s="31">
        <f>IF($B32="","",SUM('Legger Dinas'!G32:V32))</f>
        <v>1356</v>
      </c>
      <c r="X32" s="31">
        <f t="shared" si="0"/>
        <v>27</v>
      </c>
    </row>
    <row r="33" spans="1:123">
      <c r="A33" s="44">
        <v>27</v>
      </c>
      <c r="B33" s="45" t="str">
        <f>IF(Setting!J32="","",Setting!J32)</f>
        <v>Nauval Nur Mustafa</v>
      </c>
      <c r="C33" s="46">
        <f>IF(Setting!K32="","",Setting!K32)</f>
        <v>2008253</v>
      </c>
      <c r="D33" s="164" t="str">
        <f>IF(Setting!L32="","",Setting!L32)</f>
        <v>0061518278</v>
      </c>
      <c r="E33" s="9" t="str">
        <f>IF(B33="","",Setting!$E$11)</f>
        <v>X.MIPA 4</v>
      </c>
      <c r="F33" s="9" t="str">
        <f>IF(B33="","",Setting!$E$15)</f>
        <v>I</v>
      </c>
      <c r="G33" s="9">
        <f>IF($B33="","",RANK('Legger Dinas'!G33,'Legger Dinas'!G$7:G$46))</f>
        <v>21</v>
      </c>
      <c r="H33" s="9">
        <f>IF($B33="","",RANK('Legger Dinas'!H33,'Legger Dinas'!H$7:H$46))</f>
        <v>12</v>
      </c>
      <c r="I33" s="9">
        <f>IF($B33="","",RANK('Legger Dinas'!I33,'Legger Dinas'!I$7:I$46))</f>
        <v>31</v>
      </c>
      <c r="J33" s="9">
        <f>IF($B33="","",RANK('Legger Dinas'!J33,'Legger Dinas'!J$7:J$46))</f>
        <v>12</v>
      </c>
      <c r="K33" s="9">
        <f>IF($B33="","",RANK('Legger Dinas'!K33,'Legger Dinas'!K$7:K$46))</f>
        <v>13</v>
      </c>
      <c r="L33" s="9">
        <f>IF($B33="","",RANK('Legger Dinas'!L33,'Legger Dinas'!L$7:L$46))</f>
        <v>7</v>
      </c>
      <c r="M33" s="9">
        <f>IF($B33="","",RANK('Legger Dinas'!M33,'Legger Dinas'!M$7:M$46))</f>
        <v>7</v>
      </c>
      <c r="N33" s="9">
        <f>IF($B33="","",RANK('Legger Dinas'!N33,'Legger Dinas'!N$7:N$46))</f>
        <v>19</v>
      </c>
      <c r="O33" s="9">
        <f>IF($B33="","",RANK('Legger Dinas'!O33,'Legger Dinas'!O$7:O$46))</f>
        <v>28</v>
      </c>
      <c r="P33" s="9">
        <f>IF($B33="","",RANK('Legger Dinas'!P33,'Legger Dinas'!P$7:P$46))</f>
        <v>31</v>
      </c>
      <c r="Q33" s="9">
        <f>IF($B33="","",RANK('Legger Dinas'!Q33,'Legger Dinas'!Q$7:Q$46))</f>
        <v>23</v>
      </c>
      <c r="R33" s="9">
        <f>IF($B33="","",RANK('Legger Dinas'!R33,'Legger Dinas'!R$7:R$46))</f>
        <v>7</v>
      </c>
      <c r="S33" s="9">
        <f>IF($B33="","",RANK('Legger Dinas'!S33,'Legger Dinas'!S$7:S$46))</f>
        <v>7</v>
      </c>
      <c r="T33" s="9">
        <f>IF($B33="","",RANK('Legger Dinas'!T33,'Legger Dinas'!T$7:T$46))</f>
        <v>24</v>
      </c>
      <c r="U33" s="9">
        <f>IF(Setting!$E$15="V","",IF(Setting!$E$15="VI","",RANK('Legger Dinas'!U33,'Legger Dinas'!U$7:U$46)))</f>
        <v>5</v>
      </c>
      <c r="V33" s="9">
        <f>IF($B33="","",RANK('Legger Dinas'!V33,'Legger Dinas'!V$7:V$46))</f>
        <v>21</v>
      </c>
      <c r="W33" s="31">
        <f>IF($B33="","",SUM('Legger Dinas'!G33:V33))</f>
        <v>1372</v>
      </c>
      <c r="X33" s="31">
        <f t="shared" si="0"/>
        <v>21</v>
      </c>
    </row>
    <row r="34" spans="1:123">
      <c r="A34" s="44">
        <v>28</v>
      </c>
      <c r="B34" s="45" t="str">
        <f>IF(Setting!J33="","",Setting!J33)</f>
        <v>Oriegano Kanahaya  Siagian</v>
      </c>
      <c r="C34" s="46">
        <f>IF(Setting!K33="","",Setting!K33)</f>
        <v>2008272</v>
      </c>
      <c r="D34" s="164" t="str">
        <f>IF(Setting!L33="","",Setting!L33)</f>
        <v xml:space="preserve"> 0051837216</v>
      </c>
      <c r="E34" s="9" t="str">
        <f>IF(B34="","",Setting!$E$11)</f>
        <v>X.MIPA 4</v>
      </c>
      <c r="F34" s="9" t="str">
        <f>IF(B34="","",Setting!$E$15)</f>
        <v>I</v>
      </c>
      <c r="G34" s="9">
        <f>IF($B34="","",RANK('Legger Dinas'!G34,'Legger Dinas'!G$7:G$46))</f>
        <v>27</v>
      </c>
      <c r="H34" s="9">
        <f>IF($B34="","",RANK('Legger Dinas'!H34,'Legger Dinas'!H$7:H$46))</f>
        <v>27</v>
      </c>
      <c r="I34" s="9">
        <f>IF($B34="","",RANK('Legger Dinas'!I34,'Legger Dinas'!I$7:I$46))</f>
        <v>29</v>
      </c>
      <c r="J34" s="9">
        <f>IF($B34="","",RANK('Legger Dinas'!J34,'Legger Dinas'!J$7:J$46))</f>
        <v>20</v>
      </c>
      <c r="K34" s="9">
        <f>IF($B34="","",RANK('Legger Dinas'!K34,'Legger Dinas'!K$7:K$46))</f>
        <v>22</v>
      </c>
      <c r="L34" s="9">
        <f>IF($B34="","",RANK('Legger Dinas'!L34,'Legger Dinas'!L$7:L$46))</f>
        <v>16</v>
      </c>
      <c r="M34" s="9">
        <f>IF($B34="","",RANK('Legger Dinas'!M34,'Legger Dinas'!M$7:M$46))</f>
        <v>1</v>
      </c>
      <c r="N34" s="9">
        <f>IF($B34="","",RANK('Legger Dinas'!N34,'Legger Dinas'!N$7:N$46))</f>
        <v>31</v>
      </c>
      <c r="O34" s="9">
        <f>IF($B34="","",RANK('Legger Dinas'!O34,'Legger Dinas'!O$7:O$46))</f>
        <v>26</v>
      </c>
      <c r="P34" s="9">
        <f>IF($B34="","",RANK('Legger Dinas'!P34,'Legger Dinas'!P$7:P$46))</f>
        <v>29</v>
      </c>
      <c r="Q34" s="9">
        <f>IF($B34="","",RANK('Legger Dinas'!Q34,'Legger Dinas'!Q$7:Q$46))</f>
        <v>23</v>
      </c>
      <c r="R34" s="9">
        <f>IF($B34="","",RANK('Legger Dinas'!R34,'Legger Dinas'!R$7:R$46))</f>
        <v>25</v>
      </c>
      <c r="S34" s="9">
        <f>IF($B34="","",RANK('Legger Dinas'!S34,'Legger Dinas'!S$7:S$46))</f>
        <v>20</v>
      </c>
      <c r="T34" s="9">
        <f>IF($B34="","",RANK('Legger Dinas'!T34,'Legger Dinas'!T$7:T$46))</f>
        <v>24</v>
      </c>
      <c r="U34" s="9">
        <f>IF(Setting!$E$15="V","",IF(Setting!$E$15="VI","",RANK('Legger Dinas'!U34,'Legger Dinas'!U$7:U$46)))</f>
        <v>22</v>
      </c>
      <c r="V34" s="9">
        <f>IF($B34="","",RANK('Legger Dinas'!V34,'Legger Dinas'!V$7:V$46))</f>
        <v>30</v>
      </c>
      <c r="W34" s="31">
        <f>IF($B34="","",SUM('Legger Dinas'!G34:V34))</f>
        <v>1345</v>
      </c>
      <c r="X34" s="31">
        <f t="shared" si="0"/>
        <v>29</v>
      </c>
    </row>
    <row r="35" spans="1:123">
      <c r="A35" s="44">
        <v>29</v>
      </c>
      <c r="B35" s="45" t="str">
        <f>IF(Setting!J34="","",Setting!J34)</f>
        <v>Rafif Mahatma Indrastata</v>
      </c>
      <c r="C35" s="46">
        <f>IF(Setting!K34="","",Setting!K34)</f>
        <v>2008282</v>
      </c>
      <c r="D35" s="164" t="str">
        <f>IF(Setting!L34="","",Setting!L34)</f>
        <v>0045017851</v>
      </c>
      <c r="E35" s="9" t="str">
        <f>IF(B35="","",Setting!$E$11)</f>
        <v>X.MIPA 4</v>
      </c>
      <c r="F35" s="9" t="str">
        <f>IF(B35="","",Setting!$E$15)</f>
        <v>I</v>
      </c>
      <c r="G35" s="9">
        <f>IF($B35="","",RANK('Legger Dinas'!G35,'Legger Dinas'!G$7:G$46))</f>
        <v>19</v>
      </c>
      <c r="H35" s="9">
        <f>IF($B35="","",RANK('Legger Dinas'!H35,'Legger Dinas'!H$7:H$46))</f>
        <v>14</v>
      </c>
      <c r="I35" s="9">
        <f>IF($B35="","",RANK('Legger Dinas'!I35,'Legger Dinas'!I$7:I$46))</f>
        <v>12</v>
      </c>
      <c r="J35" s="9">
        <f>IF($B35="","",RANK('Legger Dinas'!J35,'Legger Dinas'!J$7:J$46))</f>
        <v>15</v>
      </c>
      <c r="K35" s="9">
        <f>IF($B35="","",RANK('Legger Dinas'!K35,'Legger Dinas'!K$7:K$46))</f>
        <v>26</v>
      </c>
      <c r="L35" s="9">
        <f>IF($B35="","",RANK('Legger Dinas'!L35,'Legger Dinas'!L$7:L$46))</f>
        <v>16</v>
      </c>
      <c r="M35" s="9">
        <f>IF($B35="","",RANK('Legger Dinas'!M35,'Legger Dinas'!M$7:M$46))</f>
        <v>29</v>
      </c>
      <c r="N35" s="9">
        <f>IF($B35="","",RANK('Legger Dinas'!N35,'Legger Dinas'!N$7:N$46))</f>
        <v>6</v>
      </c>
      <c r="O35" s="9">
        <f>IF($B35="","",RANK('Legger Dinas'!O35,'Legger Dinas'!O$7:O$46))</f>
        <v>20</v>
      </c>
      <c r="P35" s="9">
        <f>IF($B35="","",RANK('Legger Dinas'!P35,'Legger Dinas'!P$7:P$46))</f>
        <v>11</v>
      </c>
      <c r="Q35" s="9">
        <f>IF($B35="","",RANK('Legger Dinas'!Q35,'Legger Dinas'!Q$7:Q$46))</f>
        <v>19</v>
      </c>
      <c r="R35" s="9">
        <f>IF($B35="","",RANK('Legger Dinas'!R35,'Legger Dinas'!R$7:R$46))</f>
        <v>7</v>
      </c>
      <c r="S35" s="9">
        <f>IF($B35="","",RANK('Legger Dinas'!S35,'Legger Dinas'!S$7:S$46))</f>
        <v>7</v>
      </c>
      <c r="T35" s="9">
        <f>IF($B35="","",RANK('Legger Dinas'!T35,'Legger Dinas'!T$7:T$46))</f>
        <v>29</v>
      </c>
      <c r="U35" s="9">
        <f>IF(Setting!$E$15="V","",IF(Setting!$E$15="VI","",RANK('Legger Dinas'!U35,'Legger Dinas'!U$7:U$46)))</f>
        <v>16</v>
      </c>
      <c r="V35" s="9">
        <f>IF($B35="","",RANK('Legger Dinas'!V35,'Legger Dinas'!V$7:V$46))</f>
        <v>23</v>
      </c>
      <c r="W35" s="31">
        <f>IF($B35="","",SUM('Legger Dinas'!G35:V35))</f>
        <v>1379</v>
      </c>
      <c r="X35" s="31">
        <f t="shared" si="0"/>
        <v>19</v>
      </c>
    </row>
    <row r="36" spans="1:123">
      <c r="A36" s="44">
        <v>30</v>
      </c>
      <c r="B36" s="45" t="str">
        <f>IF(Setting!J35="","",Setting!J35)</f>
        <v>Rayhan Yoga Edy Pratama</v>
      </c>
      <c r="C36" s="46">
        <f>IF(Setting!K35="","",Setting!K35)</f>
        <v>2008296</v>
      </c>
      <c r="D36" s="164" t="str">
        <f>IF(Setting!L35="","",Setting!L35)</f>
        <v xml:space="preserve">0041380949 </v>
      </c>
      <c r="E36" s="9" t="str">
        <f>IF(B36="","",Setting!$E$11)</f>
        <v>X.MIPA 4</v>
      </c>
      <c r="F36" s="9" t="str">
        <f>IF(B36="","",Setting!$E$15)</f>
        <v>I</v>
      </c>
      <c r="G36" s="9">
        <f>IF($B36="","",RANK('Legger Dinas'!G36,'Legger Dinas'!G$7:G$46))</f>
        <v>10</v>
      </c>
      <c r="H36" s="9">
        <f>IF($B36="","",RANK('Legger Dinas'!H36,'Legger Dinas'!H$7:H$46))</f>
        <v>1</v>
      </c>
      <c r="I36" s="9">
        <f>IF($B36="","",RANK('Legger Dinas'!I36,'Legger Dinas'!I$7:I$46))</f>
        <v>1</v>
      </c>
      <c r="J36" s="9">
        <f>IF($B36="","",RANK('Legger Dinas'!J36,'Legger Dinas'!J$7:J$46))</f>
        <v>9</v>
      </c>
      <c r="K36" s="9">
        <f>IF($B36="","",RANK('Legger Dinas'!K36,'Legger Dinas'!K$7:K$46))</f>
        <v>3</v>
      </c>
      <c r="L36" s="9">
        <f>IF($B36="","",RANK('Legger Dinas'!L36,'Legger Dinas'!L$7:L$46))</f>
        <v>7</v>
      </c>
      <c r="M36" s="9">
        <f>IF($B36="","",RANK('Legger Dinas'!M36,'Legger Dinas'!M$7:M$46))</f>
        <v>7</v>
      </c>
      <c r="N36" s="9">
        <f>IF($B36="","",RANK('Legger Dinas'!N36,'Legger Dinas'!N$7:N$46))</f>
        <v>6</v>
      </c>
      <c r="O36" s="9">
        <f>IF($B36="","",RANK('Legger Dinas'!O36,'Legger Dinas'!O$7:O$46))</f>
        <v>15</v>
      </c>
      <c r="P36" s="9">
        <f>IF($B36="","",RANK('Legger Dinas'!P36,'Legger Dinas'!P$7:P$46))</f>
        <v>1</v>
      </c>
      <c r="Q36" s="9">
        <f>IF($B36="","",RANK('Legger Dinas'!Q36,'Legger Dinas'!Q$7:Q$46))</f>
        <v>1</v>
      </c>
      <c r="R36" s="9">
        <f>IF($B36="","",RANK('Legger Dinas'!R36,'Legger Dinas'!R$7:R$46))</f>
        <v>18</v>
      </c>
      <c r="S36" s="9">
        <f>IF($B36="","",RANK('Legger Dinas'!S36,'Legger Dinas'!S$7:S$46))</f>
        <v>2</v>
      </c>
      <c r="T36" s="9">
        <f>IF($B36="","",RANK('Legger Dinas'!T36,'Legger Dinas'!T$7:T$46))</f>
        <v>6</v>
      </c>
      <c r="U36" s="9">
        <f>IF(Setting!$E$15="V","",IF(Setting!$E$15="VI","",RANK('Legger Dinas'!U36,'Legger Dinas'!U$7:U$46)))</f>
        <v>16</v>
      </c>
      <c r="V36" s="9">
        <f>IF($B36="","",RANK('Legger Dinas'!V36,'Legger Dinas'!V$7:V$46))</f>
        <v>1</v>
      </c>
      <c r="W36" s="31">
        <f>IF($B36="","",SUM('Legger Dinas'!G36:V36))</f>
        <v>1421</v>
      </c>
      <c r="X36" s="31">
        <f t="shared" si="0"/>
        <v>7</v>
      </c>
    </row>
    <row r="37" spans="1:123">
      <c r="A37" s="44">
        <v>31</v>
      </c>
      <c r="B37" s="45" t="str">
        <f>IF(Setting!J36="","",Setting!J36)</f>
        <v>Rusianto Munif</v>
      </c>
      <c r="C37" s="46">
        <f>IF(Setting!K36="","",Setting!K36)</f>
        <v>2008307</v>
      </c>
      <c r="D37" s="164" t="str">
        <f>IF(Setting!L36="","",Setting!L36)</f>
        <v>0060172183</v>
      </c>
      <c r="E37" s="9" t="str">
        <f>IF(B37="","",Setting!$E$11)</f>
        <v>X.MIPA 4</v>
      </c>
      <c r="F37" s="9" t="str">
        <f>IF(B37="","",Setting!$E$15)</f>
        <v>I</v>
      </c>
      <c r="G37" s="9">
        <f>IF($B37="","",RANK('Legger Dinas'!G37,'Legger Dinas'!G$7:G$46))</f>
        <v>25</v>
      </c>
      <c r="H37" s="9">
        <f>IF($B37="","",RANK('Legger Dinas'!H37,'Legger Dinas'!H$7:H$46))</f>
        <v>23</v>
      </c>
      <c r="I37" s="9">
        <f>IF($B37="","",RANK('Legger Dinas'!I37,'Legger Dinas'!I$7:I$46))</f>
        <v>17</v>
      </c>
      <c r="J37" s="9">
        <f>IF($B37="","",RANK('Legger Dinas'!J37,'Legger Dinas'!J$7:J$46))</f>
        <v>19</v>
      </c>
      <c r="K37" s="9">
        <f>IF($B37="","",RANK('Legger Dinas'!K37,'Legger Dinas'!K$7:K$46))</f>
        <v>26</v>
      </c>
      <c r="L37" s="9">
        <f>IF($B37="","",RANK('Legger Dinas'!L37,'Legger Dinas'!L$7:L$46))</f>
        <v>26</v>
      </c>
      <c r="M37" s="9">
        <f>IF($B37="","",RANK('Legger Dinas'!M37,'Legger Dinas'!M$7:M$46))</f>
        <v>7</v>
      </c>
      <c r="N37" s="9">
        <f>IF($B37="","",RANK('Legger Dinas'!N37,'Legger Dinas'!N$7:N$46))</f>
        <v>19</v>
      </c>
      <c r="O37" s="9">
        <f>IF($B37="","",RANK('Legger Dinas'!O37,'Legger Dinas'!O$7:O$46))</f>
        <v>17</v>
      </c>
      <c r="P37" s="9">
        <f>IF($B37="","",RANK('Legger Dinas'!P37,'Legger Dinas'!P$7:P$46))</f>
        <v>17</v>
      </c>
      <c r="Q37" s="9">
        <f>IF($B37="","",RANK('Legger Dinas'!Q37,'Legger Dinas'!Q$7:Q$46))</f>
        <v>17</v>
      </c>
      <c r="R37" s="9">
        <f>IF($B37="","",RANK('Legger Dinas'!R37,'Legger Dinas'!R$7:R$46))</f>
        <v>22</v>
      </c>
      <c r="S37" s="9">
        <f>IF($B37="","",RANK('Legger Dinas'!S37,'Legger Dinas'!S$7:S$46))</f>
        <v>20</v>
      </c>
      <c r="T37" s="9">
        <f>IF($B37="","",RANK('Legger Dinas'!T37,'Legger Dinas'!T$7:T$46))</f>
        <v>15</v>
      </c>
      <c r="U37" s="9">
        <f>IF(Setting!$E$15="V","",IF(Setting!$E$15="VI","",RANK('Legger Dinas'!U37,'Legger Dinas'!U$7:U$46)))</f>
        <v>26</v>
      </c>
      <c r="V37" s="9">
        <f>IF($B37="","",RANK('Legger Dinas'!V37,'Legger Dinas'!V$7:V$46))</f>
        <v>10</v>
      </c>
      <c r="W37" s="31">
        <f>IF($B37="","",SUM('Legger Dinas'!G37:V37))</f>
        <v>1370</v>
      </c>
      <c r="X37" s="31">
        <f t="shared" si="0"/>
        <v>22</v>
      </c>
    </row>
    <row r="38" spans="1:123">
      <c r="A38" s="44">
        <v>32</v>
      </c>
      <c r="B38" s="45" t="str">
        <f>IF(Setting!J37="","",Setting!J37)</f>
        <v>Zaidan Mu'afy Althaf</v>
      </c>
      <c r="C38" s="46">
        <f>IF(Setting!K37="","",Setting!K37)</f>
        <v>2008347</v>
      </c>
      <c r="D38" s="164" t="str">
        <f>IF(Setting!L37="","",Setting!L37)</f>
        <v>0056182222</v>
      </c>
      <c r="E38" s="9" t="str">
        <f>IF(B38="","",Setting!$E$11)</f>
        <v>X.MIPA 4</v>
      </c>
      <c r="F38" s="9" t="str">
        <f>IF(B38="","",Setting!$E$15)</f>
        <v>I</v>
      </c>
      <c r="G38" s="9">
        <f>IF($B38="","",RANK('Legger Dinas'!G38,'Legger Dinas'!G$7:G$46))</f>
        <v>10</v>
      </c>
      <c r="H38" s="9">
        <f>IF($B38="","",RANK('Legger Dinas'!H38,'Legger Dinas'!H$7:H$46))</f>
        <v>4</v>
      </c>
      <c r="I38" s="9">
        <f>IF($B38="","",RANK('Legger Dinas'!I38,'Legger Dinas'!I$7:I$46))</f>
        <v>1</v>
      </c>
      <c r="J38" s="9">
        <f>IF($B38="","",RANK('Legger Dinas'!J38,'Legger Dinas'!J$7:J$46))</f>
        <v>15</v>
      </c>
      <c r="K38" s="9">
        <f>IF($B38="","",RANK('Legger Dinas'!K38,'Legger Dinas'!K$7:K$46))</f>
        <v>15</v>
      </c>
      <c r="L38" s="9">
        <f>IF($B38="","",RANK('Legger Dinas'!L38,'Legger Dinas'!L$7:L$46))</f>
        <v>19</v>
      </c>
      <c r="M38" s="9">
        <f>IF($B38="","",RANK('Legger Dinas'!M38,'Legger Dinas'!M$7:M$46))</f>
        <v>7</v>
      </c>
      <c r="N38" s="9">
        <f>IF($B38="","",RANK('Legger Dinas'!N38,'Legger Dinas'!N$7:N$46))</f>
        <v>6</v>
      </c>
      <c r="O38" s="9">
        <f>IF($B38="","",RANK('Legger Dinas'!O38,'Legger Dinas'!O$7:O$46))</f>
        <v>17</v>
      </c>
      <c r="P38" s="9">
        <f>IF($B38="","",RANK('Legger Dinas'!P38,'Legger Dinas'!P$7:P$46))</f>
        <v>1</v>
      </c>
      <c r="Q38" s="9">
        <f>IF($B38="","",RANK('Legger Dinas'!Q38,'Legger Dinas'!Q$7:Q$46))</f>
        <v>23</v>
      </c>
      <c r="R38" s="9">
        <f>IF($B38="","",RANK('Legger Dinas'!R38,'Legger Dinas'!R$7:R$46))</f>
        <v>7</v>
      </c>
      <c r="S38" s="9">
        <f>IF($B38="","",RANK('Legger Dinas'!S38,'Legger Dinas'!S$7:S$46))</f>
        <v>7</v>
      </c>
      <c r="T38" s="9">
        <f>IF($B38="","",RANK('Legger Dinas'!T38,'Legger Dinas'!T$7:T$46))</f>
        <v>24</v>
      </c>
      <c r="U38" s="9">
        <f>IF(Setting!$E$15="V","",IF(Setting!$E$15="VI","",RANK('Legger Dinas'!U38,'Legger Dinas'!U$7:U$46)))</f>
        <v>8</v>
      </c>
      <c r="V38" s="9">
        <f>IF($B38="","",RANK('Legger Dinas'!V38,'Legger Dinas'!V$7:V$46))</f>
        <v>16</v>
      </c>
      <c r="W38" s="31">
        <f>IF($B38="","",SUM('Legger Dinas'!G38:V38))</f>
        <v>1391</v>
      </c>
      <c r="X38" s="31">
        <f t="shared" si="0"/>
        <v>16</v>
      </c>
    </row>
    <row r="39" spans="1:123">
      <c r="A39" s="44">
        <v>33</v>
      </c>
      <c r="B39" s="45" t="str">
        <f>IF(Setting!J38="","",Setting!J38)</f>
        <v/>
      </c>
      <c r="C39" s="46" t="str">
        <f>IF(Setting!K38="","",Setting!K38)</f>
        <v/>
      </c>
      <c r="D39" s="46" t="str">
        <f>IF(Setting!L38="","",Setting!L38)</f>
        <v/>
      </c>
      <c r="E39" s="9" t="str">
        <f>IF(B39="","",Setting!$E$11)</f>
        <v/>
      </c>
      <c r="F39" s="9" t="str">
        <f>IF(B39="","",Setting!$E$15)</f>
        <v/>
      </c>
      <c r="G39" s="9" t="str">
        <f>IF($B39="","",RANK('Legger Dinas'!G39,'Legger Dinas'!G$7:G$46))</f>
        <v/>
      </c>
      <c r="H39" s="9" t="str">
        <f>IF($B39="","",RANK('Legger Dinas'!H39,'Legger Dinas'!H$7:H$46))</f>
        <v/>
      </c>
      <c r="I39" s="9" t="str">
        <f>IF($B39="","",RANK('Legger Dinas'!I39,'Legger Dinas'!I$7:I$46))</f>
        <v/>
      </c>
      <c r="J39" s="9" t="str">
        <f>IF($B39="","",RANK('Legger Dinas'!J39,'Legger Dinas'!J$7:J$46))</f>
        <v/>
      </c>
      <c r="K39" s="9" t="str">
        <f>IF($B39="","",RANK('Legger Dinas'!K39,'Legger Dinas'!K$7:K$46))</f>
        <v/>
      </c>
      <c r="L39" s="9" t="str">
        <f>IF($B39="","",RANK('Legger Dinas'!L39,'Legger Dinas'!L$7:L$46))</f>
        <v/>
      </c>
      <c r="M39" s="9" t="str">
        <f>IF($B39="","",RANK('Legger Dinas'!M39,'Legger Dinas'!M$7:M$46))</f>
        <v/>
      </c>
      <c r="N39" s="9" t="str">
        <f>IF($B39="","",RANK('Legger Dinas'!N39,'Legger Dinas'!N$7:N$46))</f>
        <v/>
      </c>
      <c r="O39" s="9" t="str">
        <f>IF($B39="","",RANK('Legger Dinas'!O39,'Legger Dinas'!O$7:O$46))</f>
        <v/>
      </c>
      <c r="P39" s="9" t="str">
        <f>IF($B39="","",RANK('Legger Dinas'!P39,'Legger Dinas'!P$7:P$46))</f>
        <v/>
      </c>
      <c r="Q39" s="9" t="str">
        <f>IF($B39="","",RANK('Legger Dinas'!Q39,'Legger Dinas'!Q$7:Q$46))</f>
        <v/>
      </c>
      <c r="R39" s="9" t="str">
        <f>IF($B39="","",RANK('Legger Dinas'!R39,'Legger Dinas'!R$7:R$46))</f>
        <v/>
      </c>
      <c r="S39" s="9" t="str">
        <f>IF($B39="","",RANK('Legger Dinas'!S39,'Legger Dinas'!S$7:S$46))</f>
        <v/>
      </c>
      <c r="T39" s="9" t="str">
        <f>IF($B39="","",RANK('Legger Dinas'!T39,'Legger Dinas'!T$7:T$46))</f>
        <v/>
      </c>
      <c r="U39" s="9" t="e">
        <f>IF(Setting!$E$15="V","",IF(Setting!$E$15="VI","",RANK('Legger Dinas'!U39,'Legger Dinas'!U$7:U$46)))</f>
        <v>#VALUE!</v>
      </c>
      <c r="V39" s="9" t="str">
        <f>IF($B39="","",RANK('Legger Dinas'!V39,'Legger Dinas'!V$7:V$46))</f>
        <v/>
      </c>
      <c r="W39" s="31" t="str">
        <f>IF($B39="","",SUM('Legger Dinas'!G39:V39))</f>
        <v/>
      </c>
      <c r="X39" s="31" t="str">
        <f t="shared" si="0"/>
        <v/>
      </c>
    </row>
    <row r="40" spans="1:123">
      <c r="A40" s="44">
        <v>34</v>
      </c>
      <c r="B40" s="45" t="str">
        <f>IF(Setting!J39="","",Setting!J39)</f>
        <v/>
      </c>
      <c r="C40" s="46" t="str">
        <f>IF(Setting!K39="","",Setting!K39)</f>
        <v/>
      </c>
      <c r="D40" s="46" t="str">
        <f>IF(Setting!L39="","",Setting!L39)</f>
        <v/>
      </c>
      <c r="E40" s="9" t="str">
        <f>IF(B40="","",Setting!$E$11)</f>
        <v/>
      </c>
      <c r="F40" s="9" t="str">
        <f>IF(B40="","",Setting!$E$15)</f>
        <v/>
      </c>
      <c r="G40" s="9" t="str">
        <f>IF($B40="","",RANK('Legger Dinas'!G40,'Legger Dinas'!G$7:G$46))</f>
        <v/>
      </c>
      <c r="H40" s="9" t="str">
        <f>IF($B40="","",RANK('Legger Dinas'!H40,'Legger Dinas'!H$7:H$46))</f>
        <v/>
      </c>
      <c r="I40" s="9" t="str">
        <f>IF($B40="","",RANK('Legger Dinas'!I40,'Legger Dinas'!I$7:I$46))</f>
        <v/>
      </c>
      <c r="J40" s="9" t="str">
        <f>IF($B40="","",RANK('Legger Dinas'!J40,'Legger Dinas'!J$7:J$46))</f>
        <v/>
      </c>
      <c r="K40" s="9" t="str">
        <f>IF($B40="","",RANK('Legger Dinas'!K40,'Legger Dinas'!K$7:K$46))</f>
        <v/>
      </c>
      <c r="L40" s="9" t="str">
        <f>IF($B40="","",RANK('Legger Dinas'!L40,'Legger Dinas'!L$7:L$46))</f>
        <v/>
      </c>
      <c r="M40" s="9" t="str">
        <f>IF($B40="","",RANK('Legger Dinas'!M40,'Legger Dinas'!M$7:M$46))</f>
        <v/>
      </c>
      <c r="N40" s="9" t="str">
        <f>IF($B40="","",RANK('Legger Dinas'!N40,'Legger Dinas'!N$7:N$46))</f>
        <v/>
      </c>
      <c r="O40" s="9" t="str">
        <f>IF($B40="","",RANK('Legger Dinas'!O40,'Legger Dinas'!O$7:O$46))</f>
        <v/>
      </c>
      <c r="P40" s="9" t="str">
        <f>IF($B40="","",RANK('Legger Dinas'!P40,'Legger Dinas'!P$7:P$46))</f>
        <v/>
      </c>
      <c r="Q40" s="9" t="str">
        <f>IF($B40="","",RANK('Legger Dinas'!Q40,'Legger Dinas'!Q$7:Q$46))</f>
        <v/>
      </c>
      <c r="R40" s="9" t="str">
        <f>IF($B40="","",RANK('Legger Dinas'!R40,'Legger Dinas'!R$7:R$46))</f>
        <v/>
      </c>
      <c r="S40" s="9" t="str">
        <f>IF($B40="","",RANK('Legger Dinas'!S40,'Legger Dinas'!S$7:S$46))</f>
        <v/>
      </c>
      <c r="T40" s="9" t="str">
        <f>IF($B40="","",RANK('Legger Dinas'!T40,'Legger Dinas'!T$7:T$46))</f>
        <v/>
      </c>
      <c r="U40" s="9" t="e">
        <f>IF(Setting!$E$15="V","",IF(Setting!$E$15="VI","",RANK('Legger Dinas'!U40,'Legger Dinas'!U$7:U$46)))</f>
        <v>#VALUE!</v>
      </c>
      <c r="V40" s="9" t="str">
        <f>IF($B40="","",RANK('Legger Dinas'!V40,'Legger Dinas'!V$7:V$46))</f>
        <v/>
      </c>
      <c r="W40" s="31" t="str">
        <f>IF($B40="","",SUM('Legger Dinas'!G40:V40))</f>
        <v/>
      </c>
      <c r="X40" s="31" t="str">
        <f t="shared" si="0"/>
        <v/>
      </c>
    </row>
    <row r="41" spans="1:123">
      <c r="A41" s="44">
        <v>35</v>
      </c>
      <c r="B41" s="45" t="str">
        <f>IF(Setting!J40="","",Setting!J40)</f>
        <v/>
      </c>
      <c r="C41" s="46" t="str">
        <f>IF(Setting!K40="","",Setting!K40)</f>
        <v/>
      </c>
      <c r="D41" s="46" t="str">
        <f>IF(Setting!L40="","",Setting!L40)</f>
        <v/>
      </c>
      <c r="E41" s="9" t="str">
        <f>IF(B41="","",Setting!$E$11)</f>
        <v/>
      </c>
      <c r="F41" s="9" t="str">
        <f>IF(B41="","",Setting!$E$15)</f>
        <v/>
      </c>
      <c r="G41" s="9" t="str">
        <f>IF($B41="","",RANK('Legger Dinas'!G41,'Legger Dinas'!G$7:G$46))</f>
        <v/>
      </c>
      <c r="H41" s="9" t="str">
        <f>IF($B41="","",RANK('Legger Dinas'!H41,'Legger Dinas'!H$7:H$46))</f>
        <v/>
      </c>
      <c r="I41" s="9" t="str">
        <f>IF($B41="","",RANK('Legger Dinas'!I41,'Legger Dinas'!I$7:I$46))</f>
        <v/>
      </c>
      <c r="J41" s="9" t="str">
        <f>IF($B41="","",RANK('Legger Dinas'!J41,'Legger Dinas'!J$7:J$46))</f>
        <v/>
      </c>
      <c r="K41" s="9" t="str">
        <f>IF($B41="","",RANK('Legger Dinas'!K41,'Legger Dinas'!K$7:K$46))</f>
        <v/>
      </c>
      <c r="L41" s="9" t="str">
        <f>IF($B41="","",RANK('Legger Dinas'!L41,'Legger Dinas'!L$7:L$46))</f>
        <v/>
      </c>
      <c r="M41" s="9" t="str">
        <f>IF($B41="","",RANK('Legger Dinas'!M41,'Legger Dinas'!M$7:M$46))</f>
        <v/>
      </c>
      <c r="N41" s="9" t="str">
        <f>IF($B41="","",RANK('Legger Dinas'!N41,'Legger Dinas'!N$7:N$46))</f>
        <v/>
      </c>
      <c r="O41" s="9" t="str">
        <f>IF($B41="","",RANK('Legger Dinas'!O41,'Legger Dinas'!O$7:O$46))</f>
        <v/>
      </c>
      <c r="P41" s="9" t="str">
        <f>IF($B41="","",RANK('Legger Dinas'!P41,'Legger Dinas'!P$7:P$46))</f>
        <v/>
      </c>
      <c r="Q41" s="9" t="str">
        <f>IF($B41="","",RANK('Legger Dinas'!Q41,'Legger Dinas'!Q$7:Q$46))</f>
        <v/>
      </c>
      <c r="R41" s="9" t="str">
        <f>IF($B41="","",RANK('Legger Dinas'!R41,'Legger Dinas'!R$7:R$46))</f>
        <v/>
      </c>
      <c r="S41" s="9" t="str">
        <f>IF($B41="","",RANK('Legger Dinas'!S41,'Legger Dinas'!S$7:S$46))</f>
        <v/>
      </c>
      <c r="T41" s="9" t="str">
        <f>IF($B41="","",RANK('Legger Dinas'!T41,'Legger Dinas'!T$7:T$46))</f>
        <v/>
      </c>
      <c r="U41" s="9" t="e">
        <f>IF(Setting!$E$15="V","",IF(Setting!$E$15="VI","",RANK('Legger Dinas'!U41,'Legger Dinas'!U$7:U$46)))</f>
        <v>#VALUE!</v>
      </c>
      <c r="V41" s="9" t="str">
        <f>IF($B41="","",RANK('Legger Dinas'!V41,'Legger Dinas'!V$7:V$46))</f>
        <v/>
      </c>
      <c r="W41" s="31" t="str">
        <f>IF($B41="","",SUM('Legger Dinas'!G41:V41))</f>
        <v/>
      </c>
      <c r="X41" s="31" t="str">
        <f t="shared" si="0"/>
        <v/>
      </c>
    </row>
    <row r="42" spans="1:123">
      <c r="A42" s="44">
        <v>36</v>
      </c>
      <c r="B42" s="45" t="str">
        <f>IF(Setting!J41="","",Setting!J41)</f>
        <v/>
      </c>
      <c r="C42" s="46" t="str">
        <f>IF(Setting!K41="","",Setting!K41)</f>
        <v/>
      </c>
      <c r="D42" s="46" t="str">
        <f>IF(Setting!L41="","",Setting!L41)</f>
        <v/>
      </c>
      <c r="E42" s="9" t="str">
        <f>IF(B42="","",Setting!$E$11)</f>
        <v/>
      </c>
      <c r="F42" s="9" t="str">
        <f>IF(B42="","",Setting!$E$15)</f>
        <v/>
      </c>
      <c r="G42" s="9" t="str">
        <f>IF($B42="","",RANK('Legger Dinas'!G42,'Legger Dinas'!G$7:G$46))</f>
        <v/>
      </c>
      <c r="H42" s="9" t="str">
        <f>IF($B42="","",RANK('Legger Dinas'!H42,'Legger Dinas'!H$7:H$46))</f>
        <v/>
      </c>
      <c r="I42" s="9" t="str">
        <f>IF($B42="","",RANK('Legger Dinas'!I42,'Legger Dinas'!I$7:I$46))</f>
        <v/>
      </c>
      <c r="J42" s="9" t="str">
        <f>IF($B42="","",RANK('Legger Dinas'!J42,'Legger Dinas'!J$7:J$46))</f>
        <v/>
      </c>
      <c r="K42" s="9" t="str">
        <f>IF($B42="","",RANK('Legger Dinas'!K42,'Legger Dinas'!K$7:K$46))</f>
        <v/>
      </c>
      <c r="L42" s="9" t="str">
        <f>IF($B42="","",RANK('Legger Dinas'!L42,'Legger Dinas'!L$7:L$46))</f>
        <v/>
      </c>
      <c r="M42" s="9" t="str">
        <f>IF($B42="","",RANK('Legger Dinas'!M42,'Legger Dinas'!M$7:M$46))</f>
        <v/>
      </c>
      <c r="N42" s="9" t="str">
        <f>IF($B42="","",RANK('Legger Dinas'!N42,'Legger Dinas'!N$7:N$46))</f>
        <v/>
      </c>
      <c r="O42" s="9" t="str">
        <f>IF($B42="","",RANK('Legger Dinas'!O42,'Legger Dinas'!O$7:O$46))</f>
        <v/>
      </c>
      <c r="P42" s="9" t="str">
        <f>IF($B42="","",RANK('Legger Dinas'!P42,'Legger Dinas'!P$7:P$46))</f>
        <v/>
      </c>
      <c r="Q42" s="9" t="str">
        <f>IF($B42="","",RANK('Legger Dinas'!Q42,'Legger Dinas'!Q$7:Q$46))</f>
        <v/>
      </c>
      <c r="R42" s="9" t="str">
        <f>IF($B42="","",RANK('Legger Dinas'!R42,'Legger Dinas'!R$7:R$46))</f>
        <v/>
      </c>
      <c r="S42" s="9" t="str">
        <f>IF($B42="","",RANK('Legger Dinas'!S42,'Legger Dinas'!S$7:S$46))</f>
        <v/>
      </c>
      <c r="T42" s="9" t="str">
        <f>IF($B42="","",RANK('Legger Dinas'!T42,'Legger Dinas'!T$7:T$46))</f>
        <v/>
      </c>
      <c r="U42" s="9" t="e">
        <f>IF(Setting!$E$15="V","",IF(Setting!$E$15="VI","",RANK('Legger Dinas'!U42,'Legger Dinas'!U$7:U$46)))</f>
        <v>#VALUE!</v>
      </c>
      <c r="V42" s="9" t="str">
        <f>IF($B42="","",RANK('Legger Dinas'!V42,'Legger Dinas'!V$7:V$46))</f>
        <v/>
      </c>
      <c r="W42" s="31" t="str">
        <f>IF($B42="","",SUM('Legger Dinas'!G42:V42))</f>
        <v/>
      </c>
      <c r="X42" s="31" t="str">
        <f t="shared" si="0"/>
        <v/>
      </c>
    </row>
    <row r="43" spans="1:123">
      <c r="A43" s="44">
        <v>37</v>
      </c>
      <c r="B43" s="45" t="str">
        <f>IF(Setting!J42="","",Setting!J42)</f>
        <v/>
      </c>
      <c r="C43" s="46" t="str">
        <f>IF(Setting!K42="","",Setting!K42)</f>
        <v/>
      </c>
      <c r="D43" s="46" t="str">
        <f>IF(Setting!L42="","",Setting!L42)</f>
        <v/>
      </c>
      <c r="E43" s="9" t="str">
        <f>IF(B43="","",Setting!$E$11)</f>
        <v/>
      </c>
      <c r="F43" s="9" t="str">
        <f>IF(B43="","",Setting!$E$15)</f>
        <v/>
      </c>
      <c r="G43" s="9" t="str">
        <f>IF($B43="","",RANK('Legger Dinas'!G43,'Legger Dinas'!G$7:G$46))</f>
        <v/>
      </c>
      <c r="H43" s="9" t="str">
        <f>IF($B43="","",RANK('Legger Dinas'!H43,'Legger Dinas'!H$7:H$46))</f>
        <v/>
      </c>
      <c r="I43" s="9" t="str">
        <f>IF($B43="","",RANK('Legger Dinas'!I43,'Legger Dinas'!I$7:I$46))</f>
        <v/>
      </c>
      <c r="J43" s="9" t="str">
        <f>IF($B43="","",RANK('Legger Dinas'!J43,'Legger Dinas'!J$7:J$46))</f>
        <v/>
      </c>
      <c r="K43" s="9" t="str">
        <f>IF($B43="","",RANK('Legger Dinas'!K43,'Legger Dinas'!K$7:K$46))</f>
        <v/>
      </c>
      <c r="L43" s="9" t="str">
        <f>IF($B43="","",RANK('Legger Dinas'!L43,'Legger Dinas'!L$7:L$46))</f>
        <v/>
      </c>
      <c r="M43" s="9" t="str">
        <f>IF($B43="","",RANK('Legger Dinas'!M43,'Legger Dinas'!M$7:M$46))</f>
        <v/>
      </c>
      <c r="N43" s="9" t="str">
        <f>IF($B43="","",RANK('Legger Dinas'!N43,'Legger Dinas'!N$7:N$46))</f>
        <v/>
      </c>
      <c r="O43" s="9" t="str">
        <f>IF($B43="","",RANK('Legger Dinas'!O43,'Legger Dinas'!O$7:O$46))</f>
        <v/>
      </c>
      <c r="P43" s="9" t="str">
        <f>IF($B43="","",RANK('Legger Dinas'!P43,'Legger Dinas'!P$7:P$46))</f>
        <v/>
      </c>
      <c r="Q43" s="9" t="str">
        <f>IF($B43="","",RANK('Legger Dinas'!Q43,'Legger Dinas'!Q$7:Q$46))</f>
        <v/>
      </c>
      <c r="R43" s="9" t="str">
        <f>IF($B43="","",RANK('Legger Dinas'!R43,'Legger Dinas'!R$7:R$46))</f>
        <v/>
      </c>
      <c r="S43" s="9" t="str">
        <f>IF($B43="","",RANK('Legger Dinas'!S43,'Legger Dinas'!S$7:S$46))</f>
        <v/>
      </c>
      <c r="T43" s="9" t="str">
        <f>IF($B43="","",RANK('Legger Dinas'!T43,'Legger Dinas'!T$7:T$46))</f>
        <v/>
      </c>
      <c r="U43" s="9" t="e">
        <f>IF(Setting!$E$15="V","",IF(Setting!$E$15="VI","",RANK('Legger Dinas'!U43,'Legger Dinas'!U$7:U$46)))</f>
        <v>#VALUE!</v>
      </c>
      <c r="V43" s="9" t="str">
        <f>IF($B43="","",RANK('Legger Dinas'!V43,'Legger Dinas'!V$7:V$46))</f>
        <v/>
      </c>
      <c r="W43" s="31" t="str">
        <f>IF($B43="","",SUM('Legger Dinas'!G43:V43))</f>
        <v/>
      </c>
      <c r="X43" s="31" t="str">
        <f t="shared" si="0"/>
        <v/>
      </c>
    </row>
    <row r="44" spans="1:123">
      <c r="A44" s="44">
        <v>38</v>
      </c>
      <c r="B44" s="45" t="str">
        <f>IF(Setting!J43="","",Setting!J43)</f>
        <v/>
      </c>
      <c r="C44" s="46" t="str">
        <f>IF(Setting!K43="","",Setting!K43)</f>
        <v/>
      </c>
      <c r="D44" s="46" t="str">
        <f>IF(Setting!L43="","",Setting!L43)</f>
        <v/>
      </c>
      <c r="E44" s="9" t="str">
        <f>IF(B44="","",Setting!$E$11)</f>
        <v/>
      </c>
      <c r="F44" s="9" t="str">
        <f>IF(B44="","",Setting!$E$15)</f>
        <v/>
      </c>
      <c r="G44" s="9" t="str">
        <f>IF($B44="","",RANK('Legger Dinas'!G44,'Legger Dinas'!G$7:G$46))</f>
        <v/>
      </c>
      <c r="H44" s="9" t="str">
        <f>IF($B44="","",RANK('Legger Dinas'!H44,'Legger Dinas'!H$7:H$46))</f>
        <v/>
      </c>
      <c r="I44" s="9" t="str">
        <f>IF($B44="","",RANK('Legger Dinas'!I44,'Legger Dinas'!I$7:I$46))</f>
        <v/>
      </c>
      <c r="J44" s="9" t="str">
        <f>IF($B44="","",RANK('Legger Dinas'!J44,'Legger Dinas'!J$7:J$46))</f>
        <v/>
      </c>
      <c r="K44" s="9" t="str">
        <f>IF($B44="","",RANK('Legger Dinas'!K44,'Legger Dinas'!K$7:K$46))</f>
        <v/>
      </c>
      <c r="L44" s="9" t="str">
        <f>IF($B44="","",RANK('Legger Dinas'!L44,'Legger Dinas'!L$7:L$46))</f>
        <v/>
      </c>
      <c r="M44" s="9" t="str">
        <f>IF($B44="","",RANK('Legger Dinas'!M44,'Legger Dinas'!M$7:M$46))</f>
        <v/>
      </c>
      <c r="N44" s="9" t="str">
        <f>IF($B44="","",RANK('Legger Dinas'!N44,'Legger Dinas'!N$7:N$46))</f>
        <v/>
      </c>
      <c r="O44" s="9" t="str">
        <f>IF($B44="","",RANK('Legger Dinas'!O44,'Legger Dinas'!O$7:O$46))</f>
        <v/>
      </c>
      <c r="P44" s="9" t="str">
        <f>IF($B44="","",RANK('Legger Dinas'!P44,'Legger Dinas'!P$7:P$46))</f>
        <v/>
      </c>
      <c r="Q44" s="9" t="str">
        <f>IF($B44="","",RANK('Legger Dinas'!Q44,'Legger Dinas'!Q$7:Q$46))</f>
        <v/>
      </c>
      <c r="R44" s="9" t="str">
        <f>IF($B44="","",RANK('Legger Dinas'!R44,'Legger Dinas'!R$7:R$46))</f>
        <v/>
      </c>
      <c r="S44" s="9" t="str">
        <f>IF($B44="","",RANK('Legger Dinas'!S44,'Legger Dinas'!S$7:S$46))</f>
        <v/>
      </c>
      <c r="T44" s="9" t="str">
        <f>IF($B44="","",RANK('Legger Dinas'!T44,'Legger Dinas'!T$7:T$46))</f>
        <v/>
      </c>
      <c r="U44" s="9" t="e">
        <f>IF(Setting!$E$15="V","",IF(Setting!$E$15="VI","",RANK('Legger Dinas'!U44,'Legger Dinas'!U$7:U$46)))</f>
        <v>#VALUE!</v>
      </c>
      <c r="V44" s="9" t="str">
        <f>IF($B44="","",RANK('Legger Dinas'!V44,'Legger Dinas'!V$7:V$46))</f>
        <v/>
      </c>
      <c r="W44" s="31" t="str">
        <f>IF($B44="","",SUM('Legger Dinas'!G44:V44))</f>
        <v/>
      </c>
      <c r="X44" s="31" t="str">
        <f t="shared" si="0"/>
        <v/>
      </c>
    </row>
    <row r="45" spans="1:123">
      <c r="A45" s="44">
        <v>39</v>
      </c>
      <c r="B45" s="45" t="str">
        <f>IF(Setting!J44="","",Setting!J44)</f>
        <v/>
      </c>
      <c r="C45" s="46" t="str">
        <f>IF(Setting!K44="","",Setting!K44)</f>
        <v/>
      </c>
      <c r="D45" s="46" t="str">
        <f>IF(Setting!L44="","",Setting!L44)</f>
        <v/>
      </c>
      <c r="E45" s="9" t="str">
        <f>IF(B45="","",Setting!$E$11)</f>
        <v/>
      </c>
      <c r="F45" s="9" t="str">
        <f>IF(B45="","",Setting!$E$15)</f>
        <v/>
      </c>
      <c r="G45" s="9" t="str">
        <f>IF($B45="","",RANK('Legger Dinas'!G45,'Legger Dinas'!G$7:G$46))</f>
        <v/>
      </c>
      <c r="H45" s="9" t="str">
        <f>IF($B45="","",RANK('Legger Dinas'!H45,'Legger Dinas'!H$7:H$46))</f>
        <v/>
      </c>
      <c r="I45" s="9" t="str">
        <f>IF($B45="","",RANK('Legger Dinas'!I45,'Legger Dinas'!I$7:I$46))</f>
        <v/>
      </c>
      <c r="J45" s="9" t="str">
        <f>IF($B45="","",RANK('Legger Dinas'!J45,'Legger Dinas'!J$7:J$46))</f>
        <v/>
      </c>
      <c r="K45" s="9" t="str">
        <f>IF($B45="","",RANK('Legger Dinas'!K45,'Legger Dinas'!K$7:K$46))</f>
        <v/>
      </c>
      <c r="L45" s="9" t="str">
        <f>IF($B45="","",RANK('Legger Dinas'!L45,'Legger Dinas'!L$7:L$46))</f>
        <v/>
      </c>
      <c r="M45" s="9" t="str">
        <f>IF($B45="","",RANK('Legger Dinas'!M45,'Legger Dinas'!M$7:M$46))</f>
        <v/>
      </c>
      <c r="N45" s="9" t="str">
        <f>IF($B45="","",RANK('Legger Dinas'!N45,'Legger Dinas'!N$7:N$46))</f>
        <v/>
      </c>
      <c r="O45" s="9" t="str">
        <f>IF($B45="","",RANK('Legger Dinas'!O45,'Legger Dinas'!O$7:O$46))</f>
        <v/>
      </c>
      <c r="P45" s="9" t="str">
        <f>IF($B45="","",RANK('Legger Dinas'!P45,'Legger Dinas'!P$7:P$46))</f>
        <v/>
      </c>
      <c r="Q45" s="9" t="str">
        <f>IF($B45="","",RANK('Legger Dinas'!Q45,'Legger Dinas'!Q$7:Q$46))</f>
        <v/>
      </c>
      <c r="R45" s="9" t="str">
        <f>IF($B45="","",RANK('Legger Dinas'!R45,'Legger Dinas'!R$7:R$46))</f>
        <v/>
      </c>
      <c r="S45" s="9" t="str">
        <f>IF($B45="","",RANK('Legger Dinas'!S45,'Legger Dinas'!S$7:S$46))</f>
        <v/>
      </c>
      <c r="T45" s="9" t="str">
        <f>IF($B45="","",RANK('Legger Dinas'!T45,'Legger Dinas'!T$7:T$46))</f>
        <v/>
      </c>
      <c r="U45" s="9" t="e">
        <f>IF(Setting!$E$15="V","",IF(Setting!$E$15="VI","",RANK('Legger Dinas'!U45,'Legger Dinas'!U$7:U$46)))</f>
        <v>#VALUE!</v>
      </c>
      <c r="V45" s="9" t="str">
        <f>IF($B45="","",RANK('Legger Dinas'!V45,'Legger Dinas'!V$7:V$46))</f>
        <v/>
      </c>
      <c r="W45" s="31" t="str">
        <f>IF($B45="","",SUM('Legger Dinas'!G45:V45))</f>
        <v/>
      </c>
      <c r="X45" s="31" t="str">
        <f t="shared" si="0"/>
        <v/>
      </c>
    </row>
    <row r="46" spans="1:123">
      <c r="A46" s="44">
        <v>40</v>
      </c>
      <c r="B46" s="45" t="str">
        <f>IF(Setting!J45="","",Setting!J45)</f>
        <v/>
      </c>
      <c r="C46" s="46" t="str">
        <f>IF(Setting!K45="","",Setting!K45)</f>
        <v/>
      </c>
      <c r="D46" s="46" t="str">
        <f>IF(Setting!L45="","",Setting!L45)</f>
        <v/>
      </c>
      <c r="E46" s="9" t="str">
        <f>IF(B46="","",Setting!$E$11)</f>
        <v/>
      </c>
      <c r="F46" s="9" t="str">
        <f>IF(B46="","",Setting!$E$15)</f>
        <v/>
      </c>
      <c r="G46" s="9" t="str">
        <f>IF($B46="","",RANK('Legger Dinas'!G46,'Legger Dinas'!G$7:G$46))</f>
        <v/>
      </c>
      <c r="H46" s="9" t="str">
        <f>IF($B46="","",RANK('Legger Dinas'!H46,'Legger Dinas'!H$7:H$46))</f>
        <v/>
      </c>
      <c r="I46" s="9" t="str">
        <f>IF($B46="","",RANK('Legger Dinas'!I46,'Legger Dinas'!I$7:I$46))</f>
        <v/>
      </c>
      <c r="J46" s="9" t="str">
        <f>IF($B46="","",RANK('Legger Dinas'!J46,'Legger Dinas'!J$7:J$46))</f>
        <v/>
      </c>
      <c r="K46" s="9" t="str">
        <f>IF($B46="","",RANK('Legger Dinas'!K46,'Legger Dinas'!K$7:K$46))</f>
        <v/>
      </c>
      <c r="L46" s="9" t="str">
        <f>IF($B46="","",RANK('Legger Dinas'!L46,'Legger Dinas'!L$7:L$46))</f>
        <v/>
      </c>
      <c r="M46" s="9" t="str">
        <f>IF($B46="","",RANK('Legger Dinas'!M46,'Legger Dinas'!M$7:M$46))</f>
        <v/>
      </c>
      <c r="N46" s="9" t="str">
        <f>IF($B46="","",RANK('Legger Dinas'!N46,'Legger Dinas'!N$7:N$46))</f>
        <v/>
      </c>
      <c r="O46" s="9" t="str">
        <f>IF($B46="","",RANK('Legger Dinas'!O46,'Legger Dinas'!O$7:O$46))</f>
        <v/>
      </c>
      <c r="P46" s="9" t="str">
        <f>IF($B46="","",RANK('Legger Dinas'!P46,'Legger Dinas'!P$7:P$46))</f>
        <v/>
      </c>
      <c r="Q46" s="9" t="str">
        <f>IF($B46="","",RANK('Legger Dinas'!Q46,'Legger Dinas'!Q$7:Q$46))</f>
        <v/>
      </c>
      <c r="R46" s="9" t="str">
        <f>IF($B46="","",RANK('Legger Dinas'!R46,'Legger Dinas'!R$7:R$46))</f>
        <v/>
      </c>
      <c r="S46" s="9" t="str">
        <f>IF($B46="","",RANK('Legger Dinas'!S46,'Legger Dinas'!S$7:S$46))</f>
        <v/>
      </c>
      <c r="T46" s="9" t="str">
        <f>IF($B46="","",RANK('Legger Dinas'!T46,'Legger Dinas'!T$7:T$46))</f>
        <v/>
      </c>
      <c r="U46" s="9" t="e">
        <f>IF(Setting!$E$15="V","",IF(Setting!$E$15="VI","",RANK('Legger Dinas'!U46,'Legger Dinas'!U$7:U$46)))</f>
        <v>#VALUE!</v>
      </c>
      <c r="V46" s="9" t="str">
        <f>IF($B46="","",RANK('Legger Dinas'!V46,'Legger Dinas'!V$7:V$46))</f>
        <v/>
      </c>
      <c r="W46" s="31" t="str">
        <f>IF($B46="","",SUM('Legger Dinas'!G46:V46))</f>
        <v/>
      </c>
      <c r="X46" s="31" t="str">
        <f t="shared" si="0"/>
        <v/>
      </c>
    </row>
    <row r="47" spans="1:123" s="4" customFormat="1">
      <c r="A47" s="14"/>
      <c r="B47" s="38"/>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row>
  </sheetData>
  <mergeCells count="12">
    <mergeCell ref="W4:W5"/>
    <mergeCell ref="X4:X5"/>
    <mergeCell ref="G4:L4"/>
    <mergeCell ref="M4:P4"/>
    <mergeCell ref="Q4:T4"/>
    <mergeCell ref="U4:V4"/>
    <mergeCell ref="F4:F5"/>
    <mergeCell ref="A4:A5"/>
    <mergeCell ref="B4:B5"/>
    <mergeCell ref="C4:C5"/>
    <mergeCell ref="D4:D5"/>
    <mergeCell ref="E4:E5"/>
  </mergeCells>
  <pageMargins left="0.7" right="0.3" top="0.31" bottom="0.54" header="0.3" footer="0.3"/>
  <pageSetup paperSize="300" scale="6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5"/>
  <sheetViews>
    <sheetView showGridLines="0" workbookViewId="0">
      <pane xSplit="7" ySplit="2" topLeftCell="H5" activePane="bottomRight" state="frozenSplit"/>
      <selection pane="topRight"/>
      <selection pane="bottomLeft"/>
      <selection pane="bottomRight" activeCell="J22" sqref="J22"/>
    </sheetView>
  </sheetViews>
  <sheetFormatPr defaultColWidth="9" defaultRowHeight="15"/>
  <cols>
    <col min="1" max="1" width="4.5703125" customWidth="1"/>
    <col min="4" max="4" width="3.42578125" style="130" customWidth="1"/>
    <col min="9" max="9" width="4.85546875" customWidth="1"/>
    <col min="10" max="10" width="29.140625" customWidth="1"/>
    <col min="12" max="12" width="20" customWidth="1"/>
    <col min="14" max="14" width="6.42578125" customWidth="1"/>
    <col min="15" max="15" width="27.85546875" customWidth="1"/>
  </cols>
  <sheetData>
    <row r="1" spans="2:16" ht="26.25" customHeight="1"/>
    <row r="3" spans="2:16" ht="18.75" customHeight="1">
      <c r="B3" s="176" t="s">
        <v>32</v>
      </c>
      <c r="C3" s="176"/>
      <c r="D3" s="176"/>
      <c r="E3" s="176"/>
      <c r="F3" s="176"/>
      <c r="G3" s="176"/>
      <c r="I3" s="176" t="s">
        <v>33</v>
      </c>
      <c r="J3" s="176"/>
      <c r="K3" s="176"/>
      <c r="L3" s="176"/>
      <c r="N3" s="176" t="s">
        <v>34</v>
      </c>
      <c r="O3" s="176"/>
      <c r="P3" s="176"/>
    </row>
    <row r="5" spans="2:16">
      <c r="B5" s="131" t="s">
        <v>35</v>
      </c>
      <c r="C5" s="132"/>
      <c r="E5" s="177" t="s">
        <v>36</v>
      </c>
      <c r="F5" s="177"/>
      <c r="G5" s="178"/>
      <c r="I5" s="41" t="s">
        <v>0</v>
      </c>
      <c r="J5" s="41" t="s">
        <v>1</v>
      </c>
      <c r="K5" s="41" t="s">
        <v>2</v>
      </c>
      <c r="L5" s="41" t="s">
        <v>3</v>
      </c>
      <c r="N5" s="42" t="s">
        <v>0</v>
      </c>
      <c r="O5" s="42" t="s">
        <v>37</v>
      </c>
      <c r="P5" s="42" t="s">
        <v>34</v>
      </c>
    </row>
    <row r="6" spans="2:16" ht="15" customHeight="1">
      <c r="B6" s="131" t="s">
        <v>38</v>
      </c>
      <c r="C6" s="132"/>
      <c r="E6" s="183" t="s">
        <v>39</v>
      </c>
      <c r="F6" s="183"/>
      <c r="G6" s="183"/>
      <c r="I6" s="46">
        <v>1</v>
      </c>
      <c r="J6" s="138" t="s">
        <v>40</v>
      </c>
      <c r="K6" s="139">
        <v>2008004</v>
      </c>
      <c r="L6" s="165" t="s">
        <v>41</v>
      </c>
      <c r="N6" s="141" t="s">
        <v>42</v>
      </c>
      <c r="O6" s="141"/>
    </row>
    <row r="7" spans="2:16" ht="15" customHeight="1">
      <c r="B7" s="26"/>
      <c r="C7" s="26"/>
      <c r="E7" s="184"/>
      <c r="F7" s="184"/>
      <c r="G7" s="184"/>
      <c r="I7" s="46">
        <v>2</v>
      </c>
      <c r="J7" s="138" t="s">
        <v>43</v>
      </c>
      <c r="K7" s="140">
        <v>2008009</v>
      </c>
      <c r="L7" s="166" t="s">
        <v>44</v>
      </c>
      <c r="N7" s="142">
        <v>1</v>
      </c>
      <c r="O7" s="143" t="s">
        <v>12</v>
      </c>
      <c r="P7" s="144">
        <v>75</v>
      </c>
    </row>
    <row r="8" spans="2:16" ht="15" customHeight="1">
      <c r="B8" s="26"/>
      <c r="C8" s="26"/>
      <c r="E8" s="185"/>
      <c r="F8" s="185"/>
      <c r="G8" s="185"/>
      <c r="I8" s="46">
        <v>3</v>
      </c>
      <c r="J8" s="138" t="s">
        <v>45</v>
      </c>
      <c r="K8" s="140">
        <v>2008021</v>
      </c>
      <c r="L8" s="166" t="s">
        <v>46</v>
      </c>
      <c r="N8" s="142">
        <v>2</v>
      </c>
      <c r="O8" s="145" t="s">
        <v>47</v>
      </c>
      <c r="P8" s="144">
        <v>75</v>
      </c>
    </row>
    <row r="9" spans="2:16" ht="15.75">
      <c r="B9" s="131" t="s">
        <v>48</v>
      </c>
      <c r="C9" s="132"/>
      <c r="E9" s="177" t="s">
        <v>49</v>
      </c>
      <c r="F9" s="177"/>
      <c r="G9" s="178"/>
      <c r="I9" s="46">
        <v>4</v>
      </c>
      <c r="J9" s="138" t="s">
        <v>50</v>
      </c>
      <c r="K9" s="140">
        <v>2008029</v>
      </c>
      <c r="L9" s="166" t="s">
        <v>51</v>
      </c>
      <c r="N9" s="142">
        <v>3</v>
      </c>
      <c r="O9" s="146" t="s">
        <v>14</v>
      </c>
      <c r="P9" s="144">
        <v>75</v>
      </c>
    </row>
    <row r="10" spans="2:16" ht="15.75">
      <c r="B10" s="131" t="s">
        <v>52</v>
      </c>
      <c r="C10" s="132"/>
      <c r="E10" s="177" t="s">
        <v>53</v>
      </c>
      <c r="F10" s="177"/>
      <c r="G10" s="178"/>
      <c r="I10" s="46">
        <v>5</v>
      </c>
      <c r="J10" s="138" t="s">
        <v>54</v>
      </c>
      <c r="K10" s="140">
        <v>2008034</v>
      </c>
      <c r="L10" s="166" t="s">
        <v>55</v>
      </c>
      <c r="N10" s="142">
        <v>4</v>
      </c>
      <c r="O10" s="146" t="s">
        <v>15</v>
      </c>
      <c r="P10" s="144">
        <v>75</v>
      </c>
    </row>
    <row r="11" spans="2:16" ht="15.75">
      <c r="B11" s="133" t="s">
        <v>4</v>
      </c>
      <c r="C11" s="134"/>
      <c r="E11" s="186" t="s">
        <v>56</v>
      </c>
      <c r="F11" s="186"/>
      <c r="G11" s="187"/>
      <c r="I11" s="46">
        <v>6</v>
      </c>
      <c r="J11" s="138" t="s">
        <v>57</v>
      </c>
      <c r="K11" s="140">
        <v>2008054</v>
      </c>
      <c r="L11" s="166" t="s">
        <v>58</v>
      </c>
      <c r="N11" s="142">
        <v>5</v>
      </c>
      <c r="O11" s="146" t="s">
        <v>16</v>
      </c>
      <c r="P11" s="144">
        <v>75</v>
      </c>
    </row>
    <row r="12" spans="2:16" ht="15.75">
      <c r="B12" s="133" t="s">
        <v>59</v>
      </c>
      <c r="C12" s="134"/>
      <c r="E12" s="186" t="s">
        <v>60</v>
      </c>
      <c r="F12" s="186"/>
      <c r="G12" s="187"/>
      <c r="I12" s="46">
        <v>7</v>
      </c>
      <c r="J12" s="138" t="s">
        <v>26</v>
      </c>
      <c r="K12" s="140">
        <v>2008075</v>
      </c>
      <c r="L12" s="166" t="s">
        <v>61</v>
      </c>
      <c r="N12" s="142">
        <v>6</v>
      </c>
      <c r="O12" s="146" t="s">
        <v>17</v>
      </c>
      <c r="P12" s="144">
        <v>75</v>
      </c>
    </row>
    <row r="13" spans="2:16" ht="15.75">
      <c r="B13" s="133" t="s">
        <v>52</v>
      </c>
      <c r="C13" s="134"/>
      <c r="E13" s="186" t="s">
        <v>62</v>
      </c>
      <c r="F13" s="186"/>
      <c r="G13" s="187"/>
      <c r="I13" s="46">
        <v>8</v>
      </c>
      <c r="J13" s="138" t="s">
        <v>63</v>
      </c>
      <c r="K13" s="140">
        <v>2008089</v>
      </c>
      <c r="L13" s="166" t="s">
        <v>64</v>
      </c>
      <c r="N13" s="141" t="s">
        <v>65</v>
      </c>
      <c r="O13" s="141"/>
      <c r="P13" s="141"/>
    </row>
    <row r="14" spans="2:16" ht="15.75">
      <c r="B14" s="135" t="s">
        <v>66</v>
      </c>
      <c r="C14" s="136"/>
      <c r="E14" s="182" t="s">
        <v>67</v>
      </c>
      <c r="F14" s="182"/>
      <c r="G14" s="180"/>
      <c r="I14" s="46">
        <v>9</v>
      </c>
      <c r="J14" s="138" t="s">
        <v>68</v>
      </c>
      <c r="K14" s="140">
        <v>2008095</v>
      </c>
      <c r="L14" s="166" t="s">
        <v>69</v>
      </c>
      <c r="N14" s="147">
        <v>1</v>
      </c>
      <c r="O14" s="148" t="s">
        <v>18</v>
      </c>
      <c r="P14" s="144">
        <v>75</v>
      </c>
    </row>
    <row r="15" spans="2:16" ht="15" customHeight="1">
      <c r="B15" s="135" t="s">
        <v>5</v>
      </c>
      <c r="C15" s="136"/>
      <c r="E15" s="137" t="s">
        <v>70</v>
      </c>
      <c r="F15" s="179" t="s">
        <v>71</v>
      </c>
      <c r="G15" s="180"/>
      <c r="I15" s="46">
        <v>10</v>
      </c>
      <c r="J15" s="138" t="s">
        <v>72</v>
      </c>
      <c r="K15" s="140">
        <v>2008099</v>
      </c>
      <c r="L15" s="166" t="s">
        <v>73</v>
      </c>
      <c r="N15" s="147">
        <v>2</v>
      </c>
      <c r="O15" s="148" t="s">
        <v>74</v>
      </c>
      <c r="P15" s="144">
        <v>75</v>
      </c>
    </row>
    <row r="16" spans="2:16" ht="15" customHeight="1">
      <c r="B16" s="135" t="s">
        <v>75</v>
      </c>
      <c r="C16" s="136"/>
      <c r="E16" s="181" t="s">
        <v>76</v>
      </c>
      <c r="F16" s="182"/>
      <c r="G16" s="180"/>
      <c r="I16" s="46">
        <v>11</v>
      </c>
      <c r="J16" s="138" t="s">
        <v>77</v>
      </c>
      <c r="K16" s="140">
        <v>2008118</v>
      </c>
      <c r="L16" s="166" t="s">
        <v>78</v>
      </c>
      <c r="N16" s="147">
        <v>3</v>
      </c>
      <c r="O16" s="148" t="s">
        <v>79</v>
      </c>
      <c r="P16" s="144">
        <v>75</v>
      </c>
    </row>
    <row r="17" spans="9:16" ht="15.75">
      <c r="I17" s="46">
        <v>12</v>
      </c>
      <c r="J17" s="138" t="s">
        <v>80</v>
      </c>
      <c r="K17" s="140">
        <v>2008127</v>
      </c>
      <c r="L17" s="166" t="s">
        <v>81</v>
      </c>
      <c r="N17" s="147">
        <v>4</v>
      </c>
      <c r="O17" s="148" t="s">
        <v>21</v>
      </c>
      <c r="P17" s="144">
        <v>75</v>
      </c>
    </row>
    <row r="18" spans="9:16" ht="15.75">
      <c r="I18" s="46">
        <v>13</v>
      </c>
      <c r="J18" s="138" t="s">
        <v>82</v>
      </c>
      <c r="K18" s="140">
        <v>2008128</v>
      </c>
      <c r="L18" s="166" t="s">
        <v>83</v>
      </c>
      <c r="N18" s="141" t="s">
        <v>84</v>
      </c>
      <c r="O18" s="141"/>
      <c r="P18" s="141"/>
    </row>
    <row r="19" spans="9:16" ht="15.75">
      <c r="I19" s="46">
        <v>14</v>
      </c>
      <c r="J19" s="138" t="s">
        <v>85</v>
      </c>
      <c r="K19" s="140">
        <v>2008131</v>
      </c>
      <c r="L19" s="166" t="s">
        <v>86</v>
      </c>
      <c r="N19" t="s">
        <v>87</v>
      </c>
      <c r="P19" s="141"/>
    </row>
    <row r="20" spans="9:16" ht="15.75">
      <c r="I20" s="46">
        <v>15</v>
      </c>
      <c r="J20" s="138" t="s">
        <v>88</v>
      </c>
      <c r="K20" s="140">
        <v>2008132</v>
      </c>
      <c r="L20" s="166" t="s">
        <v>89</v>
      </c>
      <c r="N20" s="149">
        <v>1</v>
      </c>
      <c r="O20" s="150" t="s">
        <v>15</v>
      </c>
      <c r="P20" s="144">
        <v>75</v>
      </c>
    </row>
    <row r="21" spans="9:16" ht="15.75">
      <c r="I21" s="46">
        <v>16</v>
      </c>
      <c r="J21" s="138" t="s">
        <v>1124</v>
      </c>
      <c r="K21" s="140">
        <v>2008169</v>
      </c>
      <c r="L21" s="166" t="s">
        <v>90</v>
      </c>
      <c r="N21" s="149">
        <v>2</v>
      </c>
      <c r="O21" s="150" t="s">
        <v>22</v>
      </c>
      <c r="P21" s="144">
        <v>75</v>
      </c>
    </row>
    <row r="22" spans="9:16" ht="15.75">
      <c r="I22" s="46">
        <v>17</v>
      </c>
      <c r="J22" s="138" t="s">
        <v>91</v>
      </c>
      <c r="K22" s="140">
        <v>2008197</v>
      </c>
      <c r="L22" s="166" t="s">
        <v>92</v>
      </c>
      <c r="N22" s="149">
        <v>3</v>
      </c>
      <c r="O22" s="150" t="s">
        <v>93</v>
      </c>
      <c r="P22" s="144">
        <v>75</v>
      </c>
    </row>
    <row r="23" spans="9:16" ht="15.75">
      <c r="I23" s="46">
        <v>18</v>
      </c>
      <c r="J23" s="138" t="s">
        <v>94</v>
      </c>
      <c r="K23" s="140">
        <v>2008214</v>
      </c>
      <c r="L23" s="166" t="s">
        <v>95</v>
      </c>
      <c r="N23" s="149">
        <v>4</v>
      </c>
      <c r="O23" s="150" t="s">
        <v>24</v>
      </c>
      <c r="P23" s="144">
        <v>75</v>
      </c>
    </row>
    <row r="24" spans="9:16" ht="15.75">
      <c r="I24" s="46">
        <v>19</v>
      </c>
      <c r="J24" s="138" t="s">
        <v>96</v>
      </c>
      <c r="K24" s="140">
        <v>2008218</v>
      </c>
      <c r="L24" s="166" t="s">
        <v>97</v>
      </c>
      <c r="N24" s="141" t="s">
        <v>98</v>
      </c>
      <c r="O24" s="141"/>
      <c r="P24" s="151"/>
    </row>
    <row r="25" spans="9:16" ht="15.75">
      <c r="I25" s="46">
        <v>20</v>
      </c>
      <c r="J25" s="138" t="s">
        <v>99</v>
      </c>
      <c r="K25" s="140">
        <v>2008220</v>
      </c>
      <c r="L25" s="166" t="s">
        <v>100</v>
      </c>
      <c r="N25" s="152">
        <v>1</v>
      </c>
      <c r="O25" s="153" t="s">
        <v>101</v>
      </c>
      <c r="P25" s="144">
        <v>75</v>
      </c>
    </row>
    <row r="26" spans="9:16" ht="15.75">
      <c r="I26" s="46">
        <v>21</v>
      </c>
      <c r="J26" s="138" t="s">
        <v>102</v>
      </c>
      <c r="K26" s="140">
        <v>2008221</v>
      </c>
      <c r="L26" s="166" t="s">
        <v>103</v>
      </c>
      <c r="N26" s="152">
        <v>2</v>
      </c>
      <c r="O26" s="153" t="s">
        <v>104</v>
      </c>
      <c r="P26" s="144">
        <v>75</v>
      </c>
    </row>
    <row r="27" spans="9:16" ht="15.75">
      <c r="I27" s="46">
        <v>22</v>
      </c>
      <c r="J27" s="138" t="s">
        <v>105</v>
      </c>
      <c r="K27" s="140">
        <v>2008222</v>
      </c>
      <c r="L27" s="166" t="s">
        <v>106</v>
      </c>
    </row>
    <row r="28" spans="9:16" ht="15.75">
      <c r="I28" s="46">
        <v>23</v>
      </c>
      <c r="J28" s="138" t="s">
        <v>107</v>
      </c>
      <c r="K28" s="140">
        <v>2008223</v>
      </c>
      <c r="L28" s="166" t="s">
        <v>108</v>
      </c>
    </row>
    <row r="29" spans="9:16" ht="15.75">
      <c r="I29" s="46">
        <v>24</v>
      </c>
      <c r="J29" s="138" t="s">
        <v>109</v>
      </c>
      <c r="K29" s="140">
        <v>2008224</v>
      </c>
      <c r="L29" s="166" t="s">
        <v>110</v>
      </c>
    </row>
    <row r="30" spans="9:16" ht="15.75">
      <c r="I30" s="46">
        <v>25</v>
      </c>
      <c r="J30" s="138" t="s">
        <v>111</v>
      </c>
      <c r="K30" s="140">
        <v>2008230</v>
      </c>
      <c r="L30" s="166" t="s">
        <v>112</v>
      </c>
    </row>
    <row r="31" spans="9:16" ht="15.75">
      <c r="I31" s="46">
        <v>26</v>
      </c>
      <c r="J31" s="138" t="s">
        <v>113</v>
      </c>
      <c r="K31" s="140">
        <v>2008251</v>
      </c>
      <c r="L31" s="166" t="s">
        <v>114</v>
      </c>
    </row>
    <row r="32" spans="9:16" ht="15.75">
      <c r="I32" s="46">
        <v>27</v>
      </c>
      <c r="J32" s="138" t="s">
        <v>115</v>
      </c>
      <c r="K32" s="140">
        <v>2008253</v>
      </c>
      <c r="L32" s="166" t="s">
        <v>116</v>
      </c>
    </row>
    <row r="33" spans="9:12" ht="15.75">
      <c r="I33" s="46">
        <v>28</v>
      </c>
      <c r="J33" s="138" t="s">
        <v>117</v>
      </c>
      <c r="K33" s="140">
        <v>2008272</v>
      </c>
      <c r="L33" s="166" t="s">
        <v>118</v>
      </c>
    </row>
    <row r="34" spans="9:12" ht="15.75">
      <c r="I34" s="46">
        <v>29</v>
      </c>
      <c r="J34" s="138" t="s">
        <v>119</v>
      </c>
      <c r="K34" s="140">
        <v>2008282</v>
      </c>
      <c r="L34" s="166" t="s">
        <v>120</v>
      </c>
    </row>
    <row r="35" spans="9:12" ht="15.75">
      <c r="I35" s="46">
        <v>30</v>
      </c>
      <c r="J35" s="138" t="s">
        <v>121</v>
      </c>
      <c r="K35" s="140">
        <v>2008296</v>
      </c>
      <c r="L35" s="166" t="s">
        <v>122</v>
      </c>
    </row>
    <row r="36" spans="9:12" ht="15.75">
      <c r="I36" s="46">
        <v>31</v>
      </c>
      <c r="J36" s="138" t="s">
        <v>123</v>
      </c>
      <c r="K36" s="140">
        <v>2008307</v>
      </c>
      <c r="L36" s="166" t="s">
        <v>124</v>
      </c>
    </row>
    <row r="37" spans="9:12" ht="15.75">
      <c r="I37" s="46">
        <v>32</v>
      </c>
      <c r="J37" s="138" t="s">
        <v>125</v>
      </c>
      <c r="K37" s="140">
        <v>2008347</v>
      </c>
      <c r="L37" s="166" t="s">
        <v>126</v>
      </c>
    </row>
    <row r="38" spans="9:12" ht="15.75">
      <c r="I38" s="46">
        <v>33</v>
      </c>
      <c r="J38" s="138"/>
      <c r="K38" s="140"/>
      <c r="L38" s="140"/>
    </row>
    <row r="39" spans="9:12" ht="15.75">
      <c r="I39" s="46">
        <v>34</v>
      </c>
      <c r="J39" s="138"/>
      <c r="K39" s="140"/>
      <c r="L39" s="140"/>
    </row>
    <row r="40" spans="9:12" ht="15.75">
      <c r="I40" s="46">
        <v>35</v>
      </c>
      <c r="J40" s="138"/>
      <c r="K40" s="140"/>
      <c r="L40" s="140"/>
    </row>
    <row r="41" spans="9:12" ht="15.75">
      <c r="I41" s="46">
        <v>36</v>
      </c>
      <c r="J41" s="138"/>
      <c r="K41" s="140"/>
      <c r="L41" s="140"/>
    </row>
    <row r="42" spans="9:12" ht="15.75">
      <c r="I42" s="46">
        <v>37</v>
      </c>
      <c r="J42" s="138"/>
      <c r="K42" s="140"/>
      <c r="L42" s="140"/>
    </row>
    <row r="43" spans="9:12" ht="15.75">
      <c r="I43" s="46">
        <v>38</v>
      </c>
      <c r="J43" s="138"/>
      <c r="K43" s="140"/>
      <c r="L43" s="140"/>
    </row>
    <row r="44" spans="9:12" ht="15.75">
      <c r="I44" s="46">
        <v>39</v>
      </c>
      <c r="J44" s="138"/>
      <c r="K44" s="140"/>
      <c r="L44" s="140"/>
    </row>
    <row r="45" spans="9:12" ht="15.75">
      <c r="I45" s="46">
        <v>40</v>
      </c>
      <c r="J45" s="138"/>
      <c r="K45" s="140"/>
      <c r="L45" s="140"/>
    </row>
  </sheetData>
  <sheetProtection selectLockedCells="1"/>
  <mergeCells count="13">
    <mergeCell ref="F15:G15"/>
    <mergeCell ref="E16:G16"/>
    <mergeCell ref="E6:G8"/>
    <mergeCell ref="E10:G10"/>
    <mergeCell ref="E11:G11"/>
    <mergeCell ref="E12:G12"/>
    <mergeCell ref="E13:G13"/>
    <mergeCell ref="E14:G14"/>
    <mergeCell ref="B3:G3"/>
    <mergeCell ref="I3:L3"/>
    <mergeCell ref="N3:P3"/>
    <mergeCell ref="E5:G5"/>
    <mergeCell ref="E9:G9"/>
  </mergeCells>
  <conditionalFormatting sqref="J6:J31">
    <cfRule type="containsBlanks" dxfId="30" priority="6">
      <formula>LEN(TRIM(J6))=0</formula>
    </cfRule>
  </conditionalFormatting>
  <conditionalFormatting sqref="J32:J45">
    <cfRule type="containsBlanks" dxfId="29" priority="3">
      <formula>LEN(TRIM(J32))=0</formula>
    </cfRule>
  </conditionalFormatting>
  <conditionalFormatting sqref="K6:K31">
    <cfRule type="containsBlanks" dxfId="28" priority="5">
      <formula>LEN(TRIM(K6))=0</formula>
    </cfRule>
  </conditionalFormatting>
  <conditionalFormatting sqref="K32:K45">
    <cfRule type="containsBlanks" dxfId="27" priority="2">
      <formula>LEN(TRIM(K32))=0</formula>
    </cfRule>
  </conditionalFormatting>
  <conditionalFormatting sqref="L6:L31">
    <cfRule type="containsBlanks" dxfId="26" priority="4">
      <formula>LEN(TRIM(L6))=0</formula>
    </cfRule>
  </conditionalFormatting>
  <conditionalFormatting sqref="L32:L45">
    <cfRule type="containsBlanks" dxfId="25" priority="1">
      <formula>LEN(TRIM(L32))=0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53"/>
  <sheetViews>
    <sheetView tabSelected="1" view="pageBreakPreview" zoomScaleNormal="100" zoomScaleSheetLayoutView="100" workbookViewId="0">
      <pane ySplit="7" topLeftCell="A134" activePane="bottomLeft" state="frozenSplit"/>
      <selection pane="bottomLeft"/>
    </sheetView>
  </sheetViews>
  <sheetFormatPr defaultColWidth="9.140625" defaultRowHeight="15"/>
  <cols>
    <col min="1" max="1" width="1.85546875" style="59" customWidth="1"/>
    <col min="2" max="2" width="4.28515625" style="59" customWidth="1"/>
    <col min="3" max="4" width="9.140625" style="59" customWidth="1"/>
    <col min="5" max="5" width="15" style="59" customWidth="1"/>
    <col min="6" max="6" width="14.28515625" style="59" customWidth="1"/>
    <col min="7" max="7" width="11.7109375" style="59" customWidth="1"/>
    <col min="8" max="8" width="18.42578125" style="59" customWidth="1"/>
    <col min="9" max="9" width="11.7109375" style="59" customWidth="1"/>
    <col min="10" max="10" width="15.85546875" style="59" customWidth="1"/>
    <col min="11" max="12" width="9.140625" style="59"/>
    <col min="13" max="13" width="1.5703125" style="59" customWidth="1"/>
    <col min="14" max="16384" width="9.140625" style="59"/>
  </cols>
  <sheetData>
    <row r="1" spans="2:15" ht="48" customHeight="1">
      <c r="F1" s="78"/>
      <c r="H1" s="79"/>
      <c r="J1" s="93">
        <v>31</v>
      </c>
    </row>
    <row r="3" spans="2:15" ht="15.75">
      <c r="B3" s="60" t="s">
        <v>127</v>
      </c>
      <c r="C3" s="61"/>
      <c r="D3" s="60"/>
      <c r="E3" s="80" t="str">
        <f>": "&amp;IF(Setting!E5="","",Setting!E5)&amp;""</f>
        <v>: SMA ABBS Surakarta</v>
      </c>
      <c r="F3" s="81"/>
      <c r="G3" s="80"/>
      <c r="H3" s="60" t="s">
        <v>128</v>
      </c>
      <c r="I3" s="67" t="str">
        <f>": "&amp;VLOOKUP($J$1,Legger!$A$9:$DS$48,5)&amp;""</f>
        <v>: X.MIPA 4</v>
      </c>
      <c r="J3" s="67"/>
      <c r="K3" s="94"/>
      <c r="L3" s="95"/>
      <c r="M3" s="94"/>
      <c r="N3" s="95"/>
    </row>
    <row r="4" spans="2:15" ht="15" customHeight="1">
      <c r="B4" s="60" t="s">
        <v>129</v>
      </c>
      <c r="C4" s="61"/>
      <c r="D4" s="60"/>
      <c r="E4" s="188" t="str">
        <f>": "&amp;IF(Setting!E6="","",Setting!E6)&amp;""</f>
        <v>: Jln. Tarumanegara III No 22, Banyuanyar, Banjarsari, Surakarta</v>
      </c>
      <c r="F4" s="188"/>
      <c r="G4" s="188"/>
      <c r="H4" s="82" t="s">
        <v>130</v>
      </c>
      <c r="I4" s="96" t="str">
        <f>": "&amp;Setting!E15&amp;" ("&amp;Setting!F15&amp;")"</f>
        <v>: I (Gasal)</v>
      </c>
      <c r="J4" s="67"/>
      <c r="K4" s="94"/>
      <c r="M4" s="98"/>
      <c r="N4" s="98"/>
      <c r="O4" s="98"/>
    </row>
    <row r="5" spans="2:15" ht="14.25" customHeight="1">
      <c r="B5" s="60"/>
      <c r="C5" s="61"/>
      <c r="D5" s="60"/>
      <c r="E5" s="188" t="s">
        <v>131</v>
      </c>
      <c r="F5" s="188"/>
      <c r="G5" s="188"/>
      <c r="H5" s="195" t="s">
        <v>132</v>
      </c>
      <c r="I5" s="97" t="str">
        <f>": "&amp;Setting!E14&amp;""</f>
        <v>: 2020/2021</v>
      </c>
      <c r="J5" s="67"/>
      <c r="K5" s="94"/>
      <c r="L5" s="98"/>
      <c r="M5" s="98"/>
      <c r="N5" s="98"/>
      <c r="O5" s="98"/>
    </row>
    <row r="6" spans="2:15" ht="15" customHeight="1">
      <c r="B6" s="62" t="s">
        <v>133</v>
      </c>
      <c r="C6" s="61"/>
      <c r="D6" s="62"/>
      <c r="E6" s="67" t="str">
        <f>": "&amp;VLOOKUP($J$1,Legger!$A$9:$DS$48,2)&amp;""</f>
        <v>: Rusianto Munif</v>
      </c>
      <c r="F6" s="81"/>
      <c r="G6" s="83"/>
      <c r="H6" s="195"/>
      <c r="I6" s="67"/>
      <c r="J6" s="67"/>
      <c r="K6" s="94"/>
      <c r="L6" s="98"/>
      <c r="M6" s="98"/>
      <c r="N6" s="98"/>
      <c r="O6" s="98"/>
    </row>
    <row r="7" spans="2:15" s="58" customFormat="1" ht="18" customHeight="1">
      <c r="B7" s="63" t="s">
        <v>134</v>
      </c>
      <c r="C7" s="64"/>
      <c r="D7" s="63"/>
      <c r="E7" s="84" t="str">
        <f>": "&amp;VLOOKUP($J$1,Legger!$A$9:$DS$48,3)&amp;" / "&amp;VLOOKUP($J$1,Legger!$A$9:$DS$48,4)&amp;""</f>
        <v>: 2008307 / 0060172183</v>
      </c>
      <c r="F7" s="85"/>
      <c r="G7" s="86"/>
      <c r="H7" s="84"/>
      <c r="I7" s="91"/>
      <c r="J7" s="91"/>
      <c r="K7" s="99"/>
      <c r="L7" s="100"/>
      <c r="M7" s="100"/>
      <c r="N7" s="100"/>
      <c r="O7" s="100"/>
    </row>
    <row r="8" spans="2:15" ht="15.75">
      <c r="B8" s="61"/>
      <c r="C8" s="61"/>
      <c r="D8" s="61"/>
      <c r="E8" s="61"/>
      <c r="F8" s="61"/>
      <c r="G8" s="61"/>
      <c r="H8" s="61"/>
      <c r="I8" s="61"/>
      <c r="J8" s="61"/>
      <c r="K8" s="94"/>
      <c r="L8" s="98"/>
      <c r="M8" s="98"/>
      <c r="N8" s="98"/>
      <c r="O8" s="98"/>
    </row>
    <row r="9" spans="2:15" ht="15" customHeight="1">
      <c r="B9" s="65" t="s">
        <v>135</v>
      </c>
      <c r="C9" s="61"/>
      <c r="D9" s="61"/>
      <c r="E9" s="61"/>
      <c r="F9" s="61"/>
      <c r="G9" s="61"/>
      <c r="H9" s="61"/>
      <c r="I9" s="61"/>
      <c r="J9" s="61"/>
      <c r="K9" s="94"/>
      <c r="L9" s="98"/>
      <c r="M9" s="98"/>
      <c r="N9" s="98"/>
      <c r="O9" s="98"/>
    </row>
    <row r="10" spans="2:15" ht="14.25" customHeight="1">
      <c r="B10" s="66" t="s">
        <v>136</v>
      </c>
      <c r="C10" s="66" t="s">
        <v>137</v>
      </c>
      <c r="D10" s="67"/>
      <c r="E10" s="67"/>
      <c r="F10" s="67"/>
      <c r="G10" s="67"/>
      <c r="H10" s="67"/>
      <c r="I10" s="67"/>
      <c r="J10" s="67"/>
      <c r="K10" s="94"/>
      <c r="L10" s="98"/>
      <c r="M10" s="98"/>
      <c r="N10" s="98"/>
      <c r="O10" s="98"/>
    </row>
    <row r="11" spans="2:15" ht="20.25" customHeight="1">
      <c r="B11" s="68" t="s">
        <v>138</v>
      </c>
      <c r="C11" s="69"/>
      <c r="D11" s="69"/>
      <c r="E11" s="69"/>
      <c r="F11" s="69"/>
      <c r="G11" s="69"/>
      <c r="H11" s="69"/>
      <c r="I11" s="69"/>
      <c r="J11" s="101"/>
      <c r="K11" s="94"/>
      <c r="L11" s="98"/>
      <c r="M11" s="98"/>
      <c r="N11" s="98"/>
      <c r="O11" s="98"/>
    </row>
    <row r="12" spans="2:15" ht="6.75" customHeight="1">
      <c r="B12" s="70"/>
      <c r="C12" s="71"/>
      <c r="D12" s="71"/>
      <c r="E12" s="71"/>
      <c r="F12" s="71"/>
      <c r="G12" s="71"/>
      <c r="H12" s="71"/>
      <c r="I12" s="71"/>
      <c r="J12" s="102"/>
      <c r="K12" s="94"/>
      <c r="L12" s="98"/>
      <c r="M12" s="98"/>
      <c r="N12" s="98"/>
      <c r="O12" s="98"/>
    </row>
    <row r="13" spans="2:15" ht="14.25" customHeight="1">
      <c r="B13" s="189" t="s">
        <v>139</v>
      </c>
      <c r="C13" s="189"/>
      <c r="D13" s="189"/>
      <c r="E13" s="189" t="s">
        <v>140</v>
      </c>
      <c r="F13" s="189"/>
      <c r="G13" s="189"/>
      <c r="H13" s="189"/>
      <c r="I13" s="189"/>
      <c r="J13" s="189"/>
      <c r="K13" s="94"/>
      <c r="L13" s="98"/>
      <c r="M13" s="98"/>
      <c r="N13" s="98"/>
      <c r="O13" s="98"/>
    </row>
    <row r="14" spans="2:15" ht="46.5" customHeight="1">
      <c r="B14" s="190" t="str">
        <f>VLOOKUP($J$1,Legger!$A$9:$DS$48,6)</f>
        <v>B</v>
      </c>
      <c r="C14" s="191"/>
      <c r="D14" s="191"/>
      <c r="E14" s="192" t="str">
        <f>VLOOKUP($J$1,Legger!$A$9:$DS$48,7)</f>
        <v>Taat menjalankan ibadah sholat tepat waktu dan aktif mengikuti kegiatan keagamaan di sekolah.</v>
      </c>
      <c r="F14" s="193"/>
      <c r="G14" s="193"/>
      <c r="H14" s="193"/>
      <c r="I14" s="193"/>
      <c r="J14" s="194"/>
    </row>
    <row r="15" spans="2:15" ht="21" customHeight="1">
      <c r="B15" s="68" t="s">
        <v>141</v>
      </c>
      <c r="C15" s="69"/>
      <c r="D15" s="69"/>
      <c r="E15" s="69"/>
      <c r="F15" s="69"/>
      <c r="G15" s="69"/>
      <c r="H15" s="69"/>
      <c r="I15" s="69"/>
      <c r="J15" s="101"/>
    </row>
    <row r="16" spans="2:15" ht="7.5" customHeight="1">
      <c r="B16" s="70"/>
      <c r="C16" s="71"/>
      <c r="D16" s="71"/>
      <c r="E16" s="71"/>
      <c r="F16" s="71"/>
      <c r="G16" s="71"/>
      <c r="H16" s="71"/>
      <c r="I16" s="71"/>
      <c r="J16" s="102"/>
    </row>
    <row r="17" spans="2:10" ht="14.25" customHeight="1">
      <c r="B17" s="189" t="s">
        <v>139</v>
      </c>
      <c r="C17" s="189"/>
      <c r="D17" s="189"/>
      <c r="E17" s="189" t="s">
        <v>140</v>
      </c>
      <c r="F17" s="189"/>
      <c r="G17" s="189"/>
      <c r="H17" s="189"/>
      <c r="I17" s="189"/>
      <c r="J17" s="189"/>
    </row>
    <row r="18" spans="2:10" ht="60" customHeight="1">
      <c r="B18" s="190" t="str">
        <f>VLOOKUP($J$1,Legger!$A$9:$DS$48,8)</f>
        <v>B</v>
      </c>
      <c r="C18" s="191"/>
      <c r="D18" s="191"/>
      <c r="E18" s="192" t="str">
        <f>VLOOKUP($J$1,Legger!$A$9:$DS$48,9)</f>
        <v>Memiliki sopan santun yang sangat baik dan selalu bersikap jujur dalam mengerjakan tugas</v>
      </c>
      <c r="F18" s="193"/>
      <c r="G18" s="193"/>
      <c r="H18" s="193"/>
      <c r="I18" s="193"/>
      <c r="J18" s="194"/>
    </row>
    <row r="19" spans="2:10" ht="14.25" customHeight="1">
      <c r="B19" s="67"/>
      <c r="C19" s="73"/>
      <c r="D19" s="73"/>
      <c r="E19" s="73"/>
      <c r="F19" s="73"/>
      <c r="G19" s="73"/>
      <c r="H19" s="73"/>
      <c r="I19" s="73"/>
      <c r="J19" s="73"/>
    </row>
    <row r="20" spans="2:10" ht="14.25" customHeight="1">
      <c r="B20" s="66" t="s">
        <v>142</v>
      </c>
      <c r="C20" s="66" t="s">
        <v>143</v>
      </c>
      <c r="D20" s="73"/>
      <c r="E20" s="73"/>
      <c r="F20" s="73"/>
      <c r="G20" s="73"/>
      <c r="H20" s="73"/>
      <c r="I20" s="73"/>
      <c r="J20" s="73"/>
    </row>
    <row r="21" spans="2:10" ht="14.25" customHeight="1">
      <c r="B21" s="200" t="s">
        <v>0</v>
      </c>
      <c r="C21" s="200" t="s">
        <v>37</v>
      </c>
      <c r="D21" s="200"/>
      <c r="E21" s="200"/>
      <c r="F21" s="196" t="s">
        <v>34</v>
      </c>
      <c r="G21" s="196" t="s">
        <v>144</v>
      </c>
      <c r="H21" s="196"/>
      <c r="I21" s="196" t="s">
        <v>145</v>
      </c>
      <c r="J21" s="196"/>
    </row>
    <row r="22" spans="2:10" ht="14.25" customHeight="1">
      <c r="B22" s="200"/>
      <c r="C22" s="200"/>
      <c r="D22" s="200"/>
      <c r="E22" s="200"/>
      <c r="F22" s="196"/>
      <c r="G22" s="72" t="s">
        <v>146</v>
      </c>
      <c r="H22" s="72" t="s">
        <v>139</v>
      </c>
      <c r="I22" s="103" t="s">
        <v>146</v>
      </c>
      <c r="J22" s="72" t="s">
        <v>139</v>
      </c>
    </row>
    <row r="23" spans="2:10" ht="14.25" customHeight="1">
      <c r="B23" s="197" t="s">
        <v>147</v>
      </c>
      <c r="C23" s="198"/>
      <c r="D23" s="198"/>
      <c r="E23" s="198"/>
      <c r="F23" s="198"/>
      <c r="G23" s="198"/>
      <c r="H23" s="198"/>
      <c r="I23" s="198"/>
      <c r="J23" s="198"/>
    </row>
    <row r="24" spans="2:10" ht="31.5" customHeight="1">
      <c r="B24" s="74">
        <v>1</v>
      </c>
      <c r="C24" s="199" t="s">
        <v>148</v>
      </c>
      <c r="D24" s="199"/>
      <c r="E24" s="199"/>
      <c r="F24" s="74">
        <f>IF(Setting!P7="","",Setting!P7)</f>
        <v>75</v>
      </c>
      <c r="G24" s="88">
        <f>VLOOKUP($J$1,Legger!$A$9:$DS$48,10)</f>
        <v>85</v>
      </c>
      <c r="H24" s="74" t="str">
        <f>VLOOKUP($J$1,Legger!$A$9:$DS$48,11)</f>
        <v>B</v>
      </c>
      <c r="I24" s="104">
        <f>VLOOKUP($J$1,Legger!$A$9:$DS$48,13)</f>
        <v>80</v>
      </c>
      <c r="J24" s="74" t="str">
        <f>VLOOKUP($J$1,Legger!$A$9:$DS$48,14)</f>
        <v>B</v>
      </c>
    </row>
    <row r="25" spans="2:10" ht="31.5" customHeight="1">
      <c r="B25" s="74">
        <v>2</v>
      </c>
      <c r="C25" s="199" t="s">
        <v>149</v>
      </c>
      <c r="D25" s="199"/>
      <c r="E25" s="199"/>
      <c r="F25" s="74">
        <f>IF(Setting!P8="","",Setting!P8)</f>
        <v>75</v>
      </c>
      <c r="G25" s="88">
        <f>VLOOKUP($J$1,Legger!$A$9:$DS$48,16)</f>
        <v>85</v>
      </c>
      <c r="H25" s="74" t="str">
        <f>VLOOKUP($J$1,Legger!$A$9:$DS$48,17)</f>
        <v>B</v>
      </c>
      <c r="I25" s="104">
        <f>VLOOKUP($J$1,Legger!$A$9:$DS$48,19)</f>
        <v>83</v>
      </c>
      <c r="J25" s="74" t="str">
        <f>VLOOKUP($J$1,Legger!$A$9:$DS$48,20)</f>
        <v>B</v>
      </c>
    </row>
    <row r="26" spans="2:10" ht="31.5" customHeight="1">
      <c r="B26" s="74">
        <v>3</v>
      </c>
      <c r="C26" s="199" t="s">
        <v>14</v>
      </c>
      <c r="D26" s="199"/>
      <c r="E26" s="199"/>
      <c r="F26" s="74">
        <f>IF(Setting!P9="","",Setting!P9)</f>
        <v>75</v>
      </c>
      <c r="G26" s="88">
        <f>VLOOKUP($J$1,Legger!$A$9:$DS$48,22)</f>
        <v>89</v>
      </c>
      <c r="H26" s="74" t="str">
        <f>VLOOKUP($J$1,Legger!$A$9:$DS$48,23)</f>
        <v>A</v>
      </c>
      <c r="I26" s="104">
        <f>VLOOKUP($J$1,Legger!$A$9:$DS$48,25)</f>
        <v>80</v>
      </c>
      <c r="J26" s="74" t="str">
        <f>VLOOKUP($J$1,Legger!$A$9:$DS$48,26)</f>
        <v>B</v>
      </c>
    </row>
    <row r="27" spans="2:10" ht="31.5" customHeight="1">
      <c r="B27" s="74">
        <v>4</v>
      </c>
      <c r="C27" s="199" t="s">
        <v>15</v>
      </c>
      <c r="D27" s="199"/>
      <c r="E27" s="199"/>
      <c r="F27" s="74">
        <f>IF(Setting!P10="","",Setting!P10)</f>
        <v>75</v>
      </c>
      <c r="G27" s="88">
        <f>VLOOKUP($J$1,Legger!$A$9:$DS$48,28)</f>
        <v>81</v>
      </c>
      <c r="H27" s="74" t="str">
        <f>VLOOKUP($J$1,Legger!$A$9:$DS$48,29)</f>
        <v>B</v>
      </c>
      <c r="I27" s="104">
        <f>VLOOKUP($J$1,Legger!$A$9:$DS$48,31)</f>
        <v>80</v>
      </c>
      <c r="J27" s="74" t="str">
        <f>VLOOKUP($J$1,Legger!$A$9:$DS$48,32)</f>
        <v>B</v>
      </c>
    </row>
    <row r="28" spans="2:10" ht="31.5" customHeight="1">
      <c r="B28" s="74">
        <v>5</v>
      </c>
      <c r="C28" s="199" t="s">
        <v>16</v>
      </c>
      <c r="D28" s="199"/>
      <c r="E28" s="199"/>
      <c r="F28" s="74">
        <f>IF(Setting!P11="","",Setting!P11)</f>
        <v>75</v>
      </c>
      <c r="G28" s="88">
        <f>VLOOKUP($J$1,Legger!$A$9:$DS$48,34)</f>
        <v>81</v>
      </c>
      <c r="H28" s="74" t="str">
        <f>VLOOKUP($J$1,Legger!$A$9:$DS$48,35)</f>
        <v>B</v>
      </c>
      <c r="I28" s="104">
        <f>VLOOKUP($J$1,Legger!$A$9:$DS$48,37)</f>
        <v>80</v>
      </c>
      <c r="J28" s="74" t="str">
        <f>VLOOKUP($J$1,Legger!$A$9:$DS$48,38)</f>
        <v>B</v>
      </c>
    </row>
    <row r="29" spans="2:10" ht="31.5" customHeight="1">
      <c r="B29" s="74">
        <v>6</v>
      </c>
      <c r="C29" s="199" t="s">
        <v>17</v>
      </c>
      <c r="D29" s="199"/>
      <c r="E29" s="199"/>
      <c r="F29" s="74">
        <f>IF(Setting!P12="","",Setting!P12)</f>
        <v>75</v>
      </c>
      <c r="G29" s="88">
        <f>VLOOKUP($J$1,Legger!$A$9:$DS$48,40)</f>
        <v>84</v>
      </c>
      <c r="H29" s="74" t="str">
        <f>VLOOKUP($J$1,Legger!$A$9:$DS$48,41)</f>
        <v>B</v>
      </c>
      <c r="I29" s="104">
        <f>VLOOKUP($J$1,Legger!$A$9:$DS$48,43)</f>
        <v>84</v>
      </c>
      <c r="J29" s="74" t="str">
        <f>VLOOKUP($J$1,Legger!$A$9:$DS$48,44)</f>
        <v>B</v>
      </c>
    </row>
    <row r="30" spans="2:10" ht="15.75">
      <c r="B30" s="201" t="s">
        <v>150</v>
      </c>
      <c r="C30" s="201"/>
      <c r="D30" s="201"/>
      <c r="E30" s="201"/>
      <c r="F30" s="201"/>
      <c r="G30" s="201"/>
      <c r="H30" s="201"/>
      <c r="I30" s="201"/>
      <c r="J30" s="201"/>
    </row>
    <row r="31" spans="2:10" ht="31.5" customHeight="1">
      <c r="B31" s="74">
        <v>1</v>
      </c>
      <c r="C31" s="199" t="s">
        <v>18</v>
      </c>
      <c r="D31" s="199"/>
      <c r="E31" s="199"/>
      <c r="F31" s="74">
        <f>IF(Setting!P14="","",Setting!P14)</f>
        <v>75</v>
      </c>
      <c r="G31" s="88">
        <f>VLOOKUP($J$1,Legger!$A$9:$DS$48,46)</f>
        <v>89</v>
      </c>
      <c r="H31" s="74" t="str">
        <f>VLOOKUP($J$1,Legger!$A$9:$DS$48,47)</f>
        <v>A</v>
      </c>
      <c r="I31" s="104">
        <f>VLOOKUP($J$1,Legger!$A$9:$DS$48,49)</f>
        <v>81</v>
      </c>
      <c r="J31" s="74" t="str">
        <f>VLOOKUP($J$1,Legger!$A$9:$DS$48,50)</f>
        <v>B</v>
      </c>
    </row>
    <row r="32" spans="2:10" ht="31.5" customHeight="1">
      <c r="B32" s="74">
        <v>2</v>
      </c>
      <c r="C32" s="199" t="s">
        <v>74</v>
      </c>
      <c r="D32" s="199"/>
      <c r="E32" s="199"/>
      <c r="F32" s="74">
        <f>IF(Setting!P15="","",Setting!P15)</f>
        <v>75</v>
      </c>
      <c r="G32" s="88">
        <f>VLOOKUP($J$1,Legger!$A$9:$DS$48,52)</f>
        <v>85</v>
      </c>
      <c r="H32" s="74" t="str">
        <f>VLOOKUP($J$1,Legger!$A$9:$DS$48,53)</f>
        <v>B</v>
      </c>
      <c r="I32" s="104">
        <f>VLOOKUP($J$1,Legger!$A$9:$DS$48,55)</f>
        <v>80</v>
      </c>
      <c r="J32" s="74" t="str">
        <f>VLOOKUP($J$1,Legger!$A$9:$DS$48,56)</f>
        <v>B</v>
      </c>
    </row>
    <row r="33" spans="2:10" ht="31.5" customHeight="1">
      <c r="B33" s="74">
        <v>3</v>
      </c>
      <c r="C33" s="199" t="s">
        <v>79</v>
      </c>
      <c r="D33" s="199"/>
      <c r="E33" s="199"/>
      <c r="F33" s="74">
        <f>IF(Setting!P16="","",Setting!P16)</f>
        <v>75</v>
      </c>
      <c r="G33" s="88">
        <f>VLOOKUP($J$1,Legger!$A$9:$DS$48,58)</f>
        <v>85</v>
      </c>
      <c r="H33" s="74" t="str">
        <f>VLOOKUP($J$1,Legger!$A$9:$DS$48,59)</f>
        <v>B</v>
      </c>
      <c r="I33" s="104">
        <f>VLOOKUP($J$1,Legger!$A$9:$DS$48,61)</f>
        <v>85</v>
      </c>
      <c r="J33" s="74" t="str">
        <f>VLOOKUP($J$1,Legger!$A$9:$DS$48,62)</f>
        <v>B</v>
      </c>
    </row>
    <row r="34" spans="2:10" ht="31.5" customHeight="1">
      <c r="B34" s="74">
        <v>4</v>
      </c>
      <c r="C34" s="199" t="s">
        <v>21</v>
      </c>
      <c r="D34" s="199"/>
      <c r="E34" s="199"/>
      <c r="F34" s="74">
        <f>IF(Setting!P17="","",Setting!P17)</f>
        <v>75</v>
      </c>
      <c r="G34" s="88">
        <f>VLOOKUP($J$1,Legger!$A$9:$DS$48,64)</f>
        <v>89</v>
      </c>
      <c r="H34" s="74" t="str">
        <f>VLOOKUP($J$1,Legger!$A$9:$DS$48,65)</f>
        <v>A</v>
      </c>
      <c r="I34" s="104">
        <f>VLOOKUP($J$1,Legger!$A$9:$DS$48,67)</f>
        <v>80</v>
      </c>
      <c r="J34" s="74" t="str">
        <f>VLOOKUP($J$1,Legger!$A$9:$DS$48,68)</f>
        <v>B</v>
      </c>
    </row>
    <row r="35" spans="2:10" ht="15.75">
      <c r="B35" s="201" t="s">
        <v>151</v>
      </c>
      <c r="C35" s="201"/>
      <c r="D35" s="201"/>
      <c r="E35" s="201"/>
      <c r="F35" s="201"/>
      <c r="G35" s="201"/>
      <c r="H35" s="201"/>
      <c r="I35" s="201"/>
      <c r="J35" s="201"/>
    </row>
    <row r="36" spans="2:10" ht="15.75">
      <c r="B36" s="201" t="s">
        <v>152</v>
      </c>
      <c r="C36" s="201"/>
      <c r="D36" s="201"/>
      <c r="E36" s="201"/>
      <c r="F36" s="201"/>
      <c r="G36" s="201"/>
      <c r="H36" s="201"/>
      <c r="I36" s="201"/>
      <c r="J36" s="201"/>
    </row>
    <row r="37" spans="2:10" ht="31.5" customHeight="1">
      <c r="B37" s="74">
        <v>1</v>
      </c>
      <c r="C37" s="199" t="s">
        <v>15</v>
      </c>
      <c r="D37" s="199"/>
      <c r="E37" s="199"/>
      <c r="F37" s="74">
        <f>IF(Setting!P20="","",Setting!P20)</f>
        <v>75</v>
      </c>
      <c r="G37" s="88">
        <f>VLOOKUP($J$1,Legger!$A$9:$DS$48,70)</f>
        <v>86</v>
      </c>
      <c r="H37" s="74" t="str">
        <f>VLOOKUP($J$1,Legger!$A$9:$DS$48,71)</f>
        <v>B</v>
      </c>
      <c r="I37" s="104">
        <f>VLOOKUP($J$1,Legger!$A$9:$DS$48,73)</f>
        <v>94</v>
      </c>
      <c r="J37" s="74" t="str">
        <f>VLOOKUP($J$1,Legger!$A$9:$DS$48,74)</f>
        <v>A</v>
      </c>
    </row>
    <row r="38" spans="2:10" ht="31.5" customHeight="1">
      <c r="B38" s="74">
        <v>2</v>
      </c>
      <c r="C38" s="199" t="s">
        <v>22</v>
      </c>
      <c r="D38" s="199"/>
      <c r="E38" s="199"/>
      <c r="F38" s="74">
        <f>IF(Setting!P21="","",Setting!P21)</f>
        <v>75</v>
      </c>
      <c r="G38" s="88">
        <f>VLOOKUP($J$1,Legger!$A$9:$DS$48,76)</f>
        <v>84</v>
      </c>
      <c r="H38" s="74" t="str">
        <f>VLOOKUP($J$1,Legger!$A$9:$DS$48,77)</f>
        <v>B</v>
      </c>
      <c r="I38" s="104">
        <f>VLOOKUP($J$1,Legger!$A$9:$DS$48,79)</f>
        <v>80</v>
      </c>
      <c r="J38" s="74" t="str">
        <f>VLOOKUP($J$1,Legger!$A$9:$DS$48,80)</f>
        <v>B</v>
      </c>
    </row>
    <row r="39" spans="2:10" ht="31.5" customHeight="1">
      <c r="B39" s="74">
        <v>3</v>
      </c>
      <c r="C39" s="199" t="s">
        <v>93</v>
      </c>
      <c r="D39" s="199"/>
      <c r="E39" s="199"/>
      <c r="F39" s="74">
        <f>IF(Setting!P22="","",Setting!P22)</f>
        <v>75</v>
      </c>
      <c r="G39" s="88">
        <f>VLOOKUP($J$1,Legger!$A$9:$DS$48,82)</f>
        <v>86</v>
      </c>
      <c r="H39" s="74" t="str">
        <f>VLOOKUP($J$1,Legger!$A$9:$DS$48,83)</f>
        <v>B</v>
      </c>
      <c r="I39" s="104">
        <f>VLOOKUP($J$1,Legger!$A$9:$DS$48,85)</f>
        <v>87</v>
      </c>
      <c r="J39" s="74" t="str">
        <f>VLOOKUP($J$1,Legger!$A$9:$DS$48,86)</f>
        <v>B</v>
      </c>
    </row>
    <row r="40" spans="2:10" ht="31.5" customHeight="1">
      <c r="B40" s="74">
        <v>4</v>
      </c>
      <c r="C40" s="199" t="s">
        <v>24</v>
      </c>
      <c r="D40" s="199"/>
      <c r="E40" s="199"/>
      <c r="F40" s="74">
        <f>IF(Setting!P23="","",Setting!P23)</f>
        <v>75</v>
      </c>
      <c r="G40" s="88">
        <f>VLOOKUP($J$1,Legger!$A$9:$DS$48,88)</f>
        <v>87</v>
      </c>
      <c r="H40" s="74" t="str">
        <f>VLOOKUP($J$1,Legger!$A$9:$DS$48,89)</f>
        <v>B</v>
      </c>
      <c r="I40" s="104">
        <f>VLOOKUP($J$1,Legger!$A$9:$DS$48,91)</f>
        <v>87</v>
      </c>
      <c r="J40" s="74" t="str">
        <f>VLOOKUP($J$1,Legger!$A$9:$DS$48,92)</f>
        <v>B</v>
      </c>
    </row>
    <row r="41" spans="2:10" ht="15.75">
      <c r="B41" s="201" t="s">
        <v>151</v>
      </c>
      <c r="C41" s="201"/>
      <c r="D41" s="201"/>
      <c r="E41" s="201"/>
      <c r="F41" s="201"/>
      <c r="G41" s="201"/>
      <c r="H41" s="201"/>
      <c r="I41" s="201"/>
      <c r="J41" s="201"/>
    </row>
    <row r="42" spans="2:10" ht="15.75">
      <c r="B42" s="197" t="s">
        <v>153</v>
      </c>
      <c r="C42" s="198"/>
      <c r="D42" s="198"/>
      <c r="E42" s="198"/>
      <c r="F42" s="198"/>
      <c r="G42" s="198"/>
      <c r="H42" s="198"/>
      <c r="I42" s="198"/>
      <c r="J42" s="202"/>
    </row>
    <row r="43" spans="2:10" ht="31.5" customHeight="1">
      <c r="B43" s="74">
        <v>1</v>
      </c>
      <c r="C43" s="199" t="s">
        <v>104</v>
      </c>
      <c r="D43" s="199"/>
      <c r="E43" s="199"/>
      <c r="F43" s="74">
        <f>IF(Setting!P26="","",Setting!P26)</f>
        <v>75</v>
      </c>
      <c r="G43" s="88">
        <f>VLOOKUP($J$1,Legger!$A$9:$DS$48,100)</f>
        <v>91</v>
      </c>
      <c r="H43" s="74" t="str">
        <f>VLOOKUP($J$1,Legger!$A$9:$DS$48,101)</f>
        <v>A</v>
      </c>
      <c r="I43" s="104">
        <f>VLOOKUP($J$1,Legger!$A$9:$DS$48,103)</f>
        <v>90</v>
      </c>
      <c r="J43" s="74" t="str">
        <f>VLOOKUP($J$1,Legger!$A$9:$DS$48,104)</f>
        <v>A</v>
      </c>
    </row>
    <row r="44" spans="2:10" ht="31.5" customHeight="1">
      <c r="B44" s="74">
        <v>2</v>
      </c>
      <c r="C44" s="199" t="s">
        <v>101</v>
      </c>
      <c r="D44" s="199"/>
      <c r="E44" s="199"/>
      <c r="F44" s="74">
        <f>IF(C44="","",Setting!P25)</f>
        <v>75</v>
      </c>
      <c r="G44" s="88">
        <f>IF(C44="","",VLOOKUP($J$1,Legger!$A$9:$DS$48,94))</f>
        <v>83</v>
      </c>
      <c r="H44" s="74" t="str">
        <f>IF(C44="","",VLOOKUP($J$1,Legger!$A$9:$DS$48,95))</f>
        <v>B</v>
      </c>
      <c r="I44" s="104">
        <f>IF(C44="","",VLOOKUP($J$1,Legger!$A$9:$DS$48,97))</f>
        <v>81</v>
      </c>
      <c r="J44" s="74" t="str">
        <f>IF(C44="","",VLOOKUP($J$1,Legger!$A$9:$DS$48,98))</f>
        <v>B</v>
      </c>
    </row>
    <row r="45" spans="2:10">
      <c r="B45" s="75"/>
      <c r="C45" s="76"/>
      <c r="D45" s="76"/>
      <c r="E45" s="76"/>
      <c r="F45" s="75"/>
      <c r="G45" s="89"/>
      <c r="H45" s="75"/>
      <c r="I45" s="89"/>
      <c r="J45" s="75"/>
    </row>
    <row r="46" spans="2:10">
      <c r="B46" s="75"/>
      <c r="C46" s="77" t="s">
        <v>154</v>
      </c>
      <c r="D46" s="76"/>
      <c r="E46" s="76"/>
      <c r="F46" s="75"/>
      <c r="G46" s="89"/>
      <c r="H46" s="75"/>
      <c r="I46" s="89"/>
      <c r="J46" s="75"/>
    </row>
    <row r="47" spans="2:10" ht="15.75">
      <c r="B47" s="75"/>
      <c r="C47" s="204" t="s">
        <v>34</v>
      </c>
      <c r="D47" s="204"/>
      <c r="E47" s="203" t="s">
        <v>139</v>
      </c>
      <c r="F47" s="203"/>
      <c r="G47" s="203"/>
      <c r="H47" s="203"/>
      <c r="I47" s="203"/>
      <c r="J47" s="203"/>
    </row>
    <row r="48" spans="2:10" ht="15.75">
      <c r="B48" s="75"/>
      <c r="C48" s="204"/>
      <c r="D48" s="204"/>
      <c r="E48" s="90" t="s">
        <v>155</v>
      </c>
      <c r="F48" s="203" t="s">
        <v>156</v>
      </c>
      <c r="G48" s="203"/>
      <c r="H48" s="90" t="s">
        <v>157</v>
      </c>
      <c r="I48" s="203" t="s">
        <v>158</v>
      </c>
      <c r="J48" s="203"/>
    </row>
    <row r="49" spans="2:10" ht="15.75">
      <c r="B49" s="75"/>
      <c r="C49" s="244">
        <v>75</v>
      </c>
      <c r="D49" s="244"/>
      <c r="E49" s="31" t="s">
        <v>159</v>
      </c>
      <c r="F49" s="245" t="s">
        <v>160</v>
      </c>
      <c r="G49" s="245"/>
      <c r="H49" s="31" t="s">
        <v>161</v>
      </c>
      <c r="I49" s="245" t="s">
        <v>162</v>
      </c>
      <c r="J49" s="245"/>
    </row>
    <row r="50" spans="2:10" ht="14.25" customHeight="1">
      <c r="B50" s="60" t="s">
        <v>127</v>
      </c>
      <c r="C50" s="61"/>
      <c r="D50" s="60"/>
      <c r="E50" s="80" t="str">
        <f>E3</f>
        <v>: SMA ABBS Surakarta</v>
      </c>
      <c r="F50" s="81"/>
      <c r="G50" s="80"/>
      <c r="H50" s="60" t="s">
        <v>128</v>
      </c>
      <c r="I50" s="80" t="str">
        <f>I3</f>
        <v>: X.MIPA 4</v>
      </c>
      <c r="J50" s="67"/>
    </row>
    <row r="51" spans="2:10" ht="15.75" customHeight="1">
      <c r="B51" s="60" t="s">
        <v>129</v>
      </c>
      <c r="C51" s="61"/>
      <c r="D51" s="60"/>
      <c r="E51" s="188" t="str">
        <f>E4</f>
        <v>: Jln. Tarumanegara III No 22, Banyuanyar, Banjarsari, Surakarta</v>
      </c>
      <c r="F51" s="188"/>
      <c r="G51" s="188"/>
      <c r="H51" s="82" t="s">
        <v>130</v>
      </c>
      <c r="I51" s="96" t="str">
        <f>I4</f>
        <v>: I (Gasal)</v>
      </c>
      <c r="J51" s="67"/>
    </row>
    <row r="52" spans="2:10" ht="15" customHeight="1">
      <c r="B52" s="60"/>
      <c r="C52" s="61"/>
      <c r="D52" s="60"/>
      <c r="E52" s="188" t="s">
        <v>131</v>
      </c>
      <c r="F52" s="188"/>
      <c r="G52" s="188"/>
      <c r="H52" s="195" t="s">
        <v>132</v>
      </c>
      <c r="I52" s="97" t="str">
        <f>I5</f>
        <v>: 2020/2021</v>
      </c>
      <c r="J52" s="67"/>
    </row>
    <row r="53" spans="2:10" ht="15.75">
      <c r="B53" s="62" t="s">
        <v>133</v>
      </c>
      <c r="C53" s="61"/>
      <c r="D53" s="62"/>
      <c r="E53" s="80" t="str">
        <f>E6</f>
        <v>: Rusianto Munif</v>
      </c>
      <c r="F53" s="81"/>
      <c r="G53" s="83"/>
      <c r="H53" s="195"/>
      <c r="I53" s="67"/>
      <c r="J53" s="67"/>
    </row>
    <row r="54" spans="2:10" s="58" customFormat="1" ht="18.75" customHeight="1">
      <c r="B54" s="63" t="s">
        <v>134</v>
      </c>
      <c r="C54" s="64"/>
      <c r="D54" s="63"/>
      <c r="E54" s="91" t="str">
        <f>E7</f>
        <v>: 2008307 / 0060172183</v>
      </c>
      <c r="F54" s="85"/>
      <c r="G54" s="86"/>
      <c r="H54" s="84"/>
      <c r="I54" s="91"/>
      <c r="J54" s="91"/>
    </row>
    <row r="55" spans="2:10">
      <c r="B55" s="67"/>
      <c r="C55" s="67"/>
      <c r="D55" s="67"/>
      <c r="E55" s="67"/>
      <c r="F55" s="67"/>
      <c r="G55" s="67"/>
      <c r="H55" s="67"/>
      <c r="I55" s="67"/>
      <c r="J55" s="67"/>
    </row>
    <row r="56" spans="2:10" ht="15.75">
      <c r="B56" s="66" t="s">
        <v>163</v>
      </c>
      <c r="C56" s="67"/>
      <c r="D56" s="67"/>
      <c r="E56" s="67"/>
      <c r="F56" s="67"/>
      <c r="G56" s="67"/>
      <c r="H56" s="67"/>
      <c r="I56" s="67"/>
      <c r="J56" s="67"/>
    </row>
    <row r="57" spans="2:10">
      <c r="B57" s="200" t="s">
        <v>0</v>
      </c>
      <c r="C57" s="200" t="s">
        <v>37</v>
      </c>
      <c r="D57" s="200"/>
      <c r="E57" s="196" t="s">
        <v>164</v>
      </c>
      <c r="F57" s="196" t="s">
        <v>140</v>
      </c>
      <c r="G57" s="196"/>
      <c r="H57" s="196"/>
      <c r="I57" s="196"/>
      <c r="J57" s="196"/>
    </row>
    <row r="58" spans="2:10">
      <c r="B58" s="200"/>
      <c r="C58" s="200"/>
      <c r="D58" s="200"/>
      <c r="E58" s="196"/>
      <c r="F58" s="196"/>
      <c r="G58" s="196"/>
      <c r="H58" s="196"/>
      <c r="I58" s="196"/>
      <c r="J58" s="196"/>
    </row>
    <row r="59" spans="2:10" ht="15.75">
      <c r="B59" s="197" t="s">
        <v>147</v>
      </c>
      <c r="C59" s="198"/>
      <c r="D59" s="198"/>
      <c r="E59" s="198"/>
      <c r="F59" s="198"/>
      <c r="G59" s="198"/>
      <c r="H59" s="198"/>
      <c r="I59" s="198"/>
      <c r="J59" s="198"/>
    </row>
    <row r="60" spans="2:10" ht="49.5" customHeight="1">
      <c r="B60" s="236">
        <v>1</v>
      </c>
      <c r="C60" s="210" t="s">
        <v>148</v>
      </c>
      <c r="D60" s="211"/>
      <c r="E60" s="92" t="s">
        <v>144</v>
      </c>
      <c r="F60" s="205" t="str">
        <f>VLOOKUP($J$1,Legger!$A$9:$DS$48,12)</f>
        <v>Memiliki kemampuan menganalisis manfaat kejujuran dalam kehidupan sehari-hari, namun perlu peningkatan menganalisis kedudukan al-Qur’an, Hadis, dan  ijtihad sebagai sumber hukum Islam</v>
      </c>
      <c r="G60" s="206"/>
      <c r="H60" s="206"/>
      <c r="I60" s="206"/>
      <c r="J60" s="207"/>
    </row>
    <row r="61" spans="2:10" ht="49.5" customHeight="1">
      <c r="B61" s="237"/>
      <c r="C61" s="212"/>
      <c r="D61" s="213"/>
      <c r="E61" s="92" t="s">
        <v>145</v>
      </c>
      <c r="F61" s="205" t="str">
        <f>VLOOKUP($J$1,Legger!$A$9:$DS$48,15)</f>
        <v>Memiliki keterampilan menyajikan keutamaan tata cara berpakaian sesuai syariat Islam</v>
      </c>
      <c r="G61" s="206"/>
      <c r="H61" s="206"/>
      <c r="I61" s="206"/>
      <c r="J61" s="207"/>
    </row>
    <row r="62" spans="2:10" ht="34.5" customHeight="1">
      <c r="B62" s="236">
        <v>2</v>
      </c>
      <c r="C62" s="210" t="s">
        <v>165</v>
      </c>
      <c r="D62" s="211"/>
      <c r="E62" s="92" t="s">
        <v>144</v>
      </c>
      <c r="F62" s="214" t="str">
        <f>VLOOKUP($J$1,Legger!$A$9:$DS$48,18)</f>
        <v>Memiliki kemampuan menganalisa nilai-nilai Pancasila, namun perlu peningkatan ketentuan UUD tentang wilayah negara</v>
      </c>
      <c r="G62" s="215"/>
      <c r="H62" s="215"/>
      <c r="I62" s="215"/>
      <c r="J62" s="216"/>
    </row>
    <row r="63" spans="2:10" ht="32.25" customHeight="1">
      <c r="B63" s="237"/>
      <c r="C63" s="212"/>
      <c r="D63" s="213"/>
      <c r="E63" s="92" t="s">
        <v>145</v>
      </c>
      <c r="F63" s="205" t="str">
        <f>VLOOKUP($J$1,Legger!$A$9:$DS$48,21)</f>
        <v>Memiliki keterampilan menyaji hasil telah ketentuan UUD tentang wilayah negara</v>
      </c>
      <c r="G63" s="206"/>
      <c r="H63" s="206"/>
      <c r="I63" s="206"/>
      <c r="J63" s="207"/>
    </row>
    <row r="64" spans="2:10" ht="36" customHeight="1">
      <c r="B64" s="236">
        <v>3</v>
      </c>
      <c r="C64" s="210" t="s">
        <v>14</v>
      </c>
      <c r="D64" s="211"/>
      <c r="E64" s="92" t="s">
        <v>144</v>
      </c>
      <c r="F64" s="205" t="str">
        <f>VLOOKUP($J$1,Legger!$A$9:$DS$48,24)</f>
        <v>Memiliki kemampuan menelaah teks crita cekak, namun perlu peningkatan menelaah teks pawarta.</v>
      </c>
      <c r="G64" s="206"/>
      <c r="H64" s="206"/>
      <c r="I64" s="206"/>
      <c r="J64" s="207"/>
    </row>
    <row r="65" spans="2:10" ht="30.75" customHeight="1">
      <c r="B65" s="237"/>
      <c r="C65" s="212"/>
      <c r="D65" s="213"/>
      <c r="E65" s="92" t="s">
        <v>145</v>
      </c>
      <c r="F65" s="205" t="str">
        <f>VLOOKUP($J$1,Legger!$A$9:$DS$48,27)</f>
        <v>Memiliki keterampilan menulis dan menyajikan sinopsis teks crita cekak yang dibacanya</v>
      </c>
      <c r="G65" s="206"/>
      <c r="H65" s="206"/>
      <c r="I65" s="206"/>
      <c r="J65" s="207"/>
    </row>
    <row r="66" spans="2:10" ht="72" customHeight="1">
      <c r="B66" s="236">
        <v>4</v>
      </c>
      <c r="C66" s="210" t="s">
        <v>15</v>
      </c>
      <c r="D66" s="211"/>
      <c r="E66" s="92" t="s">
        <v>144</v>
      </c>
      <c r="F66" s="205" t="str">
        <f>VLOOKUP($J$1,Legger!$A$9:$DS$48,30)</f>
        <v>Memiliki kemampuan membandingkan persamaan dan pertidaksamaan nilai mutlak dari bentuk linear satu variabel dengan persamaan dan pertidaksamaan linear Aljabar lainnya., namun perlu peningkatan menyusun sistem persamaan linear tiga variabel dari masalah kontekstual.</v>
      </c>
      <c r="G66" s="206"/>
      <c r="H66" s="206"/>
      <c r="I66" s="206"/>
      <c r="J66" s="207"/>
    </row>
    <row r="67" spans="2:10" ht="48.75" customHeight="1">
      <c r="B67" s="237"/>
      <c r="C67" s="212"/>
      <c r="D67" s="213"/>
      <c r="E67" s="92" t="s">
        <v>145</v>
      </c>
      <c r="F67" s="205" t="str">
        <f>VLOOKUP($J$1,Legger!$A$9:$DS$48,33)</f>
        <v>Memiliki keterampilan menyelesaikan masalah yang berkaitan dengan persamaan dan pertidaksamaan nilai mutlak dari bentuk linear satu variabel</v>
      </c>
      <c r="G67" s="206"/>
      <c r="H67" s="206"/>
      <c r="I67" s="206"/>
      <c r="J67" s="207"/>
    </row>
    <row r="68" spans="2:10" ht="55.5" customHeight="1">
      <c r="B68" s="236">
        <v>5</v>
      </c>
      <c r="C68" s="210" t="s">
        <v>16</v>
      </c>
      <c r="D68" s="211"/>
      <c r="E68" s="92" t="s">
        <v>144</v>
      </c>
      <c r="F68" s="205" t="str">
        <f>VLOOKUP($J$1,Legger!$A$9:$DS$48,36)</f>
        <v>Memiliki kemampuan memahami konsep perubahan dan keberlanjutan dalam sejarah, namun perlu peningkatan menganalisis kehidupan manusia purba dan asal-usul nenek moyang bangsa Indonesia (melanesoid, proto, dan deutero melayu)</v>
      </c>
      <c r="G68" s="206"/>
      <c r="H68" s="206"/>
      <c r="I68" s="206"/>
      <c r="J68" s="207"/>
    </row>
    <row r="69" spans="2:10" ht="38.25" customHeight="1">
      <c r="B69" s="237"/>
      <c r="C69" s="212"/>
      <c r="D69" s="213"/>
      <c r="E69" s="92" t="s">
        <v>145</v>
      </c>
      <c r="F69" s="205" t="str">
        <f>VLOOKUP($J$1,Legger!$A$9:$DS$48,39)</f>
        <v>Memiliki keterampilan menerapkan konsep perubahan dan keberlanjutan dalam mengkaji peristiwa sejarah</v>
      </c>
      <c r="G69" s="206"/>
      <c r="H69" s="206"/>
      <c r="I69" s="206"/>
      <c r="J69" s="207"/>
    </row>
    <row r="70" spans="2:10" ht="92.25" customHeight="1">
      <c r="B70" s="236">
        <v>6</v>
      </c>
      <c r="C70" s="210" t="s">
        <v>17</v>
      </c>
      <c r="D70" s="211"/>
      <c r="E70" s="92" t="s">
        <v>144</v>
      </c>
      <c r="F70" s="205" t="str">
        <f>VLOOKUP($J$1,Legger!$A$9:$DS$48,42)</f>
        <v>Memiliki kemampuan menerapkan fungsi sosial, struktur teks, dan unsur kebahasaan teks interaksi transaksional lisan dan tulis terkait meminta informasi (going to, would like to), namun perlu peningkatan menerapkan fungsi sosial, struktur teks, dan unsur kebahasaan teks interaksi interpersonal lisan dan tulis terkait memberikan ucapan selamat dan memuji</v>
      </c>
      <c r="G70" s="206"/>
      <c r="H70" s="206"/>
      <c r="I70" s="206"/>
      <c r="J70" s="207"/>
    </row>
    <row r="71" spans="2:10" ht="39" customHeight="1">
      <c r="B71" s="237"/>
      <c r="C71" s="212"/>
      <c r="D71" s="213"/>
      <c r="E71" s="92" t="s">
        <v>145</v>
      </c>
      <c r="F71" s="205" t="str">
        <f>VLOOKUP($J$1,Legger!$A$9:$DS$48,45)</f>
        <v>Memiliki keterampilan menyusun teks interaksi transaksional lisan dan tulis yang melibatkan tindakan memberi dan meminta informasi terkait jati diri dan hubungan keluarga</v>
      </c>
      <c r="G71" s="206"/>
      <c r="H71" s="206"/>
      <c r="I71" s="206"/>
      <c r="J71" s="207"/>
    </row>
    <row r="72" spans="2:10" ht="15.75">
      <c r="B72" s="201" t="s">
        <v>150</v>
      </c>
      <c r="C72" s="201"/>
      <c r="D72" s="201"/>
      <c r="E72" s="201"/>
      <c r="F72" s="201"/>
      <c r="G72" s="201"/>
      <c r="H72" s="201"/>
      <c r="I72" s="201"/>
      <c r="J72" s="201"/>
    </row>
    <row r="73" spans="2:10" ht="48.75" customHeight="1">
      <c r="B73" s="236">
        <v>1</v>
      </c>
      <c r="C73" s="210" t="s">
        <v>18</v>
      </c>
      <c r="D73" s="211"/>
      <c r="E73" s="92" t="s">
        <v>144</v>
      </c>
      <c r="F73" s="205" t="str">
        <f>VLOOKUP($J$1,Legger!$A$9:$DS$48,48)</f>
        <v>Memiliki kemampuan menganalisis konsep, unsur, prinsip, bahan dan teknik dalam berkarya seni rupa, namun perlu peningkatan dalam menganalisis karya seni rupa berdasarkan jenis, tema, fungsi, dan nilai estetisnya</v>
      </c>
      <c r="G73" s="206"/>
      <c r="H73" s="206"/>
      <c r="I73" s="206"/>
      <c r="J73" s="207"/>
    </row>
    <row r="74" spans="2:10" ht="38.25" customHeight="1">
      <c r="B74" s="237"/>
      <c r="C74" s="212"/>
      <c r="D74" s="213"/>
      <c r="E74" s="92" t="s">
        <v>145</v>
      </c>
      <c r="F74" s="205" t="str">
        <f>VLOOKUP($J$1,Legger!$A$9:$DS$48,51)</f>
        <v>Memiliki keterampilan membuat karya seni rupa dua dimensi dengan memodifikasi aspek</v>
      </c>
      <c r="G74" s="206"/>
      <c r="H74" s="206"/>
      <c r="I74" s="206"/>
      <c r="J74" s="207"/>
    </row>
    <row r="75" spans="2:10" ht="56.25" customHeight="1">
      <c r="B75" s="243">
        <v>2</v>
      </c>
      <c r="C75" s="199" t="s">
        <v>74</v>
      </c>
      <c r="D75" s="199"/>
      <c r="E75" s="92" t="s">
        <v>144</v>
      </c>
      <c r="F75" s="205" t="str">
        <f>VLOOKUP($J$1,Legger!$A$9:$DS$48,54)</f>
        <v>Memiliki kemampuan menganalisis keterampilan gerak salah satu permainan bola besar untuk menghasilkan koordinasi gerak yang baik, namun perlu peningkatan menganalisis keterampilan jalan cepat, lari, lompat dan lempar untuk meng-hasilkan gerak yang efektif</v>
      </c>
      <c r="G75" s="206"/>
      <c r="H75" s="206"/>
      <c r="I75" s="206"/>
      <c r="J75" s="207"/>
    </row>
    <row r="76" spans="2:10" ht="39.75" customHeight="1">
      <c r="B76" s="243"/>
      <c r="C76" s="199"/>
      <c r="D76" s="199"/>
      <c r="E76" s="92" t="s">
        <v>145</v>
      </c>
      <c r="F76" s="205" t="str">
        <f>VLOOKUP($J$1,Legger!$A$9:$DS$48,57)</f>
        <v>Memiliki keterampilan mempraktikkan hasil analisis keterampilan jalan cepat, lari, lompat dan lempar untuk menghasilkan gerak yang efektif</v>
      </c>
      <c r="G76" s="206"/>
      <c r="H76" s="206"/>
      <c r="I76" s="206"/>
      <c r="J76" s="207"/>
    </row>
    <row r="77" spans="2:10" ht="15.75">
      <c r="B77" s="60" t="s">
        <v>127</v>
      </c>
      <c r="C77" s="61"/>
      <c r="D77" s="60"/>
      <c r="E77" s="80" t="str">
        <f>E3</f>
        <v>: SMA ABBS Surakarta</v>
      </c>
      <c r="F77" s="81"/>
      <c r="G77" s="80"/>
      <c r="H77" s="60" t="s">
        <v>128</v>
      </c>
      <c r="I77" s="80" t="str">
        <f>I3</f>
        <v>: X.MIPA 4</v>
      </c>
      <c r="J77" s="67"/>
    </row>
    <row r="78" spans="2:10" ht="15" customHeight="1">
      <c r="B78" s="105" t="s">
        <v>129</v>
      </c>
      <c r="C78" s="106"/>
      <c r="D78" s="105"/>
      <c r="E78" s="208" t="str">
        <f>E4</f>
        <v>: Jln. Tarumanegara III No 22, Banyuanyar, Banjarsari, Surakarta</v>
      </c>
      <c r="F78" s="208"/>
      <c r="G78" s="208"/>
      <c r="H78" s="112" t="s">
        <v>130</v>
      </c>
      <c r="I78" s="122" t="str">
        <f>I4</f>
        <v>: I (Gasal)</v>
      </c>
      <c r="J78" s="117"/>
    </row>
    <row r="79" spans="2:10" ht="15" customHeight="1">
      <c r="B79" s="105"/>
      <c r="C79" s="106"/>
      <c r="D79" s="105"/>
      <c r="E79" s="188" t="s">
        <v>131</v>
      </c>
      <c r="F79" s="188"/>
      <c r="G79" s="188"/>
      <c r="H79" s="209" t="s">
        <v>132</v>
      </c>
      <c r="I79" s="123" t="str">
        <f>I5</f>
        <v>: 2020/2021</v>
      </c>
      <c r="J79" s="117"/>
    </row>
    <row r="80" spans="2:10" ht="15.75">
      <c r="B80" s="107" t="s">
        <v>133</v>
      </c>
      <c r="C80" s="106"/>
      <c r="D80" s="107"/>
      <c r="E80" s="113" t="str">
        <f>E6</f>
        <v>: Rusianto Munif</v>
      </c>
      <c r="F80" s="114"/>
      <c r="G80" s="83"/>
      <c r="H80" s="209"/>
      <c r="I80" s="117"/>
      <c r="J80" s="117"/>
    </row>
    <row r="81" spans="2:10" s="58" customFormat="1" ht="19.5" customHeight="1">
      <c r="B81" s="63" t="s">
        <v>134</v>
      </c>
      <c r="C81" s="64"/>
      <c r="D81" s="63"/>
      <c r="E81" s="91" t="str">
        <f>E7</f>
        <v>: 2008307 / 0060172183</v>
      </c>
      <c r="F81" s="85"/>
      <c r="G81" s="86"/>
      <c r="H81" s="84"/>
      <c r="I81" s="91"/>
      <c r="J81" s="91"/>
    </row>
    <row r="82" spans="2:10">
      <c r="B82" s="75"/>
      <c r="C82" s="108"/>
      <c r="D82" s="108"/>
      <c r="E82" s="115"/>
      <c r="F82" s="116"/>
      <c r="G82" s="116"/>
      <c r="H82" s="116"/>
      <c r="I82" s="116"/>
      <c r="J82" s="116"/>
    </row>
    <row r="83" spans="2:10">
      <c r="B83" s="200" t="s">
        <v>0</v>
      </c>
      <c r="C83" s="200" t="s">
        <v>37</v>
      </c>
      <c r="D83" s="200"/>
      <c r="E83" s="196" t="s">
        <v>164</v>
      </c>
      <c r="F83" s="196" t="s">
        <v>140</v>
      </c>
      <c r="G83" s="196"/>
      <c r="H83" s="196"/>
      <c r="I83" s="196"/>
      <c r="J83" s="196"/>
    </row>
    <row r="84" spans="2:10">
      <c r="B84" s="200"/>
      <c r="C84" s="200"/>
      <c r="D84" s="200"/>
      <c r="E84" s="196"/>
      <c r="F84" s="196"/>
      <c r="G84" s="196"/>
      <c r="H84" s="196"/>
      <c r="I84" s="196"/>
      <c r="J84" s="196"/>
    </row>
    <row r="85" spans="2:10" ht="15.75">
      <c r="B85" s="201" t="s">
        <v>150</v>
      </c>
      <c r="C85" s="201"/>
      <c r="D85" s="201"/>
      <c r="E85" s="201"/>
      <c r="F85" s="201"/>
      <c r="G85" s="201"/>
      <c r="H85" s="201"/>
      <c r="I85" s="201"/>
      <c r="J85" s="201"/>
    </row>
    <row r="86" spans="2:10" ht="72" customHeight="1">
      <c r="B86" s="236">
        <v>3</v>
      </c>
      <c r="C86" s="210" t="s">
        <v>79</v>
      </c>
      <c r="D86" s="211"/>
      <c r="E86" s="92" t="s">
        <v>144</v>
      </c>
      <c r="F86" s="205" t="str">
        <f>VLOOKUP($J$1,Legger!$A$9:$DS$48,60)</f>
        <v>Memiliki kemampuan menganalisis sistem produksi produk transportasi dan logistik berdasarkan daya dukung yang dimiliki oleh daerah setempat, namun perlu peningkatan memahami perencanaan usaha produk teknologi transportasi dan logistik meliputi ide dan peluang usaha, sumber daya, administrasi, dan pemasaran</v>
      </c>
      <c r="G86" s="206"/>
      <c r="H86" s="206"/>
      <c r="I86" s="206"/>
      <c r="J86" s="207"/>
    </row>
    <row r="87" spans="2:10" ht="27" customHeight="1">
      <c r="B87" s="237"/>
      <c r="C87" s="212"/>
      <c r="D87" s="213"/>
      <c r="E87" s="92" t="s">
        <v>145</v>
      </c>
      <c r="F87" s="205" t="str">
        <f>VLOOKUP($J$1,Legger!$A$9:$DS$48,63)</f>
        <v>Memiliki keterampilan memproduksi produk rekayasa</v>
      </c>
      <c r="G87" s="206"/>
      <c r="H87" s="206"/>
      <c r="I87" s="206"/>
      <c r="J87" s="207"/>
    </row>
    <row r="88" spans="2:10" ht="38.25" customHeight="1">
      <c r="B88" s="236">
        <v>4</v>
      </c>
      <c r="C88" s="210" t="s">
        <v>21</v>
      </c>
      <c r="D88" s="211"/>
      <c r="E88" s="92" t="s">
        <v>144</v>
      </c>
      <c r="F88" s="205" t="str">
        <f>VLOOKUP($J$1,Legger!$A$9:$DS$48,66)</f>
        <v>Memiliki kemampuan menelaah teks crita cekak, namun perlu peningkatan menelaah teks pawarta.</v>
      </c>
      <c r="G88" s="206"/>
      <c r="H88" s="206"/>
      <c r="I88" s="206"/>
      <c r="J88" s="207"/>
    </row>
    <row r="89" spans="2:10" ht="38.25" customHeight="1">
      <c r="B89" s="237"/>
      <c r="C89" s="212"/>
      <c r="D89" s="213"/>
      <c r="E89" s="92" t="s">
        <v>145</v>
      </c>
      <c r="F89" s="205" t="str">
        <f>VLOOKUP($J$1,Legger!$A$9:$DS$48,69)</f>
        <v>Memiliki keterampilan menulis dan menyajikan sinopsis teks crita cekak yang dibacanya</v>
      </c>
      <c r="G89" s="206"/>
      <c r="H89" s="206"/>
      <c r="I89" s="206"/>
      <c r="J89" s="207"/>
    </row>
    <row r="90" spans="2:10" ht="15.75">
      <c r="B90" s="201" t="s">
        <v>151</v>
      </c>
      <c r="C90" s="201"/>
      <c r="D90" s="201"/>
      <c r="E90" s="201"/>
      <c r="F90" s="201"/>
      <c r="G90" s="201"/>
      <c r="H90" s="201"/>
      <c r="I90" s="201"/>
      <c r="J90" s="201"/>
    </row>
    <row r="91" spans="2:10" ht="15.75">
      <c r="B91" s="201" t="s">
        <v>152</v>
      </c>
      <c r="C91" s="201"/>
      <c r="D91" s="201"/>
      <c r="E91" s="201"/>
      <c r="F91" s="201"/>
      <c r="G91" s="201"/>
      <c r="H91" s="201"/>
      <c r="I91" s="201"/>
      <c r="J91" s="201"/>
    </row>
    <row r="92" spans="2:10" ht="83.25" customHeight="1">
      <c r="B92" s="236">
        <v>1</v>
      </c>
      <c r="C92" s="210" t="s">
        <v>15</v>
      </c>
      <c r="D92" s="211"/>
      <c r="E92" s="92" t="s">
        <v>144</v>
      </c>
      <c r="F92" s="214" t="str">
        <f>VLOOKUP($J$1,Legger!$A$9:$DS$48,72)</f>
        <v>Memiliki kemampuan mendeskripsikan dan menganalisis berbagai konsep dan prinsip fungsi eksponensial dan logaritma serta menggunakannya dalam menyelesaikan masalah, namun perlu peningkatan menjelaskan dan menentukan fungsi (terutama fungsi linear, fungsi kuadrat, dan fungsi rasional) secara formal yang meliputi notasi, daerah asal, daerah hasil, dan ekspresi simbolik, serta sketsa grafiknya</v>
      </c>
      <c r="G92" s="215"/>
      <c r="H92" s="215"/>
      <c r="I92" s="215"/>
      <c r="J92" s="216"/>
    </row>
    <row r="93" spans="2:10" ht="35.25" customHeight="1">
      <c r="B93" s="237"/>
      <c r="C93" s="212"/>
      <c r="D93" s="213"/>
      <c r="E93" s="92" t="s">
        <v>145</v>
      </c>
      <c r="F93" s="205" t="str">
        <f>VLOOKUP($J$1,Legger!$A$9:$DS$48,75)</f>
        <v>Memiliki keterampilan menyajikan dan  menyelesaikan masalah yang berkaitan dengan fungsi eksponensial dan fungsi logaritma</v>
      </c>
      <c r="G93" s="206"/>
      <c r="H93" s="206"/>
      <c r="I93" s="206"/>
      <c r="J93" s="207"/>
    </row>
    <row r="94" spans="2:10" ht="36" customHeight="1">
      <c r="B94" s="236">
        <v>2</v>
      </c>
      <c r="C94" s="210" t="s">
        <v>22</v>
      </c>
      <c r="D94" s="211"/>
      <c r="E94" s="92" t="s">
        <v>144</v>
      </c>
      <c r="F94" s="205" t="str">
        <f>VLOOKUP($J$1,Legger!$A$9:$DS$48,78)</f>
        <v>Memiliki kemampuan memahami hakikat fisika, namun perlu peningkatan memahami konsep vektor</v>
      </c>
      <c r="G94" s="206"/>
      <c r="H94" s="206"/>
      <c r="I94" s="206"/>
      <c r="J94" s="207"/>
    </row>
    <row r="95" spans="2:10" ht="54" customHeight="1">
      <c r="B95" s="237"/>
      <c r="C95" s="212"/>
      <c r="D95" s="213"/>
      <c r="E95" s="92" t="s">
        <v>145</v>
      </c>
      <c r="F95" s="205" t="str">
        <f>VLOOKUP($J$1,Legger!$A$9:$DS$48,81)</f>
        <v>Memiliki keterampilan menyajikan data dan grafik hasil percobaan gerak benda untuk menyelidiki karakteristik gerak lurus dengan kecepatan konstan (tetap) dan gerak lurus dengan percepatan konstan (tetap) berikut makna fisisnya.</v>
      </c>
      <c r="G95" s="206"/>
      <c r="H95" s="206"/>
      <c r="I95" s="206"/>
      <c r="J95" s="207"/>
    </row>
    <row r="96" spans="2:10" ht="51" customHeight="1">
      <c r="B96" s="236">
        <v>3</v>
      </c>
      <c r="C96" s="210" t="s">
        <v>93</v>
      </c>
      <c r="D96" s="211"/>
      <c r="E96" s="92" t="s">
        <v>144</v>
      </c>
      <c r="F96" s="205" t="str">
        <f>VLOOKUP($J$1,Legger!$A$9:$DS$48,84)</f>
        <v>Memiliki kemampuan menganalisis perkembangan model atom dari model atom Dalton, Thomson, Rutherford, Bohr dan Mekanika Gelombang, namun perlu peningkatan menjelaskan metode ilmiah, hakikat ilmu kimia,K3 di laboratorium serta peran kimia dalam kehidupan</v>
      </c>
      <c r="G96" s="206"/>
      <c r="H96" s="206"/>
      <c r="I96" s="206"/>
      <c r="J96" s="207"/>
    </row>
    <row r="97" spans="2:10" ht="36" customHeight="1">
      <c r="B97" s="237"/>
      <c r="C97" s="212"/>
      <c r="D97" s="213"/>
      <c r="E97" s="92" t="s">
        <v>145</v>
      </c>
      <c r="F97" s="205" t="str">
        <f>VLOOKUP($J$1,Legger!$A$9:$DS$48,87)</f>
        <v>Memiliki keterampilan melakukan analisis perkembangan model atom dan melakukan analisis struktur atom</v>
      </c>
      <c r="G97" s="206"/>
      <c r="H97" s="206"/>
      <c r="I97" s="206"/>
      <c r="J97" s="207"/>
    </row>
    <row r="98" spans="2:10" ht="54" customHeight="1">
      <c r="B98" s="236">
        <v>4</v>
      </c>
      <c r="C98" s="210" t="s">
        <v>24</v>
      </c>
      <c r="D98" s="211"/>
      <c r="E98" s="92" t="s">
        <v>144</v>
      </c>
      <c r="F98" s="205" t="str">
        <f>VLOOKUP($J$1,Legger!$A$9:$DS$48,90)</f>
        <v>Memiliki kemampuan menganalisis struktur, replikasi dan peran virus dalam kehidupan, namun perlu peningkatan menganalisis berbagai tingkat keanekaragaman hayati di Indonesia beserta ancaman dan pelestariannya</v>
      </c>
      <c r="G98" s="206"/>
      <c r="H98" s="206"/>
      <c r="I98" s="206"/>
      <c r="J98" s="207"/>
    </row>
    <row r="99" spans="2:10" ht="35.25" customHeight="1">
      <c r="B99" s="237"/>
      <c r="C99" s="212"/>
      <c r="D99" s="213"/>
      <c r="E99" s="92" t="s">
        <v>145</v>
      </c>
      <c r="F99" s="205" t="str">
        <f>VLOOKUP($J$1,Legger!$A$9:$DS$48,93)</f>
        <v>Memiliki keterampilan menyajikan data hasil penerapan metode ilmiah tentang permasalahan pada berbagai obyek biologi dan tingkat organisasi kehidupan</v>
      </c>
      <c r="G99" s="206"/>
      <c r="H99" s="206"/>
      <c r="I99" s="206"/>
      <c r="J99" s="207"/>
    </row>
    <row r="100" spans="2:10" ht="15.75">
      <c r="B100" s="201" t="s">
        <v>151</v>
      </c>
      <c r="C100" s="201"/>
      <c r="D100" s="201"/>
      <c r="E100" s="201"/>
      <c r="F100" s="201"/>
      <c r="G100" s="201"/>
      <c r="H100" s="201"/>
      <c r="I100" s="201"/>
      <c r="J100" s="201"/>
    </row>
    <row r="101" spans="2:10" ht="15.75">
      <c r="B101" s="201" t="s">
        <v>153</v>
      </c>
      <c r="C101" s="201"/>
      <c r="D101" s="201"/>
      <c r="E101" s="201"/>
      <c r="F101" s="201"/>
      <c r="G101" s="201"/>
      <c r="H101" s="201"/>
      <c r="I101" s="201"/>
      <c r="J101" s="201"/>
    </row>
    <row r="102" spans="2:10" ht="106.5" customHeight="1">
      <c r="B102" s="236">
        <v>1</v>
      </c>
      <c r="C102" s="210" t="s">
        <v>166</v>
      </c>
      <c r="D102" s="211"/>
      <c r="E102" s="92" t="s">
        <v>144</v>
      </c>
      <c r="F102" s="205" t="str">
        <f>VLOOKUP($J$1,Legger!$A$9:$DS$48,96)</f>
        <v>Memiliki kemampuan membedakan fungsi sosial, struktur teks, dan unsur kebahasaan beberapa teks khusus dalam bentuk formulir isian yang digunakan di perusahaan/ bank/instansi lain, dengan memberi dan meminta informasi terkait jati diri dan informasi yang relevan, sesuai dengan konteks penggunaannya, namun perlu peningkatan menerapkan fungsi sosial, struktur teks, dan unsur kebahasaan teks interaksi transaksional lisan dan tulis yang melibatkan tindakan memberi dan meminta informasi terkait hubungan setara antara dua benda/tindakan, sesuai dengan konteks penggunaannya. (Perhatikan unsur kebahasaan both ... and; not only ... but also; either ... or; neither ... nor)</v>
      </c>
      <c r="G102" s="206"/>
      <c r="H102" s="206"/>
      <c r="I102" s="206"/>
      <c r="J102" s="207"/>
    </row>
    <row r="103" spans="2:10" ht="66" customHeight="1">
      <c r="B103" s="237"/>
      <c r="C103" s="212"/>
      <c r="D103" s="213"/>
      <c r="E103" s="92" t="s">
        <v>145</v>
      </c>
      <c r="F103" s="205" t="str">
        <f>VLOOKUP($J$1,Legger!$A$9:$DS$48,99)</f>
        <v>Memiliki keterampilan menangkap makna secara kontekstual terkait fungsi sosial, struktur teks, dan unsur kebahasaan teks khusus dalam bentuk formulir isian yang digunakan di perusahaan/bank/instansi lain, terkait jati diri dan informasi yang relevan</v>
      </c>
      <c r="G103" s="206"/>
      <c r="H103" s="206"/>
      <c r="I103" s="206"/>
      <c r="J103" s="207"/>
    </row>
    <row r="104" spans="2:10" ht="42.75" customHeight="1">
      <c r="B104" s="236">
        <v>2</v>
      </c>
      <c r="C104" s="210" t="s">
        <v>25</v>
      </c>
      <c r="D104" s="211"/>
      <c r="E104" s="92" t="s">
        <v>144</v>
      </c>
      <c r="F104" s="214" t="str">
        <f>VLOOKUP($J$1,Legger!$A$9:$DS$48,102)</f>
        <v>Memiliki kemampuan menganalisis dan mengidentifikasi pembagian isim dari jenisnya, namun perlu peningkatan menganalisis dan mengidentifikasi pembagian kata</v>
      </c>
      <c r="G104" s="215"/>
      <c r="H104" s="215"/>
      <c r="I104" s="215"/>
      <c r="J104" s="216"/>
    </row>
    <row r="105" spans="2:10" ht="31.5" customHeight="1">
      <c r="B105" s="237"/>
      <c r="C105" s="212"/>
      <c r="D105" s="213"/>
      <c r="E105" s="92" t="s">
        <v>145</v>
      </c>
      <c r="F105" s="214" t="str">
        <f>VLOOKUP($J$1,Legger!$A$9:$DS$48,105)</f>
        <v xml:space="preserve">Memiliki keterampilan membuat contoh kalimat dengan memperhatikan unsur kalimat sesuai dengan materi pembagian kata </v>
      </c>
      <c r="G105" s="215"/>
      <c r="H105" s="215"/>
      <c r="I105" s="215"/>
      <c r="J105" s="216"/>
    </row>
    <row r="106" spans="2:10" ht="15.75">
      <c r="B106" s="60" t="s">
        <v>127</v>
      </c>
      <c r="C106" s="61"/>
      <c r="D106" s="60"/>
      <c r="E106" s="80" t="str">
        <f>E3</f>
        <v>: SMA ABBS Surakarta</v>
      </c>
      <c r="F106" s="81"/>
      <c r="G106" s="80"/>
      <c r="H106" s="60" t="s">
        <v>128</v>
      </c>
      <c r="I106" s="80" t="str">
        <f>I3</f>
        <v>: X.MIPA 4</v>
      </c>
      <c r="J106" s="67"/>
    </row>
    <row r="107" spans="2:10" ht="15" customHeight="1">
      <c r="B107" s="60" t="s">
        <v>129</v>
      </c>
      <c r="C107" s="61"/>
      <c r="D107" s="60"/>
      <c r="E107" s="188" t="str">
        <f>E4</f>
        <v>: Jln. Tarumanegara III No 22, Banyuanyar, Banjarsari, Surakarta</v>
      </c>
      <c r="F107" s="188"/>
      <c r="G107" s="188"/>
      <c r="H107" s="82" t="s">
        <v>130</v>
      </c>
      <c r="I107" s="96" t="str">
        <f>I4</f>
        <v>: I (Gasal)</v>
      </c>
      <c r="J107" s="67"/>
    </row>
    <row r="108" spans="2:10" ht="15" customHeight="1">
      <c r="B108" s="60"/>
      <c r="C108" s="61"/>
      <c r="D108" s="60"/>
      <c r="E108" s="188" t="s">
        <v>131</v>
      </c>
      <c r="F108" s="188"/>
      <c r="G108" s="188"/>
      <c r="H108" s="195" t="s">
        <v>132</v>
      </c>
      <c r="I108" s="97" t="str">
        <f>I5</f>
        <v>: 2020/2021</v>
      </c>
      <c r="J108" s="67"/>
    </row>
    <row r="109" spans="2:10" ht="15.75">
      <c r="B109" s="62" t="s">
        <v>133</v>
      </c>
      <c r="C109" s="61"/>
      <c r="D109" s="62"/>
      <c r="E109" s="80" t="str">
        <f>E6</f>
        <v>: Rusianto Munif</v>
      </c>
      <c r="F109" s="81"/>
      <c r="G109" s="83"/>
      <c r="H109" s="195"/>
      <c r="I109" s="67"/>
      <c r="J109" s="67"/>
    </row>
    <row r="110" spans="2:10" s="58" customFormat="1" ht="19.5" customHeight="1">
      <c r="B110" s="63" t="s">
        <v>134</v>
      </c>
      <c r="C110" s="64"/>
      <c r="D110" s="63"/>
      <c r="E110" s="91" t="str">
        <f>E7</f>
        <v>: 2008307 / 0060172183</v>
      </c>
      <c r="F110" s="85"/>
      <c r="G110" s="86"/>
      <c r="H110" s="84"/>
      <c r="I110" s="91"/>
      <c r="J110" s="91"/>
    </row>
    <row r="111" spans="2:10">
      <c r="B111" s="75"/>
      <c r="C111" s="108"/>
      <c r="D111" s="108"/>
      <c r="E111" s="108"/>
      <c r="F111" s="117"/>
      <c r="G111" s="118"/>
      <c r="H111" s="75"/>
      <c r="I111" s="75"/>
      <c r="J111" s="115"/>
    </row>
    <row r="112" spans="2:10" ht="15.75">
      <c r="B112" s="66" t="s">
        <v>167</v>
      </c>
      <c r="C112" s="66" t="s">
        <v>168</v>
      </c>
      <c r="D112" s="67"/>
      <c r="E112" s="67"/>
      <c r="F112" s="67"/>
      <c r="G112" s="67"/>
      <c r="H112" s="67"/>
      <c r="I112" s="67"/>
      <c r="J112" s="67"/>
    </row>
    <row r="113" spans="1:15" ht="33" customHeight="1">
      <c r="B113" s="87" t="s">
        <v>0</v>
      </c>
      <c r="C113" s="241" t="s">
        <v>169</v>
      </c>
      <c r="D113" s="242"/>
      <c r="E113" s="87" t="s">
        <v>139</v>
      </c>
      <c r="F113" s="196" t="s">
        <v>140</v>
      </c>
      <c r="G113" s="196"/>
      <c r="H113" s="196"/>
      <c r="I113" s="196"/>
      <c r="J113" s="196"/>
    </row>
    <row r="114" spans="1:15" ht="31.5" customHeight="1">
      <c r="B114" s="74">
        <v>1</v>
      </c>
      <c r="C114" s="217" t="str">
        <f>VLOOKUP($J$1,Legger!$A$9:$DS$48,106)</f>
        <v>Pramuka</v>
      </c>
      <c r="D114" s="218"/>
      <c r="E114" s="74" t="str">
        <f>VLOOKUP($J$1,Legger!$A$9:$DS$48,107)</f>
        <v>Baik</v>
      </c>
      <c r="F114" s="219" t="str">
        <f>VLOOKUP($J$1,Legger!$A$9:$DS$48,108)</f>
        <v>Peserta didik mampu menjelaskan hal-hal terkait survival dan implementasi Dasa Dharma di alam terbuka.</v>
      </c>
      <c r="G114" s="220"/>
      <c r="H114" s="220"/>
      <c r="I114" s="220"/>
      <c r="J114" s="221"/>
    </row>
    <row r="115" spans="1:15" ht="31.5" customHeight="1">
      <c r="B115" s="74">
        <v>2</v>
      </c>
      <c r="C115" s="217">
        <f>VLOOKUP($J$1,Legger!$A$9:$DS$48,109)</f>
        <v>0</v>
      </c>
      <c r="D115" s="218"/>
      <c r="E115" s="74">
        <f>VLOOKUP($J$1,Legger!$A$9:$DS$48,110)</f>
        <v>0</v>
      </c>
      <c r="F115" s="219">
        <f>VLOOKUP($J$1,Legger!$A$9:$DS$48,111)</f>
        <v>0</v>
      </c>
      <c r="G115" s="220"/>
      <c r="H115" s="220"/>
      <c r="I115" s="220"/>
      <c r="J115" s="221"/>
    </row>
    <row r="116" spans="1:15" ht="31.5" customHeight="1">
      <c r="B116" s="74">
        <v>3</v>
      </c>
      <c r="C116" s="217"/>
      <c r="D116" s="218"/>
      <c r="E116" s="74"/>
      <c r="F116" s="199"/>
      <c r="G116" s="199"/>
      <c r="H116" s="199"/>
      <c r="I116" s="199"/>
      <c r="J116" s="199"/>
    </row>
    <row r="117" spans="1:15" ht="15.75">
      <c r="B117" s="66"/>
      <c r="C117" s="66"/>
      <c r="D117" s="67"/>
      <c r="E117" s="67"/>
      <c r="F117" s="67"/>
      <c r="G117" s="67"/>
      <c r="H117" s="67"/>
      <c r="I117" s="67"/>
      <c r="J117" s="67"/>
    </row>
    <row r="118" spans="1:15" ht="14.25" customHeight="1">
      <c r="A118" s="109"/>
      <c r="B118" s="67"/>
      <c r="C118" s="110"/>
      <c r="D118" s="110"/>
      <c r="E118" s="67"/>
      <c r="F118" s="67"/>
      <c r="G118" s="67"/>
      <c r="H118" s="67"/>
      <c r="I118" s="67"/>
      <c r="J118" s="124"/>
    </row>
    <row r="119" spans="1:15" ht="15" customHeight="1">
      <c r="B119" s="66" t="s">
        <v>170</v>
      </c>
      <c r="C119" s="66" t="s">
        <v>171</v>
      </c>
      <c r="D119" s="67"/>
      <c r="E119" s="67"/>
      <c r="F119" s="67"/>
      <c r="G119" s="67"/>
      <c r="H119" s="67"/>
      <c r="I119" s="67"/>
      <c r="J119" s="110"/>
    </row>
    <row r="120" spans="1:15" ht="15" customHeight="1">
      <c r="B120" s="111" t="s">
        <v>0</v>
      </c>
      <c r="C120" s="189" t="s">
        <v>172</v>
      </c>
      <c r="D120" s="189"/>
      <c r="E120" s="189"/>
      <c r="F120" s="189" t="s">
        <v>173</v>
      </c>
      <c r="G120" s="189"/>
      <c r="H120" s="189"/>
      <c r="I120" s="189"/>
      <c r="J120" s="189"/>
    </row>
    <row r="121" spans="1:15" ht="30" customHeight="1">
      <c r="B121" s="74">
        <v>1</v>
      </c>
      <c r="C121" s="199">
        <f>VLOOKUP($J$1,Legger!$A$9:$DS$48,115)</f>
        <v>0</v>
      </c>
      <c r="D121" s="199"/>
      <c r="E121" s="199"/>
      <c r="F121" s="223">
        <f>VLOOKUP($J$1,Legger!$A$9:$DS$48,119)</f>
        <v>0</v>
      </c>
      <c r="G121" s="223"/>
      <c r="H121" s="223"/>
      <c r="I121" s="223"/>
      <c r="J121" s="223"/>
    </row>
    <row r="122" spans="1:15" ht="30" customHeight="1">
      <c r="B122" s="74">
        <v>2</v>
      </c>
      <c r="C122" s="199">
        <f>VLOOKUP($J$1,Legger!$A$9:$DS$48,116)</f>
        <v>0</v>
      </c>
      <c r="D122" s="199"/>
      <c r="E122" s="199"/>
      <c r="F122" s="223">
        <f>VLOOKUP($J$1,Legger!$A$9:$DS$48,120)</f>
        <v>0</v>
      </c>
      <c r="G122" s="223"/>
      <c r="H122" s="223"/>
      <c r="I122" s="223"/>
      <c r="J122" s="223"/>
    </row>
    <row r="123" spans="1:15" ht="30" customHeight="1">
      <c r="B123" s="74">
        <v>3</v>
      </c>
      <c r="C123" s="199">
        <f>VLOOKUP($J$1,Legger!$A$9:$DS$48,117)</f>
        <v>0</v>
      </c>
      <c r="D123" s="199"/>
      <c r="E123" s="199"/>
      <c r="F123" s="223">
        <f>VLOOKUP($J$1,Legger!$A$9:$DS$48,121)</f>
        <v>0</v>
      </c>
      <c r="G123" s="223"/>
      <c r="H123" s="223"/>
      <c r="I123" s="223"/>
      <c r="J123" s="223"/>
    </row>
    <row r="124" spans="1:15" ht="30" customHeight="1">
      <c r="B124" s="74">
        <v>4</v>
      </c>
      <c r="C124" s="199">
        <f>VLOOKUP($J$1,Legger!$A$9:$DS$48,118)</f>
        <v>0</v>
      </c>
      <c r="D124" s="199"/>
      <c r="E124" s="199"/>
      <c r="F124" s="223">
        <f>VLOOKUP($J$1,Legger!$A$9:$DS$48,122)</f>
        <v>0</v>
      </c>
      <c r="G124" s="223"/>
      <c r="H124" s="223"/>
      <c r="I124" s="223"/>
      <c r="J124" s="223"/>
    </row>
    <row r="125" spans="1:15">
      <c r="B125" s="67"/>
      <c r="C125" s="67"/>
      <c r="D125" s="67"/>
      <c r="E125" s="67"/>
      <c r="F125" s="67"/>
      <c r="G125" s="67"/>
      <c r="H125" s="67"/>
      <c r="I125" s="67"/>
      <c r="J125" s="67"/>
    </row>
    <row r="126" spans="1:15" ht="14.25" customHeight="1">
      <c r="B126" s="66" t="s">
        <v>174</v>
      </c>
      <c r="C126" s="66" t="s">
        <v>175</v>
      </c>
      <c r="D126" s="67"/>
      <c r="E126" s="117"/>
      <c r="F126" s="117"/>
      <c r="G126" s="117"/>
      <c r="H126" s="67"/>
      <c r="I126" s="67"/>
      <c r="J126" s="67"/>
      <c r="K126" s="94"/>
      <c r="L126" s="246"/>
      <c r="M126" s="246"/>
      <c r="N126" s="246"/>
      <c r="O126" s="246"/>
    </row>
    <row r="127" spans="1:15" ht="30" customHeight="1">
      <c r="B127" s="224" t="s">
        <v>176</v>
      </c>
      <c r="C127" s="224"/>
      <c r="D127" s="224"/>
      <c r="E127" s="119" t="str">
        <f>IF(VLOOKUP($J$1,Legger!$A$9:$DS$48,112)=0,"-",VLOOKUP($J$1,Legger!$A$9:$DS$48,112))</f>
        <v>-</v>
      </c>
      <c r="F127" s="120" t="s">
        <v>177</v>
      </c>
      <c r="G127" s="121"/>
      <c r="H127" s="67"/>
      <c r="I127" s="67"/>
      <c r="J127" s="67"/>
      <c r="K127" s="94"/>
      <c r="L127" s="246"/>
      <c r="M127" s="246"/>
      <c r="N127" s="246"/>
      <c r="O127" s="246"/>
    </row>
    <row r="128" spans="1:15" ht="30" customHeight="1">
      <c r="B128" s="224" t="s">
        <v>178</v>
      </c>
      <c r="C128" s="224"/>
      <c r="D128" s="224"/>
      <c r="E128" s="119" t="str">
        <f>IF(VLOOKUP($J$1,Legger!$A$9:$DS$48,113)=0,"-",VLOOKUP($J$1,Legger!$A$9:$DS$48,113))</f>
        <v>-</v>
      </c>
      <c r="F128" s="120" t="s">
        <v>177</v>
      </c>
      <c r="G128" s="121"/>
      <c r="H128" s="67"/>
      <c r="I128" s="67"/>
      <c r="J128" s="67"/>
      <c r="K128" s="125"/>
      <c r="L128" s="98"/>
      <c r="M128" s="98"/>
      <c r="N128" s="126"/>
    </row>
    <row r="129" spans="2:14" ht="30" customHeight="1">
      <c r="B129" s="92" t="s">
        <v>179</v>
      </c>
      <c r="C129" s="92"/>
      <c r="D129" s="92"/>
      <c r="E129" s="119" t="str">
        <f>IF(VLOOKUP($J$1,Legger!$A$9:$DS$48,114)=0,"-",VLOOKUP($J$1,Legger!$A$9:$DS$48,114))</f>
        <v>-</v>
      </c>
      <c r="F129" s="120" t="s">
        <v>177</v>
      </c>
      <c r="G129" s="121"/>
      <c r="H129" s="67"/>
      <c r="I129" s="67"/>
      <c r="J129" s="67"/>
      <c r="K129" s="125"/>
      <c r="L129" s="98"/>
      <c r="M129" s="98"/>
      <c r="N129" s="126"/>
    </row>
    <row r="130" spans="2:14">
      <c r="B130" s="115"/>
      <c r="C130" s="115"/>
      <c r="D130" s="115"/>
      <c r="E130" s="75"/>
      <c r="F130" s="75"/>
      <c r="G130" s="115"/>
      <c r="H130" s="67"/>
      <c r="I130" s="67"/>
      <c r="J130" s="67"/>
    </row>
    <row r="131" spans="2:14" ht="15.75">
      <c r="B131" s="66" t="s">
        <v>180</v>
      </c>
      <c r="C131" s="66" t="s">
        <v>181</v>
      </c>
      <c r="D131" s="62"/>
      <c r="E131" s="80"/>
      <c r="F131" s="81"/>
      <c r="G131" s="83"/>
      <c r="H131" s="80"/>
      <c r="I131" s="80"/>
      <c r="J131" s="80"/>
    </row>
    <row r="132" spans="2:14" ht="61.5" customHeight="1">
      <c r="B132" s="225" t="str">
        <f>VLOOKUP($J$1,Legger!$A$9:$DS$48,123)</f>
        <v>Peserta didik sudah menunjukkan sikap mengamalkan ajaran agamanya, konsisten menerapkan sikap santun, jujur, dan mandiri. Tingkatkan rasa ingin tahu dan sikap baik di dalam maupun di luar pembelajaran.</v>
      </c>
      <c r="C132" s="226"/>
      <c r="D132" s="226"/>
      <c r="E132" s="226"/>
      <c r="F132" s="226"/>
      <c r="G132" s="226"/>
      <c r="H132" s="226"/>
      <c r="I132" s="226"/>
      <c r="J132" s="227"/>
    </row>
    <row r="133" spans="2:14" ht="15.75">
      <c r="B133" s="62"/>
      <c r="C133" s="61"/>
      <c r="D133" s="62"/>
      <c r="E133" s="80"/>
      <c r="F133" s="81"/>
      <c r="G133" s="83"/>
      <c r="H133" s="80"/>
      <c r="I133" s="80"/>
      <c r="J133" s="80"/>
    </row>
    <row r="134" spans="2:14" ht="15.75">
      <c r="B134" s="66" t="s">
        <v>182</v>
      </c>
      <c r="C134" s="66" t="s">
        <v>183</v>
      </c>
      <c r="D134" s="62"/>
      <c r="E134" s="80"/>
      <c r="F134" s="81"/>
      <c r="G134" s="83"/>
      <c r="H134" s="80"/>
      <c r="I134" s="80"/>
      <c r="J134" s="80"/>
    </row>
    <row r="135" spans="2:14" ht="61.5" customHeight="1">
      <c r="B135" s="228"/>
      <c r="C135" s="229"/>
      <c r="D135" s="229"/>
      <c r="E135" s="229"/>
      <c r="F135" s="229"/>
      <c r="G135" s="229"/>
      <c r="H135" s="229"/>
      <c r="I135" s="229"/>
      <c r="J135" s="230"/>
      <c r="K135" s="125"/>
      <c r="L135" s="98"/>
      <c r="M135" s="98"/>
      <c r="N135" s="126"/>
    </row>
    <row r="136" spans="2:14" ht="15.75">
      <c r="B136" s="62"/>
      <c r="C136" s="61"/>
      <c r="D136" s="62"/>
      <c r="E136" s="80"/>
      <c r="F136" s="81"/>
      <c r="G136" s="83"/>
      <c r="H136" s="80"/>
      <c r="I136" s="80"/>
      <c r="J136" s="80"/>
      <c r="K136" s="125"/>
      <c r="L136" s="98"/>
      <c r="M136" s="98"/>
      <c r="N136" s="126"/>
    </row>
    <row r="137" spans="2:14" ht="37.5" customHeight="1">
      <c r="B137" s="231"/>
      <c r="C137" s="232"/>
      <c r="D137" s="232"/>
      <c r="E137" s="232"/>
      <c r="F137" s="233"/>
      <c r="G137" s="233"/>
      <c r="H137" s="233"/>
      <c r="I137" s="233"/>
      <c r="J137" s="234"/>
      <c r="K137" s="125"/>
      <c r="L137" s="98"/>
      <c r="M137" s="98"/>
      <c r="N137" s="126"/>
    </row>
    <row r="138" spans="2:14" ht="15.75" customHeight="1">
      <c r="B138" s="62"/>
      <c r="C138" s="61"/>
      <c r="D138" s="62"/>
      <c r="E138" s="80"/>
      <c r="F138" s="81"/>
      <c r="G138" s="83"/>
      <c r="H138" s="80"/>
      <c r="I138" s="80"/>
      <c r="J138" s="80"/>
      <c r="K138" s="125"/>
      <c r="L138" s="98"/>
      <c r="M138" s="98"/>
      <c r="N138" s="126"/>
    </row>
    <row r="139" spans="2:14" ht="15.75" customHeight="1">
      <c r="B139" s="62"/>
      <c r="C139" s="235"/>
      <c r="D139" s="235"/>
      <c r="E139" s="235"/>
      <c r="F139" s="235"/>
      <c r="G139" s="67"/>
      <c r="H139" s="235" t="str">
        <f>"Surakarta, "&amp;Setting!E16&amp;""</f>
        <v>Surakarta, 19 Desember 2020</v>
      </c>
      <c r="I139" s="235"/>
      <c r="J139" s="235"/>
      <c r="K139" s="125"/>
      <c r="L139" s="98"/>
      <c r="M139" s="98"/>
      <c r="N139" s="126"/>
    </row>
    <row r="140" spans="2:14" ht="15.75">
      <c r="B140" s="61"/>
      <c r="C140" s="235" t="s">
        <v>184</v>
      </c>
      <c r="D140" s="235"/>
      <c r="E140" s="235"/>
      <c r="F140" s="235"/>
      <c r="G140" s="67"/>
      <c r="H140" s="235" t="s">
        <v>185</v>
      </c>
      <c r="I140" s="235"/>
      <c r="J140" s="235"/>
      <c r="K140" s="125"/>
      <c r="L140" s="98"/>
      <c r="M140" s="98"/>
      <c r="N140" s="126"/>
    </row>
    <row r="141" spans="2:14" ht="39.950000000000003" customHeight="1">
      <c r="B141" s="67"/>
      <c r="C141" s="235"/>
      <c r="D141" s="235"/>
      <c r="E141" s="235"/>
      <c r="F141" s="235"/>
      <c r="G141" s="67"/>
      <c r="H141" s="238"/>
      <c r="I141" s="238"/>
      <c r="J141" s="238"/>
      <c r="K141" s="125"/>
      <c r="L141" s="98"/>
      <c r="M141" s="98"/>
      <c r="N141" s="126"/>
    </row>
    <row r="142" spans="2:14" ht="15.75" customHeight="1">
      <c r="B142" s="67"/>
      <c r="C142" s="235" t="s">
        <v>186</v>
      </c>
      <c r="D142" s="235"/>
      <c r="E142" s="235"/>
      <c r="F142" s="235"/>
      <c r="G142" s="67"/>
      <c r="H142" s="239" t="str">
        <f>Setting!E12</f>
        <v>Alfi Suryani Yusuf, S.Pd.</v>
      </c>
      <c r="I142" s="239"/>
      <c r="J142" s="239"/>
      <c r="K142" s="125"/>
      <c r="L142" s="98"/>
      <c r="M142" s="98"/>
      <c r="N142" s="126"/>
    </row>
    <row r="143" spans="2:14" ht="15.75" customHeight="1">
      <c r="B143" s="117"/>
      <c r="C143" s="117"/>
      <c r="D143" s="117"/>
      <c r="E143" s="117"/>
      <c r="F143" s="117"/>
      <c r="G143" s="117"/>
      <c r="H143" s="240" t="str">
        <f>"NIK. "&amp;Setting!E13&amp;""</f>
        <v>NIK. 2020 04 3 481</v>
      </c>
      <c r="I143" s="240"/>
      <c r="J143" s="240"/>
      <c r="K143" s="125"/>
      <c r="L143" s="98"/>
      <c r="M143" s="98"/>
      <c r="N143" s="126"/>
    </row>
    <row r="144" spans="2:14" ht="16.5" customHeight="1">
      <c r="B144" s="106"/>
      <c r="C144" s="256"/>
      <c r="D144" s="256"/>
      <c r="E144" s="256"/>
      <c r="F144" s="106"/>
      <c r="G144" s="106"/>
      <c r="H144" s="106"/>
      <c r="I144" s="117"/>
      <c r="J144" s="117"/>
    </row>
    <row r="145" spans="2:34" ht="15.75">
      <c r="B145" s="105"/>
      <c r="C145" s="222"/>
      <c r="D145" s="222"/>
      <c r="E145" s="222"/>
      <c r="F145" s="127"/>
      <c r="G145" s="127"/>
      <c r="H145" s="127"/>
      <c r="I145" s="127"/>
      <c r="J145" s="127"/>
    </row>
    <row r="146" spans="2:34" ht="15.75">
      <c r="B146" s="105"/>
      <c r="C146" s="117"/>
      <c r="D146" s="127"/>
      <c r="E146" s="127"/>
      <c r="F146" s="253" t="s">
        <v>187</v>
      </c>
      <c r="G146" s="253"/>
      <c r="H146" s="253"/>
      <c r="I146" s="127"/>
      <c r="J146" s="127"/>
    </row>
    <row r="147" spans="2:34" ht="39.950000000000003" customHeight="1">
      <c r="B147" s="117"/>
      <c r="C147" s="117"/>
      <c r="D147" s="75"/>
      <c r="E147" s="117"/>
      <c r="F147" s="254"/>
      <c r="G147" s="254"/>
      <c r="H147" s="254"/>
      <c r="I147" s="117"/>
      <c r="J147" s="117"/>
    </row>
    <row r="148" spans="2:34" ht="15.75">
      <c r="B148" s="107"/>
      <c r="C148" s="117"/>
      <c r="D148" s="128"/>
      <c r="E148" s="128"/>
      <c r="F148" s="255" t="str">
        <f>Setting!E9</f>
        <v>Anna Rafaidah, S.Pd.</v>
      </c>
      <c r="G148" s="255"/>
      <c r="H148" s="255"/>
      <c r="I148" s="128"/>
      <c r="J148" s="128"/>
    </row>
    <row r="149" spans="2:34">
      <c r="B149" s="106"/>
      <c r="C149" s="117"/>
      <c r="D149" s="127"/>
      <c r="E149" s="127"/>
      <c r="F149" s="253" t="str">
        <f>"NIK. "&amp;Setting!E10&amp;""</f>
        <v>NIK. 2014  09 2 095</v>
      </c>
      <c r="G149" s="253"/>
      <c r="H149" s="253"/>
      <c r="I149" s="127"/>
      <c r="J149" s="127"/>
      <c r="AA149" s="247"/>
      <c r="AB149" s="248"/>
      <c r="AC149" s="248"/>
      <c r="AD149" s="248"/>
      <c r="AE149" s="248"/>
      <c r="AF149" s="248"/>
      <c r="AG149" s="248"/>
      <c r="AH149" s="249"/>
    </row>
    <row r="150" spans="2:34">
      <c r="F150" s="129"/>
      <c r="G150" s="129"/>
      <c r="H150" s="129"/>
      <c r="I150" s="129"/>
      <c r="J150" s="129"/>
      <c r="AA150" s="250"/>
      <c r="AB150" s="251"/>
      <c r="AC150" s="251"/>
      <c r="AD150" s="251"/>
      <c r="AE150" s="251"/>
      <c r="AF150" s="251"/>
      <c r="AG150" s="251"/>
      <c r="AH150" s="252"/>
    </row>
    <row r="151" spans="2:34" ht="42.75" customHeight="1"/>
    <row r="153" spans="2:34" ht="15" customHeight="1"/>
  </sheetData>
  <sheetProtection selectLockedCells="1"/>
  <mergeCells count="174">
    <mergeCell ref="L126:O127"/>
    <mergeCell ref="AA149:AH150"/>
    <mergeCell ref="F57:J58"/>
    <mergeCell ref="C83:D84"/>
    <mergeCell ref="F83:J84"/>
    <mergeCell ref="C73:D74"/>
    <mergeCell ref="C75:D76"/>
    <mergeCell ref="C86:D87"/>
    <mergeCell ref="C66:D67"/>
    <mergeCell ref="C68:D69"/>
    <mergeCell ref="C94:D95"/>
    <mergeCell ref="C64:D65"/>
    <mergeCell ref="C88:D89"/>
    <mergeCell ref="C70:D71"/>
    <mergeCell ref="C102:D103"/>
    <mergeCell ref="C104:D105"/>
    <mergeCell ref="C96:D97"/>
    <mergeCell ref="C98:D99"/>
    <mergeCell ref="C92:D93"/>
    <mergeCell ref="F146:H146"/>
    <mergeCell ref="F147:H147"/>
    <mergeCell ref="F148:H148"/>
    <mergeCell ref="F149:H149"/>
    <mergeCell ref="C144:E144"/>
    <mergeCell ref="C49:D49"/>
    <mergeCell ref="F49:G49"/>
    <mergeCell ref="I49:J49"/>
    <mergeCell ref="E51:G51"/>
    <mergeCell ref="E52:G52"/>
    <mergeCell ref="B59:J59"/>
    <mergeCell ref="F60:J60"/>
    <mergeCell ref="F61:J61"/>
    <mergeCell ref="F62:J62"/>
    <mergeCell ref="H52:H53"/>
    <mergeCell ref="C57:D58"/>
    <mergeCell ref="C60:D61"/>
    <mergeCell ref="B57:B58"/>
    <mergeCell ref="B60:B61"/>
    <mergeCell ref="B62:B63"/>
    <mergeCell ref="B64:B65"/>
    <mergeCell ref="B66:B67"/>
    <mergeCell ref="B68:B69"/>
    <mergeCell ref="B70:B71"/>
    <mergeCell ref="B73:B74"/>
    <mergeCell ref="B72:J72"/>
    <mergeCell ref="F73:J73"/>
    <mergeCell ref="F74:J74"/>
    <mergeCell ref="E57:E58"/>
    <mergeCell ref="C140:F140"/>
    <mergeCell ref="H140:J140"/>
    <mergeCell ref="C141:F141"/>
    <mergeCell ref="H141:J141"/>
    <mergeCell ref="C142:F142"/>
    <mergeCell ref="H142:J142"/>
    <mergeCell ref="H143:J143"/>
    <mergeCell ref="C116:D116"/>
    <mergeCell ref="F116:J116"/>
    <mergeCell ref="C120:E120"/>
    <mergeCell ref="F120:J120"/>
    <mergeCell ref="C121:E121"/>
    <mergeCell ref="F121:J121"/>
    <mergeCell ref="C122:E122"/>
    <mergeCell ref="F122:J122"/>
    <mergeCell ref="C123:E123"/>
    <mergeCell ref="F123:J123"/>
    <mergeCell ref="F105:J105"/>
    <mergeCell ref="E107:G107"/>
    <mergeCell ref="E108:G108"/>
    <mergeCell ref="C113:D113"/>
    <mergeCell ref="F113:J113"/>
    <mergeCell ref="C145:E145"/>
    <mergeCell ref="C124:E124"/>
    <mergeCell ref="F124:J124"/>
    <mergeCell ref="B127:D127"/>
    <mergeCell ref="B128:D128"/>
    <mergeCell ref="B132:J132"/>
    <mergeCell ref="B135:J135"/>
    <mergeCell ref="B137:E137"/>
    <mergeCell ref="F137:J137"/>
    <mergeCell ref="C139:F139"/>
    <mergeCell ref="H139:J139"/>
    <mergeCell ref="C114:D114"/>
    <mergeCell ref="F114:J114"/>
    <mergeCell ref="C115:D115"/>
    <mergeCell ref="F115:J115"/>
    <mergeCell ref="H108:H109"/>
    <mergeCell ref="F96:J96"/>
    <mergeCell ref="F97:J97"/>
    <mergeCell ref="F98:J98"/>
    <mergeCell ref="F99:J99"/>
    <mergeCell ref="B100:J100"/>
    <mergeCell ref="B101:J101"/>
    <mergeCell ref="F102:J102"/>
    <mergeCell ref="F103:J103"/>
    <mergeCell ref="F104:J104"/>
    <mergeCell ref="B104:B105"/>
    <mergeCell ref="B96:B97"/>
    <mergeCell ref="B98:B99"/>
    <mergeCell ref="B102:B103"/>
    <mergeCell ref="F87:J87"/>
    <mergeCell ref="F88:J88"/>
    <mergeCell ref="F89:J89"/>
    <mergeCell ref="B90:J90"/>
    <mergeCell ref="B91:J91"/>
    <mergeCell ref="F92:J92"/>
    <mergeCell ref="F93:J93"/>
    <mergeCell ref="F94:J94"/>
    <mergeCell ref="F95:J95"/>
    <mergeCell ref="B86:B87"/>
    <mergeCell ref="B88:B89"/>
    <mergeCell ref="B92:B93"/>
    <mergeCell ref="B94:B95"/>
    <mergeCell ref="F75:J75"/>
    <mergeCell ref="F76:J76"/>
    <mergeCell ref="E78:G78"/>
    <mergeCell ref="E79:G79"/>
    <mergeCell ref="B85:J85"/>
    <mergeCell ref="F86:J86"/>
    <mergeCell ref="E83:E84"/>
    <mergeCell ref="H79:H80"/>
    <mergeCell ref="F63:J63"/>
    <mergeCell ref="F64:J64"/>
    <mergeCell ref="F65:J65"/>
    <mergeCell ref="F66:J66"/>
    <mergeCell ref="F67:J67"/>
    <mergeCell ref="F68:J68"/>
    <mergeCell ref="F69:J69"/>
    <mergeCell ref="F70:J70"/>
    <mergeCell ref="F71:J71"/>
    <mergeCell ref="C62:D63"/>
    <mergeCell ref="B75:B76"/>
    <mergeCell ref="B83:B84"/>
    <mergeCell ref="C39:E39"/>
    <mergeCell ref="C40:E40"/>
    <mergeCell ref="B41:J41"/>
    <mergeCell ref="B42:J42"/>
    <mergeCell ref="C43:E43"/>
    <mergeCell ref="C44:E44"/>
    <mergeCell ref="E47:J47"/>
    <mergeCell ref="F48:G48"/>
    <mergeCell ref="I48:J48"/>
    <mergeCell ref="C47:D48"/>
    <mergeCell ref="B30:J30"/>
    <mergeCell ref="C31:E31"/>
    <mergeCell ref="C32:E32"/>
    <mergeCell ref="C33:E33"/>
    <mergeCell ref="C34:E34"/>
    <mergeCell ref="B35:J35"/>
    <mergeCell ref="B36:J36"/>
    <mergeCell ref="C37:E37"/>
    <mergeCell ref="C38:E38"/>
    <mergeCell ref="G21:H21"/>
    <mergeCell ref="I21:J21"/>
    <mergeCell ref="B23:J23"/>
    <mergeCell ref="C24:E24"/>
    <mergeCell ref="C25:E25"/>
    <mergeCell ref="C26:E26"/>
    <mergeCell ref="C27:E27"/>
    <mergeCell ref="C28:E28"/>
    <mergeCell ref="C29:E29"/>
    <mergeCell ref="F21:F22"/>
    <mergeCell ref="C21:E22"/>
    <mergeCell ref="B21:B22"/>
    <mergeCell ref="E4:G4"/>
    <mergeCell ref="E5:G5"/>
    <mergeCell ref="B13:D13"/>
    <mergeCell ref="E13:J13"/>
    <mergeCell ref="B14:D14"/>
    <mergeCell ref="E14:J14"/>
    <mergeCell ref="B17:D17"/>
    <mergeCell ref="E17:J17"/>
    <mergeCell ref="B18:D18"/>
    <mergeCell ref="E18:J18"/>
    <mergeCell ref="H5:H6"/>
  </mergeCells>
  <conditionalFormatting sqref="B14:J14">
    <cfRule type="cellIs" dxfId="24" priority="5" operator="equal">
      <formula>0</formula>
    </cfRule>
  </conditionalFormatting>
  <conditionalFormatting sqref="B18:D18">
    <cfRule type="cellIs" dxfId="23" priority="4" operator="equal">
      <formula>0</formula>
    </cfRule>
  </conditionalFormatting>
  <conditionalFormatting sqref="E18:J18">
    <cfRule type="cellIs" dxfId="22" priority="3" operator="equal">
      <formula>0</formula>
    </cfRule>
  </conditionalFormatting>
  <conditionalFormatting sqref="C114">
    <cfRule type="cellIs" dxfId="21" priority="19" operator="equal">
      <formula>0</formula>
    </cfRule>
    <cfRule type="cellIs" dxfId="20" priority="18" operator="equal">
      <formula>0</formula>
    </cfRule>
  </conditionalFormatting>
  <conditionalFormatting sqref="C115">
    <cfRule type="cellIs" dxfId="19" priority="2" operator="equal">
      <formula>0</formula>
    </cfRule>
    <cfRule type="cellIs" dxfId="18" priority="1" operator="equal">
      <formula>0</formula>
    </cfRule>
  </conditionalFormatting>
  <conditionalFormatting sqref="C116">
    <cfRule type="cellIs" dxfId="17" priority="17" operator="equal">
      <formula>0</formula>
    </cfRule>
    <cfRule type="cellIs" dxfId="16" priority="16" operator="equal">
      <formula>0</formula>
    </cfRule>
  </conditionalFormatting>
  <conditionalFormatting sqref="C121:C124">
    <cfRule type="cellIs" dxfId="15" priority="21" operator="equal">
      <formula>0</formula>
    </cfRule>
  </conditionalFormatting>
  <conditionalFormatting sqref="F121:F124">
    <cfRule type="cellIs" dxfId="14" priority="20" operator="equal">
      <formula>0</formula>
    </cfRule>
  </conditionalFormatting>
  <conditionalFormatting sqref="G24:J29">
    <cfRule type="cellIs" dxfId="13" priority="6" operator="equal">
      <formula>0</formula>
    </cfRule>
  </conditionalFormatting>
  <conditionalFormatting sqref="G31:J34">
    <cfRule type="cellIs" dxfId="12" priority="7" operator="equal">
      <formula>0</formula>
    </cfRule>
  </conditionalFormatting>
  <conditionalFormatting sqref="G37:J40">
    <cfRule type="cellIs" dxfId="11" priority="8" operator="equal">
      <formula>0</formula>
    </cfRule>
  </conditionalFormatting>
  <conditionalFormatting sqref="G43:J46">
    <cfRule type="cellIs" dxfId="10" priority="9" operator="equal">
      <formula>0</formula>
    </cfRule>
  </conditionalFormatting>
  <conditionalFormatting sqref="F60:J71">
    <cfRule type="cellIs" dxfId="9" priority="10" operator="equal">
      <formula>0</formula>
    </cfRule>
  </conditionalFormatting>
  <conditionalFormatting sqref="F73:J76">
    <cfRule type="cellIs" dxfId="8" priority="11" operator="equal">
      <formula>0</formula>
    </cfRule>
  </conditionalFormatting>
  <conditionalFormatting sqref="F86:J89">
    <cfRule type="cellIs" dxfId="7" priority="12" operator="equal">
      <formula>0</formula>
    </cfRule>
  </conditionalFormatting>
  <conditionalFormatting sqref="F92:J99">
    <cfRule type="cellIs" dxfId="6" priority="13" operator="equal">
      <formula>0</formula>
    </cfRule>
  </conditionalFormatting>
  <conditionalFormatting sqref="F102:J105">
    <cfRule type="cellIs" dxfId="5" priority="14" operator="equal">
      <formula>0</formula>
    </cfRule>
  </conditionalFormatting>
  <conditionalFormatting sqref="E114:J116">
    <cfRule type="cellIs" dxfId="4" priority="15" operator="equal">
      <formula>0</formula>
    </cfRule>
  </conditionalFormatting>
  <printOptions horizontalCentered="1"/>
  <pageMargins left="0.23622047244094499" right="0.23622047244094499" top="0.511811023622047" bottom="0.23622047244094499" header="0.31496062992126" footer="0.118110236220472"/>
  <pageSetup paperSize="9" scale="76" orientation="portrait" r:id="rId1"/>
  <rowBreaks count="3" manualBreakCount="3">
    <brk id="49" max="13" man="1"/>
    <brk id="76" max="9" man="1"/>
    <brk id="105" max="13" man="1"/>
  </rowBreaks>
  <drawing r:id="rId2"/>
  <legacyDrawing r:id="rId3"/>
  <mc:AlternateContent xmlns:mc="http://schemas.openxmlformats.org/markup-compatibility/2006">
    <mc:Choice Requires="x14">
      <controls>
        <mc:AlternateContent xmlns:mc="http://schemas.openxmlformats.org/markup-compatibility/2006">
          <mc:Choice Requires="x14">
            <control shapeId="5121" r:id="rId4" name="Drop Down 1">
              <controlPr defaultSize="0" print="0" autoPict="0">
                <anchor moveWithCells="1">
                  <from>
                    <xdr:col>6</xdr:col>
                    <xdr:colOff>485775</xdr:colOff>
                    <xdr:row>0</xdr:row>
                    <xdr:rowOff>266700</xdr:rowOff>
                  </from>
                  <to>
                    <xdr:col>8</xdr:col>
                    <xdr:colOff>733425</xdr:colOff>
                    <xdr:row>0</xdr:row>
                    <xdr:rowOff>590550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49"/>
  <sheetViews>
    <sheetView zoomScale="60" zoomScaleNormal="60" workbookViewId="0">
      <pane xSplit="5" ySplit="8" topLeftCell="BD9" activePane="bottomRight" state="frozenSplit"/>
      <selection pane="topRight"/>
      <selection pane="bottomLeft"/>
      <selection pane="bottomRight" activeCell="CP23" sqref="CP23"/>
    </sheetView>
  </sheetViews>
  <sheetFormatPr defaultColWidth="9.140625" defaultRowHeight="15"/>
  <cols>
    <col min="1" max="1" width="18" style="14" customWidth="1"/>
    <col min="2" max="2" width="34.5703125" customWidth="1"/>
    <col min="3" max="3" width="9.140625" style="4" customWidth="1"/>
    <col min="4" max="4" width="23.7109375" style="4" customWidth="1"/>
    <col min="5" max="5" width="25.5703125" customWidth="1"/>
    <col min="6" max="9" width="14.140625" customWidth="1"/>
    <col min="10" max="105" width="8.5703125" customWidth="1"/>
    <col min="106" max="107" width="9.7109375" customWidth="1"/>
    <col min="108" max="108" width="12.28515625" customWidth="1"/>
    <col min="109" max="110" width="9.7109375" customWidth="1"/>
    <col min="111" max="111" width="12.28515625" customWidth="1"/>
    <col min="112" max="122" width="9.7109375" customWidth="1"/>
    <col min="123" max="123" width="23.85546875" customWidth="1"/>
  </cols>
  <sheetData>
    <row r="1" spans="1:123" ht="99" customHeight="1">
      <c r="A1"/>
    </row>
    <row r="2" spans="1:123" ht="26.25">
      <c r="A2"/>
      <c r="B2" s="5" t="str">
        <f>"Legger Rapor "&amp;Setting!E5&amp;" Semester "&amp;Setting!E15&amp;" "&amp;Home!K19&amp;" Kelas "&amp;Setting!E11&amp;""</f>
        <v>Legger Rapor SMA ABBS Surakarta Semester I  Kelas X.MIPA 4</v>
      </c>
    </row>
    <row r="4" spans="1:123" s="13" customFormat="1" ht="15" customHeight="1">
      <c r="A4" s="169" t="s">
        <v>0</v>
      </c>
      <c r="B4" s="171" t="s">
        <v>1</v>
      </c>
      <c r="C4" s="171" t="s">
        <v>2</v>
      </c>
      <c r="D4" s="171" t="s">
        <v>3</v>
      </c>
      <c r="E4" s="171" t="s">
        <v>4</v>
      </c>
      <c r="F4" s="279" t="s">
        <v>188</v>
      </c>
      <c r="G4" s="279"/>
      <c r="H4" s="279"/>
      <c r="I4" s="279"/>
      <c r="J4" s="257" t="s">
        <v>6</v>
      </c>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257"/>
      <c r="AK4" s="257"/>
      <c r="AL4" s="257"/>
      <c r="AM4" s="257"/>
      <c r="AN4" s="257"/>
      <c r="AO4" s="257"/>
      <c r="AP4" s="257"/>
      <c r="AQ4" s="257"/>
      <c r="AR4" s="257"/>
      <c r="AS4" s="257"/>
      <c r="AT4" s="258" t="s">
        <v>7</v>
      </c>
      <c r="AU4" s="258"/>
      <c r="AV4" s="258"/>
      <c r="AW4" s="258"/>
      <c r="AX4" s="258"/>
      <c r="AY4" s="258"/>
      <c r="AZ4" s="258"/>
      <c r="BA4" s="258"/>
      <c r="BB4" s="258"/>
      <c r="BC4" s="258"/>
      <c r="BD4" s="258"/>
      <c r="BE4" s="258"/>
      <c r="BF4" s="258"/>
      <c r="BG4" s="258"/>
      <c r="BH4" s="258"/>
      <c r="BI4" s="258"/>
      <c r="BJ4" s="258"/>
      <c r="BK4" s="258"/>
      <c r="BL4" s="258"/>
      <c r="BM4" s="258"/>
      <c r="BN4" s="258"/>
      <c r="BO4" s="258"/>
      <c r="BP4" s="258"/>
      <c r="BQ4" s="258"/>
      <c r="BR4" s="259" t="s">
        <v>8</v>
      </c>
      <c r="BS4" s="257"/>
      <c r="BT4" s="257"/>
      <c r="BU4" s="257"/>
      <c r="BV4" s="257"/>
      <c r="BW4" s="257"/>
      <c r="BX4" s="257"/>
      <c r="BY4" s="257"/>
      <c r="BZ4" s="257"/>
      <c r="CA4" s="257"/>
      <c r="CB4" s="257"/>
      <c r="CC4" s="257"/>
      <c r="CD4" s="257"/>
      <c r="CE4" s="257"/>
      <c r="CF4" s="257"/>
      <c r="CG4" s="257"/>
      <c r="CH4" s="257"/>
      <c r="CI4" s="257"/>
      <c r="CJ4" s="257"/>
      <c r="CK4" s="257"/>
      <c r="CL4" s="257"/>
      <c r="CM4" s="257"/>
      <c r="CN4" s="257"/>
      <c r="CO4" s="257"/>
      <c r="CP4" s="260" t="s">
        <v>9</v>
      </c>
      <c r="CQ4" s="260"/>
      <c r="CR4" s="260"/>
      <c r="CS4" s="260"/>
      <c r="CT4" s="260"/>
      <c r="CU4" s="260"/>
      <c r="CV4" s="260"/>
      <c r="CW4" s="260"/>
      <c r="CX4" s="260"/>
      <c r="CY4" s="260"/>
      <c r="CZ4" s="260"/>
      <c r="DA4" s="260"/>
      <c r="DB4" s="281" t="s">
        <v>168</v>
      </c>
      <c r="DC4" s="282"/>
      <c r="DD4" s="282"/>
      <c r="DE4" s="282"/>
      <c r="DF4" s="282"/>
      <c r="DG4" s="282"/>
      <c r="DH4" s="280" t="s">
        <v>175</v>
      </c>
      <c r="DI4" s="280"/>
      <c r="DJ4" s="280"/>
      <c r="DK4" s="281" t="s">
        <v>189</v>
      </c>
      <c r="DL4" s="282"/>
      <c r="DM4" s="282"/>
      <c r="DN4" s="282"/>
      <c r="DO4" s="282"/>
      <c r="DP4" s="282"/>
      <c r="DQ4" s="282"/>
      <c r="DR4" s="283"/>
      <c r="DS4" s="278" t="s">
        <v>181</v>
      </c>
    </row>
    <row r="5" spans="1:123" s="39" customFormat="1" ht="36.75" customHeight="1">
      <c r="A5" s="170"/>
      <c r="B5" s="171"/>
      <c r="C5" s="171"/>
      <c r="D5" s="171"/>
      <c r="E5" s="171"/>
      <c r="F5" s="279"/>
      <c r="G5" s="279"/>
      <c r="H5" s="279"/>
      <c r="I5" s="279"/>
      <c r="J5" s="261" t="s">
        <v>148</v>
      </c>
      <c r="K5" s="262"/>
      <c r="L5" s="262"/>
      <c r="M5" s="262"/>
      <c r="N5" s="262"/>
      <c r="O5" s="262"/>
      <c r="P5" s="262" t="s">
        <v>149</v>
      </c>
      <c r="Q5" s="262"/>
      <c r="R5" s="262"/>
      <c r="S5" s="262"/>
      <c r="T5" s="262"/>
      <c r="U5" s="262"/>
      <c r="V5" s="263" t="s">
        <v>14</v>
      </c>
      <c r="W5" s="263"/>
      <c r="X5" s="263"/>
      <c r="Y5" s="263"/>
      <c r="Z5" s="263"/>
      <c r="AA5" s="263"/>
      <c r="AB5" s="262" t="s">
        <v>15</v>
      </c>
      <c r="AC5" s="262"/>
      <c r="AD5" s="262"/>
      <c r="AE5" s="262"/>
      <c r="AF5" s="262"/>
      <c r="AG5" s="262"/>
      <c r="AH5" s="262" t="s">
        <v>16</v>
      </c>
      <c r="AI5" s="262"/>
      <c r="AJ5" s="262"/>
      <c r="AK5" s="262"/>
      <c r="AL5" s="262"/>
      <c r="AM5" s="262"/>
      <c r="AN5" s="262" t="s">
        <v>17</v>
      </c>
      <c r="AO5" s="262"/>
      <c r="AP5" s="262"/>
      <c r="AQ5" s="262"/>
      <c r="AR5" s="262"/>
      <c r="AS5" s="262"/>
      <c r="AT5" s="173" t="s">
        <v>18</v>
      </c>
      <c r="AU5" s="173"/>
      <c r="AV5" s="173"/>
      <c r="AW5" s="173"/>
      <c r="AX5" s="173"/>
      <c r="AY5" s="173"/>
      <c r="AZ5" s="173" t="s">
        <v>74</v>
      </c>
      <c r="BA5" s="173"/>
      <c r="BB5" s="173"/>
      <c r="BC5" s="173"/>
      <c r="BD5" s="173"/>
      <c r="BE5" s="173"/>
      <c r="BF5" s="173" t="s">
        <v>190</v>
      </c>
      <c r="BG5" s="173"/>
      <c r="BH5" s="173"/>
      <c r="BI5" s="173"/>
      <c r="BJ5" s="173"/>
      <c r="BK5" s="173"/>
      <c r="BL5" s="173" t="s">
        <v>21</v>
      </c>
      <c r="BM5" s="173"/>
      <c r="BN5" s="173"/>
      <c r="BO5" s="173"/>
      <c r="BP5" s="173"/>
      <c r="BQ5" s="173"/>
      <c r="BR5" s="174" t="s">
        <v>15</v>
      </c>
      <c r="BS5" s="172"/>
      <c r="BT5" s="172"/>
      <c r="BU5" s="172"/>
      <c r="BV5" s="172"/>
      <c r="BW5" s="172"/>
      <c r="BX5" s="174" t="s">
        <v>22</v>
      </c>
      <c r="BY5" s="172"/>
      <c r="BZ5" s="172"/>
      <c r="CA5" s="172"/>
      <c r="CB5" s="172"/>
      <c r="CC5" s="172"/>
      <c r="CD5" s="174" t="s">
        <v>23</v>
      </c>
      <c r="CE5" s="172"/>
      <c r="CF5" s="172"/>
      <c r="CG5" s="172"/>
      <c r="CH5" s="172"/>
      <c r="CI5" s="172"/>
      <c r="CJ5" s="174" t="s">
        <v>24</v>
      </c>
      <c r="CK5" s="172"/>
      <c r="CL5" s="172"/>
      <c r="CM5" s="172"/>
      <c r="CN5" s="172"/>
      <c r="CO5" s="172"/>
      <c r="CP5" s="175" t="s">
        <v>17</v>
      </c>
      <c r="CQ5" s="175"/>
      <c r="CR5" s="175"/>
      <c r="CS5" s="175"/>
      <c r="CT5" s="175"/>
      <c r="CU5" s="175"/>
      <c r="CV5" s="175" t="s">
        <v>25</v>
      </c>
      <c r="CW5" s="175"/>
      <c r="CX5" s="175"/>
      <c r="CY5" s="175"/>
      <c r="CZ5" s="175"/>
      <c r="DA5" s="175"/>
      <c r="DB5" s="284"/>
      <c r="DC5" s="285"/>
      <c r="DD5" s="285"/>
      <c r="DE5" s="285"/>
      <c r="DF5" s="285"/>
      <c r="DG5" s="285"/>
      <c r="DH5" s="280"/>
      <c r="DI5" s="280"/>
      <c r="DJ5" s="280"/>
      <c r="DK5" s="284"/>
      <c r="DL5" s="285"/>
      <c r="DM5" s="285"/>
      <c r="DN5" s="285"/>
      <c r="DO5" s="285"/>
      <c r="DP5" s="285"/>
      <c r="DQ5" s="285"/>
      <c r="DR5" s="286"/>
      <c r="DS5" s="278"/>
    </row>
    <row r="6" spans="1:123" s="40" customFormat="1" ht="24.75" customHeight="1">
      <c r="A6" s="170"/>
      <c r="B6" s="171"/>
      <c r="C6" s="171"/>
      <c r="D6" s="171"/>
      <c r="E6" s="171"/>
      <c r="F6" s="264" t="s">
        <v>191</v>
      </c>
      <c r="G6" s="265"/>
      <c r="H6" s="264" t="s">
        <v>192</v>
      </c>
      <c r="I6" s="265"/>
      <c r="J6" s="266" t="s">
        <v>144</v>
      </c>
      <c r="K6" s="267"/>
      <c r="L6" s="268"/>
      <c r="M6" s="266" t="s">
        <v>145</v>
      </c>
      <c r="N6" s="267"/>
      <c r="O6" s="268"/>
      <c r="P6" s="266" t="s">
        <v>144</v>
      </c>
      <c r="Q6" s="267"/>
      <c r="R6" s="268"/>
      <c r="S6" s="266" t="s">
        <v>145</v>
      </c>
      <c r="T6" s="267"/>
      <c r="U6" s="268"/>
      <c r="V6" s="266" t="s">
        <v>144</v>
      </c>
      <c r="W6" s="267"/>
      <c r="X6" s="268"/>
      <c r="Y6" s="266" t="s">
        <v>145</v>
      </c>
      <c r="Z6" s="267"/>
      <c r="AA6" s="268"/>
      <c r="AB6" s="266" t="s">
        <v>144</v>
      </c>
      <c r="AC6" s="267"/>
      <c r="AD6" s="268"/>
      <c r="AE6" s="266" t="s">
        <v>145</v>
      </c>
      <c r="AF6" s="267"/>
      <c r="AG6" s="268"/>
      <c r="AH6" s="266" t="s">
        <v>144</v>
      </c>
      <c r="AI6" s="267"/>
      <c r="AJ6" s="268"/>
      <c r="AK6" s="266" t="s">
        <v>145</v>
      </c>
      <c r="AL6" s="267"/>
      <c r="AM6" s="268"/>
      <c r="AN6" s="266" t="s">
        <v>144</v>
      </c>
      <c r="AO6" s="267"/>
      <c r="AP6" s="268"/>
      <c r="AQ6" s="266" t="s">
        <v>145</v>
      </c>
      <c r="AR6" s="267"/>
      <c r="AS6" s="268"/>
      <c r="AT6" s="269" t="s">
        <v>144</v>
      </c>
      <c r="AU6" s="270"/>
      <c r="AV6" s="271"/>
      <c r="AW6" s="269" t="s">
        <v>145</v>
      </c>
      <c r="AX6" s="270"/>
      <c r="AY6" s="271"/>
      <c r="AZ6" s="269" t="s">
        <v>144</v>
      </c>
      <c r="BA6" s="270"/>
      <c r="BB6" s="271"/>
      <c r="BC6" s="269" t="s">
        <v>145</v>
      </c>
      <c r="BD6" s="270"/>
      <c r="BE6" s="271"/>
      <c r="BF6" s="269" t="s">
        <v>144</v>
      </c>
      <c r="BG6" s="270"/>
      <c r="BH6" s="271"/>
      <c r="BI6" s="269" t="s">
        <v>145</v>
      </c>
      <c r="BJ6" s="270"/>
      <c r="BK6" s="271"/>
      <c r="BL6" s="269" t="s">
        <v>144</v>
      </c>
      <c r="BM6" s="270"/>
      <c r="BN6" s="271"/>
      <c r="BO6" s="269" t="s">
        <v>145</v>
      </c>
      <c r="BP6" s="270"/>
      <c r="BQ6" s="271"/>
      <c r="BR6" s="266" t="s">
        <v>144</v>
      </c>
      <c r="BS6" s="267"/>
      <c r="BT6" s="268"/>
      <c r="BU6" s="266" t="s">
        <v>145</v>
      </c>
      <c r="BV6" s="267"/>
      <c r="BW6" s="268"/>
      <c r="BX6" s="266" t="s">
        <v>144</v>
      </c>
      <c r="BY6" s="267"/>
      <c r="BZ6" s="268"/>
      <c r="CA6" s="266" t="s">
        <v>145</v>
      </c>
      <c r="CB6" s="267"/>
      <c r="CC6" s="268"/>
      <c r="CD6" s="266" t="s">
        <v>144</v>
      </c>
      <c r="CE6" s="267"/>
      <c r="CF6" s="268"/>
      <c r="CG6" s="266" t="s">
        <v>145</v>
      </c>
      <c r="CH6" s="267"/>
      <c r="CI6" s="268"/>
      <c r="CJ6" s="266" t="s">
        <v>144</v>
      </c>
      <c r="CK6" s="267"/>
      <c r="CL6" s="268"/>
      <c r="CM6" s="266" t="s">
        <v>145</v>
      </c>
      <c r="CN6" s="267"/>
      <c r="CO6" s="268"/>
      <c r="CP6" s="274" t="s">
        <v>144</v>
      </c>
      <c r="CQ6" s="275"/>
      <c r="CR6" s="276"/>
      <c r="CS6" s="274" t="s">
        <v>145</v>
      </c>
      <c r="CT6" s="275"/>
      <c r="CU6" s="276"/>
      <c r="CV6" s="274" t="s">
        <v>144</v>
      </c>
      <c r="CW6" s="275"/>
      <c r="CX6" s="276"/>
      <c r="CY6" s="274" t="s">
        <v>145</v>
      </c>
      <c r="CZ6" s="275"/>
      <c r="DA6" s="276"/>
      <c r="DB6" s="272" t="s">
        <v>193</v>
      </c>
      <c r="DC6" s="272" t="s">
        <v>194</v>
      </c>
      <c r="DD6" s="272" t="s">
        <v>195</v>
      </c>
      <c r="DE6" s="272" t="s">
        <v>196</v>
      </c>
      <c r="DF6" s="272" t="s">
        <v>194</v>
      </c>
      <c r="DG6" s="272" t="s">
        <v>195</v>
      </c>
      <c r="DH6" s="272" t="s">
        <v>176</v>
      </c>
      <c r="DI6" s="272" t="s">
        <v>178</v>
      </c>
      <c r="DJ6" s="272" t="s">
        <v>197</v>
      </c>
      <c r="DK6" s="287" t="s">
        <v>198</v>
      </c>
      <c r="DL6" s="288"/>
      <c r="DM6" s="288"/>
      <c r="DN6" s="289"/>
      <c r="DO6" s="287" t="s">
        <v>199</v>
      </c>
      <c r="DP6" s="288"/>
      <c r="DQ6" s="288"/>
      <c r="DR6" s="289"/>
      <c r="DS6" s="278"/>
    </row>
    <row r="7" spans="1:123" s="40" customFormat="1" ht="30" customHeight="1">
      <c r="A7" s="277"/>
      <c r="B7" s="171"/>
      <c r="C7" s="171"/>
      <c r="D7" s="171"/>
      <c r="E7" s="171"/>
      <c r="F7" s="22" t="s">
        <v>139</v>
      </c>
      <c r="G7" s="22" t="s">
        <v>140</v>
      </c>
      <c r="H7" s="22" t="s">
        <v>139</v>
      </c>
      <c r="I7" s="22" t="s">
        <v>140</v>
      </c>
      <c r="J7" s="47" t="s">
        <v>146</v>
      </c>
      <c r="K7" s="47" t="s">
        <v>200</v>
      </c>
      <c r="L7" s="47" t="s">
        <v>201</v>
      </c>
      <c r="M7" s="47" t="s">
        <v>146</v>
      </c>
      <c r="N7" s="47" t="s">
        <v>200</v>
      </c>
      <c r="O7" s="47" t="s">
        <v>201</v>
      </c>
      <c r="P7" s="47" t="s">
        <v>146</v>
      </c>
      <c r="Q7" s="47" t="s">
        <v>200</v>
      </c>
      <c r="R7" s="47" t="s">
        <v>201</v>
      </c>
      <c r="S7" s="47" t="s">
        <v>146</v>
      </c>
      <c r="T7" s="47" t="s">
        <v>200</v>
      </c>
      <c r="U7" s="47" t="s">
        <v>201</v>
      </c>
      <c r="V7" s="47" t="s">
        <v>146</v>
      </c>
      <c r="W7" s="47" t="s">
        <v>200</v>
      </c>
      <c r="X7" s="47" t="s">
        <v>201</v>
      </c>
      <c r="Y7" s="47" t="s">
        <v>146</v>
      </c>
      <c r="Z7" s="47" t="s">
        <v>200</v>
      </c>
      <c r="AA7" s="47" t="s">
        <v>201</v>
      </c>
      <c r="AB7" s="47" t="s">
        <v>146</v>
      </c>
      <c r="AC7" s="47" t="s">
        <v>200</v>
      </c>
      <c r="AD7" s="47" t="s">
        <v>201</v>
      </c>
      <c r="AE7" s="47" t="s">
        <v>146</v>
      </c>
      <c r="AF7" s="47" t="s">
        <v>200</v>
      </c>
      <c r="AG7" s="47" t="s">
        <v>201</v>
      </c>
      <c r="AH7" s="47" t="s">
        <v>146</v>
      </c>
      <c r="AI7" s="47" t="s">
        <v>200</v>
      </c>
      <c r="AJ7" s="47" t="s">
        <v>201</v>
      </c>
      <c r="AK7" s="47" t="s">
        <v>146</v>
      </c>
      <c r="AL7" s="47" t="s">
        <v>200</v>
      </c>
      <c r="AM7" s="47" t="s">
        <v>201</v>
      </c>
      <c r="AN7" s="47" t="s">
        <v>146</v>
      </c>
      <c r="AO7" s="47" t="s">
        <v>200</v>
      </c>
      <c r="AP7" s="47" t="s">
        <v>201</v>
      </c>
      <c r="AQ7" s="47" t="s">
        <v>146</v>
      </c>
      <c r="AR7" s="47" t="s">
        <v>200</v>
      </c>
      <c r="AS7" s="47" t="s">
        <v>201</v>
      </c>
      <c r="AT7" s="54" t="s">
        <v>146</v>
      </c>
      <c r="AU7" s="54" t="s">
        <v>200</v>
      </c>
      <c r="AV7" s="54" t="s">
        <v>201</v>
      </c>
      <c r="AW7" s="54" t="s">
        <v>146</v>
      </c>
      <c r="AX7" s="54" t="s">
        <v>200</v>
      </c>
      <c r="AY7" s="54" t="s">
        <v>201</v>
      </c>
      <c r="AZ7" s="54" t="s">
        <v>146</v>
      </c>
      <c r="BA7" s="54" t="s">
        <v>200</v>
      </c>
      <c r="BB7" s="54" t="s">
        <v>201</v>
      </c>
      <c r="BC7" s="54" t="s">
        <v>146</v>
      </c>
      <c r="BD7" s="54" t="s">
        <v>200</v>
      </c>
      <c r="BE7" s="54" t="s">
        <v>201</v>
      </c>
      <c r="BF7" s="54" t="s">
        <v>146</v>
      </c>
      <c r="BG7" s="54" t="s">
        <v>200</v>
      </c>
      <c r="BH7" s="54" t="s">
        <v>201</v>
      </c>
      <c r="BI7" s="54" t="s">
        <v>146</v>
      </c>
      <c r="BJ7" s="54" t="s">
        <v>200</v>
      </c>
      <c r="BK7" s="54" t="s">
        <v>201</v>
      </c>
      <c r="BL7" s="54" t="s">
        <v>146</v>
      </c>
      <c r="BM7" s="54" t="s">
        <v>200</v>
      </c>
      <c r="BN7" s="54" t="s">
        <v>201</v>
      </c>
      <c r="BO7" s="54" t="s">
        <v>146</v>
      </c>
      <c r="BP7" s="54" t="s">
        <v>200</v>
      </c>
      <c r="BQ7" s="54" t="s">
        <v>201</v>
      </c>
      <c r="BR7" s="47" t="s">
        <v>146</v>
      </c>
      <c r="BS7" s="47" t="s">
        <v>200</v>
      </c>
      <c r="BT7" s="47" t="s">
        <v>201</v>
      </c>
      <c r="BU7" s="47" t="s">
        <v>146</v>
      </c>
      <c r="BV7" s="47" t="s">
        <v>200</v>
      </c>
      <c r="BW7" s="47" t="s">
        <v>201</v>
      </c>
      <c r="BX7" s="47" t="s">
        <v>146</v>
      </c>
      <c r="BY7" s="47" t="s">
        <v>200</v>
      </c>
      <c r="BZ7" s="47" t="s">
        <v>201</v>
      </c>
      <c r="CA7" s="47" t="s">
        <v>146</v>
      </c>
      <c r="CB7" s="47" t="s">
        <v>200</v>
      </c>
      <c r="CC7" s="47" t="s">
        <v>201</v>
      </c>
      <c r="CD7" s="47" t="s">
        <v>146</v>
      </c>
      <c r="CE7" s="47" t="s">
        <v>200</v>
      </c>
      <c r="CF7" s="47" t="s">
        <v>201</v>
      </c>
      <c r="CG7" s="47" t="s">
        <v>146</v>
      </c>
      <c r="CH7" s="47" t="s">
        <v>200</v>
      </c>
      <c r="CI7" s="47" t="s">
        <v>201</v>
      </c>
      <c r="CJ7" s="47" t="s">
        <v>146</v>
      </c>
      <c r="CK7" s="47" t="s">
        <v>200</v>
      </c>
      <c r="CL7" s="47" t="s">
        <v>201</v>
      </c>
      <c r="CM7" s="47" t="s">
        <v>146</v>
      </c>
      <c r="CN7" s="47" t="s">
        <v>200</v>
      </c>
      <c r="CO7" s="47" t="s">
        <v>201</v>
      </c>
      <c r="CP7" s="55" t="s">
        <v>146</v>
      </c>
      <c r="CQ7" s="55" t="s">
        <v>200</v>
      </c>
      <c r="CR7" s="55" t="s">
        <v>201</v>
      </c>
      <c r="CS7" s="55" t="s">
        <v>146</v>
      </c>
      <c r="CT7" s="55" t="s">
        <v>200</v>
      </c>
      <c r="CU7" s="55" t="s">
        <v>201</v>
      </c>
      <c r="CV7" s="55" t="s">
        <v>146</v>
      </c>
      <c r="CW7" s="55" t="s">
        <v>200</v>
      </c>
      <c r="CX7" s="55" t="s">
        <v>201</v>
      </c>
      <c r="CY7" s="55" t="s">
        <v>146</v>
      </c>
      <c r="CZ7" s="55" t="s">
        <v>200</v>
      </c>
      <c r="DA7" s="55" t="s">
        <v>201</v>
      </c>
      <c r="DB7" s="273"/>
      <c r="DC7" s="273"/>
      <c r="DD7" s="273"/>
      <c r="DE7" s="273"/>
      <c r="DF7" s="273"/>
      <c r="DG7" s="273"/>
      <c r="DH7" s="273"/>
      <c r="DI7" s="273"/>
      <c r="DJ7" s="273"/>
      <c r="DK7" s="56">
        <v>1</v>
      </c>
      <c r="DL7" s="56">
        <v>2</v>
      </c>
      <c r="DM7" s="56">
        <v>3</v>
      </c>
      <c r="DN7" s="56">
        <v>4</v>
      </c>
      <c r="DO7" s="56">
        <v>1</v>
      </c>
      <c r="DP7" s="56">
        <v>2</v>
      </c>
      <c r="DQ7" s="56">
        <v>3</v>
      </c>
      <c r="DR7" s="56">
        <v>4</v>
      </c>
      <c r="DS7" s="278"/>
    </row>
    <row r="8" spans="1:123" s="40" customFormat="1" ht="30" customHeight="1">
      <c r="A8" s="43">
        <v>1</v>
      </c>
      <c r="B8" s="41">
        <v>2</v>
      </c>
      <c r="C8" s="43">
        <v>3</v>
      </c>
      <c r="D8" s="41">
        <v>4</v>
      </c>
      <c r="E8" s="43">
        <v>5</v>
      </c>
      <c r="F8" s="22">
        <v>6</v>
      </c>
      <c r="G8" s="22">
        <v>7</v>
      </c>
      <c r="H8" s="22">
        <v>8</v>
      </c>
      <c r="I8" s="22">
        <v>9</v>
      </c>
      <c r="J8" s="47">
        <v>10</v>
      </c>
      <c r="K8" s="47">
        <v>11</v>
      </c>
      <c r="L8" s="47">
        <v>12</v>
      </c>
      <c r="M8" s="47">
        <v>13</v>
      </c>
      <c r="N8" s="47">
        <v>14</v>
      </c>
      <c r="O8" s="47">
        <v>15</v>
      </c>
      <c r="P8" s="47">
        <v>16</v>
      </c>
      <c r="Q8" s="47">
        <v>17</v>
      </c>
      <c r="R8" s="47">
        <v>18</v>
      </c>
      <c r="S8" s="47">
        <v>19</v>
      </c>
      <c r="T8" s="47">
        <v>20</v>
      </c>
      <c r="U8" s="47">
        <v>21</v>
      </c>
      <c r="V8" s="47">
        <v>22</v>
      </c>
      <c r="W8" s="47">
        <v>23</v>
      </c>
      <c r="X8" s="47">
        <v>24</v>
      </c>
      <c r="Y8" s="47">
        <v>25</v>
      </c>
      <c r="Z8" s="47">
        <v>26</v>
      </c>
      <c r="AA8" s="47">
        <v>27</v>
      </c>
      <c r="AB8" s="47">
        <v>28</v>
      </c>
      <c r="AC8" s="47">
        <v>29</v>
      </c>
      <c r="AD8" s="47">
        <v>30</v>
      </c>
      <c r="AE8" s="47">
        <v>31</v>
      </c>
      <c r="AF8" s="47">
        <v>32</v>
      </c>
      <c r="AG8" s="47">
        <v>33</v>
      </c>
      <c r="AH8" s="47">
        <v>34</v>
      </c>
      <c r="AI8" s="47">
        <v>35</v>
      </c>
      <c r="AJ8" s="47">
        <v>36</v>
      </c>
      <c r="AK8" s="47">
        <v>37</v>
      </c>
      <c r="AL8" s="47">
        <v>38</v>
      </c>
      <c r="AM8" s="47">
        <v>39</v>
      </c>
      <c r="AN8" s="47">
        <v>40</v>
      </c>
      <c r="AO8" s="47">
        <v>41</v>
      </c>
      <c r="AP8" s="47">
        <v>42</v>
      </c>
      <c r="AQ8" s="47">
        <v>43</v>
      </c>
      <c r="AR8" s="47">
        <v>44</v>
      </c>
      <c r="AS8" s="47">
        <v>45</v>
      </c>
      <c r="AT8" s="54">
        <v>46</v>
      </c>
      <c r="AU8" s="54">
        <v>47</v>
      </c>
      <c r="AV8" s="54">
        <v>48</v>
      </c>
      <c r="AW8" s="54">
        <v>49</v>
      </c>
      <c r="AX8" s="54">
        <v>50</v>
      </c>
      <c r="AY8" s="54">
        <v>51</v>
      </c>
      <c r="AZ8" s="54">
        <v>52</v>
      </c>
      <c r="BA8" s="54">
        <v>53</v>
      </c>
      <c r="BB8" s="54">
        <v>54</v>
      </c>
      <c r="BC8" s="54">
        <v>55</v>
      </c>
      <c r="BD8" s="54">
        <v>56</v>
      </c>
      <c r="BE8" s="54">
        <v>57</v>
      </c>
      <c r="BF8" s="54">
        <v>58</v>
      </c>
      <c r="BG8" s="54">
        <v>59</v>
      </c>
      <c r="BH8" s="54">
        <v>60</v>
      </c>
      <c r="BI8" s="54">
        <v>61</v>
      </c>
      <c r="BJ8" s="54">
        <v>62</v>
      </c>
      <c r="BK8" s="54">
        <v>63</v>
      </c>
      <c r="BL8" s="54">
        <v>64</v>
      </c>
      <c r="BM8" s="54">
        <v>65</v>
      </c>
      <c r="BN8" s="54">
        <v>66</v>
      </c>
      <c r="BO8" s="54">
        <v>67</v>
      </c>
      <c r="BP8" s="54">
        <v>68</v>
      </c>
      <c r="BQ8" s="54">
        <v>69</v>
      </c>
      <c r="BR8" s="47">
        <v>70</v>
      </c>
      <c r="BS8" s="47">
        <v>71</v>
      </c>
      <c r="BT8" s="47">
        <v>72</v>
      </c>
      <c r="BU8" s="47">
        <v>73</v>
      </c>
      <c r="BV8" s="47">
        <v>74</v>
      </c>
      <c r="BW8" s="47">
        <v>75</v>
      </c>
      <c r="BX8" s="47">
        <v>76</v>
      </c>
      <c r="BY8" s="47">
        <v>77</v>
      </c>
      <c r="BZ8" s="47">
        <v>78</v>
      </c>
      <c r="CA8" s="47">
        <v>79</v>
      </c>
      <c r="CB8" s="47">
        <v>80</v>
      </c>
      <c r="CC8" s="47">
        <v>81</v>
      </c>
      <c r="CD8" s="47">
        <v>82</v>
      </c>
      <c r="CE8" s="47">
        <v>83</v>
      </c>
      <c r="CF8" s="47">
        <v>84</v>
      </c>
      <c r="CG8" s="47">
        <v>85</v>
      </c>
      <c r="CH8" s="47">
        <v>86</v>
      </c>
      <c r="CI8" s="47">
        <v>87</v>
      </c>
      <c r="CJ8" s="47">
        <v>88</v>
      </c>
      <c r="CK8" s="47">
        <v>89</v>
      </c>
      <c r="CL8" s="47">
        <v>90</v>
      </c>
      <c r="CM8" s="47">
        <v>91</v>
      </c>
      <c r="CN8" s="47">
        <v>92</v>
      </c>
      <c r="CO8" s="47">
        <v>93</v>
      </c>
      <c r="CP8" s="55">
        <v>94</v>
      </c>
      <c r="CQ8" s="55">
        <v>95</v>
      </c>
      <c r="CR8" s="55">
        <v>96</v>
      </c>
      <c r="CS8" s="55">
        <v>97</v>
      </c>
      <c r="CT8" s="55">
        <v>98</v>
      </c>
      <c r="CU8" s="55">
        <v>99</v>
      </c>
      <c r="CV8" s="55">
        <v>100</v>
      </c>
      <c r="CW8" s="55">
        <v>101</v>
      </c>
      <c r="CX8" s="55">
        <v>102</v>
      </c>
      <c r="CY8" s="55">
        <v>103</v>
      </c>
      <c r="CZ8" s="55">
        <v>104</v>
      </c>
      <c r="DA8" s="55">
        <v>105</v>
      </c>
      <c r="DB8" s="24">
        <v>106</v>
      </c>
      <c r="DC8" s="24">
        <v>107</v>
      </c>
      <c r="DD8" s="24">
        <v>108</v>
      </c>
      <c r="DE8" s="24">
        <v>109</v>
      </c>
      <c r="DF8" s="24">
        <v>110</v>
      </c>
      <c r="DG8" s="24">
        <v>111</v>
      </c>
      <c r="DH8" s="24">
        <v>112</v>
      </c>
      <c r="DI8" s="24">
        <v>113</v>
      </c>
      <c r="DJ8" s="24">
        <v>114</v>
      </c>
      <c r="DK8" s="24">
        <v>115</v>
      </c>
      <c r="DL8" s="24">
        <v>116</v>
      </c>
      <c r="DM8" s="24">
        <v>117</v>
      </c>
      <c r="DN8" s="24">
        <v>118</v>
      </c>
      <c r="DO8" s="24">
        <v>119</v>
      </c>
      <c r="DP8" s="24">
        <v>120</v>
      </c>
      <c r="DQ8" s="24">
        <v>121</v>
      </c>
      <c r="DR8" s="24">
        <v>122</v>
      </c>
      <c r="DS8" s="57">
        <v>123</v>
      </c>
    </row>
    <row r="9" spans="1:123">
      <c r="A9" s="44">
        <v>1</v>
      </c>
      <c r="B9" s="45" t="s">
        <v>40</v>
      </c>
      <c r="C9" s="46">
        <f>IF(Setting!K6="","",Setting!K6)</f>
        <v>2008004</v>
      </c>
      <c r="D9" s="164" t="str">
        <f>IF(Setting!L6="","",Setting!L6)</f>
        <v>0047308275</v>
      </c>
      <c r="E9" s="9" t="str">
        <f>IF(Setting!$E$11="","",Setting!$E$11)</f>
        <v>X.MIPA 4</v>
      </c>
      <c r="F9" s="9" t="str">
        <f>'Input Nilai Sikap dan Catatan'!D4</f>
        <v>B</v>
      </c>
      <c r="G9" s="9" t="str">
        <f>'Input Nilai Sikap dan Catatan'!E4</f>
        <v>Taat menjalankan ibadah sholat tepat waktu dan aktif mengikuti kegiatan keagamaan di sekolah.</v>
      </c>
      <c r="H9" s="9" t="str">
        <f>'Input Nilai Sikap dan Catatan'!F4</f>
        <v>B</v>
      </c>
      <c r="I9" s="9" t="str">
        <f>'Input Nilai Sikap dan Catatan'!G4</f>
        <v>Memiliki sopan santun yang sangat baik dan selalu bersikap jujur dalam mengerjakan tugas</v>
      </c>
      <c r="J9" s="48">
        <v>86</v>
      </c>
      <c r="K9" s="48" t="s">
        <v>202</v>
      </c>
      <c r="L9" s="48" t="s">
        <v>203</v>
      </c>
      <c r="M9" s="48">
        <v>82</v>
      </c>
      <c r="N9" s="48" t="s">
        <v>202</v>
      </c>
      <c r="O9" s="48" t="s">
        <v>204</v>
      </c>
      <c r="P9" s="49">
        <v>83</v>
      </c>
      <c r="Q9" s="49" t="s">
        <v>202</v>
      </c>
      <c r="R9" s="49" t="s">
        <v>205</v>
      </c>
      <c r="S9" s="49">
        <v>83</v>
      </c>
      <c r="T9" s="49" t="s">
        <v>202</v>
      </c>
      <c r="U9" s="49" t="s">
        <v>206</v>
      </c>
      <c r="V9" s="50">
        <v>87</v>
      </c>
      <c r="W9" s="51" t="s">
        <v>202</v>
      </c>
      <c r="X9" s="52" t="s">
        <v>207</v>
      </c>
      <c r="Y9" s="50">
        <v>80</v>
      </c>
      <c r="Z9" s="51" t="s">
        <v>202</v>
      </c>
      <c r="AA9" s="53" t="s">
        <v>208</v>
      </c>
      <c r="AB9" s="49">
        <v>80</v>
      </c>
      <c r="AC9" s="49" t="s">
        <v>202</v>
      </c>
      <c r="AD9" s="49" t="s">
        <v>209</v>
      </c>
      <c r="AE9" s="49">
        <v>82</v>
      </c>
      <c r="AF9" s="49" t="s">
        <v>202</v>
      </c>
      <c r="AG9" s="49" t="s">
        <v>210</v>
      </c>
      <c r="AH9" s="48">
        <v>83</v>
      </c>
      <c r="AI9" s="48" t="s">
        <v>202</v>
      </c>
      <c r="AJ9" s="48" t="s">
        <v>211</v>
      </c>
      <c r="AK9" s="48">
        <v>80</v>
      </c>
      <c r="AL9" s="48" t="s">
        <v>202</v>
      </c>
      <c r="AM9" s="48" t="s">
        <v>212</v>
      </c>
      <c r="AN9" s="49">
        <v>88</v>
      </c>
      <c r="AO9" s="49" t="s">
        <v>213</v>
      </c>
      <c r="AP9" s="49" t="s">
        <v>1112</v>
      </c>
      <c r="AQ9" s="49">
        <v>90</v>
      </c>
      <c r="AR9" s="49" t="s">
        <v>213</v>
      </c>
      <c r="AS9" s="49" t="s">
        <v>1113</v>
      </c>
      <c r="AT9" s="48">
        <v>89</v>
      </c>
      <c r="AU9" s="48" t="s">
        <v>213</v>
      </c>
      <c r="AV9" s="48" t="s">
        <v>214</v>
      </c>
      <c r="AW9" s="48">
        <v>81</v>
      </c>
      <c r="AX9" s="48" t="s">
        <v>202</v>
      </c>
      <c r="AY9" s="48" t="s">
        <v>215</v>
      </c>
      <c r="AZ9" s="49">
        <v>84</v>
      </c>
      <c r="BA9" s="49" t="s">
        <v>202</v>
      </c>
      <c r="BB9" s="49" t="s">
        <v>216</v>
      </c>
      <c r="BC9" s="49">
        <v>80</v>
      </c>
      <c r="BD9" s="49" t="s">
        <v>202</v>
      </c>
      <c r="BE9" s="49" t="s">
        <v>217</v>
      </c>
      <c r="BF9" s="48">
        <v>87</v>
      </c>
      <c r="BG9" s="48" t="s">
        <v>202</v>
      </c>
      <c r="BH9" s="48" t="s">
        <v>218</v>
      </c>
      <c r="BI9" s="48">
        <v>87</v>
      </c>
      <c r="BJ9" s="48" t="s">
        <v>202</v>
      </c>
      <c r="BK9" s="48" t="s">
        <v>219</v>
      </c>
      <c r="BL9" s="49">
        <v>87</v>
      </c>
      <c r="BM9" s="49" t="s">
        <v>202</v>
      </c>
      <c r="BN9" s="49" t="s">
        <v>207</v>
      </c>
      <c r="BO9" s="49">
        <v>80</v>
      </c>
      <c r="BP9" s="49" t="s">
        <v>202</v>
      </c>
      <c r="BQ9" s="49" t="s">
        <v>208</v>
      </c>
      <c r="BR9" s="48">
        <v>81</v>
      </c>
      <c r="BS9" s="48" t="s">
        <v>202</v>
      </c>
      <c r="BT9" s="48" t="s">
        <v>220</v>
      </c>
      <c r="BU9" s="48">
        <v>84</v>
      </c>
      <c r="BV9" s="48" t="s">
        <v>202</v>
      </c>
      <c r="BW9" s="48" t="s">
        <v>221</v>
      </c>
      <c r="BX9" s="49">
        <v>84</v>
      </c>
      <c r="BY9" s="49" t="s">
        <v>202</v>
      </c>
      <c r="BZ9" s="49" t="s">
        <v>222</v>
      </c>
      <c r="CA9" s="49">
        <v>80</v>
      </c>
      <c r="CB9" s="49" t="s">
        <v>202</v>
      </c>
      <c r="CC9" s="49" t="s">
        <v>223</v>
      </c>
      <c r="CD9" s="48">
        <v>82</v>
      </c>
      <c r="CE9" s="48" t="s">
        <v>202</v>
      </c>
      <c r="CF9" s="48" t="s">
        <v>224</v>
      </c>
      <c r="CG9" s="48">
        <v>80</v>
      </c>
      <c r="CH9" s="48" t="s">
        <v>202</v>
      </c>
      <c r="CI9" s="48" t="s">
        <v>225</v>
      </c>
      <c r="CJ9" s="49">
        <v>85</v>
      </c>
      <c r="CK9" s="49" t="s">
        <v>202</v>
      </c>
      <c r="CL9" s="49" t="s">
        <v>226</v>
      </c>
      <c r="CM9" s="49">
        <v>80</v>
      </c>
      <c r="CN9" s="49" t="s">
        <v>202</v>
      </c>
      <c r="CO9" s="49" t="s">
        <v>227</v>
      </c>
      <c r="CP9" s="48">
        <v>86</v>
      </c>
      <c r="CQ9" s="48" t="s">
        <v>202</v>
      </c>
      <c r="CR9" s="48" t="s">
        <v>228</v>
      </c>
      <c r="CS9" s="48">
        <v>81</v>
      </c>
      <c r="CT9" s="48" t="s">
        <v>202</v>
      </c>
      <c r="CU9" s="48" t="s">
        <v>229</v>
      </c>
      <c r="CV9" s="48">
        <v>91</v>
      </c>
      <c r="CW9" s="48" t="s">
        <v>213</v>
      </c>
      <c r="CX9" s="48" t="s">
        <v>230</v>
      </c>
      <c r="CY9" s="48">
        <v>90</v>
      </c>
      <c r="CZ9" s="48" t="s">
        <v>213</v>
      </c>
      <c r="DA9" s="48" t="s">
        <v>231</v>
      </c>
      <c r="DB9" s="9" t="str">
        <f>'Input Ekstra'!E5</f>
        <v>Pramuka</v>
      </c>
      <c r="DC9" s="9" t="str">
        <f>'Input Ekstra'!F5</f>
        <v>Baik</v>
      </c>
      <c r="DD9" s="9" t="str">
        <f>'Input Ekstra'!G5</f>
        <v>Peserta didik mampu menjelaskan hal-hal terkait survival dan implementasi Dasa Dharma di alam terbuka.</v>
      </c>
      <c r="DE9" s="9">
        <f>'Input Ekstra'!H5</f>
        <v>0</v>
      </c>
      <c r="DF9" s="9">
        <f>'Input Ekstra'!I5</f>
        <v>0</v>
      </c>
      <c r="DG9" s="9">
        <f>'Input Ekstra'!J5</f>
        <v>0</v>
      </c>
      <c r="DH9" s="9" t="str">
        <f>'Input Kehadiran'!E5</f>
        <v>-</v>
      </c>
      <c r="DI9" s="9">
        <f>'Input Kehadiran'!F5</f>
        <v>1</v>
      </c>
      <c r="DJ9" s="9" t="str">
        <f>'Input Kehadiran'!G5</f>
        <v>-</v>
      </c>
      <c r="DK9" s="8">
        <f>'Input Prestasi'!D6</f>
        <v>0</v>
      </c>
      <c r="DL9" s="8">
        <f>'Input Prestasi'!E6</f>
        <v>0</v>
      </c>
      <c r="DM9" s="8">
        <f>'Input Prestasi'!F6</f>
        <v>0</v>
      </c>
      <c r="DN9" s="8">
        <f>'Input Prestasi'!G6</f>
        <v>0</v>
      </c>
      <c r="DO9" s="8">
        <f>'Input Prestasi'!H6</f>
        <v>0</v>
      </c>
      <c r="DP9" s="8">
        <f>'Input Prestasi'!I6</f>
        <v>0</v>
      </c>
      <c r="DQ9" s="8">
        <f>'Input Prestasi'!J6</f>
        <v>0</v>
      </c>
      <c r="DR9" s="8">
        <f>'Input Prestasi'!K6</f>
        <v>0</v>
      </c>
      <c r="DS9" s="9" t="str">
        <f>'Input Nilai Sikap dan Catatan'!H4</f>
        <v>Peserta didik sudah menunjukkan sikap mengamalkan ajaran agamanya, konsisten menerapkan sikap santun, jujur, dan mandiri. Tingkatkan rasa ingin tahu dan sikap baik di dalam maupun di luar pembelajaran.</v>
      </c>
    </row>
    <row r="10" spans="1:123">
      <c r="A10" s="44">
        <v>2</v>
      </c>
      <c r="B10" s="45" t="str">
        <f>IF(Setting!J7="","",Setting!J7)</f>
        <v>Adam Zidane Danata Pranugroho</v>
      </c>
      <c r="C10" s="46">
        <f>IF(Setting!K7="","",Setting!K7)</f>
        <v>2008009</v>
      </c>
      <c r="D10" s="164" t="str">
        <f>IF(Setting!L7="","",Setting!L7)</f>
        <v>0051700957</v>
      </c>
      <c r="E10" s="9" t="str">
        <f>IF(Setting!$E$11="","",Setting!$E$11)</f>
        <v>X.MIPA 4</v>
      </c>
      <c r="F10" s="9" t="str">
        <f>'Input Nilai Sikap dan Catatan'!D5</f>
        <v>B</v>
      </c>
      <c r="G10" s="9" t="str">
        <f>'Input Nilai Sikap dan Catatan'!E5</f>
        <v>Taat menjalankan ibadah sholat tepat waktu dan aktif mengikuti kegiatan keagamaan di sekolah.</v>
      </c>
      <c r="H10" s="9" t="str">
        <f>'Input Nilai Sikap dan Catatan'!F5</f>
        <v>B</v>
      </c>
      <c r="I10" s="9" t="str">
        <f>'Input Nilai Sikap dan Catatan'!G5</f>
        <v>Memiliki sopan santun yang sangat baik dan selalu bersikap jujur dalam mengerjakan tugas</v>
      </c>
      <c r="J10" s="48">
        <v>90</v>
      </c>
      <c r="K10" s="48" t="s">
        <v>213</v>
      </c>
      <c r="L10" s="48" t="s">
        <v>232</v>
      </c>
      <c r="M10" s="48">
        <v>93</v>
      </c>
      <c r="N10" s="48" t="s">
        <v>213</v>
      </c>
      <c r="O10" s="48" t="s">
        <v>233</v>
      </c>
      <c r="P10" s="49">
        <v>86</v>
      </c>
      <c r="Q10" s="49" t="s">
        <v>202</v>
      </c>
      <c r="R10" s="49" t="s">
        <v>205</v>
      </c>
      <c r="S10" s="49">
        <v>80</v>
      </c>
      <c r="T10" s="49" t="s">
        <v>202</v>
      </c>
      <c r="U10" s="49" t="s">
        <v>234</v>
      </c>
      <c r="V10" s="50">
        <v>90</v>
      </c>
      <c r="W10" s="51" t="s">
        <v>213</v>
      </c>
      <c r="X10" s="52" t="s">
        <v>235</v>
      </c>
      <c r="Y10" s="50">
        <v>85</v>
      </c>
      <c r="Z10" s="51" t="s">
        <v>202</v>
      </c>
      <c r="AA10" s="53" t="s">
        <v>208</v>
      </c>
      <c r="AB10" s="49">
        <v>88</v>
      </c>
      <c r="AC10" s="49" t="s">
        <v>213</v>
      </c>
      <c r="AD10" s="49" t="s">
        <v>236</v>
      </c>
      <c r="AE10" s="49">
        <v>80</v>
      </c>
      <c r="AF10" s="49" t="s">
        <v>202</v>
      </c>
      <c r="AG10" s="49" t="s">
        <v>210</v>
      </c>
      <c r="AH10" s="48">
        <v>92</v>
      </c>
      <c r="AI10" s="48" t="s">
        <v>213</v>
      </c>
      <c r="AJ10" s="48" t="s">
        <v>237</v>
      </c>
      <c r="AK10" s="48">
        <v>92</v>
      </c>
      <c r="AL10" s="48" t="s">
        <v>213</v>
      </c>
      <c r="AM10" s="48" t="s">
        <v>212</v>
      </c>
      <c r="AN10" s="49">
        <v>91</v>
      </c>
      <c r="AO10" s="49" t="s">
        <v>213</v>
      </c>
      <c r="AP10" s="49" t="s">
        <v>1114</v>
      </c>
      <c r="AQ10" s="49">
        <v>81</v>
      </c>
      <c r="AR10" s="49" t="s">
        <v>202</v>
      </c>
      <c r="AS10" s="49" t="s">
        <v>1115</v>
      </c>
      <c r="AT10" s="48">
        <v>90</v>
      </c>
      <c r="AU10" s="48" t="s">
        <v>213</v>
      </c>
      <c r="AV10" s="48" t="s">
        <v>214</v>
      </c>
      <c r="AW10" s="48">
        <v>84</v>
      </c>
      <c r="AX10" s="48" t="s">
        <v>202</v>
      </c>
      <c r="AY10" s="48" t="s">
        <v>215</v>
      </c>
      <c r="AZ10" s="49">
        <v>87</v>
      </c>
      <c r="BA10" s="49" t="s">
        <v>202</v>
      </c>
      <c r="BB10" s="49" t="s">
        <v>216</v>
      </c>
      <c r="BC10" s="49">
        <v>81</v>
      </c>
      <c r="BD10" s="49" t="s">
        <v>202</v>
      </c>
      <c r="BE10" s="49" t="s">
        <v>217</v>
      </c>
      <c r="BF10" s="48">
        <v>88</v>
      </c>
      <c r="BG10" s="48" t="s">
        <v>213</v>
      </c>
      <c r="BH10" s="48" t="s">
        <v>218</v>
      </c>
      <c r="BI10" s="48">
        <v>85</v>
      </c>
      <c r="BJ10" s="48" t="s">
        <v>202</v>
      </c>
      <c r="BK10" s="48" t="s">
        <v>219</v>
      </c>
      <c r="BL10" s="49">
        <v>90</v>
      </c>
      <c r="BM10" s="49" t="s">
        <v>213</v>
      </c>
      <c r="BN10" s="49" t="s">
        <v>235</v>
      </c>
      <c r="BO10" s="49">
        <v>85</v>
      </c>
      <c r="BP10" s="49" t="s">
        <v>202</v>
      </c>
      <c r="BQ10" s="49" t="s">
        <v>208</v>
      </c>
      <c r="BR10" s="48">
        <v>87</v>
      </c>
      <c r="BS10" s="48" t="s">
        <v>202</v>
      </c>
      <c r="BT10" s="48" t="s">
        <v>238</v>
      </c>
      <c r="BU10" s="48">
        <v>96</v>
      </c>
      <c r="BV10" s="48" t="s">
        <v>213</v>
      </c>
      <c r="BW10" s="48" t="s">
        <v>239</v>
      </c>
      <c r="BX10" s="49">
        <v>90</v>
      </c>
      <c r="BY10" s="49" t="s">
        <v>213</v>
      </c>
      <c r="BZ10" s="49" t="s">
        <v>240</v>
      </c>
      <c r="CA10" s="49">
        <v>86</v>
      </c>
      <c r="CB10" s="49" t="s">
        <v>202</v>
      </c>
      <c r="CC10" s="49" t="s">
        <v>223</v>
      </c>
      <c r="CD10" s="48">
        <v>89</v>
      </c>
      <c r="CE10" s="48" t="s">
        <v>213</v>
      </c>
      <c r="CF10" s="48" t="s">
        <v>241</v>
      </c>
      <c r="CG10" s="48">
        <v>90</v>
      </c>
      <c r="CH10" s="48" t="s">
        <v>213</v>
      </c>
      <c r="CI10" s="48" t="s">
        <v>225</v>
      </c>
      <c r="CJ10" s="49">
        <v>91</v>
      </c>
      <c r="CK10" s="49" t="s">
        <v>213</v>
      </c>
      <c r="CL10" s="49" t="s">
        <v>242</v>
      </c>
      <c r="CM10" s="49">
        <v>85</v>
      </c>
      <c r="CN10" s="49" t="s">
        <v>202</v>
      </c>
      <c r="CO10" s="49" t="s">
        <v>227</v>
      </c>
      <c r="CP10" s="48">
        <v>88</v>
      </c>
      <c r="CQ10" s="48" t="s">
        <v>213</v>
      </c>
      <c r="CR10" s="48" t="s">
        <v>228</v>
      </c>
      <c r="CS10" s="48">
        <v>83</v>
      </c>
      <c r="CT10" s="48" t="s">
        <v>202</v>
      </c>
      <c r="CU10" s="48" t="s">
        <v>243</v>
      </c>
      <c r="CV10" s="48">
        <v>92</v>
      </c>
      <c r="CW10" s="48" t="s">
        <v>213</v>
      </c>
      <c r="CX10" s="48" t="s">
        <v>230</v>
      </c>
      <c r="CY10" s="48">
        <v>95</v>
      </c>
      <c r="CZ10" s="48" t="s">
        <v>213</v>
      </c>
      <c r="DA10" s="48" t="s">
        <v>231</v>
      </c>
      <c r="DB10" s="9" t="str">
        <f>'Input Ekstra'!E6</f>
        <v>Pramuka</v>
      </c>
      <c r="DC10" s="9" t="str">
        <f>'Input Ekstra'!F6</f>
        <v>Baik</v>
      </c>
      <c r="DD10" s="9" t="str">
        <f>'Input Ekstra'!G6</f>
        <v>Peserta didik mampu menjelaskan hal-hal terkait survival dan implementasi Dasa Dharma di alam terbuka.</v>
      </c>
      <c r="DE10" s="9">
        <f>'Input Ekstra'!H6</f>
        <v>0</v>
      </c>
      <c r="DF10" s="9">
        <f>'Input Ekstra'!I6</f>
        <v>0</v>
      </c>
      <c r="DG10" s="9">
        <f>'Input Ekstra'!J6</f>
        <v>0</v>
      </c>
      <c r="DH10" s="9" t="str">
        <f>'Input Kehadiran'!E6</f>
        <v>-</v>
      </c>
      <c r="DI10" s="9">
        <f>'Input Kehadiran'!F6</f>
        <v>2</v>
      </c>
      <c r="DJ10" s="9" t="str">
        <f>'Input Kehadiran'!G6</f>
        <v>-</v>
      </c>
      <c r="DK10" s="8">
        <f>'Input Prestasi'!D7</f>
        <v>0</v>
      </c>
      <c r="DL10" s="8">
        <f>'Input Prestasi'!E7</f>
        <v>0</v>
      </c>
      <c r="DM10" s="8">
        <f>'Input Prestasi'!F7</f>
        <v>0</v>
      </c>
      <c r="DN10" s="8">
        <f>'Input Prestasi'!G7</f>
        <v>0</v>
      </c>
      <c r="DO10" s="8">
        <f>'Input Prestasi'!H7</f>
        <v>0</v>
      </c>
      <c r="DP10" s="8">
        <f>'Input Prestasi'!I7</f>
        <v>0</v>
      </c>
      <c r="DQ10" s="8">
        <f>'Input Prestasi'!J7</f>
        <v>0</v>
      </c>
      <c r="DR10" s="8">
        <f>'Input Prestasi'!K7</f>
        <v>0</v>
      </c>
      <c r="DS10" s="9" t="str">
        <f>'Input Nilai Sikap dan Catatan'!H5</f>
        <v>Peserta didik sudah menunjukkan sikap mengamalkan ajaran agamanya, konsisten menerapkan sikap santun, jujur, dan mandiri. Tingkatkan rasa ingin tahu dan sikap baik di dalam maupun di luar pembelajaran.</v>
      </c>
    </row>
    <row r="11" spans="1:123">
      <c r="A11" s="44">
        <v>3</v>
      </c>
      <c r="B11" s="45" t="str">
        <f>IF(Setting!J8="","",Setting!J8)</f>
        <v>Ahmad Fikry</v>
      </c>
      <c r="C11" s="46">
        <f>IF(Setting!K8="","",Setting!K8)</f>
        <v>2008021</v>
      </c>
      <c r="D11" s="164" t="str">
        <f>IF(Setting!L8="","",Setting!L8)</f>
        <v xml:space="preserve">0050998196 </v>
      </c>
      <c r="E11" s="9" t="str">
        <f>IF(Setting!$E$11="","",Setting!$E$11)</f>
        <v>X.MIPA 4</v>
      </c>
      <c r="F11" s="9" t="str">
        <f>'Input Nilai Sikap dan Catatan'!D6</f>
        <v>B</v>
      </c>
      <c r="G11" s="9" t="str">
        <f>'Input Nilai Sikap dan Catatan'!E6</f>
        <v>Taat menjalankan ibadah sholat tepat waktu dan aktif mengikuti kegiatan keagamaan di sekolah.</v>
      </c>
      <c r="H11" s="9" t="str">
        <f>'Input Nilai Sikap dan Catatan'!F6</f>
        <v>B</v>
      </c>
      <c r="I11" s="9" t="str">
        <f>'Input Nilai Sikap dan Catatan'!G6</f>
        <v>Memiliki sopan santun yang sangat baik dan selalu bersikap jujur dalam mengerjakan tugas</v>
      </c>
      <c r="J11" s="48">
        <v>88</v>
      </c>
      <c r="K11" s="48" t="s">
        <v>213</v>
      </c>
      <c r="L11" s="48" t="s">
        <v>203</v>
      </c>
      <c r="M11" s="48">
        <v>90</v>
      </c>
      <c r="N11" s="48" t="s">
        <v>213</v>
      </c>
      <c r="O11" s="48" t="s">
        <v>244</v>
      </c>
      <c r="P11" s="49">
        <v>86</v>
      </c>
      <c r="Q11" s="49" t="s">
        <v>202</v>
      </c>
      <c r="R11" s="49" t="s">
        <v>245</v>
      </c>
      <c r="S11" s="49">
        <v>83</v>
      </c>
      <c r="T11" s="49" t="s">
        <v>202</v>
      </c>
      <c r="U11" s="49" t="s">
        <v>234</v>
      </c>
      <c r="V11" s="50">
        <v>91</v>
      </c>
      <c r="W11" s="51" t="s">
        <v>213</v>
      </c>
      <c r="X11" s="52" t="s">
        <v>235</v>
      </c>
      <c r="Y11" s="50">
        <v>95</v>
      </c>
      <c r="Z11" s="51" t="s">
        <v>213</v>
      </c>
      <c r="AA11" s="53" t="s">
        <v>208</v>
      </c>
      <c r="AB11" s="49">
        <v>83</v>
      </c>
      <c r="AC11" s="49" t="s">
        <v>202</v>
      </c>
      <c r="AD11" s="49" t="s">
        <v>246</v>
      </c>
      <c r="AE11" s="49">
        <v>86</v>
      </c>
      <c r="AF11" s="49" t="s">
        <v>202</v>
      </c>
      <c r="AG11" s="49" t="s">
        <v>210</v>
      </c>
      <c r="AH11" s="48">
        <v>88</v>
      </c>
      <c r="AI11" s="48" t="s">
        <v>213</v>
      </c>
      <c r="AJ11" s="48" t="s">
        <v>237</v>
      </c>
      <c r="AK11" s="48">
        <v>84</v>
      </c>
      <c r="AL11" s="48" t="s">
        <v>202</v>
      </c>
      <c r="AM11" s="48" t="s">
        <v>212</v>
      </c>
      <c r="AN11" s="49">
        <v>90</v>
      </c>
      <c r="AO11" s="49" t="s">
        <v>213</v>
      </c>
      <c r="AP11" s="49" t="s">
        <v>1114</v>
      </c>
      <c r="AQ11" s="49">
        <v>86</v>
      </c>
      <c r="AR11" s="49" t="s">
        <v>202</v>
      </c>
      <c r="AS11" s="49" t="s">
        <v>1116</v>
      </c>
      <c r="AT11" s="48">
        <v>90</v>
      </c>
      <c r="AU11" s="48" t="s">
        <v>213</v>
      </c>
      <c r="AV11" s="48" t="s">
        <v>214</v>
      </c>
      <c r="AW11" s="48">
        <v>85</v>
      </c>
      <c r="AX11" s="48" t="s">
        <v>202</v>
      </c>
      <c r="AY11" s="48" t="s">
        <v>215</v>
      </c>
      <c r="AZ11" s="49">
        <v>87</v>
      </c>
      <c r="BA11" s="49" t="s">
        <v>202</v>
      </c>
      <c r="BB11" s="49" t="s">
        <v>216</v>
      </c>
      <c r="BC11" s="49">
        <v>82</v>
      </c>
      <c r="BD11" s="49" t="s">
        <v>202</v>
      </c>
      <c r="BE11" s="49" t="s">
        <v>217</v>
      </c>
      <c r="BF11" s="48">
        <v>85</v>
      </c>
      <c r="BG11" s="48" t="s">
        <v>202</v>
      </c>
      <c r="BH11" s="48" t="s">
        <v>247</v>
      </c>
      <c r="BI11" s="48">
        <v>95</v>
      </c>
      <c r="BJ11" s="48" t="s">
        <v>213</v>
      </c>
      <c r="BK11" s="48" t="s">
        <v>219</v>
      </c>
      <c r="BL11" s="49">
        <v>91</v>
      </c>
      <c r="BM11" s="49" t="s">
        <v>213</v>
      </c>
      <c r="BN11" s="49" t="s">
        <v>235</v>
      </c>
      <c r="BO11" s="49">
        <v>95</v>
      </c>
      <c r="BP11" s="49" t="s">
        <v>213</v>
      </c>
      <c r="BQ11" s="49" t="s">
        <v>208</v>
      </c>
      <c r="BR11" s="48">
        <v>91</v>
      </c>
      <c r="BS11" s="48" t="s">
        <v>213</v>
      </c>
      <c r="BT11" s="48" t="s">
        <v>248</v>
      </c>
      <c r="BU11" s="48">
        <v>80</v>
      </c>
      <c r="BV11" s="48" t="s">
        <v>202</v>
      </c>
      <c r="BW11" s="48" t="s">
        <v>249</v>
      </c>
      <c r="BX11" s="49">
        <v>87</v>
      </c>
      <c r="BY11" s="49" t="s">
        <v>202</v>
      </c>
      <c r="BZ11" s="49" t="s">
        <v>250</v>
      </c>
      <c r="CA11" s="49">
        <v>82</v>
      </c>
      <c r="CB11" s="49" t="s">
        <v>202</v>
      </c>
      <c r="CC11" s="49" t="s">
        <v>223</v>
      </c>
      <c r="CD11" s="48">
        <v>89</v>
      </c>
      <c r="CE11" s="48" t="s">
        <v>213</v>
      </c>
      <c r="CF11" s="48" t="s">
        <v>251</v>
      </c>
      <c r="CG11" s="48">
        <v>90</v>
      </c>
      <c r="CH11" s="48" t="s">
        <v>213</v>
      </c>
      <c r="CI11" s="48" t="s">
        <v>225</v>
      </c>
      <c r="CJ11" s="49">
        <v>88</v>
      </c>
      <c r="CK11" s="49" t="s">
        <v>213</v>
      </c>
      <c r="CL11" s="49" t="s">
        <v>252</v>
      </c>
      <c r="CM11" s="49">
        <v>90</v>
      </c>
      <c r="CN11" s="49" t="s">
        <v>213</v>
      </c>
      <c r="CO11" s="49" t="s">
        <v>227</v>
      </c>
      <c r="CP11" s="48">
        <v>86</v>
      </c>
      <c r="CQ11" s="48" t="s">
        <v>202</v>
      </c>
      <c r="CR11" s="48" t="s">
        <v>253</v>
      </c>
      <c r="CS11" s="48">
        <v>83</v>
      </c>
      <c r="CT11" s="48" t="s">
        <v>202</v>
      </c>
      <c r="CU11" s="48" t="s">
        <v>229</v>
      </c>
      <c r="CV11" s="48">
        <v>90</v>
      </c>
      <c r="CW11" s="48" t="s">
        <v>213</v>
      </c>
      <c r="CX11" s="48" t="s">
        <v>254</v>
      </c>
      <c r="CY11" s="48">
        <v>80</v>
      </c>
      <c r="CZ11" s="48" t="s">
        <v>202</v>
      </c>
      <c r="DA11" s="48" t="s">
        <v>231</v>
      </c>
      <c r="DB11" s="9" t="str">
        <f>'Input Ekstra'!E7</f>
        <v>Pramuka</v>
      </c>
      <c r="DC11" s="9" t="str">
        <f>'Input Ekstra'!F7</f>
        <v>Baik</v>
      </c>
      <c r="DD11" s="9" t="str">
        <f>'Input Ekstra'!G7</f>
        <v>Peserta didik mampu menjelaskan hal-hal terkait survival dan implementasi Dasa Dharma di alam terbuka.</v>
      </c>
      <c r="DE11" s="9">
        <f>'Input Ekstra'!H7</f>
        <v>0</v>
      </c>
      <c r="DF11" s="9">
        <f>'Input Ekstra'!I7</f>
        <v>0</v>
      </c>
      <c r="DG11" s="9">
        <f>'Input Ekstra'!J7</f>
        <v>0</v>
      </c>
      <c r="DH11" s="9" t="str">
        <f>'Input Kehadiran'!E7</f>
        <v>-</v>
      </c>
      <c r="DI11" s="9" t="str">
        <f>'Input Kehadiran'!F7</f>
        <v>-</v>
      </c>
      <c r="DJ11" s="9" t="str">
        <f>'Input Kehadiran'!G7</f>
        <v>-</v>
      </c>
      <c r="DK11" s="8">
        <f>'Input Prestasi'!D8</f>
        <v>0</v>
      </c>
      <c r="DL11" s="8">
        <f>'Input Prestasi'!E8</f>
        <v>0</v>
      </c>
      <c r="DM11" s="8">
        <f>'Input Prestasi'!F8</f>
        <v>0</v>
      </c>
      <c r="DN11" s="8">
        <f>'Input Prestasi'!G8</f>
        <v>0</v>
      </c>
      <c r="DO11" s="8">
        <f>'Input Prestasi'!H8</f>
        <v>0</v>
      </c>
      <c r="DP11" s="8">
        <f>'Input Prestasi'!I8</f>
        <v>0</v>
      </c>
      <c r="DQ11" s="8">
        <f>'Input Prestasi'!J8</f>
        <v>0</v>
      </c>
      <c r="DR11" s="8">
        <f>'Input Prestasi'!K8</f>
        <v>0</v>
      </c>
      <c r="DS11" s="9" t="str">
        <f>'Input Nilai Sikap dan Catatan'!H6</f>
        <v>Peserta didik sudah menunjukkan sikap mengamalkan ajaran agamanya, konsisten menerapkan sikap santun, jujur, dan mandiri. Tingkatkan rasa ingin tahu dan sikap baik di dalam maupun di luar pembelajaran.</v>
      </c>
    </row>
    <row r="12" spans="1:123">
      <c r="A12" s="44">
        <v>4</v>
      </c>
      <c r="B12" s="45" t="str">
        <f>IF(Setting!J9="","",Setting!J9)</f>
        <v>Akhmad Rifki Assegaf</v>
      </c>
      <c r="C12" s="46">
        <f>IF(Setting!K9="","",Setting!K9)</f>
        <v>2008029</v>
      </c>
      <c r="D12" s="164" t="str">
        <f>IF(Setting!L9="","",Setting!L9)</f>
        <v xml:space="preserve">0058425358 </v>
      </c>
      <c r="E12" s="9" t="str">
        <f>IF(Setting!$E$11="","",Setting!$E$11)</f>
        <v>X.MIPA 4</v>
      </c>
      <c r="F12" s="9" t="str">
        <f>'Input Nilai Sikap dan Catatan'!D7</f>
        <v>B</v>
      </c>
      <c r="G12" s="9" t="str">
        <f>'Input Nilai Sikap dan Catatan'!E7</f>
        <v>Taat menjalankan ibadah sholat tepat waktu dan aktif mengikuti kegiatan keagamaan di sekolah.</v>
      </c>
      <c r="H12" s="9" t="str">
        <f>'Input Nilai Sikap dan Catatan'!F7</f>
        <v>B</v>
      </c>
      <c r="I12" s="9" t="str">
        <f>'Input Nilai Sikap dan Catatan'!G7</f>
        <v>Memiliki sopan santun yang sangat baik dan selalu bersikap jujur dalam mengerjakan tugas</v>
      </c>
      <c r="J12" s="48">
        <v>91</v>
      </c>
      <c r="K12" s="48" t="s">
        <v>213</v>
      </c>
      <c r="L12" s="48" t="s">
        <v>203</v>
      </c>
      <c r="M12" s="48">
        <v>94</v>
      </c>
      <c r="N12" s="48" t="s">
        <v>213</v>
      </c>
      <c r="O12" s="48" t="s">
        <v>233</v>
      </c>
      <c r="P12" s="49">
        <v>88</v>
      </c>
      <c r="Q12" s="49" t="s">
        <v>213</v>
      </c>
      <c r="R12" s="49" t="s">
        <v>245</v>
      </c>
      <c r="S12" s="49">
        <v>83</v>
      </c>
      <c r="T12" s="49" t="s">
        <v>202</v>
      </c>
      <c r="U12" s="49" t="s">
        <v>234</v>
      </c>
      <c r="V12" s="50">
        <v>90</v>
      </c>
      <c r="W12" s="51" t="s">
        <v>213</v>
      </c>
      <c r="X12" s="52" t="s">
        <v>235</v>
      </c>
      <c r="Y12" s="50">
        <v>85</v>
      </c>
      <c r="Z12" s="51" t="s">
        <v>202</v>
      </c>
      <c r="AA12" s="53" t="s">
        <v>208</v>
      </c>
      <c r="AB12" s="49">
        <v>90</v>
      </c>
      <c r="AC12" s="49" t="s">
        <v>213</v>
      </c>
      <c r="AD12" s="49" t="s">
        <v>236</v>
      </c>
      <c r="AE12" s="49">
        <v>89</v>
      </c>
      <c r="AF12" s="49" t="s">
        <v>213</v>
      </c>
      <c r="AG12" s="49" t="s">
        <v>210</v>
      </c>
      <c r="AH12" s="48">
        <v>90</v>
      </c>
      <c r="AI12" s="48" t="s">
        <v>213</v>
      </c>
      <c r="AJ12" s="48" t="s">
        <v>237</v>
      </c>
      <c r="AK12" s="48">
        <v>92</v>
      </c>
      <c r="AL12" s="48" t="s">
        <v>213</v>
      </c>
      <c r="AM12" s="48" t="s">
        <v>212</v>
      </c>
      <c r="AN12" s="49">
        <v>91</v>
      </c>
      <c r="AO12" s="49" t="s">
        <v>213</v>
      </c>
      <c r="AP12" s="49" t="s">
        <v>1117</v>
      </c>
      <c r="AQ12" s="49">
        <v>90</v>
      </c>
      <c r="AR12" s="49" t="s">
        <v>213</v>
      </c>
      <c r="AS12" s="49" t="s">
        <v>1116</v>
      </c>
      <c r="AT12" s="48">
        <v>89</v>
      </c>
      <c r="AU12" s="48" t="s">
        <v>213</v>
      </c>
      <c r="AV12" s="48" t="s">
        <v>214</v>
      </c>
      <c r="AW12" s="48">
        <v>81</v>
      </c>
      <c r="AX12" s="48" t="s">
        <v>202</v>
      </c>
      <c r="AY12" s="48" t="s">
        <v>215</v>
      </c>
      <c r="AZ12" s="49">
        <v>87</v>
      </c>
      <c r="BA12" s="49" t="s">
        <v>202</v>
      </c>
      <c r="BB12" s="49" t="s">
        <v>216</v>
      </c>
      <c r="BC12" s="49">
        <v>81</v>
      </c>
      <c r="BD12" s="49" t="s">
        <v>202</v>
      </c>
      <c r="BE12" s="49" t="s">
        <v>217</v>
      </c>
      <c r="BF12" s="48">
        <v>88</v>
      </c>
      <c r="BG12" s="48" t="s">
        <v>213</v>
      </c>
      <c r="BH12" s="48" t="s">
        <v>218</v>
      </c>
      <c r="BI12" s="48">
        <v>87</v>
      </c>
      <c r="BJ12" s="48" t="s">
        <v>202</v>
      </c>
      <c r="BK12" s="48" t="s">
        <v>219</v>
      </c>
      <c r="BL12" s="49">
        <v>90</v>
      </c>
      <c r="BM12" s="49" t="s">
        <v>213</v>
      </c>
      <c r="BN12" s="49" t="s">
        <v>235</v>
      </c>
      <c r="BO12" s="49">
        <v>85</v>
      </c>
      <c r="BP12" s="49" t="s">
        <v>202</v>
      </c>
      <c r="BQ12" s="49" t="s">
        <v>208</v>
      </c>
      <c r="BR12" s="48">
        <v>91</v>
      </c>
      <c r="BS12" s="48" t="s">
        <v>213</v>
      </c>
      <c r="BT12" s="48" t="s">
        <v>255</v>
      </c>
      <c r="BU12" s="48">
        <v>96</v>
      </c>
      <c r="BV12" s="48" t="s">
        <v>213</v>
      </c>
      <c r="BW12" s="48" t="s">
        <v>239</v>
      </c>
      <c r="BX12" s="49">
        <v>90</v>
      </c>
      <c r="BY12" s="49" t="s">
        <v>213</v>
      </c>
      <c r="BZ12" s="49" t="s">
        <v>240</v>
      </c>
      <c r="CA12" s="49">
        <v>91</v>
      </c>
      <c r="CB12" s="49" t="s">
        <v>213</v>
      </c>
      <c r="CC12" s="49" t="s">
        <v>223</v>
      </c>
      <c r="CD12" s="48">
        <v>87</v>
      </c>
      <c r="CE12" s="48" t="s">
        <v>202</v>
      </c>
      <c r="CF12" s="48" t="s">
        <v>251</v>
      </c>
      <c r="CG12" s="48">
        <v>87</v>
      </c>
      <c r="CH12" s="48" t="s">
        <v>202</v>
      </c>
      <c r="CI12" s="48" t="s">
        <v>225</v>
      </c>
      <c r="CJ12" s="49">
        <v>90</v>
      </c>
      <c r="CK12" s="49" t="s">
        <v>213</v>
      </c>
      <c r="CL12" s="49" t="s">
        <v>256</v>
      </c>
      <c r="CM12" s="49">
        <v>87</v>
      </c>
      <c r="CN12" s="49" t="s">
        <v>202</v>
      </c>
      <c r="CO12" s="49" t="s">
        <v>227</v>
      </c>
      <c r="CP12" s="48">
        <v>90</v>
      </c>
      <c r="CQ12" s="48" t="s">
        <v>213</v>
      </c>
      <c r="CR12" s="48" t="s">
        <v>257</v>
      </c>
      <c r="CS12" s="48">
        <v>87</v>
      </c>
      <c r="CT12" s="48" t="s">
        <v>202</v>
      </c>
      <c r="CU12" s="48" t="s">
        <v>243</v>
      </c>
      <c r="CV12" s="48">
        <v>92</v>
      </c>
      <c r="CW12" s="48" t="s">
        <v>213</v>
      </c>
      <c r="CX12" s="48" t="s">
        <v>230</v>
      </c>
      <c r="CY12" s="48">
        <v>95</v>
      </c>
      <c r="CZ12" s="48" t="s">
        <v>213</v>
      </c>
      <c r="DA12" s="48" t="s">
        <v>231</v>
      </c>
      <c r="DB12" s="9" t="str">
        <f>'Input Ekstra'!E8</f>
        <v>Pramuka</v>
      </c>
      <c r="DC12" s="9" t="str">
        <f>'Input Ekstra'!F8</f>
        <v>Baik</v>
      </c>
      <c r="DD12" s="9" t="str">
        <f>'Input Ekstra'!G8</f>
        <v>Peserta didik mampu menjelaskan hal-hal terkait survival dan implementasi Dasa Dharma di alam terbuka.</v>
      </c>
      <c r="DE12" s="9">
        <f>'Input Ekstra'!H8</f>
        <v>0</v>
      </c>
      <c r="DF12" s="9">
        <f>'Input Ekstra'!I8</f>
        <v>0</v>
      </c>
      <c r="DG12" s="9">
        <f>'Input Ekstra'!J8</f>
        <v>0</v>
      </c>
      <c r="DH12" s="9" t="str">
        <f>'Input Kehadiran'!E8</f>
        <v>-</v>
      </c>
      <c r="DI12" s="9" t="str">
        <f>'Input Kehadiran'!F8</f>
        <v>-</v>
      </c>
      <c r="DJ12" s="9" t="str">
        <f>'Input Kehadiran'!G8</f>
        <v>-</v>
      </c>
      <c r="DK12" s="8">
        <f>'Input Prestasi'!D9</f>
        <v>0</v>
      </c>
      <c r="DL12" s="8">
        <f>'Input Prestasi'!E9</f>
        <v>0</v>
      </c>
      <c r="DM12" s="8">
        <f>'Input Prestasi'!F9</f>
        <v>0</v>
      </c>
      <c r="DN12" s="8">
        <f>'Input Prestasi'!G9</f>
        <v>0</v>
      </c>
      <c r="DO12" s="8">
        <f>'Input Prestasi'!H9</f>
        <v>0</v>
      </c>
      <c r="DP12" s="8">
        <f>'Input Prestasi'!I9</f>
        <v>0</v>
      </c>
      <c r="DQ12" s="8">
        <f>'Input Prestasi'!J9</f>
        <v>0</v>
      </c>
      <c r="DR12" s="8">
        <f>'Input Prestasi'!K9</f>
        <v>0</v>
      </c>
      <c r="DS12" s="9" t="str">
        <f>'Input Nilai Sikap dan Catatan'!H7</f>
        <v>Peserta didik sudah menunjukkan sikap mengamalkan ajaran agamanya, konsisten menerapkan sikap santun, jujur, dan mandiri. Tingkatkan rasa ingin tahu dan sikap baik di dalam maupun di luar pembelajaran.</v>
      </c>
    </row>
    <row r="13" spans="1:123">
      <c r="A13" s="44">
        <v>5</v>
      </c>
      <c r="B13" s="45" t="str">
        <f>IF(Setting!J10="","",Setting!J10)</f>
        <v>Almas Sabih Wahindra</v>
      </c>
      <c r="C13" s="46">
        <f>IF(Setting!K10="","",Setting!K10)</f>
        <v>2008034</v>
      </c>
      <c r="D13" s="164" t="str">
        <f>IF(Setting!L10="","",Setting!L10)</f>
        <v>0059000208</v>
      </c>
      <c r="E13" s="9" t="s">
        <v>31</v>
      </c>
      <c r="F13" s="9" t="str">
        <f>'Input Nilai Sikap dan Catatan'!D8</f>
        <v>B</v>
      </c>
      <c r="G13" s="9" t="str">
        <f>'Input Nilai Sikap dan Catatan'!E8</f>
        <v>Taat menjalankan ibadah sholat tepat waktu dan aktif mengikuti kegiatan keagamaan di sekolah.</v>
      </c>
      <c r="H13" s="9" t="str">
        <f>'Input Nilai Sikap dan Catatan'!F8</f>
        <v>B</v>
      </c>
      <c r="I13" s="9" t="str">
        <f>'Input Nilai Sikap dan Catatan'!G8</f>
        <v>Memiliki sopan santun yang sangat baik dan selalu bersikap jujur dalam mengerjakan tugas</v>
      </c>
      <c r="J13" s="48">
        <v>88</v>
      </c>
      <c r="K13" s="48" t="s">
        <v>213</v>
      </c>
      <c r="L13" s="48" t="s">
        <v>232</v>
      </c>
      <c r="M13" s="48">
        <v>89</v>
      </c>
      <c r="N13" s="48" t="s">
        <v>213</v>
      </c>
      <c r="O13" s="48" t="s">
        <v>233</v>
      </c>
      <c r="P13" s="49">
        <v>88</v>
      </c>
      <c r="Q13" s="49" t="s">
        <v>213</v>
      </c>
      <c r="R13" s="49" t="s">
        <v>245</v>
      </c>
      <c r="S13" s="49">
        <v>83</v>
      </c>
      <c r="T13" s="49" t="s">
        <v>202</v>
      </c>
      <c r="U13" s="49" t="s">
        <v>234</v>
      </c>
      <c r="V13" s="50">
        <v>89</v>
      </c>
      <c r="W13" s="51" t="s">
        <v>213</v>
      </c>
      <c r="X13" s="52" t="s">
        <v>258</v>
      </c>
      <c r="Y13" s="50">
        <v>80</v>
      </c>
      <c r="Z13" s="51" t="s">
        <v>202</v>
      </c>
      <c r="AA13" s="53" t="s">
        <v>259</v>
      </c>
      <c r="AB13" s="49">
        <v>82</v>
      </c>
      <c r="AC13" s="49" t="s">
        <v>202</v>
      </c>
      <c r="AD13" s="49" t="s">
        <v>209</v>
      </c>
      <c r="AE13" s="49">
        <v>80</v>
      </c>
      <c r="AF13" s="49" t="s">
        <v>202</v>
      </c>
      <c r="AG13" s="49" t="s">
        <v>210</v>
      </c>
      <c r="AH13" s="48">
        <v>81</v>
      </c>
      <c r="AI13" s="48" t="s">
        <v>202</v>
      </c>
      <c r="AJ13" s="48" t="s">
        <v>211</v>
      </c>
      <c r="AK13" s="48">
        <v>80</v>
      </c>
      <c r="AL13" s="48" t="s">
        <v>202</v>
      </c>
      <c r="AM13" s="48" t="s">
        <v>212</v>
      </c>
      <c r="AN13" s="49">
        <v>84</v>
      </c>
      <c r="AO13" s="49" t="s">
        <v>202</v>
      </c>
      <c r="AP13" s="49" t="s">
        <v>1117</v>
      </c>
      <c r="AQ13" s="49">
        <v>84</v>
      </c>
      <c r="AR13" s="49" t="s">
        <v>202</v>
      </c>
      <c r="AS13" s="49" t="s">
        <v>1116</v>
      </c>
      <c r="AT13" s="48">
        <v>89</v>
      </c>
      <c r="AU13" s="48" t="s">
        <v>213</v>
      </c>
      <c r="AV13" s="48" t="s">
        <v>214</v>
      </c>
      <c r="AW13" s="48">
        <v>82</v>
      </c>
      <c r="AX13" s="48" t="s">
        <v>202</v>
      </c>
      <c r="AY13" s="48" t="s">
        <v>215</v>
      </c>
      <c r="AZ13" s="49">
        <v>85</v>
      </c>
      <c r="BA13" s="49" t="s">
        <v>202</v>
      </c>
      <c r="BB13" s="49" t="s">
        <v>260</v>
      </c>
      <c r="BC13" s="49">
        <v>80</v>
      </c>
      <c r="BD13" s="49" t="s">
        <v>202</v>
      </c>
      <c r="BE13" s="49" t="s">
        <v>217</v>
      </c>
      <c r="BF13" s="48">
        <v>84</v>
      </c>
      <c r="BG13" s="48" t="s">
        <v>202</v>
      </c>
      <c r="BH13" s="48" t="s">
        <v>247</v>
      </c>
      <c r="BI13" s="48">
        <v>80</v>
      </c>
      <c r="BJ13" s="48" t="s">
        <v>202</v>
      </c>
      <c r="BK13" s="48" t="s">
        <v>219</v>
      </c>
      <c r="BL13" s="49">
        <v>89</v>
      </c>
      <c r="BM13" s="49" t="s">
        <v>213</v>
      </c>
      <c r="BN13" s="49" t="s">
        <v>258</v>
      </c>
      <c r="BO13" s="49">
        <v>80</v>
      </c>
      <c r="BP13" s="49" t="s">
        <v>202</v>
      </c>
      <c r="BQ13" s="49" t="s">
        <v>259</v>
      </c>
      <c r="BR13" s="48">
        <v>87</v>
      </c>
      <c r="BS13" s="48" t="s">
        <v>202</v>
      </c>
      <c r="BT13" s="48" t="s">
        <v>238</v>
      </c>
      <c r="BU13" s="48">
        <v>80</v>
      </c>
      <c r="BV13" s="48" t="s">
        <v>202</v>
      </c>
      <c r="BW13" s="48" t="s">
        <v>221</v>
      </c>
      <c r="BX13" s="49">
        <v>87</v>
      </c>
      <c r="BY13" s="49" t="s">
        <v>202</v>
      </c>
      <c r="BZ13" s="49" t="s">
        <v>250</v>
      </c>
      <c r="CA13" s="49">
        <v>87</v>
      </c>
      <c r="CB13" s="49" t="s">
        <v>202</v>
      </c>
      <c r="CC13" s="49" t="s">
        <v>223</v>
      </c>
      <c r="CD13" s="48">
        <v>86</v>
      </c>
      <c r="CE13" s="48" t="s">
        <v>202</v>
      </c>
      <c r="CF13" s="48" t="s">
        <v>251</v>
      </c>
      <c r="CG13" s="48">
        <v>85</v>
      </c>
      <c r="CH13" s="48" t="s">
        <v>202</v>
      </c>
      <c r="CI13" s="48" t="s">
        <v>225</v>
      </c>
      <c r="CJ13" s="49">
        <v>85</v>
      </c>
      <c r="CK13" s="49" t="s">
        <v>202</v>
      </c>
      <c r="CL13" s="49" t="s">
        <v>252</v>
      </c>
      <c r="CM13" s="49">
        <v>85</v>
      </c>
      <c r="CN13" s="49" t="s">
        <v>202</v>
      </c>
      <c r="CO13" s="49" t="s">
        <v>227</v>
      </c>
      <c r="CP13" s="48">
        <v>83</v>
      </c>
      <c r="CQ13" s="48" t="s">
        <v>202</v>
      </c>
      <c r="CR13" s="48" t="s">
        <v>228</v>
      </c>
      <c r="CS13" s="48">
        <v>80</v>
      </c>
      <c r="CT13" s="48" t="s">
        <v>202</v>
      </c>
      <c r="CU13" s="48" t="s">
        <v>243</v>
      </c>
      <c r="CV13" s="48">
        <v>91</v>
      </c>
      <c r="CW13" s="48" t="s">
        <v>213</v>
      </c>
      <c r="CX13" s="48" t="s">
        <v>261</v>
      </c>
      <c r="CY13" s="48">
        <v>89</v>
      </c>
      <c r="CZ13" s="48" t="s">
        <v>213</v>
      </c>
      <c r="DA13" s="48" t="s">
        <v>262</v>
      </c>
      <c r="DB13" s="9" t="str">
        <f>'Input Ekstra'!E9</f>
        <v>Pramuka</v>
      </c>
      <c r="DC13" s="9" t="str">
        <f>'Input Ekstra'!F9</f>
        <v>Baik</v>
      </c>
      <c r="DD13" s="9" t="str">
        <f>'Input Ekstra'!G9</f>
        <v>Peserta didik mampu menjelaskan hal-hal terkait survival dan implementasi Dasa Dharma di alam terbuka.</v>
      </c>
      <c r="DE13" s="9">
        <f>'Input Ekstra'!H9</f>
        <v>0</v>
      </c>
      <c r="DF13" s="9">
        <f>'Input Ekstra'!I9</f>
        <v>0</v>
      </c>
      <c r="DG13" s="9">
        <f>'Input Ekstra'!J9</f>
        <v>0</v>
      </c>
      <c r="DH13" s="9" t="str">
        <f>'Input Kehadiran'!E9</f>
        <v>-</v>
      </c>
      <c r="DI13" s="9" t="str">
        <f>'Input Kehadiran'!F9</f>
        <v>-</v>
      </c>
      <c r="DJ13" s="9" t="str">
        <f>'Input Kehadiran'!G9</f>
        <v>-</v>
      </c>
      <c r="DK13" s="8">
        <f>'Input Prestasi'!D10</f>
        <v>0</v>
      </c>
      <c r="DL13" s="8">
        <f>'Input Prestasi'!E10</f>
        <v>0</v>
      </c>
      <c r="DM13" s="8">
        <f>'Input Prestasi'!F10</f>
        <v>0</v>
      </c>
      <c r="DN13" s="8">
        <f>'Input Prestasi'!G10</f>
        <v>0</v>
      </c>
      <c r="DO13" s="8">
        <f>'Input Prestasi'!H10</f>
        <v>0</v>
      </c>
      <c r="DP13" s="8">
        <f>'Input Prestasi'!I10</f>
        <v>0</v>
      </c>
      <c r="DQ13" s="8">
        <f>'Input Prestasi'!J10</f>
        <v>0</v>
      </c>
      <c r="DR13" s="8">
        <f>'Input Prestasi'!K10</f>
        <v>0</v>
      </c>
      <c r="DS13" s="9" t="str">
        <f>'Input Nilai Sikap dan Catatan'!H8</f>
        <v>Peserta didik sudah menunjukkan sikap mengamalkan ajaran agamanya, konsisten menerapkan sikap santun, jujur, dan mandiri. Tingkatkan rasa ingin tahu dan sikap baik di dalam maupun di luar pembelajaran.</v>
      </c>
    </row>
    <row r="14" spans="1:123">
      <c r="A14" s="44">
        <v>6</v>
      </c>
      <c r="B14" s="45" t="str">
        <f>IF(Setting!J11="","",Setting!J11)</f>
        <v>Aria Fenha Apri Bima</v>
      </c>
      <c r="C14" s="46">
        <f>IF(Setting!K11="","",Setting!K11)</f>
        <v>2008054</v>
      </c>
      <c r="D14" s="164" t="str">
        <f>IF(Setting!L11="","",Setting!L11)</f>
        <v>0058068365</v>
      </c>
      <c r="E14" s="9" t="str">
        <f>IF(Setting!$E$11="","",Setting!$E$11)</f>
        <v>X.MIPA 4</v>
      </c>
      <c r="F14" s="9" t="str">
        <f>'Input Nilai Sikap dan Catatan'!D9</f>
        <v>B</v>
      </c>
      <c r="G14" s="9" t="str">
        <f>'Input Nilai Sikap dan Catatan'!E9</f>
        <v>Taat menjalankan ibadah sholat tepat waktu dan aktif mengikuti kegiatan keagamaan di sekolah.</v>
      </c>
      <c r="H14" s="9" t="str">
        <f>'Input Nilai Sikap dan Catatan'!F9</f>
        <v>B</v>
      </c>
      <c r="I14" s="9" t="str">
        <f>'Input Nilai Sikap dan Catatan'!G9</f>
        <v>Memiliki sopan santun yang sangat baik dan selalu bersikap jujur dalam mengerjakan tugas</v>
      </c>
      <c r="J14" s="48">
        <v>90</v>
      </c>
      <c r="K14" s="48" t="s">
        <v>213</v>
      </c>
      <c r="L14" s="48" t="s">
        <v>263</v>
      </c>
      <c r="M14" s="48">
        <v>94</v>
      </c>
      <c r="N14" s="48" t="s">
        <v>213</v>
      </c>
      <c r="O14" s="48" t="s">
        <v>233</v>
      </c>
      <c r="P14" s="49">
        <v>89</v>
      </c>
      <c r="Q14" s="49" t="s">
        <v>213</v>
      </c>
      <c r="R14" s="49" t="s">
        <v>205</v>
      </c>
      <c r="S14" s="49">
        <v>83</v>
      </c>
      <c r="T14" s="49" t="s">
        <v>202</v>
      </c>
      <c r="U14" s="49" t="s">
        <v>206</v>
      </c>
      <c r="V14" s="50">
        <v>91</v>
      </c>
      <c r="W14" s="51" t="s">
        <v>213</v>
      </c>
      <c r="X14" s="52" t="s">
        <v>235</v>
      </c>
      <c r="Y14" s="50">
        <v>95</v>
      </c>
      <c r="Z14" s="51" t="s">
        <v>213</v>
      </c>
      <c r="AA14" s="53" t="s">
        <v>208</v>
      </c>
      <c r="AB14" s="49">
        <v>91</v>
      </c>
      <c r="AC14" s="49" t="s">
        <v>213</v>
      </c>
      <c r="AD14" s="49" t="s">
        <v>209</v>
      </c>
      <c r="AE14" s="49">
        <v>84</v>
      </c>
      <c r="AF14" s="49" t="s">
        <v>202</v>
      </c>
      <c r="AG14" s="49" t="s">
        <v>210</v>
      </c>
      <c r="AH14" s="48">
        <v>90</v>
      </c>
      <c r="AI14" s="48" t="s">
        <v>213</v>
      </c>
      <c r="AJ14" s="48" t="s">
        <v>237</v>
      </c>
      <c r="AK14" s="48">
        <v>92</v>
      </c>
      <c r="AL14" s="48" t="s">
        <v>213</v>
      </c>
      <c r="AM14" s="48" t="s">
        <v>212</v>
      </c>
      <c r="AN14" s="49">
        <v>89</v>
      </c>
      <c r="AO14" s="49" t="s">
        <v>213</v>
      </c>
      <c r="AP14" s="49" t="s">
        <v>1114</v>
      </c>
      <c r="AQ14" s="49">
        <v>90</v>
      </c>
      <c r="AR14" s="49" t="s">
        <v>213</v>
      </c>
      <c r="AS14" s="49" t="s">
        <v>1116</v>
      </c>
      <c r="AT14" s="48">
        <v>89</v>
      </c>
      <c r="AU14" s="48" t="s">
        <v>213</v>
      </c>
      <c r="AV14" s="48" t="s">
        <v>214</v>
      </c>
      <c r="AW14" s="48">
        <v>81</v>
      </c>
      <c r="AX14" s="48" t="s">
        <v>202</v>
      </c>
      <c r="AY14" s="48" t="s">
        <v>215</v>
      </c>
      <c r="AZ14" s="49">
        <v>87</v>
      </c>
      <c r="BA14" s="49" t="s">
        <v>202</v>
      </c>
      <c r="BB14" s="49" t="s">
        <v>216</v>
      </c>
      <c r="BC14" s="49">
        <v>81</v>
      </c>
      <c r="BD14" s="49" t="s">
        <v>202</v>
      </c>
      <c r="BE14" s="49" t="s">
        <v>217</v>
      </c>
      <c r="BF14" s="48">
        <v>87</v>
      </c>
      <c r="BG14" s="48" t="s">
        <v>202</v>
      </c>
      <c r="BH14" s="48" t="s">
        <v>247</v>
      </c>
      <c r="BI14" s="48">
        <v>88</v>
      </c>
      <c r="BJ14" s="48" t="s">
        <v>213</v>
      </c>
      <c r="BK14" s="48" t="s">
        <v>219</v>
      </c>
      <c r="BL14" s="49">
        <v>91</v>
      </c>
      <c r="BM14" s="49" t="s">
        <v>213</v>
      </c>
      <c r="BN14" s="49" t="s">
        <v>235</v>
      </c>
      <c r="BO14" s="49">
        <v>95</v>
      </c>
      <c r="BP14" s="49" t="s">
        <v>213</v>
      </c>
      <c r="BQ14" s="49" t="s">
        <v>208</v>
      </c>
      <c r="BR14" s="48">
        <v>91</v>
      </c>
      <c r="BS14" s="48" t="s">
        <v>213</v>
      </c>
      <c r="BT14" s="48" t="s">
        <v>248</v>
      </c>
      <c r="BU14" s="48">
        <v>91</v>
      </c>
      <c r="BV14" s="48" t="s">
        <v>213</v>
      </c>
      <c r="BW14" s="48" t="s">
        <v>221</v>
      </c>
      <c r="BX14" s="49">
        <v>87</v>
      </c>
      <c r="BY14" s="49" t="s">
        <v>202</v>
      </c>
      <c r="BZ14" s="49" t="s">
        <v>250</v>
      </c>
      <c r="CA14" s="49">
        <v>80</v>
      </c>
      <c r="CB14" s="49" t="s">
        <v>202</v>
      </c>
      <c r="CC14" s="49" t="s">
        <v>223</v>
      </c>
      <c r="CD14" s="48">
        <v>90</v>
      </c>
      <c r="CE14" s="48" t="s">
        <v>213</v>
      </c>
      <c r="CF14" s="48" t="s">
        <v>264</v>
      </c>
      <c r="CG14" s="48">
        <v>85</v>
      </c>
      <c r="CH14" s="48" t="s">
        <v>202</v>
      </c>
      <c r="CI14" s="48" t="s">
        <v>225</v>
      </c>
      <c r="CJ14" s="49">
        <v>88</v>
      </c>
      <c r="CK14" s="49" t="s">
        <v>213</v>
      </c>
      <c r="CL14" s="49" t="s">
        <v>265</v>
      </c>
      <c r="CM14" s="49">
        <v>85</v>
      </c>
      <c r="CN14" s="49" t="s">
        <v>202</v>
      </c>
      <c r="CO14" s="49" t="s">
        <v>227</v>
      </c>
      <c r="CP14" s="48">
        <v>88</v>
      </c>
      <c r="CQ14" s="48" t="s">
        <v>213</v>
      </c>
      <c r="CR14" s="48" t="s">
        <v>266</v>
      </c>
      <c r="CS14" s="48">
        <v>86</v>
      </c>
      <c r="CT14" s="48" t="s">
        <v>202</v>
      </c>
      <c r="CU14" s="48" t="s">
        <v>267</v>
      </c>
      <c r="CV14" s="48">
        <v>92</v>
      </c>
      <c r="CW14" s="48" t="s">
        <v>213</v>
      </c>
      <c r="CX14" s="48" t="s">
        <v>230</v>
      </c>
      <c r="CY14" s="48">
        <v>90</v>
      </c>
      <c r="CZ14" s="48" t="s">
        <v>213</v>
      </c>
      <c r="DA14" s="48" t="s">
        <v>231</v>
      </c>
      <c r="DB14" s="9" t="str">
        <f>'Input Ekstra'!E10</f>
        <v>PMR</v>
      </c>
      <c r="DC14" s="9" t="str">
        <f>'Input Ekstra'!F10</f>
        <v>Baik</v>
      </c>
      <c r="DD14" s="9" t="str">
        <f>'Input Ekstra'!G10</f>
        <v>Peserta didik memiliki kemampuan yang baik dalam materi pertolongan pertama, siaga dan tanggap bencana,  dan kepekaan terhadap lingkungan sekitar yang tinggi</v>
      </c>
      <c r="DE14" s="9">
        <f>'Input Ekstra'!H10</f>
        <v>0</v>
      </c>
      <c r="DF14" s="9">
        <f>'Input Ekstra'!I10</f>
        <v>0</v>
      </c>
      <c r="DG14" s="9">
        <f>'Input Ekstra'!J10</f>
        <v>0</v>
      </c>
      <c r="DH14" s="9" t="str">
        <f>'Input Kehadiran'!E10</f>
        <v>-</v>
      </c>
      <c r="DI14" s="9">
        <f>'Input Kehadiran'!F10</f>
        <v>4</v>
      </c>
      <c r="DJ14" s="9" t="str">
        <f>'Input Kehadiran'!G10</f>
        <v>-</v>
      </c>
      <c r="DK14" s="8">
        <f>'Input Prestasi'!D11</f>
        <v>0</v>
      </c>
      <c r="DL14" s="8">
        <f>'Input Prestasi'!E11</f>
        <v>0</v>
      </c>
      <c r="DM14" s="8">
        <f>'Input Prestasi'!F11</f>
        <v>0</v>
      </c>
      <c r="DN14" s="8">
        <f>'Input Prestasi'!G11</f>
        <v>0</v>
      </c>
      <c r="DO14" s="8">
        <f>'Input Prestasi'!H11</f>
        <v>0</v>
      </c>
      <c r="DP14" s="8">
        <f>'Input Prestasi'!I11</f>
        <v>0</v>
      </c>
      <c r="DQ14" s="8">
        <f>'Input Prestasi'!J11</f>
        <v>0</v>
      </c>
      <c r="DR14" s="8">
        <f>'Input Prestasi'!K11</f>
        <v>0</v>
      </c>
      <c r="DS14" s="9" t="str">
        <f>'Input Nilai Sikap dan Catatan'!H9</f>
        <v>Peserta didik sudah menunjukkan sikap mengamalkan ajaran agamanya, konsisten menerapkan sikap santun, jujur, dan mandiri. Tingkatkan rasa ingin tahu dan sikap baik di dalam maupun di luar pembelajaran.</v>
      </c>
    </row>
    <row r="15" spans="1:123">
      <c r="A15" s="44">
        <v>7</v>
      </c>
      <c r="B15" s="45" t="s">
        <v>26</v>
      </c>
      <c r="C15" s="46">
        <f>IF(Setting!K12="","",Setting!K12)</f>
        <v>2008075</v>
      </c>
      <c r="D15" s="164" t="str">
        <f>IF(Setting!L12="","",Setting!L12)</f>
        <v>0024374235</v>
      </c>
      <c r="E15" s="9" t="str">
        <f>IF(Setting!$E$11="","",Setting!$E$11)</f>
        <v>X.MIPA 4</v>
      </c>
      <c r="F15" s="9" t="str">
        <f>'Input Nilai Sikap dan Catatan'!D10</f>
        <v>B</v>
      </c>
      <c r="G15" s="9" t="str">
        <f>'Input Nilai Sikap dan Catatan'!E10</f>
        <v>Taat menjalankan ibadah sholat tepat waktu dan aktif mengikuti kegiatan keagamaan di sekolah.</v>
      </c>
      <c r="H15" s="9" t="str">
        <f>'Input Nilai Sikap dan Catatan'!F10</f>
        <v>B</v>
      </c>
      <c r="I15" s="9" t="str">
        <f>'Input Nilai Sikap dan Catatan'!G10</f>
        <v>Memiliki sopan santun yang sangat baik dan selalu bersikap jujur dalam mengerjakan tugas</v>
      </c>
      <c r="J15" s="48">
        <v>85</v>
      </c>
      <c r="K15" s="48" t="s">
        <v>202</v>
      </c>
      <c r="L15" s="48" t="s">
        <v>203</v>
      </c>
      <c r="M15" s="48">
        <v>80</v>
      </c>
      <c r="N15" s="48" t="s">
        <v>202</v>
      </c>
      <c r="O15" s="48" t="s">
        <v>204</v>
      </c>
      <c r="P15" s="49">
        <v>83</v>
      </c>
      <c r="Q15" s="49" t="s">
        <v>202</v>
      </c>
      <c r="R15" s="49" t="s">
        <v>205</v>
      </c>
      <c r="S15" s="49">
        <v>83</v>
      </c>
      <c r="T15" s="49" t="s">
        <v>202</v>
      </c>
      <c r="U15" s="49" t="s">
        <v>206</v>
      </c>
      <c r="V15" s="50">
        <v>82</v>
      </c>
      <c r="W15" s="51" t="s">
        <v>202</v>
      </c>
      <c r="X15" s="52" t="s">
        <v>207</v>
      </c>
      <c r="Y15" s="50">
        <v>80</v>
      </c>
      <c r="Z15" s="51" t="s">
        <v>202</v>
      </c>
      <c r="AA15" s="53" t="s">
        <v>208</v>
      </c>
      <c r="AB15" s="49">
        <v>80</v>
      </c>
      <c r="AC15" s="49" t="s">
        <v>202</v>
      </c>
      <c r="AD15" s="49" t="s">
        <v>268</v>
      </c>
      <c r="AE15" s="49">
        <v>80</v>
      </c>
      <c r="AF15" s="49" t="s">
        <v>202</v>
      </c>
      <c r="AG15" s="49" t="s">
        <v>210</v>
      </c>
      <c r="AH15" s="48">
        <v>82</v>
      </c>
      <c r="AI15" s="48" t="s">
        <v>202</v>
      </c>
      <c r="AJ15" s="48" t="s">
        <v>237</v>
      </c>
      <c r="AK15" s="48">
        <v>80</v>
      </c>
      <c r="AL15" s="48" t="s">
        <v>202</v>
      </c>
      <c r="AM15" s="48" t="s">
        <v>212</v>
      </c>
      <c r="AN15" s="49">
        <v>84</v>
      </c>
      <c r="AO15" s="49" t="s">
        <v>202</v>
      </c>
      <c r="AP15" s="49" t="s">
        <v>1118</v>
      </c>
      <c r="AQ15" s="49">
        <v>84</v>
      </c>
      <c r="AR15" s="49" t="s">
        <v>202</v>
      </c>
      <c r="AS15" s="49" t="s">
        <v>1116</v>
      </c>
      <c r="AT15" s="48">
        <v>90</v>
      </c>
      <c r="AU15" s="48" t="s">
        <v>213</v>
      </c>
      <c r="AV15" s="48" t="s">
        <v>214</v>
      </c>
      <c r="AW15" s="48">
        <v>85</v>
      </c>
      <c r="AX15" s="48" t="s">
        <v>202</v>
      </c>
      <c r="AY15" s="48" t="s">
        <v>215</v>
      </c>
      <c r="AZ15" s="49">
        <v>82</v>
      </c>
      <c r="BA15" s="49" t="s">
        <v>202</v>
      </c>
      <c r="BB15" s="49" t="s">
        <v>260</v>
      </c>
      <c r="BC15" s="49">
        <v>80</v>
      </c>
      <c r="BD15" s="49" t="s">
        <v>202</v>
      </c>
      <c r="BE15" s="49" t="s">
        <v>217</v>
      </c>
      <c r="BF15" s="48">
        <v>81</v>
      </c>
      <c r="BG15" s="48" t="s">
        <v>202</v>
      </c>
      <c r="BH15" s="48" t="s">
        <v>218</v>
      </c>
      <c r="BI15" s="48">
        <v>80</v>
      </c>
      <c r="BJ15" s="48" t="s">
        <v>202</v>
      </c>
      <c r="BK15" s="48" t="s">
        <v>219</v>
      </c>
      <c r="BL15" s="49">
        <v>82</v>
      </c>
      <c r="BM15" s="49" t="s">
        <v>202</v>
      </c>
      <c r="BN15" s="49" t="s">
        <v>207</v>
      </c>
      <c r="BO15" s="49">
        <v>80</v>
      </c>
      <c r="BP15" s="49" t="s">
        <v>202</v>
      </c>
      <c r="BQ15" s="49" t="s">
        <v>208</v>
      </c>
      <c r="BR15" s="48">
        <v>80</v>
      </c>
      <c r="BS15" s="48" t="s">
        <v>202</v>
      </c>
      <c r="BT15" s="48" t="s">
        <v>269</v>
      </c>
      <c r="BU15" s="48">
        <v>80</v>
      </c>
      <c r="BV15" s="48" t="s">
        <v>202</v>
      </c>
      <c r="BW15" s="48" t="s">
        <v>221</v>
      </c>
      <c r="BX15" s="49">
        <v>83</v>
      </c>
      <c r="BY15" s="49" t="s">
        <v>202</v>
      </c>
      <c r="BZ15" s="49" t="s">
        <v>222</v>
      </c>
      <c r="CA15" s="49">
        <v>80</v>
      </c>
      <c r="CB15" s="49" t="s">
        <v>202</v>
      </c>
      <c r="CC15" s="49" t="s">
        <v>223</v>
      </c>
      <c r="CD15" s="48">
        <v>81</v>
      </c>
      <c r="CE15" s="48" t="s">
        <v>202</v>
      </c>
      <c r="CF15" s="48" t="s">
        <v>241</v>
      </c>
      <c r="CG15" s="48">
        <v>80</v>
      </c>
      <c r="CH15" s="48" t="s">
        <v>202</v>
      </c>
      <c r="CI15" s="48" t="s">
        <v>225</v>
      </c>
      <c r="CJ15" s="49">
        <v>83</v>
      </c>
      <c r="CK15" s="49" t="s">
        <v>202</v>
      </c>
      <c r="CL15" s="49" t="s">
        <v>270</v>
      </c>
      <c r="CM15" s="49">
        <v>50</v>
      </c>
      <c r="CN15" s="49" t="s">
        <v>271</v>
      </c>
      <c r="CO15" s="49" t="s">
        <v>227</v>
      </c>
      <c r="CP15" s="48">
        <v>83</v>
      </c>
      <c r="CQ15" s="48" t="s">
        <v>202</v>
      </c>
      <c r="CR15" s="48" t="s">
        <v>253</v>
      </c>
      <c r="CS15" s="48">
        <v>80</v>
      </c>
      <c r="CT15" s="48" t="s">
        <v>202</v>
      </c>
      <c r="CU15" s="48" t="s">
        <v>243</v>
      </c>
      <c r="CV15" s="48">
        <v>89</v>
      </c>
      <c r="CW15" s="48" t="s">
        <v>213</v>
      </c>
      <c r="CX15" s="48" t="s">
        <v>230</v>
      </c>
      <c r="CY15" s="48">
        <v>80</v>
      </c>
      <c r="CZ15" s="48" t="s">
        <v>202</v>
      </c>
      <c r="DA15" s="48" t="s">
        <v>272</v>
      </c>
      <c r="DB15" s="9" t="str">
        <f>'Input Ekstra'!E11</f>
        <v>Pramuka</v>
      </c>
      <c r="DC15" s="9" t="str">
        <f>'Input Ekstra'!F11</f>
        <v>Baik</v>
      </c>
      <c r="DD15" s="9" t="str">
        <f>'Input Ekstra'!G11</f>
        <v>Peserta didik mampu menjelaskan hal-hal terkait survival dan implementasi Dasa Dharma di alam terbuka.</v>
      </c>
      <c r="DE15" s="9">
        <f>'Input Ekstra'!H11</f>
        <v>0</v>
      </c>
      <c r="DF15" s="9">
        <f>'Input Ekstra'!I11</f>
        <v>0</v>
      </c>
      <c r="DG15" s="9">
        <f>'Input Ekstra'!J11</f>
        <v>0</v>
      </c>
      <c r="DH15" s="9" t="str">
        <f>'Input Kehadiran'!E11</f>
        <v>-</v>
      </c>
      <c r="DI15" s="9">
        <f>'Input Kehadiran'!F11</f>
        <v>2</v>
      </c>
      <c r="DJ15" s="9" t="str">
        <f>'Input Kehadiran'!G11</f>
        <v>-</v>
      </c>
      <c r="DK15" s="8">
        <f>'Input Prestasi'!D12</f>
        <v>0</v>
      </c>
      <c r="DL15" s="8">
        <f>'Input Prestasi'!E12</f>
        <v>0</v>
      </c>
      <c r="DM15" s="8">
        <f>'Input Prestasi'!F12</f>
        <v>0</v>
      </c>
      <c r="DN15" s="8">
        <f>'Input Prestasi'!G12</f>
        <v>0</v>
      </c>
      <c r="DO15" s="8">
        <f>'Input Prestasi'!H12</f>
        <v>0</v>
      </c>
      <c r="DP15" s="8">
        <f>'Input Prestasi'!I12</f>
        <v>0</v>
      </c>
      <c r="DQ15" s="8">
        <f>'Input Prestasi'!J12</f>
        <v>0</v>
      </c>
      <c r="DR15" s="8">
        <f>'Input Prestasi'!K12</f>
        <v>0</v>
      </c>
      <c r="DS15" s="9" t="str">
        <f>'Input Nilai Sikap dan Catatan'!H10</f>
        <v>Peserta didik sudah menunjukkan sikap mengamalkan ajaran agamanya, konsisten menerapkan sikap santun, jujur, dan mandiri. Tingkatkan rasa ingin tahu dan sikap baik di dalam maupun di luar pembelajaran.</v>
      </c>
    </row>
    <row r="16" spans="1:123">
      <c r="A16" s="44">
        <v>8</v>
      </c>
      <c r="B16" s="45" t="str">
        <f>IF(Setting!J13="","",Setting!J13)</f>
        <v>Daffa Arya Pudyastungkara</v>
      </c>
      <c r="C16" s="46">
        <f>IF(Setting!K13="","",Setting!K13)</f>
        <v>2008089</v>
      </c>
      <c r="D16" s="164" t="str">
        <f>IF(Setting!L13="","",Setting!L13)</f>
        <v>0043620048</v>
      </c>
      <c r="E16" s="9" t="str">
        <f>IF(Setting!$E$11="","",Setting!$E$11)</f>
        <v>X.MIPA 4</v>
      </c>
      <c r="F16" s="9" t="str">
        <f>'Input Nilai Sikap dan Catatan'!D11</f>
        <v>B</v>
      </c>
      <c r="G16" s="9" t="str">
        <f>'Input Nilai Sikap dan Catatan'!E11</f>
        <v>Taat menjalankan ibadah sholat tepat waktu dan aktif mengikuti kegiatan keagamaan di sekolah.</v>
      </c>
      <c r="H16" s="9" t="str">
        <f>'Input Nilai Sikap dan Catatan'!F11</f>
        <v>B</v>
      </c>
      <c r="I16" s="9" t="str">
        <f>'Input Nilai Sikap dan Catatan'!G11</f>
        <v>Memiliki sopan santun yang sangat baik dan selalu bersikap jujur dalam mengerjakan tugas</v>
      </c>
      <c r="J16" s="48">
        <v>90</v>
      </c>
      <c r="K16" s="48" t="s">
        <v>213</v>
      </c>
      <c r="L16" s="48" t="s">
        <v>273</v>
      </c>
      <c r="M16" s="48">
        <v>93</v>
      </c>
      <c r="N16" s="48" t="s">
        <v>213</v>
      </c>
      <c r="O16" s="48" t="s">
        <v>233</v>
      </c>
      <c r="P16" s="49">
        <v>89</v>
      </c>
      <c r="Q16" s="49" t="s">
        <v>213</v>
      </c>
      <c r="R16" s="49" t="s">
        <v>245</v>
      </c>
      <c r="S16" s="49">
        <v>83</v>
      </c>
      <c r="T16" s="49" t="s">
        <v>202</v>
      </c>
      <c r="U16" s="49" t="s">
        <v>234</v>
      </c>
      <c r="V16" s="50">
        <v>91</v>
      </c>
      <c r="W16" s="51" t="s">
        <v>213</v>
      </c>
      <c r="X16" s="52" t="s">
        <v>207</v>
      </c>
      <c r="Y16" s="50">
        <v>90</v>
      </c>
      <c r="Z16" s="51" t="s">
        <v>213</v>
      </c>
      <c r="AA16" s="53" t="s">
        <v>208</v>
      </c>
      <c r="AB16" s="49">
        <v>86</v>
      </c>
      <c r="AC16" s="49" t="s">
        <v>202</v>
      </c>
      <c r="AD16" s="49" t="s">
        <v>246</v>
      </c>
      <c r="AE16" s="49">
        <v>82</v>
      </c>
      <c r="AF16" s="49" t="s">
        <v>202</v>
      </c>
      <c r="AG16" s="49" t="s">
        <v>210</v>
      </c>
      <c r="AH16" s="48">
        <v>88</v>
      </c>
      <c r="AI16" s="48" t="s">
        <v>213</v>
      </c>
      <c r="AJ16" s="48" t="s">
        <v>211</v>
      </c>
      <c r="AK16" s="48">
        <v>80</v>
      </c>
      <c r="AL16" s="48" t="s">
        <v>202</v>
      </c>
      <c r="AM16" s="48" t="s">
        <v>212</v>
      </c>
      <c r="AN16" s="49">
        <v>89</v>
      </c>
      <c r="AO16" s="49" t="s">
        <v>213</v>
      </c>
      <c r="AP16" s="49" t="s">
        <v>1114</v>
      </c>
      <c r="AQ16" s="49">
        <v>80</v>
      </c>
      <c r="AR16" s="49" t="s">
        <v>202</v>
      </c>
      <c r="AS16" s="49" t="s">
        <v>1115</v>
      </c>
      <c r="AT16" s="48">
        <v>89</v>
      </c>
      <c r="AU16" s="48" t="s">
        <v>213</v>
      </c>
      <c r="AV16" s="48" t="s">
        <v>214</v>
      </c>
      <c r="AW16" s="48">
        <v>81</v>
      </c>
      <c r="AX16" s="48" t="s">
        <v>202</v>
      </c>
      <c r="AY16" s="48" t="s">
        <v>215</v>
      </c>
      <c r="AZ16" s="49">
        <v>87</v>
      </c>
      <c r="BA16" s="49" t="s">
        <v>202</v>
      </c>
      <c r="BB16" s="49" t="s">
        <v>216</v>
      </c>
      <c r="BC16" s="49">
        <v>82</v>
      </c>
      <c r="BD16" s="49" t="s">
        <v>202</v>
      </c>
      <c r="BE16" s="49" t="s">
        <v>217</v>
      </c>
      <c r="BF16" s="48">
        <v>87</v>
      </c>
      <c r="BG16" s="48" t="s">
        <v>202</v>
      </c>
      <c r="BH16" s="48" t="s">
        <v>247</v>
      </c>
      <c r="BI16" s="48">
        <v>93</v>
      </c>
      <c r="BJ16" s="48" t="s">
        <v>213</v>
      </c>
      <c r="BK16" s="48" t="s">
        <v>219</v>
      </c>
      <c r="BL16" s="49">
        <v>91</v>
      </c>
      <c r="BM16" s="49" t="s">
        <v>213</v>
      </c>
      <c r="BN16" s="49" t="s">
        <v>207</v>
      </c>
      <c r="BO16" s="49">
        <v>90</v>
      </c>
      <c r="BP16" s="49" t="s">
        <v>213</v>
      </c>
      <c r="BQ16" s="49" t="s">
        <v>208</v>
      </c>
      <c r="BR16" s="48">
        <v>91</v>
      </c>
      <c r="BS16" s="48" t="s">
        <v>213</v>
      </c>
      <c r="BT16" s="48" t="s">
        <v>255</v>
      </c>
      <c r="BU16" s="48">
        <v>94</v>
      </c>
      <c r="BV16" s="48" t="s">
        <v>213</v>
      </c>
      <c r="BW16" s="48" t="s">
        <v>239</v>
      </c>
      <c r="BX16" s="49">
        <v>89</v>
      </c>
      <c r="BY16" s="49" t="s">
        <v>213</v>
      </c>
      <c r="BZ16" s="49" t="s">
        <v>274</v>
      </c>
      <c r="CA16" s="49">
        <v>86</v>
      </c>
      <c r="CB16" s="49" t="s">
        <v>202</v>
      </c>
      <c r="CC16" s="49" t="s">
        <v>223</v>
      </c>
      <c r="CD16" s="48">
        <v>88</v>
      </c>
      <c r="CE16" s="48" t="s">
        <v>213</v>
      </c>
      <c r="CF16" s="48" t="s">
        <v>241</v>
      </c>
      <c r="CG16" s="48">
        <v>85</v>
      </c>
      <c r="CH16" s="48" t="s">
        <v>202</v>
      </c>
      <c r="CI16" s="48" t="s">
        <v>225</v>
      </c>
      <c r="CJ16" s="49">
        <v>89</v>
      </c>
      <c r="CK16" s="49" t="s">
        <v>213</v>
      </c>
      <c r="CL16" s="49" t="s">
        <v>226</v>
      </c>
      <c r="CM16" s="49">
        <v>85</v>
      </c>
      <c r="CN16" s="49" t="s">
        <v>202</v>
      </c>
      <c r="CO16" s="49" t="s">
        <v>227</v>
      </c>
      <c r="CP16" s="48">
        <v>86</v>
      </c>
      <c r="CQ16" s="48" t="s">
        <v>202</v>
      </c>
      <c r="CR16" s="48" t="s">
        <v>275</v>
      </c>
      <c r="CS16" s="48">
        <v>81</v>
      </c>
      <c r="CT16" s="48" t="s">
        <v>202</v>
      </c>
      <c r="CU16" s="48" t="s">
        <v>229</v>
      </c>
      <c r="CV16" s="48">
        <v>92</v>
      </c>
      <c r="CW16" s="48" t="s">
        <v>213</v>
      </c>
      <c r="CX16" s="48" t="s">
        <v>230</v>
      </c>
      <c r="CY16" s="48">
        <v>80</v>
      </c>
      <c r="CZ16" s="48" t="s">
        <v>202</v>
      </c>
      <c r="DA16" s="48" t="s">
        <v>231</v>
      </c>
      <c r="DB16" s="9" t="str">
        <f>'Input Ekstra'!E12</f>
        <v>PMR</v>
      </c>
      <c r="DC16" s="9" t="str">
        <f>'Input Ekstra'!F12</f>
        <v>Baik</v>
      </c>
      <c r="DD16" s="9" t="str">
        <f>'Input Ekstra'!G12</f>
        <v>Peserta didik memiliki kemampuan yang baik dalam materi pertolongan pertama, siaga dan tanggap bencana,  dan kepekaan terhadap lingkungan sekitar yang tinggi</v>
      </c>
      <c r="DE16" s="9">
        <f>'Input Ekstra'!H12</f>
        <v>0</v>
      </c>
      <c r="DF16" s="9">
        <f>'Input Ekstra'!I12</f>
        <v>0</v>
      </c>
      <c r="DG16" s="9">
        <f>'Input Ekstra'!J12</f>
        <v>0</v>
      </c>
      <c r="DH16" s="9" t="str">
        <f>'Input Kehadiran'!E12</f>
        <v>-</v>
      </c>
      <c r="DI16" s="9" t="str">
        <f>'Input Kehadiran'!F12</f>
        <v>-</v>
      </c>
      <c r="DJ16" s="9" t="str">
        <f>'Input Kehadiran'!G12</f>
        <v>-</v>
      </c>
      <c r="DK16" s="8">
        <f>'Input Prestasi'!D13</f>
        <v>0</v>
      </c>
      <c r="DL16" s="8">
        <f>'Input Prestasi'!E13</f>
        <v>0</v>
      </c>
      <c r="DM16" s="8">
        <f>'Input Prestasi'!F13</f>
        <v>0</v>
      </c>
      <c r="DN16" s="8">
        <f>'Input Prestasi'!G13</f>
        <v>0</v>
      </c>
      <c r="DO16" s="8">
        <f>'Input Prestasi'!H13</f>
        <v>0</v>
      </c>
      <c r="DP16" s="8">
        <f>'Input Prestasi'!I13</f>
        <v>0</v>
      </c>
      <c r="DQ16" s="8">
        <f>'Input Prestasi'!J13</f>
        <v>0</v>
      </c>
      <c r="DR16" s="8">
        <f>'Input Prestasi'!K13</f>
        <v>0</v>
      </c>
      <c r="DS16" s="9" t="str">
        <f>'Input Nilai Sikap dan Catatan'!H11</f>
        <v>Peserta didik sudah menunjukkan sikap mengamalkan ajaran agamanya, konsisten menerapkan sikap santun, jujur, dan mandiri. Tingkatkan rasa ingin tahu dan sikap baik di dalam maupun di luar pembelajaran.</v>
      </c>
    </row>
    <row r="17" spans="1:123">
      <c r="A17" s="44">
        <v>9</v>
      </c>
      <c r="B17" s="45" t="str">
        <f>IF(Setting!J14="","",Setting!J14)</f>
        <v>Dody Muhammad Pasha</v>
      </c>
      <c r="C17" s="46">
        <v>1705128</v>
      </c>
      <c r="D17" s="164" t="str">
        <f>IF(Setting!L14="","",Setting!L14)</f>
        <v>0053814584</v>
      </c>
      <c r="E17" s="9" t="s">
        <v>56</v>
      </c>
      <c r="F17" s="9" t="str">
        <f>'Input Nilai Sikap dan Catatan'!D12</f>
        <v>B</v>
      </c>
      <c r="G17" s="9" t="str">
        <f>'Input Nilai Sikap dan Catatan'!E12</f>
        <v>Taat menjalankan ibadah sholat tepat waktu dan aktif mengikuti kegiatan keagamaan di sekolah.</v>
      </c>
      <c r="H17" s="9" t="str">
        <f>'Input Nilai Sikap dan Catatan'!F12</f>
        <v>B</v>
      </c>
      <c r="I17" s="9" t="str">
        <f>'Input Nilai Sikap dan Catatan'!G12</f>
        <v>Memiliki sopan santun yang sangat baik dan selalu bersikap jujur dalam mengerjakan tugas</v>
      </c>
      <c r="J17" s="48">
        <v>91</v>
      </c>
      <c r="K17" s="48" t="s">
        <v>213</v>
      </c>
      <c r="L17" s="48" t="s">
        <v>203</v>
      </c>
      <c r="M17" s="48">
        <v>95</v>
      </c>
      <c r="N17" s="48" t="s">
        <v>213</v>
      </c>
      <c r="O17" s="48" t="s">
        <v>233</v>
      </c>
      <c r="P17" s="49">
        <v>88</v>
      </c>
      <c r="Q17" s="49" t="s">
        <v>213</v>
      </c>
      <c r="R17" s="49" t="s">
        <v>205</v>
      </c>
      <c r="S17" s="49">
        <v>83</v>
      </c>
      <c r="T17" s="49" t="s">
        <v>202</v>
      </c>
      <c r="U17" s="49" t="s">
        <v>206</v>
      </c>
      <c r="V17" s="50">
        <v>91</v>
      </c>
      <c r="W17" s="51" t="s">
        <v>213</v>
      </c>
      <c r="X17" s="52" t="s">
        <v>258</v>
      </c>
      <c r="Y17" s="50">
        <v>90</v>
      </c>
      <c r="Z17" s="51" t="s">
        <v>213</v>
      </c>
      <c r="AA17" s="53" t="s">
        <v>259</v>
      </c>
      <c r="AB17" s="49">
        <v>87</v>
      </c>
      <c r="AC17" s="49" t="s">
        <v>202</v>
      </c>
      <c r="AD17" s="49" t="s">
        <v>209</v>
      </c>
      <c r="AE17" s="49">
        <v>84</v>
      </c>
      <c r="AF17" s="49" t="s">
        <v>202</v>
      </c>
      <c r="AG17" s="49" t="s">
        <v>210</v>
      </c>
      <c r="AH17" s="48">
        <v>93</v>
      </c>
      <c r="AI17" s="48" t="s">
        <v>213</v>
      </c>
      <c r="AJ17" s="48" t="s">
        <v>211</v>
      </c>
      <c r="AK17" s="48">
        <v>84</v>
      </c>
      <c r="AL17" s="48" t="s">
        <v>202</v>
      </c>
      <c r="AM17" s="48" t="s">
        <v>212</v>
      </c>
      <c r="AN17" s="49">
        <v>90</v>
      </c>
      <c r="AO17" s="49" t="s">
        <v>213</v>
      </c>
      <c r="AP17" s="49" t="s">
        <v>1119</v>
      </c>
      <c r="AQ17" s="49">
        <v>86</v>
      </c>
      <c r="AR17" s="49" t="s">
        <v>202</v>
      </c>
      <c r="AS17" s="49" t="s">
        <v>1116</v>
      </c>
      <c r="AT17" s="48">
        <v>90</v>
      </c>
      <c r="AU17" s="48" t="s">
        <v>213</v>
      </c>
      <c r="AV17" s="48" t="s">
        <v>214</v>
      </c>
      <c r="AW17" s="48">
        <v>84</v>
      </c>
      <c r="AX17" s="48" t="s">
        <v>202</v>
      </c>
      <c r="AY17" s="48" t="s">
        <v>215</v>
      </c>
      <c r="AZ17" s="49">
        <v>89</v>
      </c>
      <c r="BA17" s="49" t="s">
        <v>213</v>
      </c>
      <c r="BB17" s="49" t="s">
        <v>276</v>
      </c>
      <c r="BC17" s="49">
        <v>86</v>
      </c>
      <c r="BD17" s="49" t="s">
        <v>202</v>
      </c>
      <c r="BE17" s="49" t="s">
        <v>277</v>
      </c>
      <c r="BF17" s="48">
        <v>89</v>
      </c>
      <c r="BG17" s="48" t="s">
        <v>213</v>
      </c>
      <c r="BH17" s="48" t="s">
        <v>218</v>
      </c>
      <c r="BI17" s="48">
        <v>98</v>
      </c>
      <c r="BJ17" s="48" t="s">
        <v>213</v>
      </c>
      <c r="BK17" s="48" t="s">
        <v>219</v>
      </c>
      <c r="BL17" s="49">
        <v>91</v>
      </c>
      <c r="BM17" s="49" t="s">
        <v>213</v>
      </c>
      <c r="BN17" s="49" t="s">
        <v>258</v>
      </c>
      <c r="BO17" s="49">
        <v>90</v>
      </c>
      <c r="BP17" s="49" t="s">
        <v>213</v>
      </c>
      <c r="BQ17" s="49" t="s">
        <v>259</v>
      </c>
      <c r="BR17" s="48">
        <v>89</v>
      </c>
      <c r="BS17" s="48" t="s">
        <v>213</v>
      </c>
      <c r="BT17" s="48" t="s">
        <v>269</v>
      </c>
      <c r="BU17" s="48">
        <v>95</v>
      </c>
      <c r="BV17" s="48" t="s">
        <v>213</v>
      </c>
      <c r="BW17" s="48" t="s">
        <v>221</v>
      </c>
      <c r="BX17" s="49">
        <v>86</v>
      </c>
      <c r="BY17" s="49" t="s">
        <v>202</v>
      </c>
      <c r="BZ17" s="49" t="s">
        <v>278</v>
      </c>
      <c r="CA17" s="49">
        <v>91</v>
      </c>
      <c r="CB17" s="49" t="s">
        <v>213</v>
      </c>
      <c r="CC17" s="49" t="s">
        <v>223</v>
      </c>
      <c r="CD17" s="48">
        <v>87</v>
      </c>
      <c r="CE17" s="48" t="s">
        <v>202</v>
      </c>
      <c r="CF17" s="48" t="s">
        <v>224</v>
      </c>
      <c r="CG17" s="48">
        <v>87</v>
      </c>
      <c r="CH17" s="48" t="s">
        <v>202</v>
      </c>
      <c r="CI17" s="48" t="s">
        <v>225</v>
      </c>
      <c r="CJ17" s="49">
        <v>90</v>
      </c>
      <c r="CK17" s="49" t="s">
        <v>213</v>
      </c>
      <c r="CL17" s="49" t="s">
        <v>279</v>
      </c>
      <c r="CM17" s="49">
        <v>87</v>
      </c>
      <c r="CN17" s="49" t="s">
        <v>202</v>
      </c>
      <c r="CO17" s="49" t="s">
        <v>227</v>
      </c>
      <c r="CP17" s="48">
        <v>87</v>
      </c>
      <c r="CQ17" s="48" t="s">
        <v>202</v>
      </c>
      <c r="CR17" s="48" t="s">
        <v>253</v>
      </c>
      <c r="CS17" s="48">
        <v>84</v>
      </c>
      <c r="CT17" s="48" t="s">
        <v>202</v>
      </c>
      <c r="CU17" s="48" t="s">
        <v>280</v>
      </c>
      <c r="CV17" s="48">
        <v>92</v>
      </c>
      <c r="CW17" s="48" t="s">
        <v>213</v>
      </c>
      <c r="CX17" s="48" t="s">
        <v>230</v>
      </c>
      <c r="CY17" s="48">
        <v>80</v>
      </c>
      <c r="CZ17" s="48" t="s">
        <v>202</v>
      </c>
      <c r="DA17" s="48" t="s">
        <v>231</v>
      </c>
      <c r="DB17" s="9" t="str">
        <f>'Input Ekstra'!E13</f>
        <v>Pramuka</v>
      </c>
      <c r="DC17" s="9" t="str">
        <f>'Input Ekstra'!F13</f>
        <v>Baik</v>
      </c>
      <c r="DD17" s="9" t="str">
        <f>'Input Ekstra'!G13</f>
        <v>Peserta didik mampu menjelaskan hal-hal terkait survival dan implementasi Dasa Dharma di alam terbuka.</v>
      </c>
      <c r="DE17" s="9">
        <f>'Input Ekstra'!H13</f>
        <v>0</v>
      </c>
      <c r="DF17" s="9">
        <f>'Input Ekstra'!I13</f>
        <v>0</v>
      </c>
      <c r="DG17" s="9">
        <f>'Input Ekstra'!J13</f>
        <v>0</v>
      </c>
      <c r="DH17" s="9" t="str">
        <f>'Input Kehadiran'!E13</f>
        <v>-</v>
      </c>
      <c r="DI17" s="9" t="str">
        <f>'Input Kehadiran'!F13</f>
        <v>-</v>
      </c>
      <c r="DJ17" s="9" t="str">
        <f>'Input Kehadiran'!G13</f>
        <v>-</v>
      </c>
      <c r="DK17" s="8">
        <f>'Input Prestasi'!D14</f>
        <v>0</v>
      </c>
      <c r="DL17" s="8">
        <f>'Input Prestasi'!E14</f>
        <v>0</v>
      </c>
      <c r="DM17" s="8">
        <f>'Input Prestasi'!F14</f>
        <v>0</v>
      </c>
      <c r="DN17" s="8">
        <f>'Input Prestasi'!G14</f>
        <v>0</v>
      </c>
      <c r="DO17" s="8">
        <f>'Input Prestasi'!H14</f>
        <v>0</v>
      </c>
      <c r="DP17" s="8">
        <f>'Input Prestasi'!I14</f>
        <v>0</v>
      </c>
      <c r="DQ17" s="8">
        <f>'Input Prestasi'!J14</f>
        <v>0</v>
      </c>
      <c r="DR17" s="8">
        <f>'Input Prestasi'!K14</f>
        <v>0</v>
      </c>
      <c r="DS17" s="9" t="str">
        <f>'Input Nilai Sikap dan Catatan'!H12</f>
        <v>Peserta didik sudah menunjukkan sikap mengamalkan ajaran agamanya, konsisten menerapkan sikap santun, jujur, dan mandiri. Tingkatkan rasa ingin tahu dan sikap baik di dalam maupun di luar pembelajaran.</v>
      </c>
    </row>
    <row r="18" spans="1:123">
      <c r="A18" s="44">
        <v>10</v>
      </c>
      <c r="B18" s="45" t="str">
        <f>IF(Setting!J15="","",Setting!J15)</f>
        <v>Elga Perdana</v>
      </c>
      <c r="C18" s="46">
        <f>IF(Setting!K15="","",Setting!K15)</f>
        <v>2008099</v>
      </c>
      <c r="D18" s="164" t="str">
        <f>IF(Setting!L15="","",Setting!L15)</f>
        <v>0054718584</v>
      </c>
      <c r="E18" s="9" t="str">
        <f>IF(Setting!$E$11="","",Setting!$E$11)</f>
        <v>X.MIPA 4</v>
      </c>
      <c r="F18" s="9" t="str">
        <f>'Input Nilai Sikap dan Catatan'!D13</f>
        <v>B</v>
      </c>
      <c r="G18" s="9" t="str">
        <f>'Input Nilai Sikap dan Catatan'!E13</f>
        <v>Taat menjalankan ibadah sholat tepat waktu dan aktif mengikuti kegiatan keagamaan di sekolah.</v>
      </c>
      <c r="H18" s="9" t="str">
        <f>'Input Nilai Sikap dan Catatan'!F13</f>
        <v>B</v>
      </c>
      <c r="I18" s="9" t="str">
        <f>'Input Nilai Sikap dan Catatan'!G13</f>
        <v>Memiliki sopan santun yang sangat baik dan selalu bersikap jujur dalam mengerjakan tugas</v>
      </c>
      <c r="J18" s="48">
        <v>81</v>
      </c>
      <c r="K18" s="48" t="s">
        <v>202</v>
      </c>
      <c r="L18" s="48" t="s">
        <v>273</v>
      </c>
      <c r="M18" s="48">
        <v>80</v>
      </c>
      <c r="N18" s="48" t="s">
        <v>202</v>
      </c>
      <c r="O18" s="48" t="s">
        <v>204</v>
      </c>
      <c r="P18" s="49">
        <v>83</v>
      </c>
      <c r="Q18" s="49" t="s">
        <v>202</v>
      </c>
      <c r="R18" s="49" t="s">
        <v>205</v>
      </c>
      <c r="S18" s="49">
        <v>83</v>
      </c>
      <c r="T18" s="49" t="s">
        <v>202</v>
      </c>
      <c r="U18" s="49" t="s">
        <v>206</v>
      </c>
      <c r="V18" s="50">
        <v>90</v>
      </c>
      <c r="W18" s="51" t="s">
        <v>213</v>
      </c>
      <c r="X18" s="52" t="s">
        <v>235</v>
      </c>
      <c r="Y18" s="50">
        <v>85</v>
      </c>
      <c r="Z18" s="51" t="s">
        <v>202</v>
      </c>
      <c r="AA18" s="53" t="s">
        <v>208</v>
      </c>
      <c r="AB18" s="49">
        <v>80</v>
      </c>
      <c r="AC18" s="49" t="s">
        <v>202</v>
      </c>
      <c r="AD18" s="49" t="s">
        <v>209</v>
      </c>
      <c r="AE18" s="49">
        <v>80</v>
      </c>
      <c r="AF18" s="49" t="s">
        <v>202</v>
      </c>
      <c r="AG18" s="49" t="s">
        <v>210</v>
      </c>
      <c r="AH18" s="48">
        <v>80</v>
      </c>
      <c r="AI18" s="48" t="s">
        <v>202</v>
      </c>
      <c r="AJ18" s="48" t="s">
        <v>237</v>
      </c>
      <c r="AK18" s="48">
        <v>80</v>
      </c>
      <c r="AL18" s="48" t="s">
        <v>202</v>
      </c>
      <c r="AM18" s="48" t="s">
        <v>212</v>
      </c>
      <c r="AN18" s="49">
        <v>86</v>
      </c>
      <c r="AO18" s="49" t="s">
        <v>202</v>
      </c>
      <c r="AP18" s="49" t="s">
        <v>1117</v>
      </c>
      <c r="AQ18" s="49">
        <v>90</v>
      </c>
      <c r="AR18" s="49" t="s">
        <v>213</v>
      </c>
      <c r="AS18" s="49" t="s">
        <v>1116</v>
      </c>
      <c r="AT18" s="48">
        <v>88</v>
      </c>
      <c r="AU18" s="48" t="s">
        <v>271</v>
      </c>
      <c r="AV18" s="48" t="s">
        <v>214</v>
      </c>
      <c r="AW18" s="48">
        <v>80</v>
      </c>
      <c r="AX18" s="48" t="s">
        <v>271</v>
      </c>
      <c r="AY18" s="48" t="s">
        <v>215</v>
      </c>
      <c r="AZ18" s="49">
        <v>85</v>
      </c>
      <c r="BA18" s="49" t="s">
        <v>202</v>
      </c>
      <c r="BB18" s="49" t="s">
        <v>260</v>
      </c>
      <c r="BC18" s="49">
        <v>80</v>
      </c>
      <c r="BD18" s="49" t="s">
        <v>202</v>
      </c>
      <c r="BE18" s="49" t="s">
        <v>217</v>
      </c>
      <c r="BF18" s="48">
        <v>80</v>
      </c>
      <c r="BG18" s="48" t="s">
        <v>202</v>
      </c>
      <c r="BH18" s="48" t="s">
        <v>218</v>
      </c>
      <c r="BI18" s="48">
        <v>80</v>
      </c>
      <c r="BJ18" s="48" t="s">
        <v>202</v>
      </c>
      <c r="BK18" s="48" t="s">
        <v>219</v>
      </c>
      <c r="BL18" s="49">
        <v>90</v>
      </c>
      <c r="BM18" s="49" t="s">
        <v>213</v>
      </c>
      <c r="BN18" s="49" t="s">
        <v>235</v>
      </c>
      <c r="BO18" s="49">
        <v>85</v>
      </c>
      <c r="BP18" s="49" t="s">
        <v>202</v>
      </c>
      <c r="BQ18" s="49" t="s">
        <v>208</v>
      </c>
      <c r="BR18" s="48">
        <v>80</v>
      </c>
      <c r="BS18" s="48" t="s">
        <v>202</v>
      </c>
      <c r="BT18" s="48" t="s">
        <v>238</v>
      </c>
      <c r="BU18" s="48">
        <v>80</v>
      </c>
      <c r="BV18" s="48" t="s">
        <v>202</v>
      </c>
      <c r="BW18" s="48" t="s">
        <v>221</v>
      </c>
      <c r="BX18" s="49">
        <v>87</v>
      </c>
      <c r="BY18" s="49" t="s">
        <v>202</v>
      </c>
      <c r="BZ18" s="49" t="s">
        <v>250</v>
      </c>
      <c r="CA18" s="49">
        <v>82</v>
      </c>
      <c r="CB18" s="49" t="s">
        <v>202</v>
      </c>
      <c r="CC18" s="49" t="s">
        <v>223</v>
      </c>
      <c r="CD18" s="48">
        <v>83</v>
      </c>
      <c r="CE18" s="48" t="s">
        <v>202</v>
      </c>
      <c r="CF18" s="48" t="s">
        <v>241</v>
      </c>
      <c r="CG18" s="48">
        <v>85</v>
      </c>
      <c r="CH18" s="48" t="s">
        <v>202</v>
      </c>
      <c r="CI18" s="48" t="s">
        <v>225</v>
      </c>
      <c r="CJ18" s="49">
        <v>81</v>
      </c>
      <c r="CK18" s="49" t="s">
        <v>202</v>
      </c>
      <c r="CL18" s="49" t="s">
        <v>256</v>
      </c>
      <c r="CM18" s="49">
        <v>85</v>
      </c>
      <c r="CN18" s="49" t="s">
        <v>202</v>
      </c>
      <c r="CO18" s="49" t="s">
        <v>227</v>
      </c>
      <c r="CP18" s="48">
        <v>84</v>
      </c>
      <c r="CQ18" s="48" t="s">
        <v>202</v>
      </c>
      <c r="CR18" s="48" t="s">
        <v>281</v>
      </c>
      <c r="CS18" s="48">
        <v>81</v>
      </c>
      <c r="CT18" s="48" t="s">
        <v>202</v>
      </c>
      <c r="CU18" s="48" t="s">
        <v>280</v>
      </c>
      <c r="CV18" s="48">
        <v>88</v>
      </c>
      <c r="CW18" s="48" t="s">
        <v>213</v>
      </c>
      <c r="CX18" s="48" t="s">
        <v>282</v>
      </c>
      <c r="CY18" s="48">
        <v>80</v>
      </c>
      <c r="CZ18" s="48" t="s">
        <v>202</v>
      </c>
      <c r="DA18" s="48" t="s">
        <v>231</v>
      </c>
      <c r="DB18" s="9" t="str">
        <f>'Input Ekstra'!E14</f>
        <v>Pramuka</v>
      </c>
      <c r="DC18" s="9" t="str">
        <f>'Input Ekstra'!F14</f>
        <v>Baik</v>
      </c>
      <c r="DD18" s="9" t="str">
        <f>'Input Ekstra'!G14</f>
        <v>Peserta didik mampu menjelaskan hal-hal terkait survival dan implementasi Dasa Dharma di alam terbuka.</v>
      </c>
      <c r="DE18" s="9">
        <f>'Input Ekstra'!H14</f>
        <v>0</v>
      </c>
      <c r="DF18" s="9">
        <f>'Input Ekstra'!I14</f>
        <v>0</v>
      </c>
      <c r="DG18" s="9">
        <f>'Input Ekstra'!J14</f>
        <v>0</v>
      </c>
      <c r="DH18" s="9" t="str">
        <f>'Input Kehadiran'!E14</f>
        <v>-</v>
      </c>
      <c r="DI18" s="9" t="str">
        <f>'Input Kehadiran'!F14</f>
        <v>-</v>
      </c>
      <c r="DJ18" s="9" t="str">
        <f>'Input Kehadiran'!G14</f>
        <v>-</v>
      </c>
      <c r="DK18" s="8">
        <f>'Input Prestasi'!D15</f>
        <v>0</v>
      </c>
      <c r="DL18" s="8">
        <f>'Input Prestasi'!E15</f>
        <v>0</v>
      </c>
      <c r="DM18" s="8">
        <f>'Input Prestasi'!F15</f>
        <v>0</v>
      </c>
      <c r="DN18" s="8">
        <f>'Input Prestasi'!G15</f>
        <v>0</v>
      </c>
      <c r="DO18" s="8">
        <f>'Input Prestasi'!H15</f>
        <v>0</v>
      </c>
      <c r="DP18" s="8">
        <f>'Input Prestasi'!I15</f>
        <v>0</v>
      </c>
      <c r="DQ18" s="8">
        <f>'Input Prestasi'!J15</f>
        <v>0</v>
      </c>
      <c r="DR18" s="8">
        <f>'Input Prestasi'!K15</f>
        <v>0</v>
      </c>
      <c r="DS18" s="9" t="str">
        <f>'Input Nilai Sikap dan Catatan'!H13</f>
        <v>Peserta didik sudah menunjukkan sikap mengamalkan ajaran agamanya, konsisten menerapkan sikap santun, jujur, dan mandiri. Tingkatkan rasa ingin tahu dan sikap baik di dalam maupun di luar pembelajaran.</v>
      </c>
    </row>
    <row r="19" spans="1:123">
      <c r="A19" s="44">
        <v>11</v>
      </c>
      <c r="B19" s="45" t="str">
        <f>IF(Setting!J16="","",Setting!J16)</f>
        <v>Fathoni Daniswara</v>
      </c>
      <c r="C19" s="46">
        <f>IF(Setting!K16="","",Setting!K16)</f>
        <v>2008118</v>
      </c>
      <c r="D19" s="164" t="s">
        <v>78</v>
      </c>
      <c r="E19" s="9" t="str">
        <f>IF(Setting!$E$11="","",Setting!$E$11)</f>
        <v>X.MIPA 4</v>
      </c>
      <c r="F19" s="9" t="str">
        <f>'Input Nilai Sikap dan Catatan'!D14</f>
        <v>B</v>
      </c>
      <c r="G19" s="9" t="str">
        <f>'Input Nilai Sikap dan Catatan'!E14</f>
        <v>Taat menjalankan ibadah sholat tepat waktu dan aktif mengikuti kegiatan keagamaan di sekolah.</v>
      </c>
      <c r="H19" s="9" t="str">
        <f>'Input Nilai Sikap dan Catatan'!F14</f>
        <v>B</v>
      </c>
      <c r="I19" s="9" t="str">
        <f>'Input Nilai Sikap dan Catatan'!G14</f>
        <v>Memiliki sopan santun yang sangat baik dan selalu bersikap jujur dalam mengerjakan tugas</v>
      </c>
      <c r="J19" s="48">
        <v>90</v>
      </c>
      <c r="K19" s="48" t="s">
        <v>213</v>
      </c>
      <c r="L19" s="48" t="s">
        <v>203</v>
      </c>
      <c r="M19" s="48">
        <v>91</v>
      </c>
      <c r="N19" s="48" t="s">
        <v>213</v>
      </c>
      <c r="O19" s="48" t="s">
        <v>283</v>
      </c>
      <c r="P19" s="49">
        <v>88</v>
      </c>
      <c r="Q19" s="49" t="s">
        <v>213</v>
      </c>
      <c r="R19" s="49" t="s">
        <v>245</v>
      </c>
      <c r="S19" s="49">
        <v>83</v>
      </c>
      <c r="T19" s="49" t="s">
        <v>202</v>
      </c>
      <c r="U19" s="49" t="s">
        <v>206</v>
      </c>
      <c r="V19" s="50">
        <v>91</v>
      </c>
      <c r="W19" s="51" t="s">
        <v>213</v>
      </c>
      <c r="X19" s="52" t="s">
        <v>235</v>
      </c>
      <c r="Y19" s="50">
        <v>95</v>
      </c>
      <c r="Z19" s="51" t="s">
        <v>213</v>
      </c>
      <c r="AA19" s="53" t="s">
        <v>208</v>
      </c>
      <c r="AB19" s="49">
        <v>88</v>
      </c>
      <c r="AC19" s="49" t="s">
        <v>213</v>
      </c>
      <c r="AD19" s="49" t="s">
        <v>246</v>
      </c>
      <c r="AE19" s="49">
        <v>83</v>
      </c>
      <c r="AF19" s="49" t="s">
        <v>202</v>
      </c>
      <c r="AG19" s="49" t="s">
        <v>210</v>
      </c>
      <c r="AH19" s="48">
        <v>88</v>
      </c>
      <c r="AI19" s="48" t="s">
        <v>213</v>
      </c>
      <c r="AJ19" s="48" t="s">
        <v>211</v>
      </c>
      <c r="AK19" s="48">
        <v>80</v>
      </c>
      <c r="AL19" s="48" t="s">
        <v>202</v>
      </c>
      <c r="AM19" s="48" t="s">
        <v>212</v>
      </c>
      <c r="AN19" s="49">
        <v>86</v>
      </c>
      <c r="AO19" s="49" t="s">
        <v>202</v>
      </c>
      <c r="AP19" s="49" t="s">
        <v>1117</v>
      </c>
      <c r="AQ19" s="49">
        <v>86</v>
      </c>
      <c r="AR19" s="49" t="s">
        <v>202</v>
      </c>
      <c r="AS19" s="49" t="s">
        <v>1116</v>
      </c>
      <c r="AT19" s="48">
        <v>89</v>
      </c>
      <c r="AU19" s="48" t="s">
        <v>213</v>
      </c>
      <c r="AV19" s="48" t="s">
        <v>214</v>
      </c>
      <c r="AW19" s="48">
        <v>81</v>
      </c>
      <c r="AX19" s="48" t="s">
        <v>202</v>
      </c>
      <c r="AY19" s="48" t="s">
        <v>215</v>
      </c>
      <c r="AZ19" s="49">
        <v>88</v>
      </c>
      <c r="BA19" s="49" t="s">
        <v>213</v>
      </c>
      <c r="BB19" s="49" t="s">
        <v>216</v>
      </c>
      <c r="BC19" s="49">
        <v>82</v>
      </c>
      <c r="BD19" s="49" t="s">
        <v>202</v>
      </c>
      <c r="BE19" s="49" t="s">
        <v>217</v>
      </c>
      <c r="BF19" s="48">
        <v>87</v>
      </c>
      <c r="BG19" s="48" t="s">
        <v>202</v>
      </c>
      <c r="BH19" s="48" t="s">
        <v>247</v>
      </c>
      <c r="BI19" s="48">
        <v>94</v>
      </c>
      <c r="BJ19" s="48" t="s">
        <v>213</v>
      </c>
      <c r="BK19" s="48" t="s">
        <v>219</v>
      </c>
      <c r="BL19" s="49">
        <v>91</v>
      </c>
      <c r="BM19" s="49" t="s">
        <v>213</v>
      </c>
      <c r="BN19" s="49" t="s">
        <v>235</v>
      </c>
      <c r="BO19" s="49">
        <v>95</v>
      </c>
      <c r="BP19" s="49" t="s">
        <v>213</v>
      </c>
      <c r="BQ19" s="49" t="s">
        <v>208</v>
      </c>
      <c r="BR19" s="48">
        <v>90</v>
      </c>
      <c r="BS19" s="48" t="s">
        <v>213</v>
      </c>
      <c r="BT19" s="48" t="s">
        <v>284</v>
      </c>
      <c r="BU19" s="48">
        <v>94</v>
      </c>
      <c r="BV19" s="48" t="s">
        <v>213</v>
      </c>
      <c r="BW19" s="48" t="s">
        <v>221</v>
      </c>
      <c r="BX19" s="49">
        <v>88</v>
      </c>
      <c r="BY19" s="49" t="s">
        <v>213</v>
      </c>
      <c r="BZ19" s="49" t="s">
        <v>250</v>
      </c>
      <c r="CA19" s="49">
        <v>86</v>
      </c>
      <c r="CB19" s="49" t="s">
        <v>202</v>
      </c>
      <c r="CC19" s="49" t="s">
        <v>223</v>
      </c>
      <c r="CD19" s="48">
        <v>87</v>
      </c>
      <c r="CE19" s="48" t="s">
        <v>202</v>
      </c>
      <c r="CF19" s="48" t="s">
        <v>241</v>
      </c>
      <c r="CG19" s="48">
        <v>87</v>
      </c>
      <c r="CH19" s="48" t="s">
        <v>202</v>
      </c>
      <c r="CI19" s="48" t="s">
        <v>225</v>
      </c>
      <c r="CJ19" s="49">
        <v>89</v>
      </c>
      <c r="CK19" s="49" t="s">
        <v>213</v>
      </c>
      <c r="CL19" s="49" t="s">
        <v>256</v>
      </c>
      <c r="CM19" s="49">
        <v>87</v>
      </c>
      <c r="CN19" s="49" t="s">
        <v>202</v>
      </c>
      <c r="CO19" s="49" t="s">
        <v>227</v>
      </c>
      <c r="CP19" s="48">
        <v>85</v>
      </c>
      <c r="CQ19" s="48" t="s">
        <v>202</v>
      </c>
      <c r="CR19" s="48" t="s">
        <v>228</v>
      </c>
      <c r="CS19" s="48">
        <v>81</v>
      </c>
      <c r="CT19" s="48" t="s">
        <v>202</v>
      </c>
      <c r="CU19" s="48" t="s">
        <v>229</v>
      </c>
      <c r="CV19" s="48">
        <v>90</v>
      </c>
      <c r="CW19" s="48" t="s">
        <v>213</v>
      </c>
      <c r="CX19" s="48" t="s">
        <v>285</v>
      </c>
      <c r="CY19" s="48">
        <v>80</v>
      </c>
      <c r="CZ19" s="48" t="s">
        <v>202</v>
      </c>
      <c r="DA19" s="48" t="s">
        <v>272</v>
      </c>
      <c r="DB19" s="9" t="str">
        <f>'Input Ekstra'!E15</f>
        <v>Pramuka</v>
      </c>
      <c r="DC19" s="9" t="str">
        <f>'Input Ekstra'!F15</f>
        <v>Baik</v>
      </c>
      <c r="DD19" s="9" t="str">
        <f>'Input Ekstra'!G15</f>
        <v>Peserta didik mampu menjelaskan hal-hal terkait survival dan implementasi Dasa Dharma di alam terbuka.</v>
      </c>
      <c r="DE19" s="9">
        <f>'Input Ekstra'!H15</f>
        <v>0</v>
      </c>
      <c r="DF19" s="9">
        <f>'Input Ekstra'!I15</f>
        <v>0</v>
      </c>
      <c r="DG19" s="9">
        <f>'Input Ekstra'!J15</f>
        <v>0</v>
      </c>
      <c r="DH19" s="9" t="str">
        <f>'Input Kehadiran'!E15</f>
        <v>-</v>
      </c>
      <c r="DI19" s="9" t="str">
        <f>'Input Kehadiran'!F15</f>
        <v>-</v>
      </c>
      <c r="DJ19" s="9" t="str">
        <f>'Input Kehadiran'!G15</f>
        <v>-</v>
      </c>
      <c r="DK19" s="8">
        <f>'Input Prestasi'!D16</f>
        <v>0</v>
      </c>
      <c r="DL19" s="8">
        <f>'Input Prestasi'!E16</f>
        <v>0</v>
      </c>
      <c r="DM19" s="8">
        <f>'Input Prestasi'!F16</f>
        <v>0</v>
      </c>
      <c r="DN19" s="8">
        <f>'Input Prestasi'!G16</f>
        <v>0</v>
      </c>
      <c r="DO19" s="8">
        <f>'Input Prestasi'!H16</f>
        <v>0</v>
      </c>
      <c r="DP19" s="8">
        <f>'Input Prestasi'!I16</f>
        <v>0</v>
      </c>
      <c r="DQ19" s="8">
        <f>'Input Prestasi'!J16</f>
        <v>0</v>
      </c>
      <c r="DR19" s="8">
        <f>'Input Prestasi'!K16</f>
        <v>0</v>
      </c>
      <c r="DS19" s="9" t="str">
        <f>'Input Nilai Sikap dan Catatan'!H14</f>
        <v>Peserta didik sudah menunjukkan sikap mengamalkan ajaran agamanya, konsisten menerapkan sikap santun, jujur, dan mandiri. Tingkatkan rasa ingin tahu dan sikap baik di dalam maupun di luar pembelajaran.</v>
      </c>
    </row>
    <row r="20" spans="1:123">
      <c r="A20" s="44">
        <v>12</v>
      </c>
      <c r="B20" s="45" t="str">
        <f>IF(Setting!J17="","",Setting!J17)</f>
        <v>Gading Setyo Manunggal</v>
      </c>
      <c r="C20" s="46">
        <f>IF(Setting!K17="","",Setting!K17)</f>
        <v>2008127</v>
      </c>
      <c r="D20" s="164" t="str">
        <f>IF(Setting!L17="","",Setting!L17)</f>
        <v>0052532940</v>
      </c>
      <c r="E20" s="9" t="str">
        <f>IF(Setting!$E$11="","",Setting!$E$11)</f>
        <v>X.MIPA 4</v>
      </c>
      <c r="F20" s="9" t="str">
        <f>'Input Nilai Sikap dan Catatan'!D15</f>
        <v>B</v>
      </c>
      <c r="G20" s="9" t="str">
        <f>'Input Nilai Sikap dan Catatan'!E15</f>
        <v>Taat menjalankan ibadah sholat tepat waktu dan aktif mengikuti kegiatan keagamaan di sekolah.</v>
      </c>
      <c r="H20" s="9" t="str">
        <f>'Input Nilai Sikap dan Catatan'!F15</f>
        <v>B</v>
      </c>
      <c r="I20" s="9" t="str">
        <f>'Input Nilai Sikap dan Catatan'!G15</f>
        <v>Memiliki sopan santun yang sangat baik dan selalu bersikap jujur dalam mengerjakan tugas</v>
      </c>
      <c r="J20" s="48">
        <v>89</v>
      </c>
      <c r="K20" s="48" t="s">
        <v>213</v>
      </c>
      <c r="L20" s="48" t="s">
        <v>232</v>
      </c>
      <c r="M20" s="48">
        <v>88</v>
      </c>
      <c r="N20" s="48" t="s">
        <v>213</v>
      </c>
      <c r="O20" s="48" t="s">
        <v>233</v>
      </c>
      <c r="P20" s="49">
        <v>85</v>
      </c>
      <c r="Q20" s="49" t="s">
        <v>202</v>
      </c>
      <c r="R20" s="49" t="s">
        <v>245</v>
      </c>
      <c r="S20" s="49">
        <v>80</v>
      </c>
      <c r="T20" s="49" t="s">
        <v>202</v>
      </c>
      <c r="U20" s="49" t="s">
        <v>234</v>
      </c>
      <c r="V20" s="50">
        <v>87</v>
      </c>
      <c r="W20" s="51" t="s">
        <v>202</v>
      </c>
      <c r="X20" s="52" t="s">
        <v>258</v>
      </c>
      <c r="Y20" s="50">
        <v>80</v>
      </c>
      <c r="Z20" s="51" t="s">
        <v>202</v>
      </c>
      <c r="AA20" s="53" t="s">
        <v>208</v>
      </c>
      <c r="AB20" s="49">
        <v>80</v>
      </c>
      <c r="AC20" s="49" t="s">
        <v>202</v>
      </c>
      <c r="AD20" s="49" t="s">
        <v>209</v>
      </c>
      <c r="AE20" s="49">
        <v>80</v>
      </c>
      <c r="AF20" s="49" t="s">
        <v>202</v>
      </c>
      <c r="AG20" s="49" t="s">
        <v>210</v>
      </c>
      <c r="AH20" s="48">
        <v>83</v>
      </c>
      <c r="AI20" s="48" t="s">
        <v>202</v>
      </c>
      <c r="AJ20" s="48" t="s">
        <v>286</v>
      </c>
      <c r="AK20" s="48">
        <v>80</v>
      </c>
      <c r="AL20" s="48" t="s">
        <v>202</v>
      </c>
      <c r="AM20" s="48" t="s">
        <v>212</v>
      </c>
      <c r="AN20" s="49">
        <v>84</v>
      </c>
      <c r="AO20" s="49" t="s">
        <v>202</v>
      </c>
      <c r="AP20" s="49" t="s">
        <v>1120</v>
      </c>
      <c r="AQ20" s="49">
        <v>88</v>
      </c>
      <c r="AR20" s="49" t="s">
        <v>213</v>
      </c>
      <c r="AS20" s="49" t="s">
        <v>1116</v>
      </c>
      <c r="AT20" s="48">
        <v>88</v>
      </c>
      <c r="AU20" s="48" t="s">
        <v>213</v>
      </c>
      <c r="AV20" s="48" t="s">
        <v>214</v>
      </c>
      <c r="AW20" s="48">
        <v>80</v>
      </c>
      <c r="AX20" s="48" t="s">
        <v>202</v>
      </c>
      <c r="AY20" s="48" t="s">
        <v>215</v>
      </c>
      <c r="AZ20" s="49">
        <v>86</v>
      </c>
      <c r="BA20" s="49" t="s">
        <v>202</v>
      </c>
      <c r="BB20" s="49" t="s">
        <v>287</v>
      </c>
      <c r="BC20" s="49">
        <v>85</v>
      </c>
      <c r="BD20" s="49" t="s">
        <v>202</v>
      </c>
      <c r="BE20" s="49" t="s">
        <v>217</v>
      </c>
      <c r="BF20" s="48">
        <v>83</v>
      </c>
      <c r="BG20" s="48" t="s">
        <v>202</v>
      </c>
      <c r="BH20" s="48" t="s">
        <v>218</v>
      </c>
      <c r="BI20" s="48">
        <v>80</v>
      </c>
      <c r="BJ20" s="48" t="s">
        <v>202</v>
      </c>
      <c r="BK20" s="48" t="s">
        <v>219</v>
      </c>
      <c r="BL20" s="49">
        <v>87</v>
      </c>
      <c r="BM20" s="49" t="s">
        <v>202</v>
      </c>
      <c r="BN20" s="49" t="s">
        <v>258</v>
      </c>
      <c r="BO20" s="49">
        <v>80</v>
      </c>
      <c r="BP20" s="49" t="s">
        <v>202</v>
      </c>
      <c r="BQ20" s="49" t="s">
        <v>208</v>
      </c>
      <c r="BR20" s="48">
        <v>82</v>
      </c>
      <c r="BS20" s="48" t="s">
        <v>202</v>
      </c>
      <c r="BT20" s="48" t="s">
        <v>238</v>
      </c>
      <c r="BU20" s="48">
        <v>84</v>
      </c>
      <c r="BV20" s="48" t="s">
        <v>202</v>
      </c>
      <c r="BW20" s="48" t="s">
        <v>239</v>
      </c>
      <c r="BX20" s="49">
        <v>83</v>
      </c>
      <c r="BY20" s="49" t="s">
        <v>202</v>
      </c>
      <c r="BZ20" s="49" t="s">
        <v>222</v>
      </c>
      <c r="CA20" s="49">
        <v>80</v>
      </c>
      <c r="CB20" s="49" t="s">
        <v>202</v>
      </c>
      <c r="CC20" s="49" t="s">
        <v>223</v>
      </c>
      <c r="CD20" s="48">
        <v>84</v>
      </c>
      <c r="CE20" s="48" t="s">
        <v>202</v>
      </c>
      <c r="CF20" s="48" t="s">
        <v>241</v>
      </c>
      <c r="CG20" s="48">
        <v>80</v>
      </c>
      <c r="CH20" s="48" t="s">
        <v>202</v>
      </c>
      <c r="CI20" s="48" t="s">
        <v>225</v>
      </c>
      <c r="CJ20" s="49">
        <v>85</v>
      </c>
      <c r="CK20" s="49" t="s">
        <v>202</v>
      </c>
      <c r="CL20" s="49" t="s">
        <v>288</v>
      </c>
      <c r="CM20" s="49">
        <v>80</v>
      </c>
      <c r="CN20" s="49" t="s">
        <v>202</v>
      </c>
      <c r="CO20" s="49" t="s">
        <v>227</v>
      </c>
      <c r="CP20" s="48">
        <v>83</v>
      </c>
      <c r="CQ20" s="48" t="s">
        <v>202</v>
      </c>
      <c r="CR20" s="48" t="s">
        <v>228</v>
      </c>
      <c r="CS20" s="48">
        <v>80</v>
      </c>
      <c r="CT20" s="48" t="s">
        <v>202</v>
      </c>
      <c r="CU20" s="48" t="s">
        <v>243</v>
      </c>
      <c r="CV20" s="48">
        <v>91</v>
      </c>
      <c r="CW20" s="48" t="s">
        <v>213</v>
      </c>
      <c r="CX20" s="48" t="s">
        <v>230</v>
      </c>
      <c r="CY20" s="48">
        <v>90</v>
      </c>
      <c r="CZ20" s="48" t="s">
        <v>213</v>
      </c>
      <c r="DA20" s="48" t="s">
        <v>231</v>
      </c>
      <c r="DB20" s="9" t="str">
        <f>'Input Ekstra'!E16</f>
        <v>Pramuka</v>
      </c>
      <c r="DC20" s="9" t="str">
        <f>'Input Ekstra'!F16</f>
        <v>Baik</v>
      </c>
      <c r="DD20" s="9" t="str">
        <f>'Input Ekstra'!G16</f>
        <v>Peserta didik mampu menjelaskan hal-hal terkait survival dan implementasi Dasa Dharma di alam terbuka.</v>
      </c>
      <c r="DE20" s="9">
        <f>'Input Ekstra'!H16</f>
        <v>0</v>
      </c>
      <c r="DF20" s="9">
        <f>'Input Ekstra'!I16</f>
        <v>0</v>
      </c>
      <c r="DG20" s="9">
        <f>'Input Ekstra'!J16</f>
        <v>0</v>
      </c>
      <c r="DH20" s="9" t="str">
        <f>'Input Kehadiran'!E16</f>
        <v>-</v>
      </c>
      <c r="DI20" s="9" t="str">
        <f>'Input Kehadiran'!F16</f>
        <v>-</v>
      </c>
      <c r="DJ20" s="9" t="str">
        <f>'Input Kehadiran'!G16</f>
        <v>-</v>
      </c>
      <c r="DK20" s="8">
        <f>'Input Prestasi'!D17</f>
        <v>0</v>
      </c>
      <c r="DL20" s="8">
        <f>'Input Prestasi'!E17</f>
        <v>0</v>
      </c>
      <c r="DM20" s="8">
        <f>'Input Prestasi'!F17</f>
        <v>0</v>
      </c>
      <c r="DN20" s="8">
        <f>'Input Prestasi'!G17</f>
        <v>0</v>
      </c>
      <c r="DO20" s="8">
        <f>'Input Prestasi'!H17</f>
        <v>0</v>
      </c>
      <c r="DP20" s="8">
        <f>'Input Prestasi'!I17</f>
        <v>0</v>
      </c>
      <c r="DQ20" s="8">
        <f>'Input Prestasi'!J17</f>
        <v>0</v>
      </c>
      <c r="DR20" s="8">
        <f>'Input Prestasi'!K17</f>
        <v>0</v>
      </c>
      <c r="DS20" s="9" t="str">
        <f>'Input Nilai Sikap dan Catatan'!H15</f>
        <v>Peserta didik sudah menunjukkan sikap mengamalkan ajaran agamanya, konsisten menerapkan sikap santun, jujur, dan mandiri. Tingkatkan rasa ingin tahu dan sikap baik di dalam maupun di luar pembelajaran.</v>
      </c>
    </row>
    <row r="21" spans="1:123">
      <c r="A21" s="44">
        <v>13</v>
      </c>
      <c r="B21" s="45" t="str">
        <f>IF(Setting!J18="","",Setting!J18)</f>
        <v>Ghifari Mabrur Al Burhani</v>
      </c>
      <c r="C21" s="46">
        <f>IF(Setting!K18="","",Setting!K18)</f>
        <v>2008128</v>
      </c>
      <c r="D21" s="164" t="str">
        <f>IF(Setting!L18="","",Setting!L18)</f>
        <v>0068080234</v>
      </c>
      <c r="E21" s="9" t="str">
        <f>IF(Setting!$E$11="","",Setting!$E$11)</f>
        <v>X.MIPA 4</v>
      </c>
      <c r="F21" s="9" t="str">
        <f>'Input Nilai Sikap dan Catatan'!D16</f>
        <v>B</v>
      </c>
      <c r="G21" s="9" t="str">
        <f>'Input Nilai Sikap dan Catatan'!E16</f>
        <v>Taat menjalankan ibadah sholat tepat waktu dan aktif mengikuti kegiatan keagamaan di sekolah.</v>
      </c>
      <c r="H21" s="9" t="str">
        <f>'Input Nilai Sikap dan Catatan'!F16</f>
        <v>B</v>
      </c>
      <c r="I21" s="9" t="str">
        <f>'Input Nilai Sikap dan Catatan'!G16</f>
        <v>Memiliki sopan santun yang sangat baik dan selalu bersikap jujur dalam mengerjakan tugas</v>
      </c>
      <c r="J21" s="48">
        <v>83</v>
      </c>
      <c r="K21" s="48" t="s">
        <v>202</v>
      </c>
      <c r="L21" s="48" t="s">
        <v>232</v>
      </c>
      <c r="M21" s="48">
        <v>80</v>
      </c>
      <c r="N21" s="48" t="s">
        <v>202</v>
      </c>
      <c r="O21" s="48" t="s">
        <v>244</v>
      </c>
      <c r="P21" s="49">
        <v>86</v>
      </c>
      <c r="Q21" s="49" t="s">
        <v>202</v>
      </c>
      <c r="R21" s="49" t="s">
        <v>245</v>
      </c>
      <c r="S21" s="49">
        <v>83</v>
      </c>
      <c r="T21" s="49" t="s">
        <v>202</v>
      </c>
      <c r="U21" s="49" t="s">
        <v>234</v>
      </c>
      <c r="V21" s="50">
        <v>86</v>
      </c>
      <c r="W21" s="51" t="s">
        <v>202</v>
      </c>
      <c r="X21" s="52" t="s">
        <v>207</v>
      </c>
      <c r="Y21" s="50">
        <v>80</v>
      </c>
      <c r="Z21" s="51" t="s">
        <v>202</v>
      </c>
      <c r="AA21" s="53" t="s">
        <v>208</v>
      </c>
      <c r="AB21" s="49">
        <v>80</v>
      </c>
      <c r="AC21" s="49" t="s">
        <v>202</v>
      </c>
      <c r="AD21" s="49" t="s">
        <v>246</v>
      </c>
      <c r="AE21" s="49">
        <v>82</v>
      </c>
      <c r="AF21" s="49" t="s">
        <v>202</v>
      </c>
      <c r="AG21" s="49" t="s">
        <v>210</v>
      </c>
      <c r="AH21" s="48">
        <v>86</v>
      </c>
      <c r="AI21" s="48" t="s">
        <v>202</v>
      </c>
      <c r="AJ21" s="48" t="s">
        <v>289</v>
      </c>
      <c r="AK21" s="48">
        <v>80</v>
      </c>
      <c r="AL21" s="48" t="s">
        <v>202</v>
      </c>
      <c r="AM21" s="48" t="s">
        <v>212</v>
      </c>
      <c r="AN21" s="49">
        <v>90</v>
      </c>
      <c r="AO21" s="49" t="s">
        <v>213</v>
      </c>
      <c r="AP21" s="49" t="s">
        <v>1121</v>
      </c>
      <c r="AQ21" s="49">
        <v>84</v>
      </c>
      <c r="AR21" s="49" t="s">
        <v>202</v>
      </c>
      <c r="AS21" s="49" t="s">
        <v>1116</v>
      </c>
      <c r="AT21" s="48">
        <v>89</v>
      </c>
      <c r="AU21" s="48" t="s">
        <v>213</v>
      </c>
      <c r="AV21" s="48" t="s">
        <v>214</v>
      </c>
      <c r="AW21" s="48">
        <v>81</v>
      </c>
      <c r="AX21" s="48" t="s">
        <v>202</v>
      </c>
      <c r="AY21" s="48" t="s">
        <v>215</v>
      </c>
      <c r="AZ21" s="49">
        <v>87</v>
      </c>
      <c r="BA21" s="49" t="s">
        <v>202</v>
      </c>
      <c r="BB21" s="49" t="s">
        <v>216</v>
      </c>
      <c r="BC21" s="49">
        <v>82</v>
      </c>
      <c r="BD21" s="49" t="s">
        <v>202</v>
      </c>
      <c r="BE21" s="49" t="s">
        <v>217</v>
      </c>
      <c r="BF21" s="48">
        <v>84</v>
      </c>
      <c r="BG21" s="48" t="s">
        <v>202</v>
      </c>
      <c r="BH21" s="48" t="s">
        <v>247</v>
      </c>
      <c r="BI21" s="48">
        <v>87</v>
      </c>
      <c r="BJ21" s="48" t="s">
        <v>202</v>
      </c>
      <c r="BK21" s="48" t="s">
        <v>219</v>
      </c>
      <c r="BL21" s="49">
        <v>86</v>
      </c>
      <c r="BM21" s="49" t="s">
        <v>202</v>
      </c>
      <c r="BN21" s="49" t="s">
        <v>207</v>
      </c>
      <c r="BO21" s="49">
        <v>80</v>
      </c>
      <c r="BP21" s="49" t="s">
        <v>202</v>
      </c>
      <c r="BQ21" s="49" t="s">
        <v>208</v>
      </c>
      <c r="BR21" s="48">
        <v>82</v>
      </c>
      <c r="BS21" s="48" t="s">
        <v>202</v>
      </c>
      <c r="BT21" s="48" t="s">
        <v>238</v>
      </c>
      <c r="BU21" s="48">
        <v>81</v>
      </c>
      <c r="BV21" s="48" t="s">
        <v>202</v>
      </c>
      <c r="BW21" s="48" t="s">
        <v>249</v>
      </c>
      <c r="BX21" s="49">
        <v>83</v>
      </c>
      <c r="BY21" s="49" t="s">
        <v>202</v>
      </c>
      <c r="BZ21" s="49" t="s">
        <v>222</v>
      </c>
      <c r="CA21" s="49">
        <v>83</v>
      </c>
      <c r="CB21" s="49" t="s">
        <v>202</v>
      </c>
      <c r="CC21" s="49" t="s">
        <v>223</v>
      </c>
      <c r="CD21" s="48">
        <v>82</v>
      </c>
      <c r="CE21" s="48" t="s">
        <v>202</v>
      </c>
      <c r="CF21" s="48" t="s">
        <v>264</v>
      </c>
      <c r="CG21" s="48">
        <v>85</v>
      </c>
      <c r="CH21" s="48" t="s">
        <v>202</v>
      </c>
      <c r="CI21" s="48" t="s">
        <v>225</v>
      </c>
      <c r="CJ21" s="49">
        <v>86</v>
      </c>
      <c r="CK21" s="49" t="s">
        <v>202</v>
      </c>
      <c r="CL21" s="49" t="s">
        <v>279</v>
      </c>
      <c r="CM21" s="49">
        <v>85</v>
      </c>
      <c r="CN21" s="49" t="s">
        <v>202</v>
      </c>
      <c r="CO21" s="49" t="s">
        <v>227</v>
      </c>
      <c r="CP21" s="48">
        <v>86</v>
      </c>
      <c r="CQ21" s="48" t="s">
        <v>202</v>
      </c>
      <c r="CR21" s="48" t="s">
        <v>253</v>
      </c>
      <c r="CS21" s="48">
        <v>82</v>
      </c>
      <c r="CT21" s="48" t="s">
        <v>202</v>
      </c>
      <c r="CU21" s="48" t="s">
        <v>229</v>
      </c>
      <c r="CV21" s="48">
        <v>88</v>
      </c>
      <c r="CW21" s="48" t="s">
        <v>213</v>
      </c>
      <c r="CX21" s="48" t="s">
        <v>254</v>
      </c>
      <c r="CY21" s="48">
        <v>80</v>
      </c>
      <c r="CZ21" s="48" t="s">
        <v>202</v>
      </c>
      <c r="DA21" s="48" t="s">
        <v>231</v>
      </c>
      <c r="DB21" s="9" t="str">
        <f>'Input Ekstra'!E17</f>
        <v>Pramuka</v>
      </c>
      <c r="DC21" s="9" t="str">
        <f>'Input Ekstra'!F17</f>
        <v>Baik</v>
      </c>
      <c r="DD21" s="9" t="str">
        <f>'Input Ekstra'!G17</f>
        <v>Peserta didik mampu menjelaskan hal-hal terkait survival dan implementasi Dasa Dharma di alam terbuka.</v>
      </c>
      <c r="DE21" s="9">
        <f>'Input Ekstra'!H17</f>
        <v>0</v>
      </c>
      <c r="DF21" s="9">
        <f>'Input Ekstra'!I17</f>
        <v>0</v>
      </c>
      <c r="DG21" s="9">
        <f>'Input Ekstra'!J17</f>
        <v>0</v>
      </c>
      <c r="DH21" s="9" t="str">
        <f>'Input Kehadiran'!E17</f>
        <v>-</v>
      </c>
      <c r="DI21" s="9">
        <f>'Input Kehadiran'!F17</f>
        <v>2</v>
      </c>
      <c r="DJ21" s="9" t="str">
        <f>'Input Kehadiran'!G17</f>
        <v>-</v>
      </c>
      <c r="DK21" s="8">
        <f>'Input Prestasi'!D18</f>
        <v>0</v>
      </c>
      <c r="DL21" s="8">
        <f>'Input Prestasi'!E18</f>
        <v>0</v>
      </c>
      <c r="DM21" s="8">
        <f>'Input Prestasi'!F18</f>
        <v>0</v>
      </c>
      <c r="DN21" s="8">
        <f>'Input Prestasi'!G18</f>
        <v>0</v>
      </c>
      <c r="DO21" s="8">
        <f>'Input Prestasi'!H18</f>
        <v>0</v>
      </c>
      <c r="DP21" s="8">
        <f>'Input Prestasi'!I18</f>
        <v>0</v>
      </c>
      <c r="DQ21" s="8">
        <f>'Input Prestasi'!J18</f>
        <v>0</v>
      </c>
      <c r="DR21" s="8">
        <f>'Input Prestasi'!K18</f>
        <v>0</v>
      </c>
      <c r="DS21" s="9" t="str">
        <f>'Input Nilai Sikap dan Catatan'!H16</f>
        <v>Peserta didik sudah menunjukkan sikap mengamalkan ajaran agamanya, konsisten menerapkan sikap santun, jujur, dan mandiri. Tingkatkan rasa ingin tahu dan sikap baik di dalam maupun di luar pembelajaran.</v>
      </c>
    </row>
    <row r="22" spans="1:123">
      <c r="A22" s="44">
        <v>14</v>
      </c>
      <c r="B22" s="45" t="str">
        <f>IF(Setting!J19="","",Setting!J19)</f>
        <v>Hafid Mahreza Ilham</v>
      </c>
      <c r="C22" s="46">
        <f>IF(Setting!K19="","",Setting!K19)</f>
        <v>2008131</v>
      </c>
      <c r="D22" s="164" t="str">
        <f>IF(Setting!L19="","",Setting!L19)</f>
        <v xml:space="preserve"> 0058288476</v>
      </c>
      <c r="E22" s="9" t="str">
        <f>IF(Setting!$E$11="","",Setting!$E$11)</f>
        <v>X.MIPA 4</v>
      </c>
      <c r="F22" s="9" t="str">
        <f>'Input Nilai Sikap dan Catatan'!D17</f>
        <v>B</v>
      </c>
      <c r="G22" s="9" t="str">
        <f>'Input Nilai Sikap dan Catatan'!E17</f>
        <v>Taat menjalankan ibadah sholat tepat waktu dan aktif mengikuti kegiatan keagamaan di sekolah.</v>
      </c>
      <c r="H22" s="9" t="str">
        <f>'Input Nilai Sikap dan Catatan'!F17</f>
        <v>B</v>
      </c>
      <c r="I22" s="9" t="str">
        <f>'Input Nilai Sikap dan Catatan'!G17</f>
        <v>Memiliki sopan santun yang sangat baik dan selalu bersikap jujur dalam mengerjakan tugas</v>
      </c>
      <c r="J22" s="48">
        <v>82</v>
      </c>
      <c r="K22" s="48" t="s">
        <v>202</v>
      </c>
      <c r="L22" s="48" t="s">
        <v>290</v>
      </c>
      <c r="M22" s="48">
        <v>80</v>
      </c>
      <c r="N22" s="48" t="s">
        <v>202</v>
      </c>
      <c r="O22" s="48" t="s">
        <v>204</v>
      </c>
      <c r="P22" s="49">
        <v>83</v>
      </c>
      <c r="Q22" s="49" t="s">
        <v>202</v>
      </c>
      <c r="R22" s="49" t="s">
        <v>205</v>
      </c>
      <c r="S22" s="49">
        <v>83</v>
      </c>
      <c r="T22" s="49" t="s">
        <v>202</v>
      </c>
      <c r="U22" s="49" t="s">
        <v>234</v>
      </c>
      <c r="V22" s="50">
        <v>85</v>
      </c>
      <c r="W22" s="51" t="s">
        <v>202</v>
      </c>
      <c r="X22" s="52" t="s">
        <v>207</v>
      </c>
      <c r="Y22" s="50">
        <v>80</v>
      </c>
      <c r="Z22" s="51" t="s">
        <v>202</v>
      </c>
      <c r="AA22" s="53" t="s">
        <v>208</v>
      </c>
      <c r="AB22" s="49">
        <v>80</v>
      </c>
      <c r="AC22" s="49" t="s">
        <v>202</v>
      </c>
      <c r="AD22" s="49" t="s">
        <v>268</v>
      </c>
      <c r="AE22" s="49">
        <v>80</v>
      </c>
      <c r="AF22" s="49" t="s">
        <v>202</v>
      </c>
      <c r="AG22" s="49" t="s">
        <v>210</v>
      </c>
      <c r="AH22" s="48">
        <v>81</v>
      </c>
      <c r="AI22" s="48" t="s">
        <v>202</v>
      </c>
      <c r="AJ22" s="48" t="s">
        <v>291</v>
      </c>
      <c r="AK22" s="48">
        <v>80</v>
      </c>
      <c r="AL22" s="48" t="s">
        <v>202</v>
      </c>
      <c r="AM22" s="48" t="s">
        <v>212</v>
      </c>
      <c r="AN22" s="49">
        <v>82</v>
      </c>
      <c r="AO22" s="49" t="s">
        <v>202</v>
      </c>
      <c r="AP22" s="49" t="s">
        <v>1117</v>
      </c>
      <c r="AQ22" s="49">
        <v>85</v>
      </c>
      <c r="AR22" s="49" t="s">
        <v>202</v>
      </c>
      <c r="AS22" s="49" t="s">
        <v>1116</v>
      </c>
      <c r="AT22" s="48">
        <v>88</v>
      </c>
      <c r="AU22" s="48" t="s">
        <v>271</v>
      </c>
      <c r="AV22" s="48" t="s">
        <v>214</v>
      </c>
      <c r="AW22" s="48">
        <v>80</v>
      </c>
      <c r="AX22" s="48" t="s">
        <v>271</v>
      </c>
      <c r="AY22" s="48" t="s">
        <v>215</v>
      </c>
      <c r="AZ22" s="49">
        <v>84</v>
      </c>
      <c r="BA22" s="49" t="s">
        <v>202</v>
      </c>
      <c r="BB22" s="49" t="s">
        <v>260</v>
      </c>
      <c r="BC22" s="49">
        <v>80</v>
      </c>
      <c r="BD22" s="49" t="s">
        <v>202</v>
      </c>
      <c r="BE22" s="49" t="s">
        <v>217</v>
      </c>
      <c r="BF22" s="48">
        <v>80</v>
      </c>
      <c r="BG22" s="48" t="s">
        <v>202</v>
      </c>
      <c r="BH22" s="48" t="s">
        <v>218</v>
      </c>
      <c r="BI22" s="48">
        <v>80</v>
      </c>
      <c r="BJ22" s="48" t="s">
        <v>202</v>
      </c>
      <c r="BK22" s="48" t="s">
        <v>219</v>
      </c>
      <c r="BL22" s="49">
        <v>85</v>
      </c>
      <c r="BM22" s="49" t="s">
        <v>202</v>
      </c>
      <c r="BN22" s="49" t="s">
        <v>207</v>
      </c>
      <c r="BO22" s="49">
        <v>80</v>
      </c>
      <c r="BP22" s="49" t="s">
        <v>202</v>
      </c>
      <c r="BQ22" s="49" t="s">
        <v>208</v>
      </c>
      <c r="BR22" s="48">
        <v>80</v>
      </c>
      <c r="BS22" s="48" t="s">
        <v>202</v>
      </c>
      <c r="BT22" s="48" t="s">
        <v>255</v>
      </c>
      <c r="BU22" s="48">
        <v>80</v>
      </c>
      <c r="BV22" s="48" t="s">
        <v>202</v>
      </c>
      <c r="BW22" s="48" t="s">
        <v>221</v>
      </c>
      <c r="BX22" s="49">
        <v>82</v>
      </c>
      <c r="BY22" s="49" t="s">
        <v>202</v>
      </c>
      <c r="BZ22" s="49" t="s">
        <v>222</v>
      </c>
      <c r="CA22" s="49">
        <v>80</v>
      </c>
      <c r="CB22" s="49" t="s">
        <v>202</v>
      </c>
      <c r="CC22" s="49" t="s">
        <v>223</v>
      </c>
      <c r="CD22" s="48">
        <v>83</v>
      </c>
      <c r="CE22" s="48" t="s">
        <v>202</v>
      </c>
      <c r="CF22" s="48" t="s">
        <v>251</v>
      </c>
      <c r="CG22" s="48">
        <v>80</v>
      </c>
      <c r="CH22" s="48" t="s">
        <v>202</v>
      </c>
      <c r="CI22" s="48" t="s">
        <v>225</v>
      </c>
      <c r="CJ22" s="49">
        <v>82</v>
      </c>
      <c r="CK22" s="49" t="s">
        <v>202</v>
      </c>
      <c r="CL22" s="49" t="s">
        <v>256</v>
      </c>
      <c r="CM22" s="49">
        <v>80</v>
      </c>
      <c r="CN22" s="49" t="s">
        <v>202</v>
      </c>
      <c r="CO22" s="49" t="s">
        <v>227</v>
      </c>
      <c r="CP22" s="48">
        <v>75</v>
      </c>
      <c r="CQ22" s="48" t="s">
        <v>271</v>
      </c>
      <c r="CR22" s="48" t="s">
        <v>253</v>
      </c>
      <c r="CS22" s="48">
        <v>81</v>
      </c>
      <c r="CT22" s="48" t="s">
        <v>202</v>
      </c>
      <c r="CU22" s="48" t="s">
        <v>229</v>
      </c>
      <c r="CV22" s="48">
        <v>82</v>
      </c>
      <c r="CW22" s="48" t="s">
        <v>202</v>
      </c>
      <c r="CX22" s="48" t="s">
        <v>292</v>
      </c>
      <c r="CY22" s="48">
        <v>80</v>
      </c>
      <c r="CZ22" s="48" t="s">
        <v>202</v>
      </c>
      <c r="DA22" s="48" t="s">
        <v>231</v>
      </c>
      <c r="DB22" s="9" t="str">
        <f>'Input Ekstra'!E18</f>
        <v>Pramuka</v>
      </c>
      <c r="DC22" s="9" t="str">
        <f>'Input Ekstra'!F18</f>
        <v>Baik</v>
      </c>
      <c r="DD22" s="9" t="str">
        <f>'Input Ekstra'!G18</f>
        <v>Peserta didik mampu menjelaskan hal-hal terkait survival dan implementasi Dasa Dharma di alam terbuka.</v>
      </c>
      <c r="DE22" s="9">
        <f>'Input Ekstra'!H18</f>
        <v>0</v>
      </c>
      <c r="DF22" s="9">
        <f>'Input Ekstra'!I18</f>
        <v>0</v>
      </c>
      <c r="DG22" s="9">
        <f>'Input Ekstra'!J18</f>
        <v>0</v>
      </c>
      <c r="DH22" s="9" t="str">
        <f>'Input Kehadiran'!E18</f>
        <v>-</v>
      </c>
      <c r="DI22" s="9">
        <f>'Input Kehadiran'!F18</f>
        <v>2</v>
      </c>
      <c r="DJ22" s="9" t="str">
        <f>'Input Kehadiran'!G18</f>
        <v>-</v>
      </c>
      <c r="DK22" s="8">
        <f>'Input Prestasi'!D19</f>
        <v>0</v>
      </c>
      <c r="DL22" s="8">
        <f>'Input Prestasi'!E19</f>
        <v>0</v>
      </c>
      <c r="DM22" s="8">
        <f>'Input Prestasi'!F19</f>
        <v>0</v>
      </c>
      <c r="DN22" s="8">
        <f>'Input Prestasi'!G19</f>
        <v>0</v>
      </c>
      <c r="DO22" s="8">
        <f>'Input Prestasi'!H19</f>
        <v>0</v>
      </c>
      <c r="DP22" s="8">
        <f>'Input Prestasi'!I19</f>
        <v>0</v>
      </c>
      <c r="DQ22" s="8">
        <f>'Input Prestasi'!J19</f>
        <v>0</v>
      </c>
      <c r="DR22" s="8">
        <f>'Input Prestasi'!K19</f>
        <v>0</v>
      </c>
      <c r="DS22" s="9" t="str">
        <f>'Input Nilai Sikap dan Catatan'!H17</f>
        <v>Peserta didik sudah menunjukkan sikap mengamalkan ajaran agamanya, konsisten menerapkan sikap santun, jujur, dan mandiri. Tingkatkan rasa ingin tahu dan sikap baik di dalam maupun di luar pembelajaran.</v>
      </c>
    </row>
    <row r="23" spans="1:123">
      <c r="A23" s="44">
        <v>15</v>
      </c>
      <c r="B23" s="45" t="str">
        <f>IF(Setting!J20="","",Setting!J20)</f>
        <v>Haidar Rafif Hibatulloh</v>
      </c>
      <c r="C23" s="46">
        <f>IF(Setting!K20="","",Setting!K20)</f>
        <v>2008132</v>
      </c>
      <c r="D23" s="164" t="str">
        <f>IF(Setting!L20="","",Setting!L20)</f>
        <v>0054005743</v>
      </c>
      <c r="E23" s="9" t="str">
        <f>IF(Setting!$E$11="","",Setting!$E$11)</f>
        <v>X.MIPA 4</v>
      </c>
      <c r="F23" s="9" t="str">
        <f>'Input Nilai Sikap dan Catatan'!D18</f>
        <v>B</v>
      </c>
      <c r="G23" s="9" t="str">
        <f>'Input Nilai Sikap dan Catatan'!E18</f>
        <v>Taat menjalankan ibadah sholat tepat waktu dan aktif mengikuti kegiatan keagamaan di sekolah.</v>
      </c>
      <c r="H23" s="9" t="str">
        <f>'Input Nilai Sikap dan Catatan'!F18</f>
        <v>B</v>
      </c>
      <c r="I23" s="9" t="str">
        <f>'Input Nilai Sikap dan Catatan'!G18</f>
        <v>Memiliki sopan santun yang sangat baik dan selalu bersikap jujur dalam mengerjakan tugas</v>
      </c>
      <c r="J23" s="48">
        <v>88</v>
      </c>
      <c r="K23" s="48" t="s">
        <v>213</v>
      </c>
      <c r="L23" s="48" t="s">
        <v>293</v>
      </c>
      <c r="M23" s="48">
        <v>83</v>
      </c>
      <c r="N23" s="48" t="s">
        <v>202</v>
      </c>
      <c r="O23" s="48" t="s">
        <v>204</v>
      </c>
      <c r="P23" s="49">
        <v>86</v>
      </c>
      <c r="Q23" s="49" t="s">
        <v>202</v>
      </c>
      <c r="R23" s="49" t="s">
        <v>205</v>
      </c>
      <c r="S23" s="49">
        <v>83</v>
      </c>
      <c r="T23" s="49" t="s">
        <v>202</v>
      </c>
      <c r="U23" s="49" t="s">
        <v>234</v>
      </c>
      <c r="V23" s="50">
        <v>91</v>
      </c>
      <c r="W23" s="51" t="s">
        <v>213</v>
      </c>
      <c r="X23" s="52" t="s">
        <v>235</v>
      </c>
      <c r="Y23" s="50">
        <v>95</v>
      </c>
      <c r="Z23" s="51" t="s">
        <v>213</v>
      </c>
      <c r="AA23" s="53" t="s">
        <v>208</v>
      </c>
      <c r="AB23" s="49">
        <v>80</v>
      </c>
      <c r="AC23" s="49" t="s">
        <v>202</v>
      </c>
      <c r="AD23" s="49" t="s">
        <v>246</v>
      </c>
      <c r="AE23" s="49">
        <v>80</v>
      </c>
      <c r="AF23" s="49" t="s">
        <v>202</v>
      </c>
      <c r="AG23" s="49" t="s">
        <v>210</v>
      </c>
      <c r="AH23" s="48">
        <v>84</v>
      </c>
      <c r="AI23" s="48" t="s">
        <v>202</v>
      </c>
      <c r="AJ23" s="48" t="s">
        <v>291</v>
      </c>
      <c r="AK23" s="48">
        <v>92</v>
      </c>
      <c r="AL23" s="48" t="s">
        <v>213</v>
      </c>
      <c r="AM23" s="48" t="s">
        <v>212</v>
      </c>
      <c r="AN23" s="49">
        <v>88</v>
      </c>
      <c r="AO23" s="49" t="s">
        <v>213</v>
      </c>
      <c r="AP23" s="49" t="s">
        <v>1117</v>
      </c>
      <c r="AQ23" s="49">
        <v>90</v>
      </c>
      <c r="AR23" s="49" t="s">
        <v>213</v>
      </c>
      <c r="AS23" s="49" t="s">
        <v>1113</v>
      </c>
      <c r="AT23" s="48">
        <v>89</v>
      </c>
      <c r="AU23" s="48" t="s">
        <v>213</v>
      </c>
      <c r="AV23" s="48" t="s">
        <v>214</v>
      </c>
      <c r="AW23" s="48">
        <v>81</v>
      </c>
      <c r="AX23" s="48" t="s">
        <v>202</v>
      </c>
      <c r="AY23" s="48" t="s">
        <v>215</v>
      </c>
      <c r="AZ23" s="49">
        <v>88</v>
      </c>
      <c r="BA23" s="49" t="s">
        <v>213</v>
      </c>
      <c r="BB23" s="49" t="s">
        <v>216</v>
      </c>
      <c r="BC23" s="49">
        <v>81</v>
      </c>
      <c r="BD23" s="49" t="s">
        <v>202</v>
      </c>
      <c r="BE23" s="49" t="s">
        <v>217</v>
      </c>
      <c r="BF23" s="48">
        <v>84</v>
      </c>
      <c r="BG23" s="48" t="s">
        <v>202</v>
      </c>
      <c r="BH23" s="48" t="s">
        <v>247</v>
      </c>
      <c r="BI23" s="48">
        <v>80</v>
      </c>
      <c r="BJ23" s="48" t="s">
        <v>202</v>
      </c>
      <c r="BK23" s="48" t="s">
        <v>219</v>
      </c>
      <c r="BL23" s="49">
        <v>91</v>
      </c>
      <c r="BM23" s="49" t="s">
        <v>213</v>
      </c>
      <c r="BN23" s="49" t="s">
        <v>235</v>
      </c>
      <c r="BO23" s="49">
        <v>95</v>
      </c>
      <c r="BP23" s="49" t="s">
        <v>213</v>
      </c>
      <c r="BQ23" s="49" t="s">
        <v>208</v>
      </c>
      <c r="BR23" s="48">
        <v>89</v>
      </c>
      <c r="BS23" s="48" t="s">
        <v>213</v>
      </c>
      <c r="BT23" s="48" t="s">
        <v>284</v>
      </c>
      <c r="BU23" s="48">
        <v>88</v>
      </c>
      <c r="BV23" s="48" t="s">
        <v>213</v>
      </c>
      <c r="BW23" s="48" t="s">
        <v>239</v>
      </c>
      <c r="BX23" s="49">
        <v>87</v>
      </c>
      <c r="BY23" s="49" t="s">
        <v>202</v>
      </c>
      <c r="BZ23" s="49" t="s">
        <v>250</v>
      </c>
      <c r="CA23" s="49">
        <v>87</v>
      </c>
      <c r="CB23" s="49" t="s">
        <v>202</v>
      </c>
      <c r="CC23" s="49" t="s">
        <v>223</v>
      </c>
      <c r="CD23" s="48">
        <v>88</v>
      </c>
      <c r="CE23" s="48" t="s">
        <v>213</v>
      </c>
      <c r="CF23" s="48" t="s">
        <v>241</v>
      </c>
      <c r="CG23" s="48">
        <v>80</v>
      </c>
      <c r="CH23" s="48" t="s">
        <v>202</v>
      </c>
      <c r="CI23" s="48" t="s">
        <v>225</v>
      </c>
      <c r="CJ23" s="49">
        <v>87</v>
      </c>
      <c r="CK23" s="49" t="s">
        <v>202</v>
      </c>
      <c r="CL23" s="49" t="s">
        <v>288</v>
      </c>
      <c r="CM23" s="49">
        <v>80</v>
      </c>
      <c r="CN23" s="49" t="s">
        <v>202</v>
      </c>
      <c r="CO23" s="49" t="s">
        <v>227</v>
      </c>
      <c r="CP23" s="48">
        <v>86</v>
      </c>
      <c r="CQ23" s="48" t="s">
        <v>202</v>
      </c>
      <c r="CR23" s="48" t="s">
        <v>257</v>
      </c>
      <c r="CS23" s="48">
        <v>82</v>
      </c>
      <c r="CT23" s="48" t="s">
        <v>202</v>
      </c>
      <c r="CU23" s="48" t="s">
        <v>280</v>
      </c>
      <c r="CV23" s="48">
        <v>91</v>
      </c>
      <c r="CW23" s="48" t="s">
        <v>213</v>
      </c>
      <c r="CX23" s="48" t="s">
        <v>285</v>
      </c>
      <c r="CY23" s="48">
        <v>90</v>
      </c>
      <c r="CZ23" s="48" t="s">
        <v>213</v>
      </c>
      <c r="DA23" s="48" t="s">
        <v>231</v>
      </c>
      <c r="DB23" s="9" t="str">
        <f>'Input Ekstra'!E19</f>
        <v>Pramuka</v>
      </c>
      <c r="DC23" s="9" t="str">
        <f>'Input Ekstra'!F19</f>
        <v>Baik</v>
      </c>
      <c r="DD23" s="9" t="str">
        <f>'Input Ekstra'!G19</f>
        <v>Peserta didik mampu menjelaskan hal-hal terkait survival dan implementasi Dasa Dharma di alam terbuka.</v>
      </c>
      <c r="DE23" s="9">
        <f>'Input Ekstra'!H19</f>
        <v>0</v>
      </c>
      <c r="DF23" s="9">
        <f>'Input Ekstra'!I19</f>
        <v>0</v>
      </c>
      <c r="DG23" s="9">
        <f>'Input Ekstra'!J19</f>
        <v>0</v>
      </c>
      <c r="DH23" s="9" t="str">
        <f>'Input Kehadiran'!E19</f>
        <v>-</v>
      </c>
      <c r="DI23" s="9" t="str">
        <f>'Input Kehadiran'!F19</f>
        <v>-</v>
      </c>
      <c r="DJ23" s="9" t="str">
        <f>'Input Kehadiran'!G19</f>
        <v>-</v>
      </c>
      <c r="DK23" s="8">
        <f>'Input Prestasi'!D20</f>
        <v>0</v>
      </c>
      <c r="DL23" s="8">
        <f>'Input Prestasi'!E20</f>
        <v>0</v>
      </c>
      <c r="DM23" s="8">
        <f>'Input Prestasi'!F20</f>
        <v>0</v>
      </c>
      <c r="DN23" s="8">
        <f>'Input Prestasi'!G20</f>
        <v>0</v>
      </c>
      <c r="DO23" s="8">
        <f>'Input Prestasi'!H20</f>
        <v>0</v>
      </c>
      <c r="DP23" s="8">
        <f>'Input Prestasi'!I20</f>
        <v>0</v>
      </c>
      <c r="DQ23" s="8">
        <f>'Input Prestasi'!J20</f>
        <v>0</v>
      </c>
      <c r="DR23" s="8">
        <f>'Input Prestasi'!K20</f>
        <v>0</v>
      </c>
      <c r="DS23" s="9" t="str">
        <f>'Input Nilai Sikap dan Catatan'!H18</f>
        <v>Peserta didik sudah menunjukkan sikap mengamalkan ajaran agamanya, konsisten menerapkan sikap santun, jujur, dan mandiri. Tingkatkan rasa ingin tahu dan sikap baik di dalam maupun di luar pembelajaran.</v>
      </c>
    </row>
    <row r="24" spans="1:123">
      <c r="A24" s="44">
        <v>16</v>
      </c>
      <c r="B24" s="45" t="str">
        <f>IF(Setting!J21="","",Setting!J21)</f>
        <v>Kelvin Oktabrian Ramadhan</v>
      </c>
      <c r="C24" s="46">
        <f>IF(Setting!K21="","",Setting!K21)</f>
        <v>2008169</v>
      </c>
      <c r="D24" s="164" t="str">
        <f>IF(Setting!L21="","",Setting!L21)</f>
        <v>0045893001</v>
      </c>
      <c r="E24" s="9" t="str">
        <f>IF(Setting!$E$11="","",Setting!$E$11)</f>
        <v>X.MIPA 4</v>
      </c>
      <c r="F24" s="9" t="str">
        <f>'Input Nilai Sikap dan Catatan'!D19</f>
        <v>B</v>
      </c>
      <c r="G24" s="9" t="str">
        <f>'Input Nilai Sikap dan Catatan'!E19</f>
        <v>Taat menjalankan ibadah sholat tepat waktu dan aktif mengikuti kegiatan keagamaan di sekolah.</v>
      </c>
      <c r="H24" s="9" t="str">
        <f>'Input Nilai Sikap dan Catatan'!F19</f>
        <v>B</v>
      </c>
      <c r="I24" s="9" t="str">
        <f>'Input Nilai Sikap dan Catatan'!G19</f>
        <v>Memiliki sopan santun yang sangat baik dan selalu bersikap jujur dalam mengerjakan tugas</v>
      </c>
      <c r="J24" s="48">
        <v>90</v>
      </c>
      <c r="K24" s="48" t="s">
        <v>213</v>
      </c>
      <c r="L24" s="48" t="s">
        <v>273</v>
      </c>
      <c r="M24" s="48">
        <v>91</v>
      </c>
      <c r="N24" s="48" t="s">
        <v>213</v>
      </c>
      <c r="O24" s="48" t="s">
        <v>233</v>
      </c>
      <c r="P24" s="49">
        <v>86</v>
      </c>
      <c r="Q24" s="49" t="s">
        <v>202</v>
      </c>
      <c r="R24" s="49" t="s">
        <v>245</v>
      </c>
      <c r="S24" s="49">
        <v>83</v>
      </c>
      <c r="T24" s="49" t="s">
        <v>202</v>
      </c>
      <c r="U24" s="49" t="s">
        <v>206</v>
      </c>
      <c r="V24" s="50">
        <v>87</v>
      </c>
      <c r="W24" s="51" t="s">
        <v>202</v>
      </c>
      <c r="X24" s="52" t="s">
        <v>235</v>
      </c>
      <c r="Y24" s="50">
        <v>80</v>
      </c>
      <c r="Z24" s="51" t="s">
        <v>202</v>
      </c>
      <c r="AA24" s="53" t="s">
        <v>208</v>
      </c>
      <c r="AB24" s="49">
        <v>86</v>
      </c>
      <c r="AC24" s="49" t="s">
        <v>202</v>
      </c>
      <c r="AD24" s="49" t="s">
        <v>209</v>
      </c>
      <c r="AE24" s="49">
        <v>80</v>
      </c>
      <c r="AF24" s="49" t="s">
        <v>202</v>
      </c>
      <c r="AG24" s="49" t="s">
        <v>210</v>
      </c>
      <c r="AH24" s="48">
        <v>88</v>
      </c>
      <c r="AI24" s="48" t="s">
        <v>213</v>
      </c>
      <c r="AJ24" s="48" t="s">
        <v>211</v>
      </c>
      <c r="AK24" s="48">
        <v>80</v>
      </c>
      <c r="AL24" s="48" t="s">
        <v>202</v>
      </c>
      <c r="AM24" s="48" t="s">
        <v>212</v>
      </c>
      <c r="AN24" s="49">
        <v>88</v>
      </c>
      <c r="AO24" s="49" t="s">
        <v>213</v>
      </c>
      <c r="AP24" s="49" t="s">
        <v>1121</v>
      </c>
      <c r="AQ24" s="49">
        <v>80</v>
      </c>
      <c r="AR24" s="49" t="s">
        <v>202</v>
      </c>
      <c r="AS24" s="49" t="s">
        <v>1115</v>
      </c>
      <c r="AT24" s="48">
        <v>89</v>
      </c>
      <c r="AU24" s="48" t="s">
        <v>213</v>
      </c>
      <c r="AV24" s="48" t="s">
        <v>214</v>
      </c>
      <c r="AW24" s="48">
        <v>81</v>
      </c>
      <c r="AX24" s="48" t="s">
        <v>202</v>
      </c>
      <c r="AY24" s="48" t="s">
        <v>215</v>
      </c>
      <c r="AZ24" s="49">
        <v>91</v>
      </c>
      <c r="BA24" s="49" t="s">
        <v>213</v>
      </c>
      <c r="BB24" s="49" t="s">
        <v>287</v>
      </c>
      <c r="BC24" s="49">
        <v>86</v>
      </c>
      <c r="BD24" s="49" t="s">
        <v>202</v>
      </c>
      <c r="BE24" s="49" t="s">
        <v>217</v>
      </c>
      <c r="BF24" s="48">
        <v>89</v>
      </c>
      <c r="BG24" s="48" t="s">
        <v>213</v>
      </c>
      <c r="BH24" s="48" t="s">
        <v>247</v>
      </c>
      <c r="BI24" s="48">
        <v>92</v>
      </c>
      <c r="BJ24" s="48" t="s">
        <v>213</v>
      </c>
      <c r="BK24" s="48" t="s">
        <v>219</v>
      </c>
      <c r="BL24" s="49">
        <v>87</v>
      </c>
      <c r="BM24" s="49" t="s">
        <v>202</v>
      </c>
      <c r="BN24" s="49" t="s">
        <v>235</v>
      </c>
      <c r="BO24" s="49">
        <v>80</v>
      </c>
      <c r="BP24" s="49" t="s">
        <v>202</v>
      </c>
      <c r="BQ24" s="49" t="s">
        <v>208</v>
      </c>
      <c r="BR24" s="48">
        <v>88</v>
      </c>
      <c r="BS24" s="48" t="s">
        <v>213</v>
      </c>
      <c r="BT24" s="48" t="s">
        <v>220</v>
      </c>
      <c r="BU24" s="48">
        <v>88</v>
      </c>
      <c r="BV24" s="48" t="s">
        <v>213</v>
      </c>
      <c r="BW24" s="48" t="s">
        <v>221</v>
      </c>
      <c r="BX24" s="49">
        <v>86</v>
      </c>
      <c r="BY24" s="49" t="s">
        <v>202</v>
      </c>
      <c r="BZ24" s="49" t="s">
        <v>278</v>
      </c>
      <c r="CA24" s="49">
        <v>82</v>
      </c>
      <c r="CB24" s="49" t="s">
        <v>202</v>
      </c>
      <c r="CC24" s="49" t="s">
        <v>223</v>
      </c>
      <c r="CD24" s="48">
        <v>88</v>
      </c>
      <c r="CE24" s="48" t="s">
        <v>213</v>
      </c>
      <c r="CF24" s="48" t="s">
        <v>241</v>
      </c>
      <c r="CG24" s="48">
        <v>87</v>
      </c>
      <c r="CH24" s="48" t="s">
        <v>202</v>
      </c>
      <c r="CI24" s="48" t="s">
        <v>225</v>
      </c>
      <c r="CJ24" s="49">
        <v>90</v>
      </c>
      <c r="CK24" s="49" t="s">
        <v>213</v>
      </c>
      <c r="CL24" s="49" t="s">
        <v>294</v>
      </c>
      <c r="CM24" s="49">
        <v>87</v>
      </c>
      <c r="CN24" s="49" t="s">
        <v>202</v>
      </c>
      <c r="CO24" s="49" t="s">
        <v>227</v>
      </c>
      <c r="CP24" s="48">
        <v>86</v>
      </c>
      <c r="CQ24" s="48" t="s">
        <v>202</v>
      </c>
      <c r="CR24" s="48" t="s">
        <v>228</v>
      </c>
      <c r="CS24" s="48">
        <v>82</v>
      </c>
      <c r="CT24" s="48" t="s">
        <v>202</v>
      </c>
      <c r="CU24" s="48" t="s">
        <v>229</v>
      </c>
      <c r="CV24" s="48">
        <v>92</v>
      </c>
      <c r="CW24" s="48" t="s">
        <v>213</v>
      </c>
      <c r="CX24" s="48" t="s">
        <v>230</v>
      </c>
      <c r="CY24" s="48">
        <v>80</v>
      </c>
      <c r="CZ24" s="48" t="s">
        <v>202</v>
      </c>
      <c r="DA24" s="48" t="s">
        <v>231</v>
      </c>
      <c r="DB24" s="9" t="str">
        <f>'Input Ekstra'!E20</f>
        <v>Pramuka</v>
      </c>
      <c r="DC24" s="9" t="str">
        <f>'Input Ekstra'!F20</f>
        <v>Baik</v>
      </c>
      <c r="DD24" s="9" t="str">
        <f>'Input Ekstra'!G20</f>
        <v>Peserta didik mampu menjelaskan hal-hal terkait survival dan implementasi Dasa Dharma di alam terbuka.</v>
      </c>
      <c r="DE24" s="9">
        <f>'Input Ekstra'!H20</f>
        <v>0</v>
      </c>
      <c r="DF24" s="9">
        <f>'Input Ekstra'!I20</f>
        <v>0</v>
      </c>
      <c r="DG24" s="9">
        <f>'Input Ekstra'!J20</f>
        <v>0</v>
      </c>
      <c r="DH24" s="9" t="str">
        <f>'Input Kehadiran'!E20</f>
        <v>-</v>
      </c>
      <c r="DI24" s="9">
        <f>'Input Kehadiran'!F20</f>
        <v>2</v>
      </c>
      <c r="DJ24" s="9" t="str">
        <f>'Input Kehadiran'!G20</f>
        <v>-</v>
      </c>
      <c r="DK24" s="8">
        <f>'Input Prestasi'!D21</f>
        <v>0</v>
      </c>
      <c r="DL24" s="8">
        <f>'Input Prestasi'!E21</f>
        <v>0</v>
      </c>
      <c r="DM24" s="8">
        <f>'Input Prestasi'!F21</f>
        <v>0</v>
      </c>
      <c r="DN24" s="8">
        <f>'Input Prestasi'!G21</f>
        <v>0</v>
      </c>
      <c r="DO24" s="8">
        <f>'Input Prestasi'!H21</f>
        <v>0</v>
      </c>
      <c r="DP24" s="8">
        <f>'Input Prestasi'!I21</f>
        <v>0</v>
      </c>
      <c r="DQ24" s="8">
        <f>'Input Prestasi'!J21</f>
        <v>0</v>
      </c>
      <c r="DR24" s="8">
        <f>'Input Prestasi'!K21</f>
        <v>0</v>
      </c>
      <c r="DS24" s="9" t="str">
        <f>'Input Nilai Sikap dan Catatan'!H19</f>
        <v>Peserta didik sudah menunjukkan sikap mengamalkan ajaran agamanya, konsisten menerapkan sikap santun, jujur, dan mandiri. Tingkatkan rasa ingin tahu dan sikap baik di dalam maupun di luar pembelajaran.</v>
      </c>
    </row>
    <row r="25" spans="1:123">
      <c r="A25" s="44">
        <v>17</v>
      </c>
      <c r="B25" s="45" t="str">
        <f>IF(Setting!J22="","",Setting!J22)</f>
        <v>Mohamad Khoiril Afwa</v>
      </c>
      <c r="C25" s="46">
        <f>IF(Setting!K22="","",Setting!K22)</f>
        <v>2008197</v>
      </c>
      <c r="D25" s="164" t="str">
        <f>IF(Setting!L22="","",Setting!L22)</f>
        <v>0044910894</v>
      </c>
      <c r="E25" s="9" t="str">
        <f>IF(Setting!$E$11="","",Setting!$E$11)</f>
        <v>X.MIPA 4</v>
      </c>
      <c r="F25" s="9" t="str">
        <f>'Input Nilai Sikap dan Catatan'!D20</f>
        <v>B</v>
      </c>
      <c r="G25" s="9" t="str">
        <f>'Input Nilai Sikap dan Catatan'!E20</f>
        <v>Taat menjalankan ibadah sholat tepat waktu dan aktif mengikuti kegiatan keagamaan di sekolah.</v>
      </c>
      <c r="H25" s="9" t="str">
        <f>'Input Nilai Sikap dan Catatan'!F20</f>
        <v>B</v>
      </c>
      <c r="I25" s="9" t="str">
        <f>'Input Nilai Sikap dan Catatan'!G20</f>
        <v>Memiliki sopan santun yang sangat baik dan selalu bersikap jujur dalam mengerjakan tugas</v>
      </c>
      <c r="J25" s="48">
        <v>80</v>
      </c>
      <c r="K25" s="48" t="s">
        <v>202</v>
      </c>
      <c r="L25" s="48" t="s">
        <v>203</v>
      </c>
      <c r="M25" s="48">
        <v>80</v>
      </c>
      <c r="N25" s="48" t="s">
        <v>202</v>
      </c>
      <c r="O25" s="48" t="s">
        <v>283</v>
      </c>
      <c r="P25" s="49">
        <v>85</v>
      </c>
      <c r="Q25" s="49" t="s">
        <v>202</v>
      </c>
      <c r="R25" s="49" t="s">
        <v>205</v>
      </c>
      <c r="S25" s="49">
        <v>83</v>
      </c>
      <c r="T25" s="49" t="s">
        <v>202</v>
      </c>
      <c r="U25" s="49" t="s">
        <v>206</v>
      </c>
      <c r="V25" s="50">
        <v>91</v>
      </c>
      <c r="W25" s="51" t="s">
        <v>213</v>
      </c>
      <c r="X25" s="52" t="s">
        <v>235</v>
      </c>
      <c r="Y25" s="50">
        <v>95</v>
      </c>
      <c r="Z25" s="51" t="s">
        <v>213</v>
      </c>
      <c r="AA25" s="53" t="s">
        <v>208</v>
      </c>
      <c r="AB25" s="49">
        <v>80</v>
      </c>
      <c r="AC25" s="49" t="s">
        <v>202</v>
      </c>
      <c r="AD25" s="49" t="s">
        <v>246</v>
      </c>
      <c r="AE25" s="49">
        <v>80</v>
      </c>
      <c r="AF25" s="49" t="s">
        <v>202</v>
      </c>
      <c r="AG25" s="49" t="s">
        <v>210</v>
      </c>
      <c r="AH25" s="48">
        <v>85</v>
      </c>
      <c r="AI25" s="48" t="s">
        <v>202</v>
      </c>
      <c r="AJ25" s="48" t="s">
        <v>286</v>
      </c>
      <c r="AK25" s="48">
        <v>80</v>
      </c>
      <c r="AL25" s="48" t="s">
        <v>202</v>
      </c>
      <c r="AM25" s="48" t="s">
        <v>212</v>
      </c>
      <c r="AN25" s="49">
        <v>86</v>
      </c>
      <c r="AO25" s="49" t="s">
        <v>202</v>
      </c>
      <c r="AP25" s="49" t="s">
        <v>1122</v>
      </c>
      <c r="AQ25" s="49">
        <v>80</v>
      </c>
      <c r="AR25" s="49" t="s">
        <v>202</v>
      </c>
      <c r="AS25" s="49" t="s">
        <v>1115</v>
      </c>
      <c r="AT25" s="48">
        <v>89</v>
      </c>
      <c r="AU25" s="48" t="s">
        <v>213</v>
      </c>
      <c r="AV25" s="48" t="s">
        <v>214</v>
      </c>
      <c r="AW25" s="48">
        <v>83</v>
      </c>
      <c r="AX25" s="48" t="s">
        <v>202</v>
      </c>
      <c r="AY25" s="48" t="s">
        <v>215</v>
      </c>
      <c r="AZ25" s="49">
        <v>85</v>
      </c>
      <c r="BA25" s="49" t="s">
        <v>202</v>
      </c>
      <c r="BB25" s="49" t="s">
        <v>260</v>
      </c>
      <c r="BC25" s="49">
        <v>80</v>
      </c>
      <c r="BD25" s="49" t="s">
        <v>202</v>
      </c>
      <c r="BE25" s="49" t="s">
        <v>217</v>
      </c>
      <c r="BF25" s="48">
        <v>84</v>
      </c>
      <c r="BG25" s="48" t="s">
        <v>202</v>
      </c>
      <c r="BH25" s="48" t="s">
        <v>218</v>
      </c>
      <c r="BI25" s="48">
        <v>87</v>
      </c>
      <c r="BJ25" s="48" t="s">
        <v>202</v>
      </c>
      <c r="BK25" s="48" t="s">
        <v>219</v>
      </c>
      <c r="BL25" s="49">
        <v>91</v>
      </c>
      <c r="BM25" s="49" t="s">
        <v>213</v>
      </c>
      <c r="BN25" s="49" t="s">
        <v>235</v>
      </c>
      <c r="BO25" s="49">
        <v>95</v>
      </c>
      <c r="BP25" s="49" t="s">
        <v>213</v>
      </c>
      <c r="BQ25" s="49" t="s">
        <v>208</v>
      </c>
      <c r="BR25" s="48">
        <v>81</v>
      </c>
      <c r="BS25" s="48" t="s">
        <v>202</v>
      </c>
      <c r="BT25" s="48" t="s">
        <v>238</v>
      </c>
      <c r="BU25" s="48">
        <v>80</v>
      </c>
      <c r="BV25" s="48" t="s">
        <v>202</v>
      </c>
      <c r="BW25" s="48" t="s">
        <v>221</v>
      </c>
      <c r="BX25" s="49">
        <v>83</v>
      </c>
      <c r="BY25" s="49" t="s">
        <v>202</v>
      </c>
      <c r="BZ25" s="49" t="s">
        <v>222</v>
      </c>
      <c r="CA25" s="49">
        <v>80</v>
      </c>
      <c r="CB25" s="49" t="s">
        <v>202</v>
      </c>
      <c r="CC25" s="49" t="s">
        <v>223</v>
      </c>
      <c r="CD25" s="48">
        <v>84</v>
      </c>
      <c r="CE25" s="48" t="s">
        <v>202</v>
      </c>
      <c r="CF25" s="48" t="s">
        <v>241</v>
      </c>
      <c r="CG25" s="48">
        <v>80</v>
      </c>
      <c r="CH25" s="48" t="s">
        <v>202</v>
      </c>
      <c r="CI25" s="48" t="s">
        <v>225</v>
      </c>
      <c r="CJ25" s="49">
        <v>84</v>
      </c>
      <c r="CK25" s="49" t="s">
        <v>202</v>
      </c>
      <c r="CL25" s="49" t="s">
        <v>279</v>
      </c>
      <c r="CM25" s="49">
        <v>80</v>
      </c>
      <c r="CN25" s="49" t="s">
        <v>202</v>
      </c>
      <c r="CO25" s="49" t="s">
        <v>227</v>
      </c>
      <c r="CP25" s="48">
        <v>85</v>
      </c>
      <c r="CQ25" s="48" t="s">
        <v>202</v>
      </c>
      <c r="CR25" s="48" t="s">
        <v>228</v>
      </c>
      <c r="CS25" s="48">
        <v>82</v>
      </c>
      <c r="CT25" s="48" t="s">
        <v>202</v>
      </c>
      <c r="CU25" s="48" t="s">
        <v>229</v>
      </c>
      <c r="CV25" s="48">
        <v>91</v>
      </c>
      <c r="CW25" s="48" t="s">
        <v>213</v>
      </c>
      <c r="CX25" s="48" t="s">
        <v>230</v>
      </c>
      <c r="CY25" s="48">
        <v>90</v>
      </c>
      <c r="CZ25" s="48" t="s">
        <v>213</v>
      </c>
      <c r="DA25" s="48" t="s">
        <v>231</v>
      </c>
      <c r="DB25" s="9" t="str">
        <f>'Input Ekstra'!E21</f>
        <v>Pramuka</v>
      </c>
      <c r="DC25" s="9" t="str">
        <f>'Input Ekstra'!F21</f>
        <v>Baik</v>
      </c>
      <c r="DD25" s="9" t="str">
        <f>'Input Ekstra'!G21</f>
        <v>Peserta didik mampu menjelaskan hal-hal terkait survival dan implementasi Dasa Dharma di alam terbuka.</v>
      </c>
      <c r="DE25" s="9">
        <f>'Input Ekstra'!H21</f>
        <v>0</v>
      </c>
      <c r="DF25" s="9">
        <f>'Input Ekstra'!I21</f>
        <v>0</v>
      </c>
      <c r="DG25" s="9">
        <f>'Input Ekstra'!J21</f>
        <v>0</v>
      </c>
      <c r="DH25" s="9" t="str">
        <f>'Input Kehadiran'!E21</f>
        <v>-</v>
      </c>
      <c r="DI25" s="9" t="str">
        <f>'Input Kehadiran'!F21</f>
        <v>-</v>
      </c>
      <c r="DJ25" s="9" t="str">
        <f>'Input Kehadiran'!G21</f>
        <v>-</v>
      </c>
      <c r="DK25" s="8">
        <f>'Input Prestasi'!D22</f>
        <v>0</v>
      </c>
      <c r="DL25" s="8">
        <f>'Input Prestasi'!E22</f>
        <v>0</v>
      </c>
      <c r="DM25" s="8">
        <f>'Input Prestasi'!F22</f>
        <v>0</v>
      </c>
      <c r="DN25" s="8">
        <f>'Input Prestasi'!G22</f>
        <v>0</v>
      </c>
      <c r="DO25" s="8">
        <f>'Input Prestasi'!H22</f>
        <v>0</v>
      </c>
      <c r="DP25" s="8">
        <f>'Input Prestasi'!I22</f>
        <v>0</v>
      </c>
      <c r="DQ25" s="8">
        <f>'Input Prestasi'!J22</f>
        <v>0</v>
      </c>
      <c r="DR25" s="8">
        <f>'Input Prestasi'!K22</f>
        <v>0</v>
      </c>
      <c r="DS25" s="9" t="str">
        <f>'Input Nilai Sikap dan Catatan'!H20</f>
        <v>Peserta didik sudah menunjukkan sikap mengamalkan ajaran agamanya, konsisten menerapkan sikap santun, jujur, dan mandiri. Tingkatkan rasa ingin tahu dan sikap baik di dalam maupun di luar pembelajaran.</v>
      </c>
    </row>
    <row r="26" spans="1:123">
      <c r="A26" s="44">
        <v>18</v>
      </c>
      <c r="B26" s="45" t="str">
        <f>IF(Setting!J23="","",Setting!J23)</f>
        <v>Muhammad Hanif Pearlyaradja</v>
      </c>
      <c r="C26" s="46">
        <f>IF(Setting!K23="","",Setting!K23)</f>
        <v>2008214</v>
      </c>
      <c r="D26" s="164" t="str">
        <f>IF(Setting!L23="","",Setting!L23)</f>
        <v>0052096412</v>
      </c>
      <c r="E26" s="9" t="str">
        <f>IF(Setting!$E$11="","",Setting!$E$11)</f>
        <v>X.MIPA 4</v>
      </c>
      <c r="F26" s="9" t="str">
        <f>'Input Nilai Sikap dan Catatan'!D21</f>
        <v>B</v>
      </c>
      <c r="G26" s="9" t="str">
        <f>'Input Nilai Sikap dan Catatan'!E21</f>
        <v>Taat menjalankan ibadah sholat tepat waktu dan aktif mengikuti kegiatan keagamaan di sekolah.</v>
      </c>
      <c r="H26" s="9" t="str">
        <f>'Input Nilai Sikap dan Catatan'!F21</f>
        <v>B</v>
      </c>
      <c r="I26" s="9" t="str">
        <f>'Input Nilai Sikap dan Catatan'!G21</f>
        <v>Memiliki sopan santun yang sangat baik dan selalu bersikap jujur dalam mengerjakan tugas</v>
      </c>
      <c r="J26" s="48">
        <v>90</v>
      </c>
      <c r="K26" s="48" t="s">
        <v>213</v>
      </c>
      <c r="L26" s="48" t="s">
        <v>203</v>
      </c>
      <c r="M26" s="48">
        <v>90</v>
      </c>
      <c r="N26" s="48" t="s">
        <v>213</v>
      </c>
      <c r="O26" s="48" t="s">
        <v>244</v>
      </c>
      <c r="P26" s="49">
        <v>86</v>
      </c>
      <c r="Q26" s="49" t="s">
        <v>202</v>
      </c>
      <c r="R26" s="49" t="s">
        <v>205</v>
      </c>
      <c r="S26" s="49">
        <v>83</v>
      </c>
      <c r="T26" s="49" t="s">
        <v>202</v>
      </c>
      <c r="U26" s="49" t="s">
        <v>234</v>
      </c>
      <c r="V26" s="50">
        <v>91</v>
      </c>
      <c r="W26" s="51" t="s">
        <v>213</v>
      </c>
      <c r="X26" s="52" t="s">
        <v>235</v>
      </c>
      <c r="Y26" s="50">
        <v>95</v>
      </c>
      <c r="Z26" s="51" t="s">
        <v>213</v>
      </c>
      <c r="AA26" s="53" t="s">
        <v>208</v>
      </c>
      <c r="AB26" s="49">
        <v>80</v>
      </c>
      <c r="AC26" s="49" t="s">
        <v>202</v>
      </c>
      <c r="AD26" s="49" t="s">
        <v>209</v>
      </c>
      <c r="AE26" s="49">
        <v>80</v>
      </c>
      <c r="AF26" s="49" t="s">
        <v>202</v>
      </c>
      <c r="AG26" s="49" t="s">
        <v>210</v>
      </c>
      <c r="AH26" s="48">
        <v>88</v>
      </c>
      <c r="AI26" s="48" t="s">
        <v>213</v>
      </c>
      <c r="AJ26" s="48" t="s">
        <v>211</v>
      </c>
      <c r="AK26" s="48">
        <v>80</v>
      </c>
      <c r="AL26" s="48" t="s">
        <v>202</v>
      </c>
      <c r="AM26" s="48" t="s">
        <v>212</v>
      </c>
      <c r="AN26" s="49">
        <v>88</v>
      </c>
      <c r="AO26" s="49" t="s">
        <v>213</v>
      </c>
      <c r="AP26" s="49" t="s">
        <v>1118</v>
      </c>
      <c r="AQ26" s="49">
        <v>84</v>
      </c>
      <c r="AR26" s="49" t="s">
        <v>202</v>
      </c>
      <c r="AS26" s="49" t="s">
        <v>1116</v>
      </c>
      <c r="AT26" s="48">
        <v>89</v>
      </c>
      <c r="AU26" s="48" t="s">
        <v>213</v>
      </c>
      <c r="AV26" s="48" t="s">
        <v>214</v>
      </c>
      <c r="AW26" s="48">
        <v>81</v>
      </c>
      <c r="AX26" s="48" t="s">
        <v>202</v>
      </c>
      <c r="AY26" s="48" t="s">
        <v>215</v>
      </c>
      <c r="AZ26" s="49">
        <v>84</v>
      </c>
      <c r="BA26" s="49" t="s">
        <v>202</v>
      </c>
      <c r="BB26" s="49" t="s">
        <v>260</v>
      </c>
      <c r="BC26" s="49">
        <v>80</v>
      </c>
      <c r="BD26" s="49" t="s">
        <v>202</v>
      </c>
      <c r="BE26" s="49" t="s">
        <v>217</v>
      </c>
      <c r="BF26" s="48">
        <v>87</v>
      </c>
      <c r="BG26" s="48" t="s">
        <v>202</v>
      </c>
      <c r="BH26" s="48" t="s">
        <v>218</v>
      </c>
      <c r="BI26" s="48">
        <v>93</v>
      </c>
      <c r="BJ26" s="48" t="s">
        <v>213</v>
      </c>
      <c r="BK26" s="48" t="s">
        <v>219</v>
      </c>
      <c r="BL26" s="49">
        <v>91</v>
      </c>
      <c r="BM26" s="49" t="s">
        <v>213</v>
      </c>
      <c r="BN26" s="49" t="s">
        <v>235</v>
      </c>
      <c r="BO26" s="49">
        <v>95</v>
      </c>
      <c r="BP26" s="49" t="s">
        <v>213</v>
      </c>
      <c r="BQ26" s="49" t="s">
        <v>208</v>
      </c>
      <c r="BR26" s="48">
        <v>88</v>
      </c>
      <c r="BS26" s="48" t="s">
        <v>213</v>
      </c>
      <c r="BT26" s="48" t="s">
        <v>220</v>
      </c>
      <c r="BU26" s="48">
        <v>84</v>
      </c>
      <c r="BV26" s="48" t="s">
        <v>202</v>
      </c>
      <c r="BW26" s="48" t="s">
        <v>221</v>
      </c>
      <c r="BX26" s="49">
        <v>87</v>
      </c>
      <c r="BY26" s="49" t="s">
        <v>202</v>
      </c>
      <c r="BZ26" s="49" t="s">
        <v>250</v>
      </c>
      <c r="CA26" s="49">
        <v>89</v>
      </c>
      <c r="CB26" s="49" t="s">
        <v>213</v>
      </c>
      <c r="CC26" s="49" t="s">
        <v>223</v>
      </c>
      <c r="CD26" s="48">
        <v>87</v>
      </c>
      <c r="CE26" s="48" t="s">
        <v>202</v>
      </c>
      <c r="CF26" s="48" t="s">
        <v>251</v>
      </c>
      <c r="CG26" s="48">
        <v>85</v>
      </c>
      <c r="CH26" s="48" t="s">
        <v>202</v>
      </c>
      <c r="CI26" s="48" t="s">
        <v>225</v>
      </c>
      <c r="CJ26" s="49">
        <v>88</v>
      </c>
      <c r="CK26" s="49" t="s">
        <v>213</v>
      </c>
      <c r="CL26" s="49" t="s">
        <v>279</v>
      </c>
      <c r="CM26" s="49">
        <v>85</v>
      </c>
      <c r="CN26" s="49" t="s">
        <v>202</v>
      </c>
      <c r="CO26" s="49" t="s">
        <v>227</v>
      </c>
      <c r="CP26" s="48">
        <v>87</v>
      </c>
      <c r="CQ26" s="48" t="s">
        <v>202</v>
      </c>
      <c r="CR26" s="48" t="s">
        <v>275</v>
      </c>
      <c r="CS26" s="48">
        <v>82</v>
      </c>
      <c r="CT26" s="48" t="s">
        <v>202</v>
      </c>
      <c r="CU26" s="48" t="s">
        <v>280</v>
      </c>
      <c r="CV26" s="48">
        <v>85</v>
      </c>
      <c r="CW26" s="48" t="s">
        <v>202</v>
      </c>
      <c r="CX26" s="48" t="s">
        <v>282</v>
      </c>
      <c r="CY26" s="48">
        <v>80</v>
      </c>
      <c r="CZ26" s="48" t="s">
        <v>202</v>
      </c>
      <c r="DA26" s="48" t="s">
        <v>262</v>
      </c>
      <c r="DB26" s="9" t="str">
        <f>'Input Ekstra'!E22</f>
        <v>Pramuka</v>
      </c>
      <c r="DC26" s="9" t="str">
        <f>'Input Ekstra'!F22</f>
        <v>Baik</v>
      </c>
      <c r="DD26" s="9" t="str">
        <f>'Input Ekstra'!G22</f>
        <v>Peserta didik mampu menjelaskan hal-hal terkait survival dan implementasi Dasa Dharma di alam terbuka.</v>
      </c>
      <c r="DE26" s="9">
        <f>'Input Ekstra'!H22</f>
        <v>0</v>
      </c>
      <c r="DF26" s="9">
        <f>'Input Ekstra'!I22</f>
        <v>0</v>
      </c>
      <c r="DG26" s="9">
        <f>'Input Ekstra'!J22</f>
        <v>0</v>
      </c>
      <c r="DH26" s="9" t="str">
        <f>'Input Kehadiran'!E22</f>
        <v>-</v>
      </c>
      <c r="DI26" s="9">
        <f>'Input Kehadiran'!F22</f>
        <v>1</v>
      </c>
      <c r="DJ26" s="9" t="str">
        <f>'Input Kehadiran'!G22</f>
        <v>-</v>
      </c>
      <c r="DK26" s="8">
        <f>'Input Prestasi'!D23</f>
        <v>0</v>
      </c>
      <c r="DL26" s="8">
        <f>'Input Prestasi'!E23</f>
        <v>0</v>
      </c>
      <c r="DM26" s="8">
        <f>'Input Prestasi'!F23</f>
        <v>0</v>
      </c>
      <c r="DN26" s="8">
        <f>'Input Prestasi'!G23</f>
        <v>0</v>
      </c>
      <c r="DO26" s="8">
        <f>'Input Prestasi'!H23</f>
        <v>0</v>
      </c>
      <c r="DP26" s="8">
        <f>'Input Prestasi'!I23</f>
        <v>0</v>
      </c>
      <c r="DQ26" s="8">
        <f>'Input Prestasi'!J23</f>
        <v>0</v>
      </c>
      <c r="DR26" s="8">
        <f>'Input Prestasi'!K23</f>
        <v>0</v>
      </c>
      <c r="DS26" s="9" t="str">
        <f>'Input Nilai Sikap dan Catatan'!H21</f>
        <v>Peserta didik sudah menunjukkan sikap mengamalkan ajaran agamanya, konsisten menerapkan sikap santun, jujur, dan mandiri. Tingkatkan rasa ingin tahu dan sikap baik di dalam maupun di luar pembelajaran.</v>
      </c>
    </row>
    <row r="27" spans="1:123">
      <c r="A27" s="44">
        <v>19</v>
      </c>
      <c r="B27" s="45" t="str">
        <f>IF(Setting!J24="","",Setting!J24)</f>
        <v>Muhammad Maurel Han</v>
      </c>
      <c r="C27" s="46">
        <f>IF(Setting!K24="","",Setting!K24)</f>
        <v>2008218</v>
      </c>
      <c r="D27" s="164" t="str">
        <f>IF(Setting!L24="","",Setting!L24)</f>
        <v>9015578324</v>
      </c>
      <c r="E27" s="9" t="str">
        <f>IF(Setting!$E$11="","",Setting!$E$11)</f>
        <v>X.MIPA 4</v>
      </c>
      <c r="F27" s="9" t="str">
        <f>'Input Nilai Sikap dan Catatan'!D22</f>
        <v>B</v>
      </c>
      <c r="G27" s="9" t="str">
        <f>'Input Nilai Sikap dan Catatan'!E22</f>
        <v>Taat menjalankan ibadah sholat tepat waktu dan aktif mengikuti kegiatan keagamaan di sekolah.</v>
      </c>
      <c r="H27" s="9" t="str">
        <f>'Input Nilai Sikap dan Catatan'!F22</f>
        <v>B</v>
      </c>
      <c r="I27" s="9" t="str">
        <f>'Input Nilai Sikap dan Catatan'!G22</f>
        <v>Memiliki sopan santun yang sangat baik dan selalu bersikap jujur dalam mengerjakan tugas</v>
      </c>
      <c r="J27" s="48">
        <v>81</v>
      </c>
      <c r="K27" s="48" t="s">
        <v>202</v>
      </c>
      <c r="L27" s="48" t="s">
        <v>290</v>
      </c>
      <c r="M27" s="48">
        <v>80</v>
      </c>
      <c r="N27" s="48" t="s">
        <v>202</v>
      </c>
      <c r="O27" s="48" t="s">
        <v>204</v>
      </c>
      <c r="P27" s="49">
        <v>83</v>
      </c>
      <c r="Q27" s="49" t="s">
        <v>202</v>
      </c>
      <c r="R27" s="49" t="s">
        <v>205</v>
      </c>
      <c r="S27" s="49">
        <v>83</v>
      </c>
      <c r="T27" s="49" t="s">
        <v>202</v>
      </c>
      <c r="U27" s="49" t="s">
        <v>206</v>
      </c>
      <c r="V27" s="50">
        <v>87</v>
      </c>
      <c r="W27" s="51" t="s">
        <v>202</v>
      </c>
      <c r="X27" s="52" t="s">
        <v>258</v>
      </c>
      <c r="Y27" s="50">
        <v>80</v>
      </c>
      <c r="Z27" s="51" t="s">
        <v>202</v>
      </c>
      <c r="AA27" s="53" t="s">
        <v>208</v>
      </c>
      <c r="AB27" s="49">
        <v>80</v>
      </c>
      <c r="AC27" s="49" t="s">
        <v>202</v>
      </c>
      <c r="AD27" s="49" t="s">
        <v>209</v>
      </c>
      <c r="AE27" s="49">
        <v>80</v>
      </c>
      <c r="AF27" s="49" t="s">
        <v>202</v>
      </c>
      <c r="AG27" s="49" t="s">
        <v>210</v>
      </c>
      <c r="AH27" s="48">
        <v>81</v>
      </c>
      <c r="AI27" s="48" t="s">
        <v>202</v>
      </c>
      <c r="AJ27" s="48" t="s">
        <v>286</v>
      </c>
      <c r="AK27" s="48">
        <v>80</v>
      </c>
      <c r="AL27" s="48" t="s">
        <v>202</v>
      </c>
      <c r="AM27" s="48" t="s">
        <v>212</v>
      </c>
      <c r="AN27" s="49">
        <v>84</v>
      </c>
      <c r="AO27" s="49" t="s">
        <v>202</v>
      </c>
      <c r="AP27" s="49" t="s">
        <v>1120</v>
      </c>
      <c r="AQ27" s="49">
        <v>90</v>
      </c>
      <c r="AR27" s="49" t="s">
        <v>213</v>
      </c>
      <c r="AS27" s="49" t="s">
        <v>1116</v>
      </c>
      <c r="AT27" s="48">
        <v>89</v>
      </c>
      <c r="AU27" s="48" t="s">
        <v>271</v>
      </c>
      <c r="AV27" s="48" t="s">
        <v>214</v>
      </c>
      <c r="AW27" s="48">
        <v>81</v>
      </c>
      <c r="AX27" s="48" t="s">
        <v>271</v>
      </c>
      <c r="AY27" s="48" t="s">
        <v>215</v>
      </c>
      <c r="AZ27" s="49">
        <v>86</v>
      </c>
      <c r="BA27" s="49" t="s">
        <v>202</v>
      </c>
      <c r="BB27" s="49" t="s">
        <v>216</v>
      </c>
      <c r="BC27" s="49">
        <v>80</v>
      </c>
      <c r="BD27" s="49" t="s">
        <v>202</v>
      </c>
      <c r="BE27" s="49" t="s">
        <v>217</v>
      </c>
      <c r="BF27" s="48">
        <v>86</v>
      </c>
      <c r="BG27" s="48" t="s">
        <v>202</v>
      </c>
      <c r="BH27" s="48" t="s">
        <v>218</v>
      </c>
      <c r="BI27" s="48">
        <v>80</v>
      </c>
      <c r="BJ27" s="48" t="s">
        <v>202</v>
      </c>
      <c r="BK27" s="48" t="s">
        <v>219</v>
      </c>
      <c r="BL27" s="49">
        <v>87</v>
      </c>
      <c r="BM27" s="49" t="s">
        <v>202</v>
      </c>
      <c r="BN27" s="49" t="s">
        <v>258</v>
      </c>
      <c r="BO27" s="49">
        <v>80</v>
      </c>
      <c r="BP27" s="49" t="s">
        <v>202</v>
      </c>
      <c r="BQ27" s="49" t="s">
        <v>208</v>
      </c>
      <c r="BR27" s="48">
        <v>80</v>
      </c>
      <c r="BS27" s="48" t="s">
        <v>202</v>
      </c>
      <c r="BT27" s="48" t="s">
        <v>220</v>
      </c>
      <c r="BU27" s="48">
        <v>80</v>
      </c>
      <c r="BV27" s="48" t="s">
        <v>202</v>
      </c>
      <c r="BW27" s="48" t="s">
        <v>221</v>
      </c>
      <c r="BX27" s="49">
        <v>82</v>
      </c>
      <c r="BY27" s="49" t="s">
        <v>202</v>
      </c>
      <c r="BZ27" s="49" t="s">
        <v>222</v>
      </c>
      <c r="CA27" s="49">
        <v>89</v>
      </c>
      <c r="CB27" s="49" t="s">
        <v>213</v>
      </c>
      <c r="CC27" s="49" t="s">
        <v>223</v>
      </c>
      <c r="CD27" s="48">
        <v>82</v>
      </c>
      <c r="CE27" s="48" t="s">
        <v>202</v>
      </c>
      <c r="CF27" s="48" t="s">
        <v>241</v>
      </c>
      <c r="CG27" s="48">
        <v>85</v>
      </c>
      <c r="CH27" s="48" t="s">
        <v>202</v>
      </c>
      <c r="CI27" s="48" t="s">
        <v>225</v>
      </c>
      <c r="CJ27" s="49">
        <v>84</v>
      </c>
      <c r="CK27" s="49" t="s">
        <v>202</v>
      </c>
      <c r="CL27" s="49" t="s">
        <v>270</v>
      </c>
      <c r="CM27" s="49">
        <v>85</v>
      </c>
      <c r="CN27" s="49" t="s">
        <v>202</v>
      </c>
      <c r="CO27" s="49" t="s">
        <v>227</v>
      </c>
      <c r="CP27" s="48">
        <v>83</v>
      </c>
      <c r="CQ27" s="48" t="s">
        <v>202</v>
      </c>
      <c r="CR27" s="48" t="s">
        <v>275</v>
      </c>
      <c r="CS27" s="48">
        <v>82</v>
      </c>
      <c r="CT27" s="48" t="s">
        <v>202</v>
      </c>
      <c r="CU27" s="48" t="s">
        <v>229</v>
      </c>
      <c r="CV27" s="48">
        <v>86</v>
      </c>
      <c r="CW27" s="48" t="s">
        <v>202</v>
      </c>
      <c r="CX27" s="48" t="s">
        <v>282</v>
      </c>
      <c r="CY27" s="48">
        <v>80</v>
      </c>
      <c r="CZ27" s="48" t="s">
        <v>202</v>
      </c>
      <c r="DA27" s="48" t="s">
        <v>231</v>
      </c>
      <c r="DB27" s="9" t="str">
        <f>'Input Ekstra'!E23</f>
        <v>Pramuka</v>
      </c>
      <c r="DC27" s="9" t="str">
        <f>'Input Ekstra'!F23</f>
        <v>Baik</v>
      </c>
      <c r="DD27" s="9" t="str">
        <f>'Input Ekstra'!G23</f>
        <v>Peserta didik mampu menjelaskan hal-hal terkait survival dan implementasi Dasa Dharma di alam terbuka.</v>
      </c>
      <c r="DE27" s="9">
        <f>'Input Ekstra'!H23</f>
        <v>0</v>
      </c>
      <c r="DF27" s="9">
        <f>'Input Ekstra'!I23</f>
        <v>0</v>
      </c>
      <c r="DG27" s="9">
        <f>'Input Ekstra'!J23</f>
        <v>0</v>
      </c>
      <c r="DH27" s="9">
        <f>'Input Kehadiran'!E23</f>
        <v>2</v>
      </c>
      <c r="DI27" s="9" t="str">
        <f>'Input Kehadiran'!F23</f>
        <v>-</v>
      </c>
      <c r="DJ27" s="9" t="str">
        <f>'Input Kehadiran'!G23</f>
        <v>-</v>
      </c>
      <c r="DK27" s="8">
        <f>'Input Prestasi'!D24</f>
        <v>0</v>
      </c>
      <c r="DL27" s="8">
        <f>'Input Prestasi'!E24</f>
        <v>0</v>
      </c>
      <c r="DM27" s="8">
        <f>'Input Prestasi'!F24</f>
        <v>0</v>
      </c>
      <c r="DN27" s="8">
        <f>'Input Prestasi'!G24</f>
        <v>0</v>
      </c>
      <c r="DO27" s="8">
        <f>'Input Prestasi'!H24</f>
        <v>0</v>
      </c>
      <c r="DP27" s="8">
        <f>'Input Prestasi'!I24</f>
        <v>0</v>
      </c>
      <c r="DQ27" s="8">
        <f>'Input Prestasi'!J24</f>
        <v>0</v>
      </c>
      <c r="DR27" s="8">
        <f>'Input Prestasi'!K24</f>
        <v>0</v>
      </c>
      <c r="DS27" s="9" t="str">
        <f>'Input Nilai Sikap dan Catatan'!H22</f>
        <v>Peserta didik sudah menunjukkan sikap mengamalkan ajaran agamanya, konsisten menerapkan sikap santun, jujur, dan mandiri. Tingkatkan rasa ingin tahu dan sikap baik di dalam maupun di luar pembelajaran.</v>
      </c>
    </row>
    <row r="28" spans="1:123">
      <c r="A28" s="44">
        <v>20</v>
      </c>
      <c r="B28" s="45" t="str">
        <f>IF(Setting!J25="","",Setting!J25)</f>
        <v>Muhammad Niam Masykuri</v>
      </c>
      <c r="C28" s="46">
        <f>IF(Setting!K25="","",Setting!K25)</f>
        <v>2008220</v>
      </c>
      <c r="D28" s="164" t="str">
        <f>IF(Setting!L25="","",Setting!L25)</f>
        <v xml:space="preserve"> 0044193368</v>
      </c>
      <c r="E28" s="9" t="str">
        <f>IF(Setting!$E$11="","",Setting!$E$11)</f>
        <v>X.MIPA 4</v>
      </c>
      <c r="F28" s="9" t="str">
        <f>'Input Nilai Sikap dan Catatan'!D23</f>
        <v>B</v>
      </c>
      <c r="G28" s="9" t="str">
        <f>'Input Nilai Sikap dan Catatan'!E23</f>
        <v>Taat menjalankan ibadah sholat tepat waktu dan aktif mengikuti kegiatan keagamaan di sekolah.</v>
      </c>
      <c r="H28" s="9" t="str">
        <f>'Input Nilai Sikap dan Catatan'!F23</f>
        <v>B</v>
      </c>
      <c r="I28" s="9" t="str">
        <f>'Input Nilai Sikap dan Catatan'!G23</f>
        <v>Memiliki sopan santun yang sangat baik dan selalu bersikap jujur dalam mengerjakan tugas</v>
      </c>
      <c r="J28" s="48">
        <v>89</v>
      </c>
      <c r="K28" s="48" t="s">
        <v>213</v>
      </c>
      <c r="L28" s="48" t="s">
        <v>295</v>
      </c>
      <c r="M28" s="48">
        <v>90</v>
      </c>
      <c r="N28" s="48" t="s">
        <v>213</v>
      </c>
      <c r="O28" s="48" t="s">
        <v>233</v>
      </c>
      <c r="P28" s="49">
        <v>88</v>
      </c>
      <c r="Q28" s="49" t="s">
        <v>213</v>
      </c>
      <c r="R28" s="49" t="s">
        <v>245</v>
      </c>
      <c r="S28" s="49">
        <v>83</v>
      </c>
      <c r="T28" s="49" t="s">
        <v>202</v>
      </c>
      <c r="U28" s="49" t="s">
        <v>206</v>
      </c>
      <c r="V28" s="50">
        <v>88</v>
      </c>
      <c r="W28" s="51" t="s">
        <v>213</v>
      </c>
      <c r="X28" s="52" t="s">
        <v>258</v>
      </c>
      <c r="Y28" s="50">
        <v>80</v>
      </c>
      <c r="Z28" s="51" t="s">
        <v>202</v>
      </c>
      <c r="AA28" s="53" t="s">
        <v>259</v>
      </c>
      <c r="AB28" s="49">
        <v>84</v>
      </c>
      <c r="AC28" s="49" t="s">
        <v>202</v>
      </c>
      <c r="AD28" s="49" t="s">
        <v>209</v>
      </c>
      <c r="AE28" s="49">
        <v>80</v>
      </c>
      <c r="AF28" s="49" t="s">
        <v>202</v>
      </c>
      <c r="AG28" s="49" t="s">
        <v>210</v>
      </c>
      <c r="AH28" s="48">
        <v>87</v>
      </c>
      <c r="AI28" s="48" t="s">
        <v>202</v>
      </c>
      <c r="AJ28" s="48" t="s">
        <v>296</v>
      </c>
      <c r="AK28" s="48">
        <v>80</v>
      </c>
      <c r="AL28" s="48" t="s">
        <v>202</v>
      </c>
      <c r="AM28" s="48" t="s">
        <v>212</v>
      </c>
      <c r="AN28" s="49">
        <v>88</v>
      </c>
      <c r="AO28" s="49" t="s">
        <v>213</v>
      </c>
      <c r="AP28" s="49" t="s">
        <v>1117</v>
      </c>
      <c r="AQ28" s="49">
        <v>90</v>
      </c>
      <c r="AR28" s="49" t="s">
        <v>213</v>
      </c>
      <c r="AS28" s="49" t="s">
        <v>1116</v>
      </c>
      <c r="AT28" s="48">
        <v>89</v>
      </c>
      <c r="AU28" s="48" t="s">
        <v>213</v>
      </c>
      <c r="AV28" s="48" t="s">
        <v>214</v>
      </c>
      <c r="AW28" s="48">
        <v>81</v>
      </c>
      <c r="AX28" s="48" t="s">
        <v>202</v>
      </c>
      <c r="AY28" s="48" t="s">
        <v>215</v>
      </c>
      <c r="AZ28" s="49">
        <v>85</v>
      </c>
      <c r="BA28" s="49" t="s">
        <v>202</v>
      </c>
      <c r="BB28" s="49" t="s">
        <v>260</v>
      </c>
      <c r="BC28" s="49">
        <v>80</v>
      </c>
      <c r="BD28" s="49" t="s">
        <v>202</v>
      </c>
      <c r="BE28" s="49" t="s">
        <v>217</v>
      </c>
      <c r="BF28" s="48">
        <v>84</v>
      </c>
      <c r="BG28" s="48" t="s">
        <v>202</v>
      </c>
      <c r="BH28" s="48" t="s">
        <v>247</v>
      </c>
      <c r="BI28" s="48">
        <v>80</v>
      </c>
      <c r="BJ28" s="48" t="s">
        <v>202</v>
      </c>
      <c r="BK28" s="48" t="s">
        <v>219</v>
      </c>
      <c r="BL28" s="49">
        <v>88</v>
      </c>
      <c r="BM28" s="49" t="s">
        <v>213</v>
      </c>
      <c r="BN28" s="49" t="s">
        <v>258</v>
      </c>
      <c r="BO28" s="49">
        <v>80</v>
      </c>
      <c r="BP28" s="49" t="s">
        <v>202</v>
      </c>
      <c r="BQ28" s="49" t="s">
        <v>259</v>
      </c>
      <c r="BR28" s="48">
        <v>88</v>
      </c>
      <c r="BS28" s="48" t="s">
        <v>213</v>
      </c>
      <c r="BT28" s="48" t="s">
        <v>238</v>
      </c>
      <c r="BU28" s="48">
        <v>86</v>
      </c>
      <c r="BV28" s="48" t="s">
        <v>202</v>
      </c>
      <c r="BW28" s="48" t="s">
        <v>221</v>
      </c>
      <c r="BX28" s="49">
        <v>87</v>
      </c>
      <c r="BY28" s="49" t="s">
        <v>202</v>
      </c>
      <c r="BZ28" s="49" t="s">
        <v>250</v>
      </c>
      <c r="CA28" s="49">
        <v>89</v>
      </c>
      <c r="CB28" s="49" t="s">
        <v>213</v>
      </c>
      <c r="CC28" s="49" t="s">
        <v>223</v>
      </c>
      <c r="CD28" s="48">
        <v>89</v>
      </c>
      <c r="CE28" s="48" t="s">
        <v>213</v>
      </c>
      <c r="CF28" s="48" t="s">
        <v>264</v>
      </c>
      <c r="CG28" s="48">
        <v>85</v>
      </c>
      <c r="CH28" s="48" t="s">
        <v>202</v>
      </c>
      <c r="CI28" s="48" t="s">
        <v>225</v>
      </c>
      <c r="CJ28" s="49">
        <v>85</v>
      </c>
      <c r="CK28" s="49" t="s">
        <v>202</v>
      </c>
      <c r="CL28" s="49" t="s">
        <v>279</v>
      </c>
      <c r="CM28" s="49">
        <v>85</v>
      </c>
      <c r="CN28" s="49" t="s">
        <v>202</v>
      </c>
      <c r="CO28" s="49" t="s">
        <v>227</v>
      </c>
      <c r="CP28" s="48">
        <v>84</v>
      </c>
      <c r="CQ28" s="48" t="s">
        <v>202</v>
      </c>
      <c r="CR28" s="48" t="s">
        <v>253</v>
      </c>
      <c r="CS28" s="48">
        <v>81</v>
      </c>
      <c r="CT28" s="48" t="s">
        <v>202</v>
      </c>
      <c r="CU28" s="48" t="s">
        <v>243</v>
      </c>
      <c r="CV28" s="48">
        <v>90</v>
      </c>
      <c r="CW28" s="48" t="s">
        <v>213</v>
      </c>
      <c r="CX28" s="48" t="s">
        <v>261</v>
      </c>
      <c r="CY28" s="48">
        <v>89</v>
      </c>
      <c r="CZ28" s="48" t="s">
        <v>213</v>
      </c>
      <c r="DA28" s="48" t="s">
        <v>262</v>
      </c>
      <c r="DB28" s="9" t="str">
        <f>'Input Ekstra'!E24</f>
        <v>Pramuka</v>
      </c>
      <c r="DC28" s="9" t="str">
        <f>'Input Ekstra'!F24</f>
        <v>Baik</v>
      </c>
      <c r="DD28" s="9" t="str">
        <f>'Input Ekstra'!G24</f>
        <v>Peserta didik mampu menjelaskan hal-hal terkait survival dan implementasi Dasa Dharma di alam terbuka.</v>
      </c>
      <c r="DE28" s="9">
        <f>'Input Ekstra'!H24</f>
        <v>0</v>
      </c>
      <c r="DF28" s="9">
        <f>'Input Ekstra'!I24</f>
        <v>0</v>
      </c>
      <c r="DG28" s="9">
        <f>'Input Ekstra'!J24</f>
        <v>0</v>
      </c>
      <c r="DH28" s="9" t="str">
        <f>'Input Kehadiran'!E24</f>
        <v>-</v>
      </c>
      <c r="DI28" s="9">
        <f>'Input Kehadiran'!F24</f>
        <v>1</v>
      </c>
      <c r="DJ28" s="9" t="str">
        <f>'Input Kehadiran'!G24</f>
        <v>-</v>
      </c>
      <c r="DK28" s="8">
        <f>'Input Prestasi'!D25</f>
        <v>0</v>
      </c>
      <c r="DL28" s="8">
        <f>'Input Prestasi'!E25</f>
        <v>0</v>
      </c>
      <c r="DM28" s="8">
        <f>'Input Prestasi'!F25</f>
        <v>0</v>
      </c>
      <c r="DN28" s="8">
        <f>'Input Prestasi'!G25</f>
        <v>0</v>
      </c>
      <c r="DO28" s="8">
        <f>'Input Prestasi'!H25</f>
        <v>0</v>
      </c>
      <c r="DP28" s="8">
        <f>'Input Prestasi'!I25</f>
        <v>0</v>
      </c>
      <c r="DQ28" s="8">
        <f>'Input Prestasi'!J25</f>
        <v>0</v>
      </c>
      <c r="DR28" s="8">
        <f>'Input Prestasi'!K25</f>
        <v>0</v>
      </c>
      <c r="DS28" s="9" t="str">
        <f>'Input Nilai Sikap dan Catatan'!H23</f>
        <v>Peserta didik sudah menunjukkan sikap mengamalkan ajaran agamanya, konsisten menerapkan sikap santun, jujur, dan mandiri. Tingkatkan rasa ingin tahu dan sikap baik di dalam maupun di luar pembelajaran.</v>
      </c>
    </row>
    <row r="29" spans="1:123">
      <c r="A29" s="44">
        <v>21</v>
      </c>
      <c r="B29" s="45" t="str">
        <f>IF(Setting!J26="","",Setting!J26)</f>
        <v>Muhammad Nur Arzhian Kusuma</v>
      </c>
      <c r="C29" s="46">
        <f>IF(Setting!K26="","",Setting!K26)</f>
        <v>2008221</v>
      </c>
      <c r="D29" s="164" t="str">
        <f>IF(Setting!L26="","",Setting!L26)</f>
        <v>0053421781</v>
      </c>
      <c r="E29" s="9" t="str">
        <f>IF(Setting!$E$11="","",Setting!$E$11)</f>
        <v>X.MIPA 4</v>
      </c>
      <c r="F29" s="9" t="str">
        <f>'Input Nilai Sikap dan Catatan'!D24</f>
        <v>B</v>
      </c>
      <c r="G29" s="9" t="str">
        <f>'Input Nilai Sikap dan Catatan'!E24</f>
        <v>Taat menjalankan ibadah sholat tepat waktu dan aktif mengikuti kegiatan keagamaan di sekolah.</v>
      </c>
      <c r="H29" s="9" t="str">
        <f>'Input Nilai Sikap dan Catatan'!F24</f>
        <v>B</v>
      </c>
      <c r="I29" s="9" t="str">
        <f>'Input Nilai Sikap dan Catatan'!G24</f>
        <v>Memiliki sopan santun yang sangat baik dan selalu bersikap jujur dalam mengerjakan tugas</v>
      </c>
      <c r="J29" s="48">
        <v>88</v>
      </c>
      <c r="K29" s="48" t="s">
        <v>213</v>
      </c>
      <c r="L29" s="48" t="s">
        <v>203</v>
      </c>
      <c r="M29" s="48">
        <v>89</v>
      </c>
      <c r="N29" s="48" t="s">
        <v>213</v>
      </c>
      <c r="O29" s="48" t="s">
        <v>233</v>
      </c>
      <c r="P29" s="49">
        <v>88</v>
      </c>
      <c r="Q29" s="49" t="s">
        <v>213</v>
      </c>
      <c r="R29" s="49" t="s">
        <v>205</v>
      </c>
      <c r="S29" s="49">
        <v>83</v>
      </c>
      <c r="T29" s="49" t="s">
        <v>202</v>
      </c>
      <c r="U29" s="49" t="s">
        <v>206</v>
      </c>
      <c r="V29" s="50">
        <v>91</v>
      </c>
      <c r="W29" s="51" t="s">
        <v>213</v>
      </c>
      <c r="X29" s="52" t="s">
        <v>235</v>
      </c>
      <c r="Y29" s="50">
        <v>95</v>
      </c>
      <c r="Z29" s="51" t="s">
        <v>213</v>
      </c>
      <c r="AA29" s="53" t="s">
        <v>208</v>
      </c>
      <c r="AB29" s="49">
        <v>80</v>
      </c>
      <c r="AC29" s="49" t="s">
        <v>202</v>
      </c>
      <c r="AD29" s="49" t="s">
        <v>209</v>
      </c>
      <c r="AE29" s="49">
        <v>80</v>
      </c>
      <c r="AF29" s="49" t="s">
        <v>202</v>
      </c>
      <c r="AG29" s="49" t="s">
        <v>210</v>
      </c>
      <c r="AH29" s="48">
        <v>86</v>
      </c>
      <c r="AI29" s="48" t="s">
        <v>202</v>
      </c>
      <c r="AJ29" s="48" t="s">
        <v>286</v>
      </c>
      <c r="AK29" s="48">
        <v>84</v>
      </c>
      <c r="AL29" s="48" t="s">
        <v>202</v>
      </c>
      <c r="AM29" s="48" t="s">
        <v>212</v>
      </c>
      <c r="AN29" s="49">
        <v>86</v>
      </c>
      <c r="AO29" s="49" t="s">
        <v>202</v>
      </c>
      <c r="AP29" s="49" t="s">
        <v>1122</v>
      </c>
      <c r="AQ29" s="49">
        <v>80</v>
      </c>
      <c r="AR29" s="49" t="s">
        <v>202</v>
      </c>
      <c r="AS29" s="49" t="s">
        <v>1116</v>
      </c>
      <c r="AT29" s="48">
        <v>89</v>
      </c>
      <c r="AU29" s="48" t="s">
        <v>213</v>
      </c>
      <c r="AV29" s="48" t="s">
        <v>214</v>
      </c>
      <c r="AW29" s="48">
        <v>81</v>
      </c>
      <c r="AX29" s="48" t="s">
        <v>202</v>
      </c>
      <c r="AY29" s="48" t="s">
        <v>215</v>
      </c>
      <c r="AZ29" s="49">
        <v>84</v>
      </c>
      <c r="BA29" s="49" t="s">
        <v>202</v>
      </c>
      <c r="BB29" s="49" t="s">
        <v>260</v>
      </c>
      <c r="BC29" s="49">
        <v>80</v>
      </c>
      <c r="BD29" s="49" t="s">
        <v>202</v>
      </c>
      <c r="BE29" s="49" t="s">
        <v>217</v>
      </c>
      <c r="BF29" s="48">
        <v>87</v>
      </c>
      <c r="BG29" s="48" t="s">
        <v>202</v>
      </c>
      <c r="BH29" s="48" t="s">
        <v>218</v>
      </c>
      <c r="BI29" s="48">
        <v>80</v>
      </c>
      <c r="BJ29" s="48" t="s">
        <v>202</v>
      </c>
      <c r="BK29" s="48" t="s">
        <v>219</v>
      </c>
      <c r="BL29" s="49">
        <v>91</v>
      </c>
      <c r="BM29" s="49" t="s">
        <v>213</v>
      </c>
      <c r="BN29" s="49" t="s">
        <v>235</v>
      </c>
      <c r="BO29" s="49">
        <v>95</v>
      </c>
      <c r="BP29" s="49" t="s">
        <v>213</v>
      </c>
      <c r="BQ29" s="49" t="s">
        <v>208</v>
      </c>
      <c r="BR29" s="48">
        <v>83</v>
      </c>
      <c r="BS29" s="48" t="s">
        <v>202</v>
      </c>
      <c r="BT29" s="48" t="s">
        <v>238</v>
      </c>
      <c r="BU29" s="48">
        <v>83</v>
      </c>
      <c r="BV29" s="48" t="s">
        <v>202</v>
      </c>
      <c r="BW29" s="48" t="s">
        <v>249</v>
      </c>
      <c r="BX29" s="49">
        <v>86</v>
      </c>
      <c r="BY29" s="49" t="s">
        <v>202</v>
      </c>
      <c r="BZ29" s="49" t="s">
        <v>250</v>
      </c>
      <c r="CA29" s="49">
        <v>87</v>
      </c>
      <c r="CB29" s="49" t="s">
        <v>202</v>
      </c>
      <c r="CC29" s="49" t="s">
        <v>223</v>
      </c>
      <c r="CD29" s="48">
        <v>88</v>
      </c>
      <c r="CE29" s="48" t="s">
        <v>213</v>
      </c>
      <c r="CF29" s="48" t="s">
        <v>264</v>
      </c>
      <c r="CG29" s="48">
        <v>85</v>
      </c>
      <c r="CH29" s="48" t="s">
        <v>202</v>
      </c>
      <c r="CI29" s="48" t="s">
        <v>225</v>
      </c>
      <c r="CJ29" s="49">
        <v>87</v>
      </c>
      <c r="CK29" s="49" t="s">
        <v>202</v>
      </c>
      <c r="CL29" s="49" t="s">
        <v>252</v>
      </c>
      <c r="CM29" s="49">
        <v>85</v>
      </c>
      <c r="CN29" s="49" t="s">
        <v>202</v>
      </c>
      <c r="CO29" s="49" t="s">
        <v>227</v>
      </c>
      <c r="CP29" s="48">
        <v>83</v>
      </c>
      <c r="CQ29" s="48" t="s">
        <v>202</v>
      </c>
      <c r="CR29" s="48" t="s">
        <v>253</v>
      </c>
      <c r="CS29" s="48">
        <v>81</v>
      </c>
      <c r="CT29" s="48" t="s">
        <v>202</v>
      </c>
      <c r="CU29" s="48" t="s">
        <v>243</v>
      </c>
      <c r="CV29" s="48">
        <v>88</v>
      </c>
      <c r="CW29" s="48" t="s">
        <v>213</v>
      </c>
      <c r="CX29" s="48" t="s">
        <v>285</v>
      </c>
      <c r="CY29" s="48">
        <v>80</v>
      </c>
      <c r="CZ29" s="48" t="s">
        <v>202</v>
      </c>
      <c r="DA29" s="48" t="s">
        <v>272</v>
      </c>
      <c r="DB29" s="9" t="str">
        <f>'Input Ekstra'!E25</f>
        <v>Pramuka</v>
      </c>
      <c r="DC29" s="9" t="str">
        <f>'Input Ekstra'!F25</f>
        <v>Baik</v>
      </c>
      <c r="DD29" s="9" t="str">
        <f>'Input Ekstra'!G25</f>
        <v>Peserta didik mampu menjelaskan hal-hal terkait survival dan implementasi Dasa Dharma di alam terbuka.</v>
      </c>
      <c r="DE29" s="9">
        <f>'Input Ekstra'!H25</f>
        <v>0</v>
      </c>
      <c r="DF29" s="9">
        <f>'Input Ekstra'!I25</f>
        <v>0</v>
      </c>
      <c r="DG29" s="9">
        <f>'Input Ekstra'!J25</f>
        <v>0</v>
      </c>
      <c r="DH29" s="9">
        <f>'Input Kehadiran'!E25</f>
        <v>1</v>
      </c>
      <c r="DI29" s="9">
        <f>'Input Kehadiran'!F25</f>
        <v>2</v>
      </c>
      <c r="DJ29" s="9" t="str">
        <f>'Input Kehadiran'!G25</f>
        <v>-</v>
      </c>
      <c r="DK29" s="8">
        <f>'Input Prestasi'!D26</f>
        <v>0</v>
      </c>
      <c r="DL29" s="8">
        <f>'Input Prestasi'!E26</f>
        <v>0</v>
      </c>
      <c r="DM29" s="8">
        <f>'Input Prestasi'!F26</f>
        <v>0</v>
      </c>
      <c r="DN29" s="8">
        <f>'Input Prestasi'!G26</f>
        <v>0</v>
      </c>
      <c r="DO29" s="8">
        <f>'Input Prestasi'!H26</f>
        <v>0</v>
      </c>
      <c r="DP29" s="8">
        <f>'Input Prestasi'!I26</f>
        <v>0</v>
      </c>
      <c r="DQ29" s="8">
        <f>'Input Prestasi'!J26</f>
        <v>0</v>
      </c>
      <c r="DR29" s="8">
        <f>'Input Prestasi'!K26</f>
        <v>0</v>
      </c>
      <c r="DS29" s="9" t="str">
        <f>'Input Nilai Sikap dan Catatan'!H24</f>
        <v>Peserta didik sudah menunjukkan sikap mengamalkan ajaran agamanya, konsisten menerapkan sikap santun, jujur, dan mandiri. Tingkatkan rasa ingin tahu dan sikap baik di dalam maupun di luar pembelajaran.</v>
      </c>
    </row>
    <row r="30" spans="1:123">
      <c r="A30" s="44">
        <v>22</v>
      </c>
      <c r="B30" s="45" t="s">
        <v>297</v>
      </c>
      <c r="C30" s="46">
        <f>IF(Setting!K27="","",Setting!K27)</f>
        <v>2008222</v>
      </c>
      <c r="D30" s="164" t="str">
        <f>IF(Setting!L27="","",Setting!L27)</f>
        <v>0044559979</v>
      </c>
      <c r="E30" s="9" t="str">
        <f>IF(Setting!$E$11="","",Setting!$E$11)</f>
        <v>X.MIPA 4</v>
      </c>
      <c r="F30" s="9" t="str">
        <f>'Input Nilai Sikap dan Catatan'!D25</f>
        <v>B</v>
      </c>
      <c r="G30" s="9" t="str">
        <f>'Input Nilai Sikap dan Catatan'!E25</f>
        <v>Taat menjalankan ibadah sholat tepat waktu dan aktif mengikuti kegiatan keagamaan di sekolah.</v>
      </c>
      <c r="H30" s="9" t="str">
        <f>'Input Nilai Sikap dan Catatan'!F25</f>
        <v>B</v>
      </c>
      <c r="I30" s="9" t="str">
        <f>'Input Nilai Sikap dan Catatan'!G25</f>
        <v>Memiliki sopan santun yang sangat baik dan selalu bersikap jujur dalam mengerjakan tugas</v>
      </c>
      <c r="J30" s="48">
        <v>87</v>
      </c>
      <c r="K30" s="48" t="s">
        <v>202</v>
      </c>
      <c r="L30" s="48" t="s">
        <v>298</v>
      </c>
      <c r="M30" s="48">
        <v>80</v>
      </c>
      <c r="N30" s="48" t="s">
        <v>202</v>
      </c>
      <c r="O30" s="48" t="s">
        <v>204</v>
      </c>
      <c r="P30" s="49">
        <v>87</v>
      </c>
      <c r="Q30" s="49" t="s">
        <v>202</v>
      </c>
      <c r="R30" s="49" t="s">
        <v>245</v>
      </c>
      <c r="S30" s="49">
        <v>80</v>
      </c>
      <c r="T30" s="49" t="s">
        <v>202</v>
      </c>
      <c r="U30" s="49" t="s">
        <v>234</v>
      </c>
      <c r="V30" s="50">
        <v>89</v>
      </c>
      <c r="W30" s="51" t="s">
        <v>213</v>
      </c>
      <c r="X30" s="52" t="s">
        <v>258</v>
      </c>
      <c r="Y30" s="50">
        <v>80</v>
      </c>
      <c r="Z30" s="51" t="s">
        <v>202</v>
      </c>
      <c r="AA30" s="53" t="s">
        <v>259</v>
      </c>
      <c r="AB30" s="49">
        <v>88</v>
      </c>
      <c r="AC30" s="49" t="s">
        <v>213</v>
      </c>
      <c r="AD30" s="49" t="s">
        <v>246</v>
      </c>
      <c r="AE30" s="49">
        <v>87</v>
      </c>
      <c r="AF30" s="49" t="s">
        <v>202</v>
      </c>
      <c r="AG30" s="49" t="s">
        <v>210</v>
      </c>
      <c r="AH30" s="48">
        <v>88</v>
      </c>
      <c r="AI30" s="48" t="s">
        <v>213</v>
      </c>
      <c r="AJ30" s="48" t="s">
        <v>237</v>
      </c>
      <c r="AK30" s="48">
        <v>84</v>
      </c>
      <c r="AL30" s="48" t="s">
        <v>202</v>
      </c>
      <c r="AM30" s="48" t="s">
        <v>212</v>
      </c>
      <c r="AN30" s="49">
        <v>84</v>
      </c>
      <c r="AO30" s="49" t="s">
        <v>202</v>
      </c>
      <c r="AP30" s="49" t="s">
        <v>1123</v>
      </c>
      <c r="AQ30" s="49">
        <v>80</v>
      </c>
      <c r="AR30" s="49" t="s">
        <v>202</v>
      </c>
      <c r="AS30" s="49" t="s">
        <v>1115</v>
      </c>
      <c r="AT30" s="48">
        <v>89</v>
      </c>
      <c r="AU30" s="48" t="s">
        <v>213</v>
      </c>
      <c r="AV30" s="48" t="s">
        <v>214</v>
      </c>
      <c r="AW30" s="48">
        <v>81</v>
      </c>
      <c r="AX30" s="48" t="s">
        <v>202</v>
      </c>
      <c r="AY30" s="48" t="s">
        <v>215</v>
      </c>
      <c r="AZ30" s="49">
        <v>87</v>
      </c>
      <c r="BA30" s="49" t="s">
        <v>202</v>
      </c>
      <c r="BB30" s="49" t="s">
        <v>287</v>
      </c>
      <c r="BC30" s="49">
        <v>85</v>
      </c>
      <c r="BD30" s="49" t="s">
        <v>202</v>
      </c>
      <c r="BE30" s="49" t="s">
        <v>217</v>
      </c>
      <c r="BF30" s="48">
        <v>88</v>
      </c>
      <c r="BG30" s="48" t="s">
        <v>213</v>
      </c>
      <c r="BH30" s="48" t="s">
        <v>247</v>
      </c>
      <c r="BI30" s="48">
        <v>87</v>
      </c>
      <c r="BJ30" s="48" t="s">
        <v>202</v>
      </c>
      <c r="BK30" s="48" t="s">
        <v>219</v>
      </c>
      <c r="BL30" s="49">
        <v>89</v>
      </c>
      <c r="BM30" s="49" t="s">
        <v>213</v>
      </c>
      <c r="BN30" s="49" t="s">
        <v>258</v>
      </c>
      <c r="BO30" s="49">
        <v>80</v>
      </c>
      <c r="BP30" s="49" t="s">
        <v>202</v>
      </c>
      <c r="BQ30" s="49" t="s">
        <v>259</v>
      </c>
      <c r="BR30" s="48">
        <v>88</v>
      </c>
      <c r="BS30" s="48" t="s">
        <v>213</v>
      </c>
      <c r="BT30" s="48" t="s">
        <v>248</v>
      </c>
      <c r="BU30" s="48">
        <v>88</v>
      </c>
      <c r="BV30" s="48" t="s">
        <v>213</v>
      </c>
      <c r="BW30" s="48" t="s">
        <v>249</v>
      </c>
      <c r="BX30" s="49">
        <v>87</v>
      </c>
      <c r="BY30" s="49" t="s">
        <v>202</v>
      </c>
      <c r="BZ30" s="49" t="s">
        <v>278</v>
      </c>
      <c r="CA30" s="49">
        <v>82</v>
      </c>
      <c r="CB30" s="49" t="s">
        <v>202</v>
      </c>
      <c r="CC30" s="49" t="s">
        <v>223</v>
      </c>
      <c r="CD30" s="48">
        <v>85</v>
      </c>
      <c r="CE30" s="48" t="s">
        <v>202</v>
      </c>
      <c r="CF30" s="48" t="s">
        <v>224</v>
      </c>
      <c r="CG30" s="48">
        <v>85</v>
      </c>
      <c r="CH30" s="48" t="s">
        <v>202</v>
      </c>
      <c r="CI30" s="48" t="s">
        <v>225</v>
      </c>
      <c r="CJ30" s="49">
        <v>89</v>
      </c>
      <c r="CK30" s="49" t="s">
        <v>213</v>
      </c>
      <c r="CL30" s="49" t="s">
        <v>256</v>
      </c>
      <c r="CM30" s="49">
        <v>85</v>
      </c>
      <c r="CN30" s="49" t="s">
        <v>202</v>
      </c>
      <c r="CO30" s="49" t="s">
        <v>227</v>
      </c>
      <c r="CP30" s="48">
        <v>85</v>
      </c>
      <c r="CQ30" s="48" t="s">
        <v>202</v>
      </c>
      <c r="CR30" s="48" t="s">
        <v>228</v>
      </c>
      <c r="CS30" s="48">
        <v>82</v>
      </c>
      <c r="CT30" s="48" t="s">
        <v>202</v>
      </c>
      <c r="CU30" s="48" t="s">
        <v>243</v>
      </c>
      <c r="CV30" s="48">
        <v>90</v>
      </c>
      <c r="CW30" s="48" t="s">
        <v>213</v>
      </c>
      <c r="CX30" s="48" t="s">
        <v>292</v>
      </c>
      <c r="CY30" s="48">
        <v>92</v>
      </c>
      <c r="CZ30" s="48" t="s">
        <v>213</v>
      </c>
      <c r="DA30" s="48" t="s">
        <v>231</v>
      </c>
      <c r="DB30" s="9" t="str">
        <f>'Input Ekstra'!E26</f>
        <v>Pramuka</v>
      </c>
      <c r="DC30" s="9" t="str">
        <f>'Input Ekstra'!F26</f>
        <v>Baik</v>
      </c>
      <c r="DD30" s="9" t="str">
        <f>'Input Ekstra'!G26</f>
        <v>Peserta didik mampu menjelaskan hal-hal terkait survival dan implementasi Dasa Dharma di alam terbuka.</v>
      </c>
      <c r="DE30" s="9">
        <f>'Input Ekstra'!H26</f>
        <v>0</v>
      </c>
      <c r="DF30" s="9">
        <f>'Input Ekstra'!I26</f>
        <v>0</v>
      </c>
      <c r="DG30" s="9">
        <f>'Input Ekstra'!J26</f>
        <v>0</v>
      </c>
      <c r="DH30" s="9" t="str">
        <f>'Input Kehadiran'!E26</f>
        <v>-</v>
      </c>
      <c r="DI30" s="9">
        <f>'Input Kehadiran'!F26</f>
        <v>1</v>
      </c>
      <c r="DJ30" s="9" t="str">
        <f>'Input Kehadiran'!G26</f>
        <v>-</v>
      </c>
      <c r="DK30" s="8">
        <f>'Input Prestasi'!D27</f>
        <v>0</v>
      </c>
      <c r="DL30" s="8">
        <f>'Input Prestasi'!E27</f>
        <v>0</v>
      </c>
      <c r="DM30" s="8">
        <f>'Input Prestasi'!F27</f>
        <v>0</v>
      </c>
      <c r="DN30" s="8">
        <f>'Input Prestasi'!G27</f>
        <v>0</v>
      </c>
      <c r="DO30" s="8">
        <f>'Input Prestasi'!H27</f>
        <v>0</v>
      </c>
      <c r="DP30" s="8">
        <f>'Input Prestasi'!I27</f>
        <v>0</v>
      </c>
      <c r="DQ30" s="8">
        <f>'Input Prestasi'!J27</f>
        <v>0</v>
      </c>
      <c r="DR30" s="8">
        <f>'Input Prestasi'!K27</f>
        <v>0</v>
      </c>
      <c r="DS30" s="9" t="str">
        <f>'Input Nilai Sikap dan Catatan'!H25</f>
        <v>Peserta didik sudah menunjukkan sikap mengamalkan ajaran agamanya, konsisten menerapkan sikap santun, jujur, dan mandiri. Tingkatkan rasa ingin tahu dan sikap baik di dalam maupun di luar pembelajaran.</v>
      </c>
    </row>
    <row r="31" spans="1:123">
      <c r="A31" s="44">
        <v>23</v>
      </c>
      <c r="B31" s="45" t="str">
        <f>IF(Setting!J28="","",Setting!J28)</f>
        <v>Muhammad Raihan Al Faridzi</v>
      </c>
      <c r="C31" s="46">
        <f>IF(Setting!K28="","",Setting!K28)</f>
        <v>2008223</v>
      </c>
      <c r="D31" s="164" t="str">
        <f>IF(Setting!L28="","",Setting!L28)</f>
        <v>0047682955</v>
      </c>
      <c r="E31" s="9" t="str">
        <f>IF(Setting!$E$11="","",Setting!$E$11)</f>
        <v>X.MIPA 4</v>
      </c>
      <c r="F31" s="9" t="str">
        <f>'Input Nilai Sikap dan Catatan'!D26</f>
        <v>B</v>
      </c>
      <c r="G31" s="9" t="str">
        <f>'Input Nilai Sikap dan Catatan'!E26</f>
        <v>Taat menjalankan ibadah sholat tepat waktu dan aktif mengikuti kegiatan keagamaan di sekolah.</v>
      </c>
      <c r="H31" s="9" t="str">
        <f>'Input Nilai Sikap dan Catatan'!F26</f>
        <v>B</v>
      </c>
      <c r="I31" s="9" t="str">
        <f>'Input Nilai Sikap dan Catatan'!G26</f>
        <v>Memiliki sopan santun yang sangat baik dan selalu bersikap jujur dalam mengerjakan tugas</v>
      </c>
      <c r="J31" s="48">
        <v>89</v>
      </c>
      <c r="K31" s="48" t="s">
        <v>213</v>
      </c>
      <c r="L31" s="48" t="s">
        <v>298</v>
      </c>
      <c r="M31" s="48">
        <v>88</v>
      </c>
      <c r="N31" s="48" t="s">
        <v>213</v>
      </c>
      <c r="O31" s="48" t="s">
        <v>283</v>
      </c>
      <c r="P31" s="49">
        <v>86</v>
      </c>
      <c r="Q31" s="49" t="s">
        <v>202</v>
      </c>
      <c r="R31" s="49" t="s">
        <v>245</v>
      </c>
      <c r="S31" s="49">
        <v>83</v>
      </c>
      <c r="T31" s="49" t="s">
        <v>202</v>
      </c>
      <c r="U31" s="49" t="s">
        <v>234</v>
      </c>
      <c r="V31" s="50">
        <v>87</v>
      </c>
      <c r="W31" s="51" t="s">
        <v>202</v>
      </c>
      <c r="X31" s="52" t="s">
        <v>235</v>
      </c>
      <c r="Y31" s="50">
        <v>80</v>
      </c>
      <c r="Z31" s="51" t="s">
        <v>202</v>
      </c>
      <c r="AA31" s="53" t="s">
        <v>208</v>
      </c>
      <c r="AB31" s="49">
        <v>89</v>
      </c>
      <c r="AC31" s="49" t="s">
        <v>213</v>
      </c>
      <c r="AD31" s="49" t="s">
        <v>299</v>
      </c>
      <c r="AE31" s="49">
        <v>80</v>
      </c>
      <c r="AF31" s="49" t="s">
        <v>202</v>
      </c>
      <c r="AG31" s="49" t="s">
        <v>210</v>
      </c>
      <c r="AH31" s="48">
        <v>86</v>
      </c>
      <c r="AI31" s="48" t="s">
        <v>202</v>
      </c>
      <c r="AJ31" s="48" t="s">
        <v>211</v>
      </c>
      <c r="AK31" s="48">
        <v>80</v>
      </c>
      <c r="AL31" s="48" t="s">
        <v>202</v>
      </c>
      <c r="AM31" s="48" t="s">
        <v>212</v>
      </c>
      <c r="AN31" s="49">
        <v>86</v>
      </c>
      <c r="AO31" s="49" t="s">
        <v>202</v>
      </c>
      <c r="AP31" s="49" t="s">
        <v>1123</v>
      </c>
      <c r="AQ31" s="49">
        <v>88</v>
      </c>
      <c r="AR31" s="49" t="s">
        <v>213</v>
      </c>
      <c r="AS31" s="49" t="s">
        <v>1116</v>
      </c>
      <c r="AT31" s="48">
        <v>89</v>
      </c>
      <c r="AU31" s="48" t="s">
        <v>213</v>
      </c>
      <c r="AV31" s="48" t="s">
        <v>214</v>
      </c>
      <c r="AW31" s="48">
        <v>81</v>
      </c>
      <c r="AX31" s="48" t="s">
        <v>202</v>
      </c>
      <c r="AY31" s="48" t="s">
        <v>215</v>
      </c>
      <c r="AZ31" s="49">
        <v>84</v>
      </c>
      <c r="BA31" s="49" t="s">
        <v>202</v>
      </c>
      <c r="BB31" s="49" t="s">
        <v>260</v>
      </c>
      <c r="BC31" s="49">
        <v>80</v>
      </c>
      <c r="BD31" s="49" t="s">
        <v>202</v>
      </c>
      <c r="BE31" s="49" t="s">
        <v>217</v>
      </c>
      <c r="BF31" s="48">
        <v>90</v>
      </c>
      <c r="BG31" s="48" t="s">
        <v>213</v>
      </c>
      <c r="BH31" s="48" t="s">
        <v>218</v>
      </c>
      <c r="BI31" s="48">
        <v>87</v>
      </c>
      <c r="BJ31" s="48" t="s">
        <v>202</v>
      </c>
      <c r="BK31" s="48" t="s">
        <v>219</v>
      </c>
      <c r="BL31" s="49">
        <v>87</v>
      </c>
      <c r="BM31" s="49" t="s">
        <v>202</v>
      </c>
      <c r="BN31" s="49" t="s">
        <v>235</v>
      </c>
      <c r="BO31" s="49">
        <v>80</v>
      </c>
      <c r="BP31" s="49" t="s">
        <v>202</v>
      </c>
      <c r="BQ31" s="49" t="s">
        <v>208</v>
      </c>
      <c r="BR31" s="48">
        <v>88</v>
      </c>
      <c r="BS31" s="48" t="s">
        <v>213</v>
      </c>
      <c r="BT31" s="48" t="s">
        <v>238</v>
      </c>
      <c r="BU31" s="48">
        <v>83</v>
      </c>
      <c r="BV31" s="48" t="s">
        <v>202</v>
      </c>
      <c r="BW31" s="48" t="s">
        <v>221</v>
      </c>
      <c r="BX31" s="49">
        <v>89</v>
      </c>
      <c r="BY31" s="49" t="s">
        <v>213</v>
      </c>
      <c r="BZ31" s="49" t="s">
        <v>240</v>
      </c>
      <c r="CA31" s="49">
        <v>93</v>
      </c>
      <c r="CB31" s="49" t="s">
        <v>213</v>
      </c>
      <c r="CC31" s="49" t="s">
        <v>223</v>
      </c>
      <c r="CD31" s="48">
        <v>88</v>
      </c>
      <c r="CE31" s="48" t="s">
        <v>213</v>
      </c>
      <c r="CF31" s="48" t="s">
        <v>224</v>
      </c>
      <c r="CG31" s="48">
        <v>87</v>
      </c>
      <c r="CH31" s="48" t="s">
        <v>202</v>
      </c>
      <c r="CI31" s="48" t="s">
        <v>225</v>
      </c>
      <c r="CJ31" s="49">
        <v>89</v>
      </c>
      <c r="CK31" s="49" t="s">
        <v>213</v>
      </c>
      <c r="CL31" s="49" t="s">
        <v>288</v>
      </c>
      <c r="CM31" s="49">
        <v>87</v>
      </c>
      <c r="CN31" s="49" t="s">
        <v>202</v>
      </c>
      <c r="CO31" s="49" t="s">
        <v>227</v>
      </c>
      <c r="CP31" s="48">
        <v>86</v>
      </c>
      <c r="CQ31" s="48" t="s">
        <v>202</v>
      </c>
      <c r="CR31" s="48" t="s">
        <v>275</v>
      </c>
      <c r="CS31" s="48">
        <v>82</v>
      </c>
      <c r="CT31" s="48" t="s">
        <v>202</v>
      </c>
      <c r="CU31" s="48" t="s">
        <v>229</v>
      </c>
      <c r="CV31" s="48">
        <v>92</v>
      </c>
      <c r="CW31" s="48" t="s">
        <v>213</v>
      </c>
      <c r="CX31" s="48" t="s">
        <v>230</v>
      </c>
      <c r="CY31" s="48">
        <v>90</v>
      </c>
      <c r="CZ31" s="48" t="s">
        <v>213</v>
      </c>
      <c r="DA31" s="48" t="s">
        <v>231</v>
      </c>
      <c r="DB31" s="9" t="str">
        <f>'Input Ekstra'!E27</f>
        <v>Pramuka</v>
      </c>
      <c r="DC31" s="9" t="str">
        <f>'Input Ekstra'!F27</f>
        <v>Baik</v>
      </c>
      <c r="DD31" s="9" t="str">
        <f>'Input Ekstra'!G27</f>
        <v>Peserta didik mampu menjelaskan hal-hal terkait survival dan implementasi Dasa Dharma di alam terbuka.</v>
      </c>
      <c r="DE31" s="9">
        <f>'Input Ekstra'!H27</f>
        <v>0</v>
      </c>
      <c r="DF31" s="9">
        <f>'Input Ekstra'!I27</f>
        <v>0</v>
      </c>
      <c r="DG31" s="9">
        <f>'Input Ekstra'!J27</f>
        <v>0</v>
      </c>
      <c r="DH31" s="9" t="str">
        <f>'Input Kehadiran'!E27</f>
        <v>-</v>
      </c>
      <c r="DI31" s="9">
        <f>'Input Kehadiran'!F27</f>
        <v>2</v>
      </c>
      <c r="DJ31" s="9" t="str">
        <f>'Input Kehadiran'!G27</f>
        <v>-</v>
      </c>
      <c r="DK31" s="8">
        <f>'Input Prestasi'!D28</f>
        <v>0</v>
      </c>
      <c r="DL31" s="8">
        <f>'Input Prestasi'!E28</f>
        <v>0</v>
      </c>
      <c r="DM31" s="8">
        <f>'Input Prestasi'!F28</f>
        <v>0</v>
      </c>
      <c r="DN31" s="8">
        <f>'Input Prestasi'!G28</f>
        <v>0</v>
      </c>
      <c r="DO31" s="8">
        <f>'Input Prestasi'!H28</f>
        <v>0</v>
      </c>
      <c r="DP31" s="8">
        <f>'Input Prestasi'!I28</f>
        <v>0</v>
      </c>
      <c r="DQ31" s="8">
        <f>'Input Prestasi'!J28</f>
        <v>0</v>
      </c>
      <c r="DR31" s="8">
        <f>'Input Prestasi'!K28</f>
        <v>0</v>
      </c>
      <c r="DS31" s="9" t="str">
        <f>'Input Nilai Sikap dan Catatan'!H26</f>
        <v>Peserta didik sudah menunjukkan sikap mengamalkan ajaran agamanya, konsisten menerapkan sikap santun, jujur, dan mandiri. Tingkatkan rasa ingin tahu dan sikap baik di dalam maupun di luar pembelajaran.</v>
      </c>
    </row>
    <row r="32" spans="1:123">
      <c r="A32" s="44">
        <v>24</v>
      </c>
      <c r="B32" s="45" t="str">
        <f>IF(Setting!J29="","",Setting!J29)</f>
        <v>Muhammad Rakan Hafidh Al Ghalib</v>
      </c>
      <c r="C32" s="46">
        <f>IF(Setting!K29="","",Setting!K29)</f>
        <v>2008224</v>
      </c>
      <c r="D32" s="164" t="str">
        <f>IF(Setting!L29="","",Setting!L29)</f>
        <v>0053955049</v>
      </c>
      <c r="E32" s="9" t="str">
        <f>IF(Setting!$E$11="","",Setting!$E$11)</f>
        <v>X.MIPA 4</v>
      </c>
      <c r="F32" s="9" t="str">
        <f>'Input Nilai Sikap dan Catatan'!D27</f>
        <v>B</v>
      </c>
      <c r="G32" s="9" t="str">
        <f>'Input Nilai Sikap dan Catatan'!E27</f>
        <v>Taat menjalankan ibadah sholat tepat waktu dan aktif mengikuti kegiatan keagamaan di sekolah.</v>
      </c>
      <c r="H32" s="9" t="str">
        <f>'Input Nilai Sikap dan Catatan'!F27</f>
        <v>B</v>
      </c>
      <c r="I32" s="9" t="str">
        <f>'Input Nilai Sikap dan Catatan'!G27</f>
        <v>Memiliki sopan santun yang sangat baik dan selalu bersikap jujur dalam mengerjakan tugas</v>
      </c>
      <c r="J32" s="48">
        <v>91</v>
      </c>
      <c r="K32" s="48" t="s">
        <v>213</v>
      </c>
      <c r="L32" s="48" t="s">
        <v>263</v>
      </c>
      <c r="M32" s="48">
        <v>94</v>
      </c>
      <c r="N32" s="48" t="s">
        <v>213</v>
      </c>
      <c r="O32" s="48" t="s">
        <v>233</v>
      </c>
      <c r="P32" s="49">
        <v>88</v>
      </c>
      <c r="Q32" s="49" t="s">
        <v>213</v>
      </c>
      <c r="R32" s="49" t="s">
        <v>245</v>
      </c>
      <c r="S32" s="49">
        <v>83</v>
      </c>
      <c r="T32" s="49" t="s">
        <v>202</v>
      </c>
      <c r="U32" s="49" t="s">
        <v>234</v>
      </c>
      <c r="V32" s="50">
        <v>90</v>
      </c>
      <c r="W32" s="51" t="s">
        <v>213</v>
      </c>
      <c r="X32" s="52" t="s">
        <v>235</v>
      </c>
      <c r="Y32" s="50">
        <v>85</v>
      </c>
      <c r="Z32" s="51" t="s">
        <v>202</v>
      </c>
      <c r="AA32" s="53" t="s">
        <v>208</v>
      </c>
      <c r="AB32" s="49">
        <v>88</v>
      </c>
      <c r="AC32" s="49" t="s">
        <v>213</v>
      </c>
      <c r="AD32" s="49" t="s">
        <v>236</v>
      </c>
      <c r="AE32" s="49">
        <v>84</v>
      </c>
      <c r="AF32" s="49" t="s">
        <v>202</v>
      </c>
      <c r="AG32" s="49" t="s">
        <v>210</v>
      </c>
      <c r="AH32" s="48">
        <v>90</v>
      </c>
      <c r="AI32" s="48" t="s">
        <v>213</v>
      </c>
      <c r="AJ32" s="48" t="s">
        <v>237</v>
      </c>
      <c r="AK32" s="48">
        <v>92</v>
      </c>
      <c r="AL32" s="48" t="s">
        <v>213</v>
      </c>
      <c r="AM32" s="48" t="s">
        <v>212</v>
      </c>
      <c r="AN32" s="49">
        <v>90</v>
      </c>
      <c r="AO32" s="49" t="s">
        <v>213</v>
      </c>
      <c r="AP32" s="49" t="s">
        <v>1117</v>
      </c>
      <c r="AQ32" s="49">
        <v>84</v>
      </c>
      <c r="AR32" s="49" t="s">
        <v>202</v>
      </c>
      <c r="AS32" s="49" t="s">
        <v>1116</v>
      </c>
      <c r="AT32" s="48">
        <v>89</v>
      </c>
      <c r="AU32" s="48" t="s">
        <v>213</v>
      </c>
      <c r="AV32" s="48" t="s">
        <v>214</v>
      </c>
      <c r="AW32" s="48">
        <v>81</v>
      </c>
      <c r="AX32" s="48" t="s">
        <v>202</v>
      </c>
      <c r="AY32" s="48" t="s">
        <v>215</v>
      </c>
      <c r="AZ32" s="49">
        <v>88</v>
      </c>
      <c r="BA32" s="49" t="s">
        <v>213</v>
      </c>
      <c r="BB32" s="49" t="s">
        <v>216</v>
      </c>
      <c r="BC32" s="49">
        <v>82</v>
      </c>
      <c r="BD32" s="49" t="s">
        <v>202</v>
      </c>
      <c r="BE32" s="49" t="s">
        <v>217</v>
      </c>
      <c r="BF32" s="48">
        <v>89</v>
      </c>
      <c r="BG32" s="48" t="s">
        <v>213</v>
      </c>
      <c r="BH32" s="48" t="s">
        <v>218</v>
      </c>
      <c r="BI32" s="48">
        <v>87</v>
      </c>
      <c r="BJ32" s="48" t="s">
        <v>202</v>
      </c>
      <c r="BK32" s="48" t="s">
        <v>219</v>
      </c>
      <c r="BL32" s="49">
        <v>90</v>
      </c>
      <c r="BM32" s="49" t="s">
        <v>213</v>
      </c>
      <c r="BN32" s="49" t="s">
        <v>235</v>
      </c>
      <c r="BO32" s="49">
        <v>85</v>
      </c>
      <c r="BP32" s="49" t="s">
        <v>202</v>
      </c>
      <c r="BQ32" s="49" t="s">
        <v>208</v>
      </c>
      <c r="BR32" s="48">
        <v>91</v>
      </c>
      <c r="BS32" s="48" t="s">
        <v>213</v>
      </c>
      <c r="BT32" s="48" t="s">
        <v>255</v>
      </c>
      <c r="BU32" s="48">
        <v>89</v>
      </c>
      <c r="BV32" s="48" t="s">
        <v>213</v>
      </c>
      <c r="BW32" s="48" t="s">
        <v>221</v>
      </c>
      <c r="BX32" s="49">
        <v>88</v>
      </c>
      <c r="BY32" s="49" t="s">
        <v>213</v>
      </c>
      <c r="BZ32" s="49" t="s">
        <v>274</v>
      </c>
      <c r="CA32" s="49">
        <v>82</v>
      </c>
      <c r="CB32" s="49" t="s">
        <v>202</v>
      </c>
      <c r="CC32" s="49" t="s">
        <v>223</v>
      </c>
      <c r="CD32" s="48">
        <v>89</v>
      </c>
      <c r="CE32" s="48" t="s">
        <v>213</v>
      </c>
      <c r="CF32" s="48" t="s">
        <v>264</v>
      </c>
      <c r="CG32" s="48">
        <v>87</v>
      </c>
      <c r="CH32" s="48" t="s">
        <v>202</v>
      </c>
      <c r="CI32" s="48" t="s">
        <v>225</v>
      </c>
      <c r="CJ32" s="49">
        <v>90</v>
      </c>
      <c r="CK32" s="49" t="s">
        <v>213</v>
      </c>
      <c r="CL32" s="49" t="s">
        <v>242</v>
      </c>
      <c r="CM32" s="49">
        <v>87</v>
      </c>
      <c r="CN32" s="49" t="s">
        <v>202</v>
      </c>
      <c r="CO32" s="49" t="s">
        <v>227</v>
      </c>
      <c r="CP32" s="48">
        <v>88</v>
      </c>
      <c r="CQ32" s="48" t="s">
        <v>213</v>
      </c>
      <c r="CR32" s="48" t="s">
        <v>257</v>
      </c>
      <c r="CS32" s="48">
        <v>84</v>
      </c>
      <c r="CT32" s="48" t="s">
        <v>202</v>
      </c>
      <c r="CU32" s="48" t="s">
        <v>280</v>
      </c>
      <c r="CV32" s="48">
        <v>92</v>
      </c>
      <c r="CW32" s="48" t="s">
        <v>213</v>
      </c>
      <c r="CX32" s="48" t="s">
        <v>230</v>
      </c>
      <c r="CY32" s="48">
        <v>80</v>
      </c>
      <c r="CZ32" s="48" t="s">
        <v>202</v>
      </c>
      <c r="DA32" s="48" t="s">
        <v>231</v>
      </c>
      <c r="DB32" s="9" t="str">
        <f>'Input Ekstra'!E28</f>
        <v>Pramuka</v>
      </c>
      <c r="DC32" s="9" t="str">
        <f>'Input Ekstra'!F28</f>
        <v>Baik</v>
      </c>
      <c r="DD32" s="9" t="str">
        <f>'Input Ekstra'!G28</f>
        <v>Peserta didik mampu menjelaskan hal-hal terkait survival dan implementasi Dasa Dharma di alam terbuka.</v>
      </c>
      <c r="DE32" s="9">
        <f>'Input Ekstra'!H28</f>
        <v>0</v>
      </c>
      <c r="DF32" s="9">
        <f>'Input Ekstra'!I28</f>
        <v>0</v>
      </c>
      <c r="DG32" s="9">
        <f>'Input Ekstra'!J28</f>
        <v>0</v>
      </c>
      <c r="DH32" s="9" t="str">
        <f>'Input Kehadiran'!E28</f>
        <v>-</v>
      </c>
      <c r="DI32" s="9" t="str">
        <f>'Input Kehadiran'!F28</f>
        <v>-</v>
      </c>
      <c r="DJ32" s="9" t="str">
        <f>'Input Kehadiran'!G28</f>
        <v>-</v>
      </c>
      <c r="DK32" s="8">
        <f>'Input Prestasi'!D29</f>
        <v>0</v>
      </c>
      <c r="DL32" s="8">
        <f>'Input Prestasi'!E29</f>
        <v>0</v>
      </c>
      <c r="DM32" s="8">
        <f>'Input Prestasi'!F29</f>
        <v>0</v>
      </c>
      <c r="DN32" s="8">
        <f>'Input Prestasi'!G29</f>
        <v>0</v>
      </c>
      <c r="DO32" s="8">
        <f>'Input Prestasi'!H29</f>
        <v>0</v>
      </c>
      <c r="DP32" s="8">
        <f>'Input Prestasi'!I29</f>
        <v>0</v>
      </c>
      <c r="DQ32" s="8">
        <f>'Input Prestasi'!J29</f>
        <v>0</v>
      </c>
      <c r="DR32" s="8">
        <f>'Input Prestasi'!K29</f>
        <v>0</v>
      </c>
      <c r="DS32" s="9" t="str">
        <f>'Input Nilai Sikap dan Catatan'!H27</f>
        <v>Peserta didik sudah menunjukkan sikap mengamalkan ajaran agamanya, konsisten menerapkan sikap santun, jujur, dan mandiri. Tingkatkan rasa ingin tahu dan sikap baik di dalam maupun di luar pembelajaran.</v>
      </c>
    </row>
    <row r="33" spans="1:123">
      <c r="A33" s="44">
        <v>25</v>
      </c>
      <c r="B33" s="45" t="str">
        <f>IF(Setting!J30="","",Setting!J30)</f>
        <v>Muhammad Syamu Naufal</v>
      </c>
      <c r="C33" s="46">
        <f>IF(Setting!K30="","",Setting!K30)</f>
        <v>2008230</v>
      </c>
      <c r="D33" s="164" t="str">
        <f>IF(Setting!L30="","",Setting!L30)</f>
        <v>0045892500</v>
      </c>
      <c r="E33" s="9" t="str">
        <f>IF(Setting!$E$11="","",Setting!$E$11)</f>
        <v>X.MIPA 4</v>
      </c>
      <c r="F33" s="9" t="str">
        <f>'Input Nilai Sikap dan Catatan'!D28</f>
        <v>B</v>
      </c>
      <c r="G33" s="9" t="str">
        <f>'Input Nilai Sikap dan Catatan'!E28</f>
        <v>Taat menjalankan ibadah sholat tepat waktu dan aktif mengikuti kegiatan keagamaan di sekolah.</v>
      </c>
      <c r="H33" s="9" t="str">
        <f>'Input Nilai Sikap dan Catatan'!F28</f>
        <v>B</v>
      </c>
      <c r="I33" s="9" t="str">
        <f>'Input Nilai Sikap dan Catatan'!G28</f>
        <v>Memiliki sopan santun yang sangat baik dan selalu bersikap jujur dalam mengerjakan tugas</v>
      </c>
      <c r="J33" s="48">
        <v>86</v>
      </c>
      <c r="K33" s="48" t="s">
        <v>202</v>
      </c>
      <c r="L33" s="48" t="s">
        <v>203</v>
      </c>
      <c r="M33" s="48">
        <v>80</v>
      </c>
      <c r="N33" s="48" t="s">
        <v>202</v>
      </c>
      <c r="O33" s="48" t="s">
        <v>244</v>
      </c>
      <c r="P33" s="49">
        <v>86</v>
      </c>
      <c r="Q33" s="49" t="s">
        <v>202</v>
      </c>
      <c r="R33" s="49" t="s">
        <v>245</v>
      </c>
      <c r="S33" s="49">
        <v>83</v>
      </c>
      <c r="T33" s="49" t="s">
        <v>202</v>
      </c>
      <c r="U33" s="49" t="s">
        <v>234</v>
      </c>
      <c r="V33" s="50">
        <v>89</v>
      </c>
      <c r="W33" s="51" t="s">
        <v>213</v>
      </c>
      <c r="X33" s="52" t="s">
        <v>258</v>
      </c>
      <c r="Y33" s="50">
        <v>80</v>
      </c>
      <c r="Z33" s="51" t="s">
        <v>202</v>
      </c>
      <c r="AA33" s="53" t="s">
        <v>259</v>
      </c>
      <c r="AB33" s="49">
        <v>84</v>
      </c>
      <c r="AC33" s="49" t="s">
        <v>202</v>
      </c>
      <c r="AD33" s="49" t="s">
        <v>236</v>
      </c>
      <c r="AE33" s="49">
        <v>86</v>
      </c>
      <c r="AF33" s="49" t="s">
        <v>202</v>
      </c>
      <c r="AG33" s="49" t="s">
        <v>210</v>
      </c>
      <c r="AH33" s="48">
        <v>85</v>
      </c>
      <c r="AI33" s="48" t="s">
        <v>202</v>
      </c>
      <c r="AJ33" s="48" t="s">
        <v>237</v>
      </c>
      <c r="AK33" s="48">
        <v>80</v>
      </c>
      <c r="AL33" s="48" t="s">
        <v>202</v>
      </c>
      <c r="AM33" s="48" t="s">
        <v>212</v>
      </c>
      <c r="AN33" s="49">
        <v>87</v>
      </c>
      <c r="AO33" s="49" t="s">
        <v>202</v>
      </c>
      <c r="AP33" s="49" t="s">
        <v>1114</v>
      </c>
      <c r="AQ33" s="49">
        <v>80</v>
      </c>
      <c r="AR33" s="49" t="s">
        <v>202</v>
      </c>
      <c r="AS33" s="49" t="s">
        <v>1115</v>
      </c>
      <c r="AT33" s="48">
        <v>89</v>
      </c>
      <c r="AU33" s="48" t="s">
        <v>213</v>
      </c>
      <c r="AV33" s="48" t="s">
        <v>214</v>
      </c>
      <c r="AW33" s="48">
        <v>81</v>
      </c>
      <c r="AX33" s="48" t="s">
        <v>202</v>
      </c>
      <c r="AY33" s="48" t="s">
        <v>215</v>
      </c>
      <c r="AZ33" s="49">
        <v>87</v>
      </c>
      <c r="BA33" s="49" t="s">
        <v>202</v>
      </c>
      <c r="BB33" s="49" t="s">
        <v>216</v>
      </c>
      <c r="BC33" s="49">
        <v>82</v>
      </c>
      <c r="BD33" s="49" t="s">
        <v>202</v>
      </c>
      <c r="BE33" s="49" t="s">
        <v>217</v>
      </c>
      <c r="BF33" s="48">
        <v>88</v>
      </c>
      <c r="BG33" s="48" t="s">
        <v>213</v>
      </c>
      <c r="BH33" s="48" t="s">
        <v>218</v>
      </c>
      <c r="BI33" s="48">
        <v>87</v>
      </c>
      <c r="BJ33" s="48" t="s">
        <v>202</v>
      </c>
      <c r="BK33" s="48" t="s">
        <v>219</v>
      </c>
      <c r="BL33" s="49">
        <v>89</v>
      </c>
      <c r="BM33" s="49" t="s">
        <v>213</v>
      </c>
      <c r="BN33" s="49" t="s">
        <v>258</v>
      </c>
      <c r="BO33" s="49">
        <v>80</v>
      </c>
      <c r="BP33" s="49" t="s">
        <v>202</v>
      </c>
      <c r="BQ33" s="49" t="s">
        <v>259</v>
      </c>
      <c r="BR33" s="48">
        <v>86</v>
      </c>
      <c r="BS33" s="48" t="s">
        <v>202</v>
      </c>
      <c r="BT33" s="48" t="s">
        <v>238</v>
      </c>
      <c r="BU33" s="48">
        <v>95</v>
      </c>
      <c r="BV33" s="48" t="s">
        <v>213</v>
      </c>
      <c r="BW33" s="48" t="s">
        <v>221</v>
      </c>
      <c r="BX33" s="49">
        <v>83</v>
      </c>
      <c r="BY33" s="49" t="s">
        <v>202</v>
      </c>
      <c r="BZ33" s="49" t="s">
        <v>222</v>
      </c>
      <c r="CA33" s="49">
        <v>87</v>
      </c>
      <c r="CB33" s="49" t="s">
        <v>202</v>
      </c>
      <c r="CC33" s="49" t="s">
        <v>223</v>
      </c>
      <c r="CD33" s="48">
        <v>85</v>
      </c>
      <c r="CE33" s="48" t="s">
        <v>202</v>
      </c>
      <c r="CF33" s="48" t="s">
        <v>251</v>
      </c>
      <c r="CG33" s="48">
        <v>85</v>
      </c>
      <c r="CH33" s="48" t="s">
        <v>202</v>
      </c>
      <c r="CI33" s="48" t="s">
        <v>225</v>
      </c>
      <c r="CJ33" s="49">
        <v>88</v>
      </c>
      <c r="CK33" s="49" t="s">
        <v>213</v>
      </c>
      <c r="CL33" s="49" t="s">
        <v>252</v>
      </c>
      <c r="CM33" s="49">
        <v>85</v>
      </c>
      <c r="CN33" s="49" t="s">
        <v>202</v>
      </c>
      <c r="CO33" s="49" t="s">
        <v>227</v>
      </c>
      <c r="CP33" s="48">
        <v>84</v>
      </c>
      <c r="CQ33" s="48" t="s">
        <v>202</v>
      </c>
      <c r="CR33" s="48" t="s">
        <v>228</v>
      </c>
      <c r="CS33" s="48">
        <v>82</v>
      </c>
      <c r="CT33" s="48" t="s">
        <v>202</v>
      </c>
      <c r="CU33" s="48" t="s">
        <v>243</v>
      </c>
      <c r="CV33" s="48">
        <v>88</v>
      </c>
      <c r="CW33" s="48" t="s">
        <v>213</v>
      </c>
      <c r="CX33" s="48" t="s">
        <v>292</v>
      </c>
      <c r="CY33" s="48">
        <v>80</v>
      </c>
      <c r="CZ33" s="48" t="s">
        <v>202</v>
      </c>
      <c r="DA33" s="48" t="s">
        <v>262</v>
      </c>
      <c r="DB33" s="9" t="str">
        <f>'Input Ekstra'!E29</f>
        <v>Pramuka</v>
      </c>
      <c r="DC33" s="9" t="str">
        <f>'Input Ekstra'!F29</f>
        <v>Baik</v>
      </c>
      <c r="DD33" s="9" t="str">
        <f>'Input Ekstra'!G29</f>
        <v>Peserta didik mampu menjelaskan hal-hal terkait survival dan implementasi Dasa Dharma di alam terbuka.</v>
      </c>
      <c r="DE33" s="9">
        <f>'Input Ekstra'!H29</f>
        <v>0</v>
      </c>
      <c r="DF33" s="9">
        <f>'Input Ekstra'!I29</f>
        <v>0</v>
      </c>
      <c r="DG33" s="9">
        <f>'Input Ekstra'!J29</f>
        <v>0</v>
      </c>
      <c r="DH33" s="9" t="str">
        <f>'Input Kehadiran'!E29</f>
        <v>-</v>
      </c>
      <c r="DI33" s="9">
        <f>'Input Kehadiran'!F29</f>
        <v>1</v>
      </c>
      <c r="DJ33" s="9" t="str">
        <f>'Input Kehadiran'!G29</f>
        <v>-</v>
      </c>
      <c r="DK33" s="8">
        <f>'Input Prestasi'!D30</f>
        <v>0</v>
      </c>
      <c r="DL33" s="8">
        <f>'Input Prestasi'!E30</f>
        <v>0</v>
      </c>
      <c r="DM33" s="8">
        <f>'Input Prestasi'!F30</f>
        <v>0</v>
      </c>
      <c r="DN33" s="8">
        <f>'Input Prestasi'!G30</f>
        <v>0</v>
      </c>
      <c r="DO33" s="8">
        <f>'Input Prestasi'!H30</f>
        <v>0</v>
      </c>
      <c r="DP33" s="8">
        <f>'Input Prestasi'!I30</f>
        <v>0</v>
      </c>
      <c r="DQ33" s="8">
        <f>'Input Prestasi'!J30</f>
        <v>0</v>
      </c>
      <c r="DR33" s="8">
        <f>'Input Prestasi'!K30</f>
        <v>0</v>
      </c>
      <c r="DS33" s="9" t="str">
        <f>'Input Nilai Sikap dan Catatan'!H28</f>
        <v>Peserta didik sudah menunjukkan sikap mengamalkan ajaran agamanya, konsisten menerapkan sikap santun, jujur, dan mandiri. Tingkatkan rasa ingin tahu dan sikap baik di dalam maupun di luar pembelajaran.</v>
      </c>
    </row>
    <row r="34" spans="1:123">
      <c r="A34" s="44">
        <v>26</v>
      </c>
      <c r="B34" s="45" t="str">
        <f>IF(Setting!J31="","",Setting!J31)</f>
        <v>Naufal Muhammad Iqbal</v>
      </c>
      <c r="C34" s="46">
        <f>IF(Setting!K31="","",Setting!K31)</f>
        <v>2008251</v>
      </c>
      <c r="D34" s="164" t="str">
        <f>IF(Setting!L31="","",Setting!L31)</f>
        <v>0056904636</v>
      </c>
      <c r="E34" s="9" t="str">
        <f>IF(Setting!$E$11="","",Setting!$E$11)</f>
        <v>X.MIPA 4</v>
      </c>
      <c r="F34" s="9" t="str">
        <f>'Input Nilai Sikap dan Catatan'!D29</f>
        <v>B</v>
      </c>
      <c r="G34" s="9" t="str">
        <f>'Input Nilai Sikap dan Catatan'!E29</f>
        <v>Taat menjalankan ibadah sholat tepat waktu dan aktif mengikuti kegiatan keagamaan di sekolah.</v>
      </c>
      <c r="H34" s="9" t="str">
        <f>'Input Nilai Sikap dan Catatan'!F29</f>
        <v>B</v>
      </c>
      <c r="I34" s="9" t="str">
        <f>'Input Nilai Sikap dan Catatan'!G29</f>
        <v>Memiliki sopan santun yang sangat baik dan selalu bersikap jujur dalam mengerjakan tugas</v>
      </c>
      <c r="J34" s="48">
        <v>86</v>
      </c>
      <c r="K34" s="48" t="s">
        <v>202</v>
      </c>
      <c r="L34" s="48" t="s">
        <v>232</v>
      </c>
      <c r="M34" s="48">
        <v>86</v>
      </c>
      <c r="N34" s="48" t="s">
        <v>202</v>
      </c>
      <c r="O34" s="48" t="s">
        <v>233</v>
      </c>
      <c r="P34" s="49">
        <v>84</v>
      </c>
      <c r="Q34" s="49" t="s">
        <v>202</v>
      </c>
      <c r="R34" s="49" t="s">
        <v>205</v>
      </c>
      <c r="S34" s="49">
        <v>83</v>
      </c>
      <c r="T34" s="49" t="s">
        <v>202</v>
      </c>
      <c r="U34" s="49" t="s">
        <v>206</v>
      </c>
      <c r="V34" s="50">
        <v>88</v>
      </c>
      <c r="W34" s="51" t="s">
        <v>213</v>
      </c>
      <c r="X34" s="52" t="s">
        <v>235</v>
      </c>
      <c r="Y34" s="50">
        <v>80</v>
      </c>
      <c r="Z34" s="51" t="s">
        <v>202</v>
      </c>
      <c r="AA34" s="53" t="s">
        <v>208</v>
      </c>
      <c r="AB34" s="49">
        <v>80</v>
      </c>
      <c r="AC34" s="49" t="s">
        <v>202</v>
      </c>
      <c r="AD34" s="49" t="s">
        <v>209</v>
      </c>
      <c r="AE34" s="49">
        <v>80</v>
      </c>
      <c r="AF34" s="49" t="s">
        <v>202</v>
      </c>
      <c r="AG34" s="49" t="s">
        <v>210</v>
      </c>
      <c r="AH34" s="48">
        <v>80</v>
      </c>
      <c r="AI34" s="48" t="s">
        <v>202</v>
      </c>
      <c r="AJ34" s="48" t="s">
        <v>286</v>
      </c>
      <c r="AK34" s="48">
        <v>80</v>
      </c>
      <c r="AL34" s="48" t="s">
        <v>202</v>
      </c>
      <c r="AM34" s="48" t="s">
        <v>212</v>
      </c>
      <c r="AN34" s="49">
        <v>85</v>
      </c>
      <c r="AO34" s="49" t="s">
        <v>202</v>
      </c>
      <c r="AP34" s="49" t="s">
        <v>1122</v>
      </c>
      <c r="AQ34" s="49">
        <v>84</v>
      </c>
      <c r="AR34" s="49" t="s">
        <v>202</v>
      </c>
      <c r="AS34" s="49" t="s">
        <v>1116</v>
      </c>
      <c r="AT34" s="48">
        <v>90</v>
      </c>
      <c r="AU34" s="48" t="s">
        <v>213</v>
      </c>
      <c r="AV34" s="48" t="s">
        <v>214</v>
      </c>
      <c r="AW34" s="48">
        <v>85</v>
      </c>
      <c r="AX34" s="48" t="s">
        <v>202</v>
      </c>
      <c r="AY34" s="48" t="s">
        <v>215</v>
      </c>
      <c r="AZ34" s="49">
        <v>83</v>
      </c>
      <c r="BA34" s="49" t="s">
        <v>202</v>
      </c>
      <c r="BB34" s="49" t="s">
        <v>260</v>
      </c>
      <c r="BC34" s="49">
        <v>80</v>
      </c>
      <c r="BD34" s="49" t="s">
        <v>202</v>
      </c>
      <c r="BE34" s="49" t="s">
        <v>217</v>
      </c>
      <c r="BF34" s="48">
        <v>80</v>
      </c>
      <c r="BG34" s="48" t="s">
        <v>202</v>
      </c>
      <c r="BH34" s="48" t="s">
        <v>218</v>
      </c>
      <c r="BI34" s="48">
        <v>82</v>
      </c>
      <c r="BJ34" s="48" t="s">
        <v>202</v>
      </c>
      <c r="BK34" s="48" t="s">
        <v>219</v>
      </c>
      <c r="BL34" s="49">
        <v>88</v>
      </c>
      <c r="BM34" s="49" t="s">
        <v>213</v>
      </c>
      <c r="BN34" s="49" t="s">
        <v>235</v>
      </c>
      <c r="BO34" s="49">
        <v>80</v>
      </c>
      <c r="BP34" s="49" t="s">
        <v>202</v>
      </c>
      <c r="BQ34" s="49" t="s">
        <v>208</v>
      </c>
      <c r="BR34" s="48">
        <v>81</v>
      </c>
      <c r="BS34" s="48" t="s">
        <v>202</v>
      </c>
      <c r="BT34" s="48" t="s">
        <v>269</v>
      </c>
      <c r="BU34" s="48">
        <v>80</v>
      </c>
      <c r="BV34" s="48" t="s">
        <v>202</v>
      </c>
      <c r="BW34" s="48" t="s">
        <v>221</v>
      </c>
      <c r="BX34" s="49">
        <v>84</v>
      </c>
      <c r="BY34" s="49" t="s">
        <v>202</v>
      </c>
      <c r="BZ34" s="49" t="s">
        <v>278</v>
      </c>
      <c r="CA34" s="49">
        <v>82</v>
      </c>
      <c r="CB34" s="49" t="s">
        <v>202</v>
      </c>
      <c r="CC34" s="49" t="s">
        <v>223</v>
      </c>
      <c r="CD34" s="48">
        <v>88</v>
      </c>
      <c r="CE34" s="48" t="s">
        <v>213</v>
      </c>
      <c r="CF34" s="48" t="s">
        <v>251</v>
      </c>
      <c r="CG34" s="48">
        <v>85</v>
      </c>
      <c r="CH34" s="48" t="s">
        <v>202</v>
      </c>
      <c r="CI34" s="48" t="s">
        <v>225</v>
      </c>
      <c r="CJ34" s="49">
        <v>86</v>
      </c>
      <c r="CK34" s="49" t="s">
        <v>202</v>
      </c>
      <c r="CL34" s="49" t="s">
        <v>279</v>
      </c>
      <c r="CM34" s="49">
        <v>85</v>
      </c>
      <c r="CN34" s="49" t="s">
        <v>202</v>
      </c>
      <c r="CO34" s="49" t="s">
        <v>227</v>
      </c>
      <c r="CP34" s="48">
        <v>85</v>
      </c>
      <c r="CQ34" s="48" t="s">
        <v>202</v>
      </c>
      <c r="CR34" s="48" t="s">
        <v>275</v>
      </c>
      <c r="CS34" s="48">
        <v>83</v>
      </c>
      <c r="CT34" s="48" t="s">
        <v>202</v>
      </c>
      <c r="CU34" s="48" t="s">
        <v>229</v>
      </c>
      <c r="CV34" s="48">
        <v>88</v>
      </c>
      <c r="CW34" s="48" t="s">
        <v>213</v>
      </c>
      <c r="CX34" s="48" t="s">
        <v>254</v>
      </c>
      <c r="CY34" s="48">
        <v>80</v>
      </c>
      <c r="CZ34" s="48" t="s">
        <v>202</v>
      </c>
      <c r="DA34" s="48" t="s">
        <v>231</v>
      </c>
      <c r="DB34" s="9" t="str">
        <f>'Input Ekstra'!E30</f>
        <v>Pramuka</v>
      </c>
      <c r="DC34" s="9" t="str">
        <f>'Input Ekstra'!F30</f>
        <v>Sangat Baik</v>
      </c>
      <c r="DD34" s="9" t="str">
        <f>'Input Ekstra'!G30</f>
        <v>Peserta didik mampu menjelaskan hal-hal terkait survival dan implementasi Dasa Dharma di alam terbuka.</v>
      </c>
      <c r="DE34" s="9">
        <f>'Input Ekstra'!H30</f>
        <v>0</v>
      </c>
      <c r="DF34" s="9">
        <f>'Input Ekstra'!I30</f>
        <v>0</v>
      </c>
      <c r="DG34" s="9">
        <f>'Input Ekstra'!J30</f>
        <v>0</v>
      </c>
      <c r="DH34" s="9" t="str">
        <f>'Input Kehadiran'!E30</f>
        <v>-</v>
      </c>
      <c r="DI34" s="9" t="str">
        <f>'Input Kehadiran'!F30</f>
        <v>-</v>
      </c>
      <c r="DJ34" s="9" t="str">
        <f>'Input Kehadiran'!G30</f>
        <v>-</v>
      </c>
      <c r="DK34" s="8">
        <f>'Input Prestasi'!D31</f>
        <v>0</v>
      </c>
      <c r="DL34" s="8">
        <f>'Input Prestasi'!E31</f>
        <v>0</v>
      </c>
      <c r="DM34" s="8">
        <f>'Input Prestasi'!F31</f>
        <v>0</v>
      </c>
      <c r="DN34" s="8">
        <f>'Input Prestasi'!G31</f>
        <v>0</v>
      </c>
      <c r="DO34" s="8">
        <f>'Input Prestasi'!H31</f>
        <v>0</v>
      </c>
      <c r="DP34" s="8">
        <f>'Input Prestasi'!I31</f>
        <v>0</v>
      </c>
      <c r="DQ34" s="8">
        <f>'Input Prestasi'!J31</f>
        <v>0</v>
      </c>
      <c r="DR34" s="8">
        <f>'Input Prestasi'!K31</f>
        <v>0</v>
      </c>
      <c r="DS34" s="9" t="str">
        <f>'Input Nilai Sikap dan Catatan'!H29</f>
        <v>Peserta didik sudah menunjukkan sikap mengamalkan ajaran agamanya, konsisten menerapkan sikap santun, jujur, dan mandiri. Tingkatkan rasa ingin tahu dan sikap baik di dalam maupun di luar pembelajaran.</v>
      </c>
    </row>
    <row r="35" spans="1:123">
      <c r="A35" s="44">
        <v>27</v>
      </c>
      <c r="B35" s="45" t="str">
        <f>IF(Setting!J32="","",Setting!J32)</f>
        <v>Nauval Nur Mustafa</v>
      </c>
      <c r="C35" s="46">
        <f>IF(Setting!K32="","",Setting!K32)</f>
        <v>2008253</v>
      </c>
      <c r="D35" s="164" t="str">
        <f>IF(Setting!L32="","",Setting!L32)</f>
        <v>0061518278</v>
      </c>
      <c r="E35" s="9" t="str">
        <f>IF(Setting!$E$11="","",Setting!$E$11)</f>
        <v>X.MIPA 4</v>
      </c>
      <c r="F35" s="9" t="str">
        <f>'Input Nilai Sikap dan Catatan'!D30</f>
        <v>B</v>
      </c>
      <c r="G35" s="9" t="str">
        <f>'Input Nilai Sikap dan Catatan'!E30</f>
        <v>Taat menjalankan ibadah sholat tepat waktu dan aktif mengikuti kegiatan keagamaan di sekolah.</v>
      </c>
      <c r="H35" s="9" t="str">
        <f>'Input Nilai Sikap dan Catatan'!F30</f>
        <v>B</v>
      </c>
      <c r="I35" s="9" t="str">
        <f>'Input Nilai Sikap dan Catatan'!G30</f>
        <v>Memiliki sopan santun yang sangat baik dan selalu bersikap jujur dalam mengerjakan tugas</v>
      </c>
      <c r="J35" s="48">
        <v>86</v>
      </c>
      <c r="K35" s="48" t="s">
        <v>202</v>
      </c>
      <c r="L35" s="48" t="s">
        <v>273</v>
      </c>
      <c r="M35" s="48">
        <v>86</v>
      </c>
      <c r="N35" s="48" t="s">
        <v>202</v>
      </c>
      <c r="O35" s="48" t="s">
        <v>204</v>
      </c>
      <c r="P35" s="49">
        <v>87</v>
      </c>
      <c r="Q35" s="49" t="s">
        <v>202</v>
      </c>
      <c r="R35" s="49" t="s">
        <v>205</v>
      </c>
      <c r="S35" s="49">
        <v>83</v>
      </c>
      <c r="T35" s="49" t="s">
        <v>202</v>
      </c>
      <c r="U35" s="49" t="s">
        <v>206</v>
      </c>
      <c r="V35" s="50">
        <v>84</v>
      </c>
      <c r="W35" s="51" t="s">
        <v>202</v>
      </c>
      <c r="X35" s="52" t="s">
        <v>258</v>
      </c>
      <c r="Y35" s="50">
        <v>80</v>
      </c>
      <c r="Z35" s="51" t="s">
        <v>202</v>
      </c>
      <c r="AA35" s="53" t="s">
        <v>208</v>
      </c>
      <c r="AB35" s="49">
        <v>84</v>
      </c>
      <c r="AC35" s="49" t="s">
        <v>202</v>
      </c>
      <c r="AD35" s="49" t="s">
        <v>246</v>
      </c>
      <c r="AE35" s="49">
        <v>80</v>
      </c>
      <c r="AF35" s="49" t="s">
        <v>202</v>
      </c>
      <c r="AG35" s="49" t="s">
        <v>210</v>
      </c>
      <c r="AH35" s="48">
        <v>87</v>
      </c>
      <c r="AI35" s="48" t="s">
        <v>202</v>
      </c>
      <c r="AJ35" s="48" t="s">
        <v>211</v>
      </c>
      <c r="AK35" s="48">
        <v>84</v>
      </c>
      <c r="AL35" s="48" t="s">
        <v>202</v>
      </c>
      <c r="AM35" s="48" t="s">
        <v>212</v>
      </c>
      <c r="AN35" s="49">
        <v>89</v>
      </c>
      <c r="AO35" s="49" t="s">
        <v>213</v>
      </c>
      <c r="AP35" s="49" t="s">
        <v>1117</v>
      </c>
      <c r="AQ35" s="49">
        <v>85</v>
      </c>
      <c r="AR35" s="49" t="s">
        <v>202</v>
      </c>
      <c r="AS35" s="49" t="s">
        <v>1116</v>
      </c>
      <c r="AT35" s="48">
        <v>89</v>
      </c>
      <c r="AU35" s="48" t="s">
        <v>271</v>
      </c>
      <c r="AV35" s="48" t="s">
        <v>214</v>
      </c>
      <c r="AW35" s="48">
        <v>81</v>
      </c>
      <c r="AX35" s="48" t="s">
        <v>271</v>
      </c>
      <c r="AY35" s="48" t="s">
        <v>215</v>
      </c>
      <c r="AZ35" s="49">
        <v>85</v>
      </c>
      <c r="BA35" s="49" t="s">
        <v>202</v>
      </c>
      <c r="BB35" s="49" t="s">
        <v>216</v>
      </c>
      <c r="BC35" s="49">
        <v>80</v>
      </c>
      <c r="BD35" s="49" t="s">
        <v>202</v>
      </c>
      <c r="BE35" s="49" t="s">
        <v>217</v>
      </c>
      <c r="BF35" s="48">
        <v>81</v>
      </c>
      <c r="BG35" s="48" t="s">
        <v>202</v>
      </c>
      <c r="BH35" s="48" t="s">
        <v>218</v>
      </c>
      <c r="BI35" s="48">
        <v>80</v>
      </c>
      <c r="BJ35" s="48" t="s">
        <v>202</v>
      </c>
      <c r="BK35" s="48" t="s">
        <v>219</v>
      </c>
      <c r="BL35" s="49">
        <v>84</v>
      </c>
      <c r="BM35" s="49" t="s">
        <v>202</v>
      </c>
      <c r="BN35" s="49" t="s">
        <v>258</v>
      </c>
      <c r="BO35" s="49">
        <v>80</v>
      </c>
      <c r="BP35" s="49" t="s">
        <v>202</v>
      </c>
      <c r="BQ35" s="49" t="s">
        <v>208</v>
      </c>
      <c r="BR35" s="48">
        <v>81</v>
      </c>
      <c r="BS35" s="48" t="s">
        <v>202</v>
      </c>
      <c r="BT35" s="48" t="s">
        <v>220</v>
      </c>
      <c r="BU35" s="48">
        <v>80</v>
      </c>
      <c r="BV35" s="48" t="s">
        <v>202</v>
      </c>
      <c r="BW35" s="48" t="s">
        <v>221</v>
      </c>
      <c r="BX35" s="49">
        <v>87</v>
      </c>
      <c r="BY35" s="49" t="s">
        <v>202</v>
      </c>
      <c r="BZ35" s="49" t="s">
        <v>240</v>
      </c>
      <c r="CA35" s="49">
        <v>80</v>
      </c>
      <c r="CB35" s="49" t="s">
        <v>202</v>
      </c>
      <c r="CC35" s="49" t="s">
        <v>223</v>
      </c>
      <c r="CD35" s="48">
        <v>88</v>
      </c>
      <c r="CE35" s="48" t="s">
        <v>213</v>
      </c>
      <c r="CF35" s="48" t="s">
        <v>241</v>
      </c>
      <c r="CG35" s="48">
        <v>80</v>
      </c>
      <c r="CH35" s="48" t="s">
        <v>202</v>
      </c>
      <c r="CI35" s="48" t="s">
        <v>225</v>
      </c>
      <c r="CJ35" s="49">
        <v>84</v>
      </c>
      <c r="CK35" s="49" t="s">
        <v>202</v>
      </c>
      <c r="CL35" s="49" t="s">
        <v>256</v>
      </c>
      <c r="CM35" s="49">
        <v>50</v>
      </c>
      <c r="CN35" s="49" t="s">
        <v>271</v>
      </c>
      <c r="CO35" s="49" t="s">
        <v>227</v>
      </c>
      <c r="CP35" s="48">
        <v>87</v>
      </c>
      <c r="CQ35" s="48" t="s">
        <v>202</v>
      </c>
      <c r="CR35" s="48" t="s">
        <v>266</v>
      </c>
      <c r="CS35" s="48">
        <v>83</v>
      </c>
      <c r="CT35" s="48" t="s">
        <v>202</v>
      </c>
      <c r="CU35" s="48" t="s">
        <v>280</v>
      </c>
      <c r="CV35" s="48">
        <v>89</v>
      </c>
      <c r="CW35" s="48" t="s">
        <v>213</v>
      </c>
      <c r="CX35" s="48" t="s">
        <v>285</v>
      </c>
      <c r="CY35" s="48">
        <v>80</v>
      </c>
      <c r="CZ35" s="48" t="s">
        <v>202</v>
      </c>
      <c r="DA35" s="48" t="s">
        <v>272</v>
      </c>
      <c r="DB35" s="9" t="str">
        <f>'Input Ekstra'!E31</f>
        <v>Pramuka</v>
      </c>
      <c r="DC35" s="9" t="str">
        <f>'Input Ekstra'!F31</f>
        <v>Baik</v>
      </c>
      <c r="DD35" s="9" t="str">
        <f>'Input Ekstra'!G31</f>
        <v>Peserta didik mampu menjelaskan hal-hal terkait survival dan implementasi Dasa Dharma di alam terbuka.</v>
      </c>
      <c r="DE35" s="9">
        <f>'Input Ekstra'!H31</f>
        <v>0</v>
      </c>
      <c r="DF35" s="9">
        <f>'Input Ekstra'!I31</f>
        <v>0</v>
      </c>
      <c r="DG35" s="9">
        <f>'Input Ekstra'!J31</f>
        <v>0</v>
      </c>
      <c r="DH35" s="9">
        <f>'Input Kehadiran'!E31</f>
        <v>2</v>
      </c>
      <c r="DI35" s="9">
        <f>'Input Kehadiran'!F31</f>
        <v>2</v>
      </c>
      <c r="DJ35" s="9" t="str">
        <f>'Input Kehadiran'!G31</f>
        <v>-</v>
      </c>
      <c r="DK35" s="8">
        <f>'Input Prestasi'!D32</f>
        <v>0</v>
      </c>
      <c r="DL35" s="8">
        <f>'Input Prestasi'!E32</f>
        <v>0</v>
      </c>
      <c r="DM35" s="8">
        <f>'Input Prestasi'!F32</f>
        <v>0</v>
      </c>
      <c r="DN35" s="8">
        <f>'Input Prestasi'!G32</f>
        <v>0</v>
      </c>
      <c r="DO35" s="8">
        <f>'Input Prestasi'!H32</f>
        <v>0</v>
      </c>
      <c r="DP35" s="8">
        <f>'Input Prestasi'!I32</f>
        <v>0</v>
      </c>
      <c r="DQ35" s="8">
        <f>'Input Prestasi'!J32</f>
        <v>0</v>
      </c>
      <c r="DR35" s="8">
        <f>'Input Prestasi'!K32</f>
        <v>0</v>
      </c>
      <c r="DS35" s="9" t="str">
        <f>'Input Nilai Sikap dan Catatan'!H30</f>
        <v>Peserta didik sudah menunjukkan sikap mengamalkan ajaran agamanya, konsisten menerapkan sikap santun, jujur, dan mandiri. Tingkatkan rasa ingin tahu dan sikap baik di dalam maupun di luar pembelajaran.</v>
      </c>
    </row>
    <row r="36" spans="1:123">
      <c r="A36" s="44">
        <v>28</v>
      </c>
      <c r="B36" s="45" t="str">
        <f>IF(Setting!J33="","",Setting!J33)</f>
        <v>Oriegano Kanahaya  Siagian</v>
      </c>
      <c r="C36" s="46">
        <f>IF(Setting!K33="","",Setting!K33)</f>
        <v>2008272</v>
      </c>
      <c r="D36" s="164" t="str">
        <f>IF(Setting!L33="","",Setting!L33)</f>
        <v xml:space="preserve"> 0051837216</v>
      </c>
      <c r="E36" s="9" t="str">
        <f>IF(Setting!$E$11="","",Setting!$E$11)</f>
        <v>X.MIPA 4</v>
      </c>
      <c r="F36" s="9" t="str">
        <f>'Input Nilai Sikap dan Catatan'!D31</f>
        <v>B</v>
      </c>
      <c r="G36" s="9" t="str">
        <f>'Input Nilai Sikap dan Catatan'!E31</f>
        <v>Taat menjalankan ibadah sholat tepat waktu dan aktif mengikuti kegiatan keagamaan di sekolah.</v>
      </c>
      <c r="H36" s="9" t="str">
        <f>'Input Nilai Sikap dan Catatan'!F31</f>
        <v>B</v>
      </c>
      <c r="I36" s="9" t="str">
        <f>'Input Nilai Sikap dan Catatan'!G31</f>
        <v>Memiliki sopan santun yang sangat baik dan selalu bersikap jujur dalam mengerjakan tugas</v>
      </c>
      <c r="J36" s="48">
        <v>84</v>
      </c>
      <c r="K36" s="48" t="s">
        <v>202</v>
      </c>
      <c r="L36" s="48" t="s">
        <v>298</v>
      </c>
      <c r="M36" s="48">
        <v>83</v>
      </c>
      <c r="N36" s="48" t="s">
        <v>202</v>
      </c>
      <c r="O36" s="48" t="s">
        <v>204</v>
      </c>
      <c r="P36" s="49">
        <v>83</v>
      </c>
      <c r="Q36" s="49" t="s">
        <v>202</v>
      </c>
      <c r="R36" s="49" t="s">
        <v>205</v>
      </c>
      <c r="S36" s="49">
        <v>83</v>
      </c>
      <c r="T36" s="49" t="s">
        <v>202</v>
      </c>
      <c r="U36" s="49" t="s">
        <v>234</v>
      </c>
      <c r="V36" s="50">
        <v>85</v>
      </c>
      <c r="W36" s="51" t="s">
        <v>202</v>
      </c>
      <c r="X36" s="52" t="s">
        <v>258</v>
      </c>
      <c r="Y36" s="50">
        <v>80</v>
      </c>
      <c r="Z36" s="51" t="s">
        <v>202</v>
      </c>
      <c r="AA36" s="53" t="s">
        <v>208</v>
      </c>
      <c r="AB36" s="49">
        <v>80</v>
      </c>
      <c r="AC36" s="49" t="s">
        <v>202</v>
      </c>
      <c r="AD36" s="49" t="s">
        <v>246</v>
      </c>
      <c r="AE36" s="49">
        <v>80</v>
      </c>
      <c r="AF36" s="49" t="s">
        <v>202</v>
      </c>
      <c r="AG36" s="49" t="s">
        <v>210</v>
      </c>
      <c r="AH36" s="48">
        <v>83</v>
      </c>
      <c r="AI36" s="48" t="s">
        <v>202</v>
      </c>
      <c r="AJ36" s="48" t="s">
        <v>211</v>
      </c>
      <c r="AK36" s="48">
        <v>80</v>
      </c>
      <c r="AL36" s="48" t="s">
        <v>202</v>
      </c>
      <c r="AM36" s="48" t="s">
        <v>212</v>
      </c>
      <c r="AN36" s="49">
        <v>87</v>
      </c>
      <c r="AO36" s="49" t="s">
        <v>202</v>
      </c>
      <c r="AP36" s="49" t="s">
        <v>1112</v>
      </c>
      <c r="AQ36" s="49">
        <v>80</v>
      </c>
      <c r="AR36" s="49" t="s">
        <v>202</v>
      </c>
      <c r="AS36" s="49" t="s">
        <v>1115</v>
      </c>
      <c r="AT36" s="48">
        <v>90</v>
      </c>
      <c r="AU36" s="48" t="s">
        <v>213</v>
      </c>
      <c r="AV36" s="48" t="s">
        <v>214</v>
      </c>
      <c r="AW36" s="48">
        <v>84</v>
      </c>
      <c r="AX36" s="48" t="s">
        <v>202</v>
      </c>
      <c r="AY36" s="48" t="s">
        <v>215</v>
      </c>
      <c r="AZ36" s="49">
        <v>82</v>
      </c>
      <c r="BA36" s="49" t="s">
        <v>202</v>
      </c>
      <c r="BB36" s="49" t="s">
        <v>260</v>
      </c>
      <c r="BC36" s="49">
        <v>80</v>
      </c>
      <c r="BD36" s="49" t="s">
        <v>202</v>
      </c>
      <c r="BE36" s="49" t="s">
        <v>217</v>
      </c>
      <c r="BF36" s="48">
        <v>83</v>
      </c>
      <c r="BG36" s="48" t="s">
        <v>202</v>
      </c>
      <c r="BH36" s="48" t="s">
        <v>218</v>
      </c>
      <c r="BI36" s="48">
        <v>80</v>
      </c>
      <c r="BJ36" s="48" t="s">
        <v>202</v>
      </c>
      <c r="BK36" s="48" t="s">
        <v>219</v>
      </c>
      <c r="BL36" s="49">
        <v>85</v>
      </c>
      <c r="BM36" s="49" t="s">
        <v>202</v>
      </c>
      <c r="BN36" s="49" t="s">
        <v>258</v>
      </c>
      <c r="BO36" s="49">
        <v>80</v>
      </c>
      <c r="BP36" s="49" t="s">
        <v>202</v>
      </c>
      <c r="BQ36" s="49" t="s">
        <v>208</v>
      </c>
      <c r="BR36" s="48">
        <v>81</v>
      </c>
      <c r="BS36" s="48" t="s">
        <v>202</v>
      </c>
      <c r="BT36" s="48" t="s">
        <v>238</v>
      </c>
      <c r="BU36" s="48">
        <v>84</v>
      </c>
      <c r="BV36" s="48" t="s">
        <v>202</v>
      </c>
      <c r="BW36" s="48" t="s">
        <v>239</v>
      </c>
      <c r="BX36" s="49">
        <v>83</v>
      </c>
      <c r="BY36" s="49" t="s">
        <v>202</v>
      </c>
      <c r="BZ36" s="49" t="s">
        <v>278</v>
      </c>
      <c r="CA36" s="49">
        <v>89</v>
      </c>
      <c r="CB36" s="49" t="s">
        <v>213</v>
      </c>
      <c r="CC36" s="49" t="s">
        <v>223</v>
      </c>
      <c r="CD36" s="48">
        <v>86</v>
      </c>
      <c r="CE36" s="48" t="s">
        <v>202</v>
      </c>
      <c r="CF36" s="48" t="s">
        <v>224</v>
      </c>
      <c r="CG36" s="48">
        <v>80</v>
      </c>
      <c r="CH36" s="48" t="s">
        <v>202</v>
      </c>
      <c r="CI36" s="48" t="s">
        <v>225</v>
      </c>
      <c r="CJ36" s="49">
        <v>84</v>
      </c>
      <c r="CK36" s="49" t="s">
        <v>202</v>
      </c>
      <c r="CL36" s="49" t="s">
        <v>242</v>
      </c>
      <c r="CM36" s="49">
        <v>80</v>
      </c>
      <c r="CN36" s="49" t="s">
        <v>202</v>
      </c>
      <c r="CO36" s="49" t="s">
        <v>227</v>
      </c>
      <c r="CP36" s="48">
        <v>84</v>
      </c>
      <c r="CQ36" s="48" t="s">
        <v>202</v>
      </c>
      <c r="CR36" s="48" t="s">
        <v>253</v>
      </c>
      <c r="CS36" s="48">
        <v>81</v>
      </c>
      <c r="CT36" s="48" t="s">
        <v>202</v>
      </c>
      <c r="CU36" s="48" t="s">
        <v>243</v>
      </c>
      <c r="CV36" s="49">
        <v>85</v>
      </c>
      <c r="CW36" s="49" t="s">
        <v>202</v>
      </c>
      <c r="CX36" s="49" t="s">
        <v>282</v>
      </c>
      <c r="CY36" s="49">
        <v>80</v>
      </c>
      <c r="CZ36" s="49" t="s">
        <v>202</v>
      </c>
      <c r="DA36" s="49" t="s">
        <v>262</v>
      </c>
      <c r="DB36" s="9" t="str">
        <f>'Input Ekstra'!E32</f>
        <v>Pramuka</v>
      </c>
      <c r="DC36" s="9" t="str">
        <f>'Input Ekstra'!F32</f>
        <v>Baik</v>
      </c>
      <c r="DD36" s="9" t="str">
        <f>'Input Ekstra'!G32</f>
        <v>Peserta didik mampu menjelaskan hal-hal terkait survival dan implementasi Dasa Dharma di alam terbuka.</v>
      </c>
      <c r="DE36" s="9">
        <f>'Input Ekstra'!H32</f>
        <v>0</v>
      </c>
      <c r="DF36" s="9">
        <f>'Input Ekstra'!I32</f>
        <v>0</v>
      </c>
      <c r="DG36" s="9">
        <f>'Input Ekstra'!J32</f>
        <v>0</v>
      </c>
      <c r="DH36" s="9" t="str">
        <f>'Input Kehadiran'!E32</f>
        <v>-</v>
      </c>
      <c r="DI36" s="9">
        <f>'Input Kehadiran'!F32</f>
        <v>2</v>
      </c>
      <c r="DJ36" s="9" t="str">
        <f>'Input Kehadiran'!G32</f>
        <v>-</v>
      </c>
      <c r="DK36" s="8">
        <f>'Input Prestasi'!D33</f>
        <v>0</v>
      </c>
      <c r="DL36" s="8">
        <f>'Input Prestasi'!E33</f>
        <v>0</v>
      </c>
      <c r="DM36" s="8">
        <f>'Input Prestasi'!F33</f>
        <v>0</v>
      </c>
      <c r="DN36" s="8">
        <f>'Input Prestasi'!G33</f>
        <v>0</v>
      </c>
      <c r="DO36" s="8">
        <f>'Input Prestasi'!H33</f>
        <v>0</v>
      </c>
      <c r="DP36" s="8">
        <f>'Input Prestasi'!I33</f>
        <v>0</v>
      </c>
      <c r="DQ36" s="8">
        <f>'Input Prestasi'!J33</f>
        <v>0</v>
      </c>
      <c r="DR36" s="8">
        <f>'Input Prestasi'!K33</f>
        <v>0</v>
      </c>
      <c r="DS36" s="9" t="str">
        <f>'Input Nilai Sikap dan Catatan'!H31</f>
        <v>Peserta didik sudah menunjukkan sikap mengamalkan ajaran agamanya, konsisten menerapkan sikap santun, jujur, dan mandiri. Tingkatkan rasa ingin tahu dan sikap baik di dalam maupun di luar pembelajaran.</v>
      </c>
    </row>
    <row r="37" spans="1:123">
      <c r="A37" s="44">
        <v>29</v>
      </c>
      <c r="B37" s="45" t="str">
        <f>IF(Setting!J34="","",Setting!J34)</f>
        <v>Rafif Mahatma Indrastata</v>
      </c>
      <c r="C37" s="46">
        <f>IF(Setting!K34="","",Setting!K34)</f>
        <v>2008282</v>
      </c>
      <c r="D37" s="164" t="str">
        <f>IF(Setting!L34="","",Setting!L34)</f>
        <v>0045017851</v>
      </c>
      <c r="E37" s="9" t="str">
        <f>IF(Setting!$E$11="","",Setting!$E$11)</f>
        <v>X.MIPA 4</v>
      </c>
      <c r="F37" s="9" t="str">
        <f>'Input Nilai Sikap dan Catatan'!D32</f>
        <v>B</v>
      </c>
      <c r="G37" s="9" t="str">
        <f>'Input Nilai Sikap dan Catatan'!E32</f>
        <v>Taat menjalankan ibadah sholat tepat waktu dan aktif mengikuti kegiatan keagamaan di sekolah.</v>
      </c>
      <c r="H37" s="9" t="str">
        <f>'Input Nilai Sikap dan Catatan'!F32</f>
        <v>B</v>
      </c>
      <c r="I37" s="9" t="str">
        <f>'Input Nilai Sikap dan Catatan'!G32</f>
        <v>Memiliki sopan santun yang sangat baik dan selalu bersikap jujur dalam mengerjakan tugas</v>
      </c>
      <c r="J37" s="48">
        <v>87</v>
      </c>
      <c r="K37" s="48" t="s">
        <v>202</v>
      </c>
      <c r="L37" s="48" t="s">
        <v>203</v>
      </c>
      <c r="M37" s="48">
        <v>80</v>
      </c>
      <c r="N37" s="48" t="s">
        <v>202</v>
      </c>
      <c r="O37" s="48" t="s">
        <v>283</v>
      </c>
      <c r="P37" s="49">
        <v>86</v>
      </c>
      <c r="Q37" s="49" t="s">
        <v>202</v>
      </c>
      <c r="R37" s="49" t="s">
        <v>205</v>
      </c>
      <c r="S37" s="49">
        <v>83</v>
      </c>
      <c r="T37" s="49" t="s">
        <v>202</v>
      </c>
      <c r="U37" s="49" t="s">
        <v>206</v>
      </c>
      <c r="V37" s="50">
        <v>90</v>
      </c>
      <c r="W37" s="51" t="s">
        <v>213</v>
      </c>
      <c r="X37" s="52" t="s">
        <v>258</v>
      </c>
      <c r="Y37" s="50">
        <v>85</v>
      </c>
      <c r="Z37" s="51" t="s">
        <v>202</v>
      </c>
      <c r="AA37" s="53" t="s">
        <v>259</v>
      </c>
      <c r="AB37" s="49">
        <v>83</v>
      </c>
      <c r="AC37" s="49" t="s">
        <v>202</v>
      </c>
      <c r="AD37" s="49" t="s">
        <v>246</v>
      </c>
      <c r="AE37" s="49">
        <v>83</v>
      </c>
      <c r="AF37" s="49" t="s">
        <v>202</v>
      </c>
      <c r="AG37" s="49" t="s">
        <v>210</v>
      </c>
      <c r="AH37" s="48">
        <v>81</v>
      </c>
      <c r="AI37" s="48" t="s">
        <v>202</v>
      </c>
      <c r="AJ37" s="48" t="s">
        <v>211</v>
      </c>
      <c r="AK37" s="48">
        <v>80</v>
      </c>
      <c r="AL37" s="48" t="s">
        <v>202</v>
      </c>
      <c r="AM37" s="48" t="s">
        <v>212</v>
      </c>
      <c r="AN37" s="49">
        <v>87</v>
      </c>
      <c r="AO37" s="49" t="s">
        <v>202</v>
      </c>
      <c r="AP37" s="49" t="s">
        <v>1118</v>
      </c>
      <c r="AQ37" s="49">
        <v>80</v>
      </c>
      <c r="AR37" s="49" t="s">
        <v>202</v>
      </c>
      <c r="AS37" s="49" t="s">
        <v>1115</v>
      </c>
      <c r="AT37" s="48">
        <v>88</v>
      </c>
      <c r="AU37" s="48" t="s">
        <v>271</v>
      </c>
      <c r="AV37" s="48" t="s">
        <v>214</v>
      </c>
      <c r="AW37" s="48">
        <v>80</v>
      </c>
      <c r="AX37" s="48" t="s">
        <v>271</v>
      </c>
      <c r="AY37" s="48" t="s">
        <v>215</v>
      </c>
      <c r="AZ37" s="49">
        <v>87</v>
      </c>
      <c r="BA37" s="49" t="s">
        <v>202</v>
      </c>
      <c r="BB37" s="49" t="s">
        <v>216</v>
      </c>
      <c r="BC37" s="49">
        <v>82</v>
      </c>
      <c r="BD37" s="49" t="s">
        <v>202</v>
      </c>
      <c r="BE37" s="49" t="s">
        <v>217</v>
      </c>
      <c r="BF37" s="48">
        <v>84</v>
      </c>
      <c r="BG37" s="48" t="s">
        <v>202</v>
      </c>
      <c r="BH37" s="48" t="s">
        <v>247</v>
      </c>
      <c r="BI37" s="48">
        <v>80</v>
      </c>
      <c r="BJ37" s="48" t="s">
        <v>202</v>
      </c>
      <c r="BK37" s="48" t="s">
        <v>219</v>
      </c>
      <c r="BL37" s="49">
        <v>90</v>
      </c>
      <c r="BM37" s="49" t="s">
        <v>213</v>
      </c>
      <c r="BN37" s="49" t="s">
        <v>258</v>
      </c>
      <c r="BO37" s="49">
        <v>85</v>
      </c>
      <c r="BP37" s="49" t="s">
        <v>202</v>
      </c>
      <c r="BQ37" s="49" t="s">
        <v>259</v>
      </c>
      <c r="BR37" s="48">
        <v>85</v>
      </c>
      <c r="BS37" s="48" t="s">
        <v>202</v>
      </c>
      <c r="BT37" s="48" t="s">
        <v>269</v>
      </c>
      <c r="BU37" s="48">
        <v>80</v>
      </c>
      <c r="BV37" s="48" t="s">
        <v>202</v>
      </c>
      <c r="BW37" s="48" t="s">
        <v>221</v>
      </c>
      <c r="BX37" s="49">
        <v>87</v>
      </c>
      <c r="BY37" s="49" t="s">
        <v>202</v>
      </c>
      <c r="BZ37" s="49" t="s">
        <v>250</v>
      </c>
      <c r="CA37" s="49">
        <v>82</v>
      </c>
      <c r="CB37" s="49" t="s">
        <v>202</v>
      </c>
      <c r="CC37" s="49" t="s">
        <v>223</v>
      </c>
      <c r="CD37" s="48">
        <v>88</v>
      </c>
      <c r="CE37" s="48" t="s">
        <v>213</v>
      </c>
      <c r="CF37" s="48" t="s">
        <v>241</v>
      </c>
      <c r="CG37" s="48">
        <v>80</v>
      </c>
      <c r="CH37" s="48" t="s">
        <v>202</v>
      </c>
      <c r="CI37" s="48" t="s">
        <v>225</v>
      </c>
      <c r="CJ37" s="49">
        <v>83</v>
      </c>
      <c r="CK37" s="49" t="s">
        <v>202</v>
      </c>
      <c r="CL37" s="49" t="s">
        <v>279</v>
      </c>
      <c r="CM37" s="49">
        <v>80</v>
      </c>
      <c r="CN37" s="49" t="s">
        <v>202</v>
      </c>
      <c r="CO37" s="49" t="s">
        <v>227</v>
      </c>
      <c r="CP37" s="48">
        <v>85</v>
      </c>
      <c r="CQ37" s="48" t="s">
        <v>202</v>
      </c>
      <c r="CR37" s="48" t="s">
        <v>300</v>
      </c>
      <c r="CS37" s="48">
        <v>82</v>
      </c>
      <c r="CT37" s="48" t="s">
        <v>202</v>
      </c>
      <c r="CU37" s="48" t="s">
        <v>280</v>
      </c>
      <c r="CV37" s="49">
        <v>88</v>
      </c>
      <c r="CW37" s="49" t="s">
        <v>213</v>
      </c>
      <c r="CX37" s="49" t="s">
        <v>292</v>
      </c>
      <c r="CY37" s="49">
        <v>80</v>
      </c>
      <c r="CZ37" s="49" t="s">
        <v>202</v>
      </c>
      <c r="DA37" s="49" t="s">
        <v>231</v>
      </c>
      <c r="DB37" s="9" t="str">
        <f>'Input Ekstra'!E33</f>
        <v>Pramuka</v>
      </c>
      <c r="DC37" s="9" t="str">
        <f>'Input Ekstra'!F33</f>
        <v>Baik</v>
      </c>
      <c r="DD37" s="9" t="str">
        <f>'Input Ekstra'!G33</f>
        <v>Peserta didik mampu menjelaskan hal-hal terkait survival dan implementasi Dasa Dharma di alam terbuka.</v>
      </c>
      <c r="DE37" s="9">
        <f>'Input Ekstra'!H33</f>
        <v>0</v>
      </c>
      <c r="DF37" s="9">
        <f>'Input Ekstra'!I33</f>
        <v>0</v>
      </c>
      <c r="DG37" s="9">
        <f>'Input Ekstra'!J33</f>
        <v>0</v>
      </c>
      <c r="DH37" s="9">
        <f>'Input Kehadiran'!E33</f>
        <v>2</v>
      </c>
      <c r="DI37" s="9">
        <f>'Input Kehadiran'!F33</f>
        <v>3</v>
      </c>
      <c r="DJ37" s="9" t="str">
        <f>'Input Kehadiran'!G33</f>
        <v>-</v>
      </c>
      <c r="DK37" s="8">
        <f>'Input Prestasi'!D34</f>
        <v>0</v>
      </c>
      <c r="DL37" s="8">
        <f>'Input Prestasi'!E34</f>
        <v>0</v>
      </c>
      <c r="DM37" s="8">
        <f>'Input Prestasi'!F34</f>
        <v>0</v>
      </c>
      <c r="DN37" s="8">
        <f>'Input Prestasi'!G34</f>
        <v>0</v>
      </c>
      <c r="DO37" s="8">
        <f>'Input Prestasi'!H34</f>
        <v>0</v>
      </c>
      <c r="DP37" s="8">
        <f>'Input Prestasi'!I34</f>
        <v>0</v>
      </c>
      <c r="DQ37" s="8">
        <f>'Input Prestasi'!J34</f>
        <v>0</v>
      </c>
      <c r="DR37" s="8">
        <f>'Input Prestasi'!K34</f>
        <v>0</v>
      </c>
      <c r="DS37" s="9" t="str">
        <f>'Input Nilai Sikap dan Catatan'!H32</f>
        <v>Peserta didik sudah menunjukkan sikap mengamalkan ajaran agamanya, konsisten menerapkan sikap santun, jujur, dan mandiri. Tingkatkan rasa ingin tahu dan sikap baik di dalam maupun di luar pembelajaran.</v>
      </c>
    </row>
    <row r="38" spans="1:123">
      <c r="A38" s="44">
        <v>30</v>
      </c>
      <c r="B38" s="45" t="str">
        <f>IF(Setting!J35="","",Setting!J35)</f>
        <v>Rayhan Yoga Edy Pratama</v>
      </c>
      <c r="C38" s="46">
        <f>IF(Setting!K35="","",Setting!K35)</f>
        <v>2008296</v>
      </c>
      <c r="D38" s="164" t="str">
        <f>IF(Setting!L35="","",Setting!L35)</f>
        <v xml:space="preserve">0041380949 </v>
      </c>
      <c r="E38" s="9" t="str">
        <f>IF(Setting!$E$11="","",Setting!$E$11)</f>
        <v>X.MIPA 4</v>
      </c>
      <c r="F38" s="9" t="str">
        <f>'Input Nilai Sikap dan Catatan'!D33</f>
        <v>B</v>
      </c>
      <c r="G38" s="9" t="str">
        <f>'Input Nilai Sikap dan Catatan'!E33</f>
        <v>Taat menjalankan ibadah sholat tepat waktu dan aktif mengikuti kegiatan keagamaan di sekolah.</v>
      </c>
      <c r="H38" s="9" t="str">
        <f>'Input Nilai Sikap dan Catatan'!F33</f>
        <v>B</v>
      </c>
      <c r="I38" s="9" t="str">
        <f>'Input Nilai Sikap dan Catatan'!G33</f>
        <v>Memiliki sopan santun yang sangat baik dan selalu bersikap jujur dalam mengerjakan tugas</v>
      </c>
      <c r="J38" s="48">
        <v>89</v>
      </c>
      <c r="K38" s="48" t="s">
        <v>213</v>
      </c>
      <c r="L38" s="48" t="s">
        <v>298</v>
      </c>
      <c r="M38" s="48">
        <v>88</v>
      </c>
      <c r="N38" s="48" t="s">
        <v>213</v>
      </c>
      <c r="O38" s="48" t="s">
        <v>244</v>
      </c>
      <c r="P38" s="49">
        <v>89</v>
      </c>
      <c r="Q38" s="49" t="s">
        <v>213</v>
      </c>
      <c r="R38" s="49" t="s">
        <v>245</v>
      </c>
      <c r="S38" s="49">
        <v>83</v>
      </c>
      <c r="T38" s="49" t="s">
        <v>202</v>
      </c>
      <c r="U38" s="49" t="s">
        <v>206</v>
      </c>
      <c r="V38" s="50">
        <v>91</v>
      </c>
      <c r="W38" s="51" t="s">
        <v>213</v>
      </c>
      <c r="X38" s="52" t="s">
        <v>207</v>
      </c>
      <c r="Y38" s="50">
        <v>90</v>
      </c>
      <c r="Z38" s="51" t="s">
        <v>213</v>
      </c>
      <c r="AA38" s="53" t="s">
        <v>208</v>
      </c>
      <c r="AB38" s="49">
        <v>86</v>
      </c>
      <c r="AC38" s="49" t="s">
        <v>202</v>
      </c>
      <c r="AD38" s="49" t="s">
        <v>246</v>
      </c>
      <c r="AE38" s="49">
        <v>82</v>
      </c>
      <c r="AF38" s="49" t="s">
        <v>202</v>
      </c>
      <c r="AG38" s="49" t="s">
        <v>210</v>
      </c>
      <c r="AH38" s="48">
        <v>91</v>
      </c>
      <c r="AI38" s="48" t="s">
        <v>213</v>
      </c>
      <c r="AJ38" s="48" t="s">
        <v>237</v>
      </c>
      <c r="AK38" s="48">
        <v>80</v>
      </c>
      <c r="AL38" s="48" t="s">
        <v>202</v>
      </c>
      <c r="AM38" s="48" t="s">
        <v>212</v>
      </c>
      <c r="AN38" s="49">
        <v>89</v>
      </c>
      <c r="AO38" s="49" t="s">
        <v>213</v>
      </c>
      <c r="AP38" s="49" t="s">
        <v>1114</v>
      </c>
      <c r="AQ38" s="49">
        <v>84</v>
      </c>
      <c r="AR38" s="49" t="s">
        <v>202</v>
      </c>
      <c r="AS38" s="49" t="s">
        <v>1116</v>
      </c>
      <c r="AT38" s="48">
        <v>89</v>
      </c>
      <c r="AU38" s="48" t="s">
        <v>213</v>
      </c>
      <c r="AV38" s="48" t="s">
        <v>214</v>
      </c>
      <c r="AW38" s="48">
        <v>81</v>
      </c>
      <c r="AX38" s="48" t="s">
        <v>202</v>
      </c>
      <c r="AY38" s="48" t="s">
        <v>215</v>
      </c>
      <c r="AZ38" s="49">
        <v>87</v>
      </c>
      <c r="BA38" s="49" t="s">
        <v>202</v>
      </c>
      <c r="BB38" s="49" t="s">
        <v>216</v>
      </c>
      <c r="BC38" s="49">
        <v>82</v>
      </c>
      <c r="BD38" s="49" t="s">
        <v>202</v>
      </c>
      <c r="BE38" s="49" t="s">
        <v>217</v>
      </c>
      <c r="BF38" s="48">
        <v>86</v>
      </c>
      <c r="BG38" s="48" t="s">
        <v>202</v>
      </c>
      <c r="BH38" s="48" t="s">
        <v>247</v>
      </c>
      <c r="BI38" s="48">
        <v>93</v>
      </c>
      <c r="BJ38" s="48" t="s">
        <v>213</v>
      </c>
      <c r="BK38" s="48" t="s">
        <v>219</v>
      </c>
      <c r="BL38" s="49">
        <v>91</v>
      </c>
      <c r="BM38" s="49" t="s">
        <v>213</v>
      </c>
      <c r="BN38" s="49" t="s">
        <v>207</v>
      </c>
      <c r="BO38" s="49">
        <v>90</v>
      </c>
      <c r="BP38" s="49" t="s">
        <v>213</v>
      </c>
      <c r="BQ38" s="49" t="s">
        <v>208</v>
      </c>
      <c r="BR38" s="48">
        <v>91</v>
      </c>
      <c r="BS38" s="48" t="s">
        <v>213</v>
      </c>
      <c r="BT38" s="48" t="s">
        <v>255</v>
      </c>
      <c r="BU38" s="48">
        <v>95</v>
      </c>
      <c r="BV38" s="48" t="s">
        <v>213</v>
      </c>
      <c r="BW38" s="48" t="s">
        <v>239</v>
      </c>
      <c r="BX38" s="49">
        <v>86</v>
      </c>
      <c r="BY38" s="49" t="s">
        <v>202</v>
      </c>
      <c r="BZ38" s="49" t="s">
        <v>250</v>
      </c>
      <c r="CA38" s="49">
        <v>87</v>
      </c>
      <c r="CB38" s="49" t="s">
        <v>202</v>
      </c>
      <c r="CC38" s="49" t="s">
        <v>223</v>
      </c>
      <c r="CD38" s="48">
        <v>89</v>
      </c>
      <c r="CE38" s="48" t="s">
        <v>213</v>
      </c>
      <c r="CF38" s="48" t="s">
        <v>251</v>
      </c>
      <c r="CG38" s="48">
        <v>85</v>
      </c>
      <c r="CH38" s="48" t="s">
        <v>202</v>
      </c>
      <c r="CI38" s="48" t="s">
        <v>225</v>
      </c>
      <c r="CJ38" s="49">
        <v>89</v>
      </c>
      <c r="CK38" s="49" t="s">
        <v>213</v>
      </c>
      <c r="CL38" s="49" t="s">
        <v>288</v>
      </c>
      <c r="CM38" s="49">
        <v>85</v>
      </c>
      <c r="CN38" s="49" t="s">
        <v>202</v>
      </c>
      <c r="CO38" s="49" t="s">
        <v>227</v>
      </c>
      <c r="CP38" s="48">
        <v>85</v>
      </c>
      <c r="CQ38" s="48" t="s">
        <v>202</v>
      </c>
      <c r="CR38" s="48" t="s">
        <v>228</v>
      </c>
      <c r="CS38" s="48">
        <v>83</v>
      </c>
      <c r="CT38" s="48" t="s">
        <v>202</v>
      </c>
      <c r="CU38" s="48" t="s">
        <v>229</v>
      </c>
      <c r="CV38" s="49">
        <v>93</v>
      </c>
      <c r="CW38" s="49" t="s">
        <v>213</v>
      </c>
      <c r="CX38" s="49" t="s">
        <v>285</v>
      </c>
      <c r="CY38" s="49">
        <v>80</v>
      </c>
      <c r="CZ38" s="49" t="s">
        <v>202</v>
      </c>
      <c r="DA38" s="49" t="s">
        <v>231</v>
      </c>
      <c r="DB38" s="9" t="str">
        <f>'Input Ekstra'!E34</f>
        <v>Pramuka</v>
      </c>
      <c r="DC38" s="9" t="str">
        <f>'Input Ekstra'!F34</f>
        <v>Sangat Baik</v>
      </c>
      <c r="DD38" s="9" t="str">
        <f>'Input Ekstra'!G34</f>
        <v>Peserta didik mampu menjelaskan hal-hal terkait survival dan implementasi Dasa Dharma di alam terbuka.</v>
      </c>
      <c r="DE38" s="9">
        <f>'Input Ekstra'!H34</f>
        <v>0</v>
      </c>
      <c r="DF38" s="9">
        <f>'Input Ekstra'!I34</f>
        <v>0</v>
      </c>
      <c r="DG38" s="9">
        <f>'Input Ekstra'!J34</f>
        <v>0</v>
      </c>
      <c r="DH38" s="9" t="str">
        <f>'Input Kehadiran'!E34</f>
        <v>-</v>
      </c>
      <c r="DI38" s="9">
        <f>'Input Kehadiran'!F34</f>
        <v>2</v>
      </c>
      <c r="DJ38" s="9" t="str">
        <f>'Input Kehadiran'!G34</f>
        <v>-</v>
      </c>
      <c r="DK38" s="8">
        <f>'Input Prestasi'!D35</f>
        <v>0</v>
      </c>
      <c r="DL38" s="8">
        <f>'Input Prestasi'!E35</f>
        <v>0</v>
      </c>
      <c r="DM38" s="8">
        <f>'Input Prestasi'!F35</f>
        <v>0</v>
      </c>
      <c r="DN38" s="8">
        <f>'Input Prestasi'!G35</f>
        <v>0</v>
      </c>
      <c r="DO38" s="8">
        <f>'Input Prestasi'!H35</f>
        <v>0</v>
      </c>
      <c r="DP38" s="8">
        <f>'Input Prestasi'!I35</f>
        <v>0</v>
      </c>
      <c r="DQ38" s="8">
        <f>'Input Prestasi'!J35</f>
        <v>0</v>
      </c>
      <c r="DR38" s="8">
        <f>'Input Prestasi'!K35</f>
        <v>0</v>
      </c>
      <c r="DS38" s="9" t="str">
        <f>'Input Nilai Sikap dan Catatan'!H33</f>
        <v>Peserta didik sudah menunjukkan sikap mengamalkan ajaran agamanya, konsisten menerapkan sikap santun, jujur, dan mandiri. Tingkatkan rasa ingin tahu dan sikap baik di dalam maupun di luar pembelajaran.</v>
      </c>
    </row>
    <row r="39" spans="1:123">
      <c r="A39" s="44">
        <v>31</v>
      </c>
      <c r="B39" s="45" t="str">
        <f>IF(Setting!J36="","",Setting!J36)</f>
        <v>Rusianto Munif</v>
      </c>
      <c r="C39" s="46">
        <f>IF(Setting!K36="","",Setting!K36)</f>
        <v>2008307</v>
      </c>
      <c r="D39" s="164" t="str">
        <f>IF(Setting!L36="","",Setting!L36)</f>
        <v>0060172183</v>
      </c>
      <c r="E39" s="9" t="str">
        <f>IF(Setting!$E$11="","",Setting!$E$11)</f>
        <v>X.MIPA 4</v>
      </c>
      <c r="F39" s="9" t="str">
        <f>'Input Nilai Sikap dan Catatan'!D34</f>
        <v>B</v>
      </c>
      <c r="G39" s="9" t="str">
        <f>'Input Nilai Sikap dan Catatan'!E34</f>
        <v>Taat menjalankan ibadah sholat tepat waktu dan aktif mengikuti kegiatan keagamaan di sekolah.</v>
      </c>
      <c r="H39" s="9" t="str">
        <f>'Input Nilai Sikap dan Catatan'!F34</f>
        <v>B</v>
      </c>
      <c r="I39" s="9" t="str">
        <f>'Input Nilai Sikap dan Catatan'!G34</f>
        <v>Memiliki sopan santun yang sangat baik dan selalu bersikap jujur dalam mengerjakan tugas</v>
      </c>
      <c r="J39" s="48">
        <v>85</v>
      </c>
      <c r="K39" s="48" t="s">
        <v>202</v>
      </c>
      <c r="L39" s="48" t="s">
        <v>301</v>
      </c>
      <c r="M39" s="48">
        <v>80</v>
      </c>
      <c r="N39" s="48" t="s">
        <v>202</v>
      </c>
      <c r="O39" s="48" t="s">
        <v>244</v>
      </c>
      <c r="P39" s="49">
        <v>85</v>
      </c>
      <c r="Q39" s="49" t="s">
        <v>202</v>
      </c>
      <c r="R39" s="49" t="s">
        <v>245</v>
      </c>
      <c r="S39" s="49">
        <v>83</v>
      </c>
      <c r="T39" s="49" t="s">
        <v>202</v>
      </c>
      <c r="U39" s="49" t="s">
        <v>206</v>
      </c>
      <c r="V39" s="50">
        <v>89</v>
      </c>
      <c r="W39" s="51" t="s">
        <v>213</v>
      </c>
      <c r="X39" s="52" t="s">
        <v>207</v>
      </c>
      <c r="Y39" s="50">
        <v>80</v>
      </c>
      <c r="Z39" s="51" t="s">
        <v>202</v>
      </c>
      <c r="AA39" s="53" t="s">
        <v>208</v>
      </c>
      <c r="AB39" s="49">
        <v>81</v>
      </c>
      <c r="AC39" s="49" t="s">
        <v>202</v>
      </c>
      <c r="AD39" s="49" t="s">
        <v>209</v>
      </c>
      <c r="AE39" s="49">
        <v>80</v>
      </c>
      <c r="AF39" s="49" t="s">
        <v>202</v>
      </c>
      <c r="AG39" s="49" t="s">
        <v>210</v>
      </c>
      <c r="AH39" s="48">
        <v>81</v>
      </c>
      <c r="AI39" s="48" t="s">
        <v>202</v>
      </c>
      <c r="AJ39" s="48" t="s">
        <v>291</v>
      </c>
      <c r="AK39" s="48">
        <v>80</v>
      </c>
      <c r="AL39" s="48" t="s">
        <v>202</v>
      </c>
      <c r="AM39" s="48" t="s">
        <v>212</v>
      </c>
      <c r="AN39" s="49">
        <v>84</v>
      </c>
      <c r="AO39" s="49" t="s">
        <v>202</v>
      </c>
      <c r="AP39" s="49" t="s">
        <v>1117</v>
      </c>
      <c r="AQ39" s="49">
        <v>84</v>
      </c>
      <c r="AR39" s="49" t="s">
        <v>202</v>
      </c>
      <c r="AS39" s="49" t="s">
        <v>1116</v>
      </c>
      <c r="AT39" s="48">
        <v>89</v>
      </c>
      <c r="AU39" s="48" t="s">
        <v>213</v>
      </c>
      <c r="AV39" s="48" t="s">
        <v>214</v>
      </c>
      <c r="AW39" s="48">
        <v>81</v>
      </c>
      <c r="AX39" s="48" t="s">
        <v>202</v>
      </c>
      <c r="AY39" s="48" t="s">
        <v>215</v>
      </c>
      <c r="AZ39" s="49">
        <v>85</v>
      </c>
      <c r="BA39" s="49" t="s">
        <v>202</v>
      </c>
      <c r="BB39" s="49" t="s">
        <v>260</v>
      </c>
      <c r="BC39" s="49">
        <v>80</v>
      </c>
      <c r="BD39" s="49" t="s">
        <v>202</v>
      </c>
      <c r="BE39" s="49" t="s">
        <v>217</v>
      </c>
      <c r="BF39" s="48">
        <v>85</v>
      </c>
      <c r="BG39" s="48" t="s">
        <v>202</v>
      </c>
      <c r="BH39" s="48" t="s">
        <v>247</v>
      </c>
      <c r="BI39" s="48">
        <v>85</v>
      </c>
      <c r="BJ39" s="48" t="s">
        <v>202</v>
      </c>
      <c r="BK39" s="48" t="s">
        <v>219</v>
      </c>
      <c r="BL39" s="49">
        <v>89</v>
      </c>
      <c r="BM39" s="49" t="s">
        <v>213</v>
      </c>
      <c r="BN39" s="49" t="s">
        <v>207</v>
      </c>
      <c r="BO39" s="49">
        <v>80</v>
      </c>
      <c r="BP39" s="49" t="s">
        <v>202</v>
      </c>
      <c r="BQ39" s="49" t="s">
        <v>208</v>
      </c>
      <c r="BR39" s="48">
        <v>86</v>
      </c>
      <c r="BS39" s="48" t="s">
        <v>202</v>
      </c>
      <c r="BT39" s="48" t="s">
        <v>248</v>
      </c>
      <c r="BU39" s="48">
        <v>94</v>
      </c>
      <c r="BV39" s="48" t="s">
        <v>213</v>
      </c>
      <c r="BW39" s="48" t="s">
        <v>221</v>
      </c>
      <c r="BX39" s="49">
        <v>84</v>
      </c>
      <c r="BY39" s="49" t="s">
        <v>202</v>
      </c>
      <c r="BZ39" s="49" t="s">
        <v>222</v>
      </c>
      <c r="CA39" s="49">
        <v>80</v>
      </c>
      <c r="CB39" s="49" t="s">
        <v>202</v>
      </c>
      <c r="CC39" s="49" t="s">
        <v>223</v>
      </c>
      <c r="CD39" s="48">
        <v>86</v>
      </c>
      <c r="CE39" s="48" t="s">
        <v>202</v>
      </c>
      <c r="CF39" s="48" t="s">
        <v>302</v>
      </c>
      <c r="CG39" s="48">
        <v>87</v>
      </c>
      <c r="CH39" s="48" t="s">
        <v>202</v>
      </c>
      <c r="CI39" s="48" t="s">
        <v>225</v>
      </c>
      <c r="CJ39" s="49">
        <v>87</v>
      </c>
      <c r="CK39" s="49" t="s">
        <v>202</v>
      </c>
      <c r="CL39" s="49" t="s">
        <v>252</v>
      </c>
      <c r="CM39" s="49">
        <v>87</v>
      </c>
      <c r="CN39" s="49" t="s">
        <v>202</v>
      </c>
      <c r="CO39" s="49" t="s">
        <v>227</v>
      </c>
      <c r="CP39" s="48">
        <v>83</v>
      </c>
      <c r="CQ39" s="48" t="s">
        <v>202</v>
      </c>
      <c r="CR39" s="48" t="s">
        <v>253</v>
      </c>
      <c r="CS39" s="48">
        <v>81</v>
      </c>
      <c r="CT39" s="48" t="s">
        <v>202</v>
      </c>
      <c r="CU39" s="48" t="s">
        <v>243</v>
      </c>
      <c r="CV39" s="49">
        <v>91</v>
      </c>
      <c r="CW39" s="49" t="s">
        <v>213</v>
      </c>
      <c r="CX39" s="49" t="s">
        <v>285</v>
      </c>
      <c r="CY39" s="49">
        <v>90</v>
      </c>
      <c r="CZ39" s="49" t="s">
        <v>213</v>
      </c>
      <c r="DA39" s="49" t="s">
        <v>231</v>
      </c>
      <c r="DB39" s="9" t="str">
        <f>'Input Ekstra'!E35</f>
        <v>Pramuka</v>
      </c>
      <c r="DC39" s="9" t="str">
        <f>'Input Ekstra'!F35</f>
        <v>Baik</v>
      </c>
      <c r="DD39" s="9" t="str">
        <f>'Input Ekstra'!G35</f>
        <v>Peserta didik mampu menjelaskan hal-hal terkait survival dan implementasi Dasa Dharma di alam terbuka.</v>
      </c>
      <c r="DE39" s="9">
        <f>'Input Ekstra'!H35</f>
        <v>0</v>
      </c>
      <c r="DF39" s="9">
        <f>'Input Ekstra'!I35</f>
        <v>0</v>
      </c>
      <c r="DG39" s="9">
        <f>'Input Ekstra'!J35</f>
        <v>0</v>
      </c>
      <c r="DH39" s="9" t="str">
        <f>'Input Kehadiran'!E35</f>
        <v>-</v>
      </c>
      <c r="DI39" s="9" t="str">
        <f>'Input Kehadiran'!F35</f>
        <v>-</v>
      </c>
      <c r="DJ39" s="9" t="str">
        <f>'Input Kehadiran'!G35</f>
        <v>-</v>
      </c>
      <c r="DK39" s="8">
        <f>'Input Prestasi'!D36</f>
        <v>0</v>
      </c>
      <c r="DL39" s="8">
        <f>'Input Prestasi'!E36</f>
        <v>0</v>
      </c>
      <c r="DM39" s="8">
        <f>'Input Prestasi'!F36</f>
        <v>0</v>
      </c>
      <c r="DN39" s="8">
        <f>'Input Prestasi'!G36</f>
        <v>0</v>
      </c>
      <c r="DO39" s="8">
        <f>'Input Prestasi'!H36</f>
        <v>0</v>
      </c>
      <c r="DP39" s="8">
        <f>'Input Prestasi'!I36</f>
        <v>0</v>
      </c>
      <c r="DQ39" s="8">
        <f>'Input Prestasi'!J36</f>
        <v>0</v>
      </c>
      <c r="DR39" s="8">
        <f>'Input Prestasi'!K36</f>
        <v>0</v>
      </c>
      <c r="DS39" s="9" t="str">
        <f>'Input Nilai Sikap dan Catatan'!H34</f>
        <v>Peserta didik sudah menunjukkan sikap mengamalkan ajaran agamanya, konsisten menerapkan sikap santun, jujur, dan mandiri. Tingkatkan rasa ingin tahu dan sikap baik di dalam maupun di luar pembelajaran.</v>
      </c>
    </row>
    <row r="40" spans="1:123">
      <c r="A40" s="44">
        <v>32</v>
      </c>
      <c r="B40" s="45" t="str">
        <f>IF(Setting!J37="","",Setting!J37)</f>
        <v>Zaidan Mu'afy Althaf</v>
      </c>
      <c r="C40" s="46">
        <f>IF(Setting!K37="","",Setting!K37)</f>
        <v>2008347</v>
      </c>
      <c r="D40" s="164" t="str">
        <f>IF(Setting!L37="","",Setting!L37)</f>
        <v>0056182222</v>
      </c>
      <c r="E40" s="9" t="str">
        <f>IF(Setting!$E$11="","",Setting!$E$11)</f>
        <v>X.MIPA 4</v>
      </c>
      <c r="F40" s="9" t="str">
        <f>'Input Nilai Sikap dan Catatan'!D35</f>
        <v>B</v>
      </c>
      <c r="G40" s="9" t="str">
        <f>'Input Nilai Sikap dan Catatan'!E35</f>
        <v>Taat menjalankan ibadah sholat tepat waktu dan aktif mengikuti kegiatan keagamaan di sekolah.</v>
      </c>
      <c r="H40" s="9" t="str">
        <f>'Input Nilai Sikap dan Catatan'!F35</f>
        <v>B</v>
      </c>
      <c r="I40" s="9" t="str">
        <f>'Input Nilai Sikap dan Catatan'!G35</f>
        <v>Memiliki sopan santun yang sangat baik dan selalu bersikap jujur dalam mengerjakan tugas</v>
      </c>
      <c r="J40" s="48">
        <v>89</v>
      </c>
      <c r="K40" s="48" t="s">
        <v>213</v>
      </c>
      <c r="L40" s="48" t="s">
        <v>303</v>
      </c>
      <c r="M40" s="48">
        <v>86</v>
      </c>
      <c r="N40" s="48" t="s">
        <v>202</v>
      </c>
      <c r="O40" s="48" t="s">
        <v>233</v>
      </c>
      <c r="P40" s="49">
        <v>88</v>
      </c>
      <c r="Q40" s="49" t="s">
        <v>213</v>
      </c>
      <c r="R40" s="49" t="s">
        <v>245</v>
      </c>
      <c r="S40" s="49">
        <v>83</v>
      </c>
      <c r="T40" s="49" t="s">
        <v>202</v>
      </c>
      <c r="U40" s="49" t="s">
        <v>234</v>
      </c>
      <c r="V40" s="50">
        <v>91</v>
      </c>
      <c r="W40" s="51" t="s">
        <v>213</v>
      </c>
      <c r="X40" s="52" t="s">
        <v>235</v>
      </c>
      <c r="Y40" s="50">
        <v>95</v>
      </c>
      <c r="Z40" s="51" t="s">
        <v>213</v>
      </c>
      <c r="AA40" s="53" t="s">
        <v>208</v>
      </c>
      <c r="AB40" s="49">
        <v>83</v>
      </c>
      <c r="AC40" s="49" t="s">
        <v>202</v>
      </c>
      <c r="AD40" s="49" t="s">
        <v>246</v>
      </c>
      <c r="AE40" s="49">
        <v>80</v>
      </c>
      <c r="AF40" s="49" t="s">
        <v>202</v>
      </c>
      <c r="AG40" s="49" t="s">
        <v>210</v>
      </c>
      <c r="AH40" s="48">
        <v>86</v>
      </c>
      <c r="AI40" s="48" t="s">
        <v>202</v>
      </c>
      <c r="AJ40" s="48" t="s">
        <v>237</v>
      </c>
      <c r="AK40" s="48">
        <v>80</v>
      </c>
      <c r="AL40" s="48" t="s">
        <v>202</v>
      </c>
      <c r="AM40" s="48" t="s">
        <v>212</v>
      </c>
      <c r="AN40" s="49">
        <v>86</v>
      </c>
      <c r="AO40" s="49" t="s">
        <v>202</v>
      </c>
      <c r="AP40" s="49" t="s">
        <v>1122</v>
      </c>
      <c r="AQ40" s="49">
        <v>80</v>
      </c>
      <c r="AR40" s="49" t="s">
        <v>202</v>
      </c>
      <c r="AS40" s="49" t="s">
        <v>1115</v>
      </c>
      <c r="AT40" s="48">
        <v>89</v>
      </c>
      <c r="AU40" s="48" t="s">
        <v>213</v>
      </c>
      <c r="AV40" s="48" t="s">
        <v>214</v>
      </c>
      <c r="AW40" s="48">
        <v>83</v>
      </c>
      <c r="AX40" s="48" t="s">
        <v>202</v>
      </c>
      <c r="AY40" s="48" t="s">
        <v>215</v>
      </c>
      <c r="AZ40" s="49">
        <v>87</v>
      </c>
      <c r="BA40" s="49" t="s">
        <v>202</v>
      </c>
      <c r="BB40" s="49" t="s">
        <v>216</v>
      </c>
      <c r="BC40" s="49">
        <v>82</v>
      </c>
      <c r="BD40" s="49" t="s">
        <v>202</v>
      </c>
      <c r="BE40" s="49" t="s">
        <v>217</v>
      </c>
      <c r="BF40" s="48">
        <v>85</v>
      </c>
      <c r="BG40" s="48" t="s">
        <v>202</v>
      </c>
      <c r="BH40" s="48" t="s">
        <v>218</v>
      </c>
      <c r="BI40" s="48">
        <v>80</v>
      </c>
      <c r="BJ40" s="48" t="s">
        <v>202</v>
      </c>
      <c r="BK40" s="48" t="s">
        <v>219</v>
      </c>
      <c r="BL40" s="49">
        <v>91</v>
      </c>
      <c r="BM40" s="49" t="s">
        <v>213</v>
      </c>
      <c r="BN40" s="49" t="s">
        <v>235</v>
      </c>
      <c r="BO40" s="49">
        <v>95</v>
      </c>
      <c r="BP40" s="49" t="s">
        <v>213</v>
      </c>
      <c r="BQ40" s="49" t="s">
        <v>208</v>
      </c>
      <c r="BR40" s="48">
        <v>81</v>
      </c>
      <c r="BS40" s="48" t="s">
        <v>202</v>
      </c>
      <c r="BT40" s="48" t="s">
        <v>220</v>
      </c>
      <c r="BU40" s="48">
        <v>82</v>
      </c>
      <c r="BV40" s="48" t="s">
        <v>202</v>
      </c>
      <c r="BW40" s="48" t="s">
        <v>249</v>
      </c>
      <c r="BX40" s="49">
        <v>87</v>
      </c>
      <c r="BY40" s="49" t="s">
        <v>202</v>
      </c>
      <c r="BZ40" s="49" t="s">
        <v>250</v>
      </c>
      <c r="CA40" s="49">
        <v>82</v>
      </c>
      <c r="CB40" s="49" t="s">
        <v>202</v>
      </c>
      <c r="CC40" s="49" t="s">
        <v>223</v>
      </c>
      <c r="CD40" s="48">
        <v>88</v>
      </c>
      <c r="CE40" s="48" t="s">
        <v>213</v>
      </c>
      <c r="CF40" s="48" t="s">
        <v>251</v>
      </c>
      <c r="CG40" s="48">
        <v>80</v>
      </c>
      <c r="CH40" s="48" t="s">
        <v>202</v>
      </c>
      <c r="CI40" s="48" t="s">
        <v>225</v>
      </c>
      <c r="CJ40" s="49">
        <v>84</v>
      </c>
      <c r="CK40" s="49" t="s">
        <v>202</v>
      </c>
      <c r="CL40" s="49" t="s">
        <v>279</v>
      </c>
      <c r="CM40" s="49">
        <v>80</v>
      </c>
      <c r="CN40" s="49" t="s">
        <v>202</v>
      </c>
      <c r="CO40" s="49" t="s">
        <v>227</v>
      </c>
      <c r="CP40" s="48">
        <v>86</v>
      </c>
      <c r="CQ40" s="48" t="s">
        <v>202</v>
      </c>
      <c r="CR40" s="48" t="s">
        <v>257</v>
      </c>
      <c r="CS40" s="48">
        <v>82</v>
      </c>
      <c r="CT40" s="48" t="s">
        <v>202</v>
      </c>
      <c r="CU40" s="48" t="s">
        <v>280</v>
      </c>
      <c r="CV40" s="49">
        <v>90</v>
      </c>
      <c r="CW40" s="49" t="s">
        <v>213</v>
      </c>
      <c r="CX40" s="49" t="s">
        <v>254</v>
      </c>
      <c r="CY40" s="49">
        <v>86</v>
      </c>
      <c r="CZ40" s="49" t="s">
        <v>202</v>
      </c>
      <c r="DA40" s="49" t="s">
        <v>231</v>
      </c>
      <c r="DB40" s="9" t="str">
        <f>'Input Ekstra'!E36</f>
        <v>Pramuka</v>
      </c>
      <c r="DC40" s="9" t="str">
        <f>'Input Ekstra'!F36</f>
        <v>Baik</v>
      </c>
      <c r="DD40" s="9" t="str">
        <f>'Input Ekstra'!G36</f>
        <v>Peserta didik mampu menjelaskan hal-hal terkait survival dan implementasi Dasa Dharma di alam terbuka.</v>
      </c>
      <c r="DE40" s="9">
        <f>'Input Ekstra'!H36</f>
        <v>0</v>
      </c>
      <c r="DF40" s="9">
        <f>'Input Ekstra'!I36</f>
        <v>0</v>
      </c>
      <c r="DG40" s="9">
        <f>'Input Ekstra'!J36</f>
        <v>0</v>
      </c>
      <c r="DH40" s="9" t="str">
        <f>'Input Kehadiran'!E36</f>
        <v>-</v>
      </c>
      <c r="DI40" s="9" t="str">
        <f>'Input Kehadiran'!F36</f>
        <v>-</v>
      </c>
      <c r="DJ40" s="9" t="str">
        <f>'Input Kehadiran'!G36</f>
        <v>-</v>
      </c>
      <c r="DK40" s="8">
        <f>'Input Prestasi'!D37</f>
        <v>0</v>
      </c>
      <c r="DL40" s="8">
        <f>'Input Prestasi'!E37</f>
        <v>0</v>
      </c>
      <c r="DM40" s="8">
        <f>'Input Prestasi'!F37</f>
        <v>0</v>
      </c>
      <c r="DN40" s="8">
        <f>'Input Prestasi'!G37</f>
        <v>0</v>
      </c>
      <c r="DO40" s="8">
        <f>'Input Prestasi'!H37</f>
        <v>0</v>
      </c>
      <c r="DP40" s="8">
        <f>'Input Prestasi'!I37</f>
        <v>0</v>
      </c>
      <c r="DQ40" s="8">
        <f>'Input Prestasi'!J37</f>
        <v>0</v>
      </c>
      <c r="DR40" s="8">
        <f>'Input Prestasi'!K37</f>
        <v>0</v>
      </c>
      <c r="DS40" s="9" t="str">
        <f>'Input Nilai Sikap dan Catatan'!H35</f>
        <v>Peserta didik sudah menunjukkan sikap mengamalkan ajaran agamanya, konsisten menerapkan sikap santun, jujur, dan mandiri. Tingkatkan rasa ingin tahu dan sikap baik di dalam maupun di luar pembelajaran.</v>
      </c>
    </row>
    <row r="41" spans="1:123">
      <c r="A41" s="44">
        <v>33</v>
      </c>
      <c r="B41" s="45" t="str">
        <f>IF(Setting!J38="","",Setting!J38)</f>
        <v/>
      </c>
      <c r="C41" s="46" t="str">
        <f>IF(Setting!K38="","",Setting!K38)</f>
        <v/>
      </c>
      <c r="D41" s="46" t="str">
        <f>IF(Setting!L38="","",Setting!L38)</f>
        <v/>
      </c>
      <c r="E41" s="9" t="str">
        <f>IF(Setting!$E$11="","",Setting!$E$11)</f>
        <v>X.MIPA 4</v>
      </c>
      <c r="F41" s="9">
        <f>'Input Nilai Sikap dan Catatan'!D36</f>
        <v>0</v>
      </c>
      <c r="G41" s="9">
        <f>'Input Nilai Sikap dan Catatan'!E36</f>
        <v>0</v>
      </c>
      <c r="H41" s="9">
        <f>'Input Nilai Sikap dan Catatan'!F36</f>
        <v>0</v>
      </c>
      <c r="I41" s="9">
        <f>'Input Nilai Sikap dan Catatan'!G36</f>
        <v>0</v>
      </c>
      <c r="J41" s="48"/>
      <c r="K41" s="48"/>
      <c r="L41" s="48"/>
      <c r="M41" s="48"/>
      <c r="N41" s="48"/>
      <c r="O41" s="48"/>
      <c r="P41" s="49" t="s">
        <v>304</v>
      </c>
      <c r="Q41" s="49" t="s">
        <v>304</v>
      </c>
      <c r="R41" s="49" t="s">
        <v>304</v>
      </c>
      <c r="S41" s="49" t="s">
        <v>304</v>
      </c>
      <c r="T41" s="49" t="s">
        <v>304</v>
      </c>
      <c r="U41" s="49" t="s">
        <v>304</v>
      </c>
      <c r="V41" s="50" t="s">
        <v>304</v>
      </c>
      <c r="W41" s="51" t="s">
        <v>304</v>
      </c>
      <c r="X41" s="52" t="s">
        <v>304</v>
      </c>
      <c r="Y41" s="50" t="s">
        <v>304</v>
      </c>
      <c r="Z41" s="51" t="s">
        <v>304</v>
      </c>
      <c r="AA41" s="53" t="s">
        <v>304</v>
      </c>
      <c r="AB41" s="49" t="s">
        <v>304</v>
      </c>
      <c r="AC41" s="49" t="s">
        <v>304</v>
      </c>
      <c r="AD41" s="49" t="s">
        <v>304</v>
      </c>
      <c r="AE41" s="49" t="s">
        <v>304</v>
      </c>
      <c r="AF41" s="49" t="s">
        <v>304</v>
      </c>
      <c r="AG41" s="49" t="s">
        <v>304</v>
      </c>
      <c r="AH41" s="48" t="s">
        <v>304</v>
      </c>
      <c r="AI41" s="48" t="s">
        <v>304</v>
      </c>
      <c r="AJ41" s="48" t="s">
        <v>304</v>
      </c>
      <c r="AK41" s="48" t="s">
        <v>304</v>
      </c>
      <c r="AL41" s="48" t="s">
        <v>304</v>
      </c>
      <c r="AM41" s="48" t="s">
        <v>304</v>
      </c>
      <c r="AN41" s="49" t="s">
        <v>304</v>
      </c>
      <c r="AO41" s="49" t="s">
        <v>304</v>
      </c>
      <c r="AP41" s="49" t="s">
        <v>304</v>
      </c>
      <c r="AQ41" s="49" t="s">
        <v>304</v>
      </c>
      <c r="AR41" s="49" t="s">
        <v>304</v>
      </c>
      <c r="AS41" s="49" t="s">
        <v>304</v>
      </c>
      <c r="AT41" s="48" t="s">
        <v>304</v>
      </c>
      <c r="AU41" s="48" t="s">
        <v>304</v>
      </c>
      <c r="AV41" s="48" t="s">
        <v>304</v>
      </c>
      <c r="AW41" s="48" t="s">
        <v>304</v>
      </c>
      <c r="AX41" s="48" t="s">
        <v>304</v>
      </c>
      <c r="AY41" s="48" t="s">
        <v>304</v>
      </c>
      <c r="AZ41" s="49" t="s">
        <v>304</v>
      </c>
      <c r="BA41" s="49" t="s">
        <v>304</v>
      </c>
      <c r="BB41" s="49" t="s">
        <v>304</v>
      </c>
      <c r="BC41" s="49" t="s">
        <v>304</v>
      </c>
      <c r="BD41" s="49" t="s">
        <v>304</v>
      </c>
      <c r="BE41" s="49" t="s">
        <v>304</v>
      </c>
      <c r="BF41" s="48" t="s">
        <v>304</v>
      </c>
      <c r="BG41" s="48" t="s">
        <v>304</v>
      </c>
      <c r="BH41" s="48" t="s">
        <v>304</v>
      </c>
      <c r="BI41" s="48" t="s">
        <v>304</v>
      </c>
      <c r="BJ41" s="48" t="s">
        <v>304</v>
      </c>
      <c r="BK41" s="48" t="s">
        <v>304</v>
      </c>
      <c r="BL41" s="49" t="s">
        <v>304</v>
      </c>
      <c r="BM41" s="49" t="s">
        <v>304</v>
      </c>
      <c r="BN41" s="49" t="s">
        <v>304</v>
      </c>
      <c r="BO41" s="49" t="s">
        <v>304</v>
      </c>
      <c r="BP41" s="49" t="s">
        <v>304</v>
      </c>
      <c r="BQ41" s="49" t="s">
        <v>304</v>
      </c>
      <c r="BR41" s="48" t="s">
        <v>304</v>
      </c>
      <c r="BS41" s="48" t="s">
        <v>304</v>
      </c>
      <c r="BT41" s="48" t="s">
        <v>304</v>
      </c>
      <c r="BU41" s="48" t="s">
        <v>304</v>
      </c>
      <c r="BV41" s="48" t="s">
        <v>304</v>
      </c>
      <c r="BW41" s="48" t="s">
        <v>304</v>
      </c>
      <c r="BX41" s="49" t="s">
        <v>304</v>
      </c>
      <c r="BY41" s="49" t="s">
        <v>304</v>
      </c>
      <c r="BZ41" s="49" t="s">
        <v>304</v>
      </c>
      <c r="CA41" s="49" t="s">
        <v>304</v>
      </c>
      <c r="CB41" s="49" t="s">
        <v>304</v>
      </c>
      <c r="CC41" s="49" t="s">
        <v>304</v>
      </c>
      <c r="CD41" s="48" t="s">
        <v>304</v>
      </c>
      <c r="CE41" s="48" t="s">
        <v>304</v>
      </c>
      <c r="CF41" s="48" t="s">
        <v>304</v>
      </c>
      <c r="CG41" s="48" t="s">
        <v>304</v>
      </c>
      <c r="CH41" s="48" t="s">
        <v>304</v>
      </c>
      <c r="CI41" s="48" t="s">
        <v>304</v>
      </c>
      <c r="CJ41" s="49" t="s">
        <v>304</v>
      </c>
      <c r="CK41" s="49" t="s">
        <v>304</v>
      </c>
      <c r="CL41" s="49" t="s">
        <v>304</v>
      </c>
      <c r="CM41" s="49" t="s">
        <v>304</v>
      </c>
      <c r="CN41" s="49" t="s">
        <v>304</v>
      </c>
      <c r="CO41" s="49" t="s">
        <v>304</v>
      </c>
      <c r="CP41" s="48"/>
      <c r="CQ41" s="48"/>
      <c r="CR41" s="48"/>
      <c r="CS41" s="48"/>
      <c r="CT41" s="48"/>
      <c r="CU41" s="48"/>
      <c r="CV41" s="49" t="s">
        <v>304</v>
      </c>
      <c r="CW41" s="49" t="s">
        <v>304</v>
      </c>
      <c r="CX41" s="49" t="s">
        <v>304</v>
      </c>
      <c r="CY41" s="49" t="s">
        <v>304</v>
      </c>
      <c r="CZ41" s="49" t="s">
        <v>304</v>
      </c>
      <c r="DA41" s="49" t="s">
        <v>304</v>
      </c>
      <c r="DB41" s="9">
        <f>'Input Ekstra'!E37</f>
        <v>0</v>
      </c>
      <c r="DC41" s="9">
        <f>'Input Ekstra'!F37</f>
        <v>0</v>
      </c>
      <c r="DD41" s="9">
        <f>'Input Ekstra'!G37</f>
        <v>0</v>
      </c>
      <c r="DE41" s="9">
        <f>'Input Ekstra'!H37</f>
        <v>0</v>
      </c>
      <c r="DF41" s="9">
        <f>'Input Ekstra'!I37</f>
        <v>0</v>
      </c>
      <c r="DG41" s="9">
        <f>'Input Ekstra'!J37</f>
        <v>0</v>
      </c>
      <c r="DH41" s="9">
        <f>'Input Kehadiran'!E37</f>
        <v>0</v>
      </c>
      <c r="DI41" s="9">
        <f>'Input Kehadiran'!F37</f>
        <v>0</v>
      </c>
      <c r="DJ41" s="9">
        <f>'Input Kehadiran'!G37</f>
        <v>0</v>
      </c>
      <c r="DK41" s="8">
        <f>'Input Prestasi'!D38</f>
        <v>0</v>
      </c>
      <c r="DL41" s="8">
        <f>'Input Prestasi'!E38</f>
        <v>0</v>
      </c>
      <c r="DM41" s="8">
        <f>'Input Prestasi'!F38</f>
        <v>0</v>
      </c>
      <c r="DN41" s="8">
        <f>'Input Prestasi'!G38</f>
        <v>0</v>
      </c>
      <c r="DO41" s="8">
        <f>'Input Prestasi'!H38</f>
        <v>0</v>
      </c>
      <c r="DP41" s="8">
        <f>'Input Prestasi'!I38</f>
        <v>0</v>
      </c>
      <c r="DQ41" s="8">
        <f>'Input Prestasi'!J38</f>
        <v>0</v>
      </c>
      <c r="DR41" s="8">
        <f>'Input Prestasi'!K38</f>
        <v>0</v>
      </c>
      <c r="DS41" s="9">
        <f>'Input Nilai Sikap dan Catatan'!H36</f>
        <v>0</v>
      </c>
    </row>
    <row r="42" spans="1:123">
      <c r="A42" s="44">
        <v>34</v>
      </c>
      <c r="B42" s="45" t="str">
        <f>IF(Setting!J39="","",Setting!J39)</f>
        <v/>
      </c>
      <c r="C42" s="46" t="str">
        <f>IF(Setting!K39="","",Setting!K39)</f>
        <v/>
      </c>
      <c r="D42" s="46" t="str">
        <f>IF(Setting!L39="","",Setting!L39)</f>
        <v/>
      </c>
      <c r="E42" s="9" t="str">
        <f>IF(Setting!$E$11="","",Setting!$E$11)</f>
        <v>X.MIPA 4</v>
      </c>
      <c r="F42" s="9">
        <f>'Input Nilai Sikap dan Catatan'!D37</f>
        <v>0</v>
      </c>
      <c r="G42" s="9">
        <f>'Input Nilai Sikap dan Catatan'!E37</f>
        <v>0</v>
      </c>
      <c r="H42" s="9">
        <f>'Input Nilai Sikap dan Catatan'!F37</f>
        <v>0</v>
      </c>
      <c r="I42" s="9">
        <f>'Input Nilai Sikap dan Catatan'!G37</f>
        <v>0</v>
      </c>
      <c r="J42" s="48"/>
      <c r="K42" s="48"/>
      <c r="L42" s="48"/>
      <c r="M42" s="48"/>
      <c r="N42" s="48"/>
      <c r="O42" s="48"/>
      <c r="P42" s="49" t="s">
        <v>304</v>
      </c>
      <c r="Q42" s="49" t="s">
        <v>304</v>
      </c>
      <c r="R42" s="49" t="s">
        <v>304</v>
      </c>
      <c r="S42" s="49" t="s">
        <v>304</v>
      </c>
      <c r="T42" s="49" t="s">
        <v>304</v>
      </c>
      <c r="U42" s="49" t="s">
        <v>304</v>
      </c>
      <c r="V42" s="50" t="s">
        <v>304</v>
      </c>
      <c r="W42" s="51" t="s">
        <v>304</v>
      </c>
      <c r="X42" s="52" t="s">
        <v>304</v>
      </c>
      <c r="Y42" s="50" t="s">
        <v>304</v>
      </c>
      <c r="Z42" s="51" t="s">
        <v>304</v>
      </c>
      <c r="AA42" s="53" t="s">
        <v>304</v>
      </c>
      <c r="AB42" s="49" t="s">
        <v>304</v>
      </c>
      <c r="AC42" s="49" t="s">
        <v>304</v>
      </c>
      <c r="AD42" s="49" t="s">
        <v>304</v>
      </c>
      <c r="AE42" s="49" t="s">
        <v>304</v>
      </c>
      <c r="AF42" s="49" t="s">
        <v>304</v>
      </c>
      <c r="AG42" s="49" t="s">
        <v>304</v>
      </c>
      <c r="AH42" s="48" t="s">
        <v>304</v>
      </c>
      <c r="AI42" s="48" t="s">
        <v>304</v>
      </c>
      <c r="AJ42" s="48" t="s">
        <v>304</v>
      </c>
      <c r="AK42" s="48" t="s">
        <v>304</v>
      </c>
      <c r="AL42" s="48" t="s">
        <v>304</v>
      </c>
      <c r="AM42" s="48" t="s">
        <v>304</v>
      </c>
      <c r="AN42" s="49" t="s">
        <v>304</v>
      </c>
      <c r="AO42" s="49" t="s">
        <v>304</v>
      </c>
      <c r="AP42" s="49" t="s">
        <v>304</v>
      </c>
      <c r="AQ42" s="49" t="s">
        <v>304</v>
      </c>
      <c r="AR42" s="49" t="s">
        <v>304</v>
      </c>
      <c r="AS42" s="49" t="s">
        <v>304</v>
      </c>
      <c r="AT42" s="48" t="s">
        <v>304</v>
      </c>
      <c r="AU42" s="48" t="s">
        <v>304</v>
      </c>
      <c r="AV42" s="48" t="s">
        <v>304</v>
      </c>
      <c r="AW42" s="48" t="s">
        <v>304</v>
      </c>
      <c r="AX42" s="48" t="s">
        <v>304</v>
      </c>
      <c r="AY42" s="48" t="s">
        <v>304</v>
      </c>
      <c r="AZ42" s="49" t="s">
        <v>304</v>
      </c>
      <c r="BA42" s="49" t="s">
        <v>304</v>
      </c>
      <c r="BB42" s="49" t="s">
        <v>304</v>
      </c>
      <c r="BC42" s="49" t="s">
        <v>304</v>
      </c>
      <c r="BD42" s="49" t="s">
        <v>304</v>
      </c>
      <c r="BE42" s="49" t="s">
        <v>304</v>
      </c>
      <c r="BF42" s="48" t="s">
        <v>304</v>
      </c>
      <c r="BG42" s="48" t="s">
        <v>304</v>
      </c>
      <c r="BH42" s="48" t="s">
        <v>304</v>
      </c>
      <c r="BI42" s="48" t="s">
        <v>304</v>
      </c>
      <c r="BJ42" s="48" t="s">
        <v>304</v>
      </c>
      <c r="BK42" s="48" t="s">
        <v>304</v>
      </c>
      <c r="BL42" s="49" t="s">
        <v>304</v>
      </c>
      <c r="BM42" s="49" t="s">
        <v>304</v>
      </c>
      <c r="BN42" s="49" t="s">
        <v>304</v>
      </c>
      <c r="BO42" s="49" t="s">
        <v>304</v>
      </c>
      <c r="BP42" s="49" t="s">
        <v>304</v>
      </c>
      <c r="BQ42" s="49" t="s">
        <v>304</v>
      </c>
      <c r="BR42" s="48" t="s">
        <v>304</v>
      </c>
      <c r="BS42" s="48" t="s">
        <v>304</v>
      </c>
      <c r="BT42" s="48" t="s">
        <v>304</v>
      </c>
      <c r="BU42" s="48" t="s">
        <v>304</v>
      </c>
      <c r="BV42" s="48" t="s">
        <v>304</v>
      </c>
      <c r="BW42" s="48" t="s">
        <v>304</v>
      </c>
      <c r="BX42" s="49" t="s">
        <v>304</v>
      </c>
      <c r="BY42" s="49" t="s">
        <v>304</v>
      </c>
      <c r="BZ42" s="49" t="s">
        <v>304</v>
      </c>
      <c r="CA42" s="49" t="s">
        <v>304</v>
      </c>
      <c r="CB42" s="49" t="s">
        <v>304</v>
      </c>
      <c r="CC42" s="49" t="s">
        <v>304</v>
      </c>
      <c r="CD42" s="48" t="s">
        <v>304</v>
      </c>
      <c r="CE42" s="48" t="s">
        <v>304</v>
      </c>
      <c r="CF42" s="48" t="s">
        <v>304</v>
      </c>
      <c r="CG42" s="48" t="s">
        <v>304</v>
      </c>
      <c r="CH42" s="48" t="s">
        <v>304</v>
      </c>
      <c r="CI42" s="48" t="s">
        <v>304</v>
      </c>
      <c r="CJ42" s="49" t="s">
        <v>304</v>
      </c>
      <c r="CK42" s="49" t="s">
        <v>304</v>
      </c>
      <c r="CL42" s="49" t="s">
        <v>304</v>
      </c>
      <c r="CM42" s="49" t="s">
        <v>304</v>
      </c>
      <c r="CN42" s="49" t="s">
        <v>304</v>
      </c>
      <c r="CO42" s="49" t="s">
        <v>304</v>
      </c>
      <c r="CP42" s="48"/>
      <c r="CQ42" s="48"/>
      <c r="CR42" s="48"/>
      <c r="CS42" s="48"/>
      <c r="CT42" s="48"/>
      <c r="CU42" s="48"/>
      <c r="CV42" s="49" t="s">
        <v>304</v>
      </c>
      <c r="CW42" s="49" t="s">
        <v>304</v>
      </c>
      <c r="CX42" s="49" t="s">
        <v>304</v>
      </c>
      <c r="CY42" s="49" t="s">
        <v>304</v>
      </c>
      <c r="CZ42" s="49" t="s">
        <v>304</v>
      </c>
      <c r="DA42" s="49" t="s">
        <v>304</v>
      </c>
      <c r="DB42" s="9">
        <f>'Input Ekstra'!E38</f>
        <v>0</v>
      </c>
      <c r="DC42" s="9">
        <f>'Input Ekstra'!F38</f>
        <v>0</v>
      </c>
      <c r="DD42" s="9">
        <f>'Input Ekstra'!G38</f>
        <v>0</v>
      </c>
      <c r="DE42" s="9">
        <f>'Input Ekstra'!H38</f>
        <v>0</v>
      </c>
      <c r="DF42" s="9">
        <f>'Input Ekstra'!I38</f>
        <v>0</v>
      </c>
      <c r="DG42" s="9">
        <f>'Input Ekstra'!J38</f>
        <v>0</v>
      </c>
      <c r="DH42" s="9">
        <f>'Input Kehadiran'!E38</f>
        <v>0</v>
      </c>
      <c r="DI42" s="9">
        <f>'Input Kehadiran'!F38</f>
        <v>0</v>
      </c>
      <c r="DJ42" s="9">
        <f>'Input Kehadiran'!G38</f>
        <v>0</v>
      </c>
      <c r="DK42" s="8">
        <f>'Input Prestasi'!D39</f>
        <v>0</v>
      </c>
      <c r="DL42" s="8">
        <f>'Input Prestasi'!E39</f>
        <v>0</v>
      </c>
      <c r="DM42" s="8">
        <f>'Input Prestasi'!F39</f>
        <v>0</v>
      </c>
      <c r="DN42" s="8">
        <f>'Input Prestasi'!G39</f>
        <v>0</v>
      </c>
      <c r="DO42" s="8">
        <f>'Input Prestasi'!H39</f>
        <v>0</v>
      </c>
      <c r="DP42" s="8">
        <f>'Input Prestasi'!I39</f>
        <v>0</v>
      </c>
      <c r="DQ42" s="8">
        <f>'Input Prestasi'!J39</f>
        <v>0</v>
      </c>
      <c r="DR42" s="8">
        <f>'Input Prestasi'!K39</f>
        <v>0</v>
      </c>
      <c r="DS42" s="9">
        <f>'Input Nilai Sikap dan Catatan'!H37</f>
        <v>0</v>
      </c>
    </row>
    <row r="43" spans="1:123">
      <c r="A43" s="44">
        <v>35</v>
      </c>
      <c r="B43" s="45" t="str">
        <f>IF(Setting!J40="","",Setting!J40)</f>
        <v/>
      </c>
      <c r="C43" s="46" t="str">
        <f>IF(Setting!K40="","",Setting!K40)</f>
        <v/>
      </c>
      <c r="D43" s="46" t="str">
        <f>IF(Setting!L40="","",Setting!L40)</f>
        <v/>
      </c>
      <c r="E43" s="9" t="str">
        <f>IF(Setting!$E$11="","",Setting!$E$11)</f>
        <v>X.MIPA 4</v>
      </c>
      <c r="F43" s="9">
        <f>'Input Nilai Sikap dan Catatan'!D38</f>
        <v>0</v>
      </c>
      <c r="G43" s="9">
        <f>'Input Nilai Sikap dan Catatan'!E38</f>
        <v>0</v>
      </c>
      <c r="H43" s="9">
        <f>'Input Nilai Sikap dan Catatan'!F38</f>
        <v>0</v>
      </c>
      <c r="I43" s="9">
        <f>'Input Nilai Sikap dan Catatan'!G38</f>
        <v>0</v>
      </c>
      <c r="J43" s="48"/>
      <c r="K43" s="48"/>
      <c r="L43" s="48"/>
      <c r="M43" s="48"/>
      <c r="N43" s="48"/>
      <c r="O43" s="48"/>
      <c r="P43" s="49" t="s">
        <v>304</v>
      </c>
      <c r="Q43" s="49" t="s">
        <v>304</v>
      </c>
      <c r="R43" s="49" t="s">
        <v>304</v>
      </c>
      <c r="S43" s="49" t="s">
        <v>304</v>
      </c>
      <c r="T43" s="49" t="s">
        <v>304</v>
      </c>
      <c r="U43" s="49" t="s">
        <v>304</v>
      </c>
      <c r="V43" s="50" t="s">
        <v>304</v>
      </c>
      <c r="W43" s="51" t="s">
        <v>304</v>
      </c>
      <c r="X43" s="52" t="s">
        <v>304</v>
      </c>
      <c r="Y43" s="50" t="s">
        <v>304</v>
      </c>
      <c r="Z43" s="51" t="s">
        <v>304</v>
      </c>
      <c r="AA43" s="53" t="s">
        <v>304</v>
      </c>
      <c r="AB43" s="49" t="s">
        <v>304</v>
      </c>
      <c r="AC43" s="49" t="s">
        <v>304</v>
      </c>
      <c r="AD43" s="49" t="s">
        <v>304</v>
      </c>
      <c r="AE43" s="49" t="s">
        <v>304</v>
      </c>
      <c r="AF43" s="49" t="s">
        <v>304</v>
      </c>
      <c r="AG43" s="49" t="s">
        <v>304</v>
      </c>
      <c r="AH43" s="48" t="s">
        <v>304</v>
      </c>
      <c r="AI43" s="48" t="s">
        <v>304</v>
      </c>
      <c r="AJ43" s="48" t="s">
        <v>304</v>
      </c>
      <c r="AK43" s="48" t="s">
        <v>304</v>
      </c>
      <c r="AL43" s="48" t="s">
        <v>304</v>
      </c>
      <c r="AM43" s="48" t="s">
        <v>304</v>
      </c>
      <c r="AN43" s="49" t="s">
        <v>304</v>
      </c>
      <c r="AO43" s="49" t="s">
        <v>304</v>
      </c>
      <c r="AP43" s="49" t="s">
        <v>304</v>
      </c>
      <c r="AQ43" s="49" t="s">
        <v>304</v>
      </c>
      <c r="AR43" s="49" t="s">
        <v>304</v>
      </c>
      <c r="AS43" s="49" t="s">
        <v>304</v>
      </c>
      <c r="AT43" s="48" t="s">
        <v>304</v>
      </c>
      <c r="AU43" s="48" t="s">
        <v>304</v>
      </c>
      <c r="AV43" s="48" t="s">
        <v>304</v>
      </c>
      <c r="AW43" s="48" t="s">
        <v>304</v>
      </c>
      <c r="AX43" s="48" t="s">
        <v>304</v>
      </c>
      <c r="AY43" s="48" t="s">
        <v>304</v>
      </c>
      <c r="AZ43" s="49" t="s">
        <v>304</v>
      </c>
      <c r="BA43" s="49" t="s">
        <v>304</v>
      </c>
      <c r="BB43" s="49" t="s">
        <v>304</v>
      </c>
      <c r="BC43" s="49" t="s">
        <v>304</v>
      </c>
      <c r="BD43" s="49" t="s">
        <v>304</v>
      </c>
      <c r="BE43" s="49" t="s">
        <v>304</v>
      </c>
      <c r="BF43" s="48" t="s">
        <v>304</v>
      </c>
      <c r="BG43" s="48" t="s">
        <v>304</v>
      </c>
      <c r="BH43" s="48" t="s">
        <v>304</v>
      </c>
      <c r="BI43" s="48" t="s">
        <v>304</v>
      </c>
      <c r="BJ43" s="48" t="s">
        <v>304</v>
      </c>
      <c r="BK43" s="48" t="s">
        <v>304</v>
      </c>
      <c r="BL43" s="49" t="s">
        <v>304</v>
      </c>
      <c r="BM43" s="49" t="s">
        <v>304</v>
      </c>
      <c r="BN43" s="49" t="s">
        <v>304</v>
      </c>
      <c r="BO43" s="49" t="s">
        <v>304</v>
      </c>
      <c r="BP43" s="49" t="s">
        <v>304</v>
      </c>
      <c r="BQ43" s="49" t="s">
        <v>304</v>
      </c>
      <c r="BR43" s="48" t="s">
        <v>304</v>
      </c>
      <c r="BS43" s="48" t="s">
        <v>304</v>
      </c>
      <c r="BT43" s="48" t="s">
        <v>304</v>
      </c>
      <c r="BU43" s="48" t="s">
        <v>304</v>
      </c>
      <c r="BV43" s="48" t="s">
        <v>304</v>
      </c>
      <c r="BW43" s="48" t="s">
        <v>304</v>
      </c>
      <c r="BX43" s="49" t="s">
        <v>304</v>
      </c>
      <c r="BY43" s="49" t="s">
        <v>304</v>
      </c>
      <c r="BZ43" s="49" t="s">
        <v>304</v>
      </c>
      <c r="CA43" s="49" t="s">
        <v>304</v>
      </c>
      <c r="CB43" s="49" t="s">
        <v>304</v>
      </c>
      <c r="CC43" s="49" t="s">
        <v>304</v>
      </c>
      <c r="CD43" s="48" t="s">
        <v>304</v>
      </c>
      <c r="CE43" s="48" t="s">
        <v>304</v>
      </c>
      <c r="CF43" s="48" t="s">
        <v>304</v>
      </c>
      <c r="CG43" s="48" t="s">
        <v>304</v>
      </c>
      <c r="CH43" s="48" t="s">
        <v>304</v>
      </c>
      <c r="CI43" s="48" t="s">
        <v>304</v>
      </c>
      <c r="CJ43" s="49" t="s">
        <v>304</v>
      </c>
      <c r="CK43" s="49" t="s">
        <v>304</v>
      </c>
      <c r="CL43" s="49" t="s">
        <v>304</v>
      </c>
      <c r="CM43" s="49" t="s">
        <v>304</v>
      </c>
      <c r="CN43" s="49" t="s">
        <v>304</v>
      </c>
      <c r="CO43" s="49" t="s">
        <v>304</v>
      </c>
      <c r="CP43" s="48"/>
      <c r="CQ43" s="48"/>
      <c r="CR43" s="48"/>
      <c r="CS43" s="48"/>
      <c r="CT43" s="48"/>
      <c r="CU43" s="48"/>
      <c r="CV43" s="49" t="s">
        <v>304</v>
      </c>
      <c r="CW43" s="49" t="s">
        <v>304</v>
      </c>
      <c r="CX43" s="49" t="s">
        <v>304</v>
      </c>
      <c r="CY43" s="49" t="s">
        <v>304</v>
      </c>
      <c r="CZ43" s="49" t="s">
        <v>304</v>
      </c>
      <c r="DA43" s="49" t="s">
        <v>304</v>
      </c>
      <c r="DB43" s="9">
        <f>'Input Ekstra'!E39</f>
        <v>0</v>
      </c>
      <c r="DC43" s="9">
        <f>'Input Ekstra'!F39</f>
        <v>0</v>
      </c>
      <c r="DD43" s="9">
        <f>'Input Ekstra'!G39</f>
        <v>0</v>
      </c>
      <c r="DE43" s="9">
        <f>'Input Ekstra'!H39</f>
        <v>0</v>
      </c>
      <c r="DF43" s="9">
        <f>'Input Ekstra'!I39</f>
        <v>0</v>
      </c>
      <c r="DG43" s="9">
        <f>'Input Ekstra'!J39</f>
        <v>0</v>
      </c>
      <c r="DH43" s="9">
        <f>'Input Kehadiran'!E39</f>
        <v>0</v>
      </c>
      <c r="DI43" s="9">
        <f>'Input Kehadiran'!F39</f>
        <v>0</v>
      </c>
      <c r="DJ43" s="9">
        <f>'Input Kehadiran'!G39</f>
        <v>0</v>
      </c>
      <c r="DK43" s="8">
        <f>'Input Prestasi'!D40</f>
        <v>0</v>
      </c>
      <c r="DL43" s="8">
        <f>'Input Prestasi'!E40</f>
        <v>0</v>
      </c>
      <c r="DM43" s="8">
        <f>'Input Prestasi'!F40</f>
        <v>0</v>
      </c>
      <c r="DN43" s="8">
        <f>'Input Prestasi'!G40</f>
        <v>0</v>
      </c>
      <c r="DO43" s="8">
        <f>'Input Prestasi'!H40</f>
        <v>0</v>
      </c>
      <c r="DP43" s="8">
        <f>'Input Prestasi'!I40</f>
        <v>0</v>
      </c>
      <c r="DQ43" s="8">
        <f>'Input Prestasi'!J40</f>
        <v>0</v>
      </c>
      <c r="DR43" s="8">
        <f>'Input Prestasi'!K40</f>
        <v>0</v>
      </c>
      <c r="DS43" s="9">
        <f>'Input Nilai Sikap dan Catatan'!H38</f>
        <v>0</v>
      </c>
    </row>
    <row r="44" spans="1:123">
      <c r="A44" s="44">
        <v>36</v>
      </c>
      <c r="B44" s="45" t="str">
        <f>IF(Setting!J41="","",Setting!J41)</f>
        <v/>
      </c>
      <c r="C44" s="46" t="str">
        <f>IF(Setting!K41="","",Setting!K41)</f>
        <v/>
      </c>
      <c r="D44" s="46" t="str">
        <f>IF(Setting!L41="","",Setting!L41)</f>
        <v/>
      </c>
      <c r="E44" s="9" t="str">
        <f>IF(Setting!$E$11="","",Setting!$E$11)</f>
        <v>X.MIPA 4</v>
      </c>
      <c r="F44" s="9">
        <f>'Input Nilai Sikap dan Catatan'!D39</f>
        <v>0</v>
      </c>
      <c r="G44" s="9">
        <f>'Input Nilai Sikap dan Catatan'!E39</f>
        <v>0</v>
      </c>
      <c r="H44" s="9">
        <f>'Input Nilai Sikap dan Catatan'!F39</f>
        <v>0</v>
      </c>
      <c r="I44" s="9">
        <f>'Input Nilai Sikap dan Catatan'!G39</f>
        <v>0</v>
      </c>
      <c r="J44" s="48"/>
      <c r="K44" s="48"/>
      <c r="L44" s="48"/>
      <c r="M44" s="48"/>
      <c r="N44" s="48"/>
      <c r="O44" s="48"/>
      <c r="P44" s="49"/>
      <c r="Q44" s="49"/>
      <c r="R44" s="49"/>
      <c r="S44" s="49"/>
      <c r="T44" s="49"/>
      <c r="U44" s="49"/>
      <c r="V44" s="48"/>
      <c r="W44" s="48"/>
      <c r="X44" s="48"/>
      <c r="Y44" s="48"/>
      <c r="Z44" s="48"/>
      <c r="AA44" s="48"/>
      <c r="AB44" s="49"/>
      <c r="AC44" s="49"/>
      <c r="AD44" s="49"/>
      <c r="AE44" s="49"/>
      <c r="AF44" s="49"/>
      <c r="AG44" s="49"/>
      <c r="AH44" s="48"/>
      <c r="AI44" s="48"/>
      <c r="AJ44" s="48"/>
      <c r="AK44" s="48"/>
      <c r="AL44" s="48"/>
      <c r="AM44" s="48"/>
      <c r="AN44" s="49"/>
      <c r="AO44" s="49"/>
      <c r="AP44" s="49"/>
      <c r="AQ44" s="49"/>
      <c r="AR44" s="49"/>
      <c r="AS44" s="49"/>
      <c r="AT44" s="48"/>
      <c r="AU44" s="48"/>
      <c r="AV44" s="48"/>
      <c r="AW44" s="48"/>
      <c r="AX44" s="48"/>
      <c r="AY44" s="48"/>
      <c r="AZ44" s="49"/>
      <c r="BA44" s="49"/>
      <c r="BB44" s="49"/>
      <c r="BC44" s="49"/>
      <c r="BD44" s="49"/>
      <c r="BE44" s="49"/>
      <c r="BF44" s="48"/>
      <c r="BG44" s="48"/>
      <c r="BH44" s="48"/>
      <c r="BI44" s="48"/>
      <c r="BJ44" s="48"/>
      <c r="BK44" s="48"/>
      <c r="BL44" s="49"/>
      <c r="BM44" s="49"/>
      <c r="BN44" s="49"/>
      <c r="BO44" s="49"/>
      <c r="BP44" s="49"/>
      <c r="BQ44" s="49"/>
      <c r="BR44" s="48"/>
      <c r="BS44" s="48"/>
      <c r="BT44" s="48"/>
      <c r="BU44" s="48"/>
      <c r="BV44" s="48"/>
      <c r="BW44" s="48"/>
      <c r="BX44" s="49"/>
      <c r="BY44" s="49"/>
      <c r="BZ44" s="49"/>
      <c r="CA44" s="49"/>
      <c r="CB44" s="49"/>
      <c r="CC44" s="49"/>
      <c r="CD44" s="48" t="s">
        <v>304</v>
      </c>
      <c r="CE44" s="48" t="s">
        <v>304</v>
      </c>
      <c r="CF44" s="48" t="s">
        <v>304</v>
      </c>
      <c r="CG44" s="48" t="s">
        <v>304</v>
      </c>
      <c r="CH44" s="48" t="s">
        <v>304</v>
      </c>
      <c r="CI44" s="48" t="s">
        <v>304</v>
      </c>
      <c r="CJ44" s="49"/>
      <c r="CK44" s="49"/>
      <c r="CL44" s="49"/>
      <c r="CM44" s="49"/>
      <c r="CN44" s="49"/>
      <c r="CO44" s="49"/>
      <c r="CP44" s="48"/>
      <c r="CQ44" s="48"/>
      <c r="CR44" s="48"/>
      <c r="CS44" s="48"/>
      <c r="CT44" s="48"/>
      <c r="CU44" s="48"/>
      <c r="CV44" s="49"/>
      <c r="CW44" s="49"/>
      <c r="CX44" s="49"/>
      <c r="CY44" s="49"/>
      <c r="CZ44" s="49"/>
      <c r="DA44" s="49"/>
      <c r="DB44" s="9">
        <f>'Input Ekstra'!E40</f>
        <v>0</v>
      </c>
      <c r="DC44" s="9">
        <f>'Input Ekstra'!F40</f>
        <v>0</v>
      </c>
      <c r="DD44" s="9">
        <f>'Input Ekstra'!G40</f>
        <v>0</v>
      </c>
      <c r="DE44" s="9">
        <f>'Input Ekstra'!H40</f>
        <v>0</v>
      </c>
      <c r="DF44" s="9">
        <f>'Input Ekstra'!I40</f>
        <v>0</v>
      </c>
      <c r="DG44" s="9">
        <f>'Input Ekstra'!J40</f>
        <v>0</v>
      </c>
      <c r="DH44" s="9">
        <f>'Input Kehadiran'!E40</f>
        <v>0</v>
      </c>
      <c r="DI44" s="9">
        <f>'Input Kehadiran'!F40</f>
        <v>0</v>
      </c>
      <c r="DJ44" s="9">
        <f>'Input Kehadiran'!G40</f>
        <v>0</v>
      </c>
      <c r="DK44" s="8">
        <f>'Input Prestasi'!D41</f>
        <v>0</v>
      </c>
      <c r="DL44" s="8">
        <f>'Input Prestasi'!E41</f>
        <v>0</v>
      </c>
      <c r="DM44" s="8">
        <f>'Input Prestasi'!F41</f>
        <v>0</v>
      </c>
      <c r="DN44" s="8">
        <f>'Input Prestasi'!G41</f>
        <v>0</v>
      </c>
      <c r="DO44" s="8">
        <f>'Input Prestasi'!H41</f>
        <v>0</v>
      </c>
      <c r="DP44" s="8">
        <f>'Input Prestasi'!I41</f>
        <v>0</v>
      </c>
      <c r="DQ44" s="8">
        <f>'Input Prestasi'!J41</f>
        <v>0</v>
      </c>
      <c r="DR44" s="8">
        <f>'Input Prestasi'!K41</f>
        <v>0</v>
      </c>
      <c r="DS44" s="9">
        <f>'Input Nilai Sikap dan Catatan'!H39</f>
        <v>0</v>
      </c>
    </row>
    <row r="45" spans="1:123">
      <c r="A45" s="44">
        <v>37</v>
      </c>
      <c r="B45" s="45" t="str">
        <f>IF(Setting!J42="","",Setting!J42)</f>
        <v/>
      </c>
      <c r="C45" s="46" t="str">
        <f>IF(Setting!K42="","",Setting!K42)</f>
        <v/>
      </c>
      <c r="D45" s="46" t="str">
        <f>IF(Setting!L42="","",Setting!L42)</f>
        <v/>
      </c>
      <c r="E45" s="9" t="str">
        <f>IF(Setting!$E$11="","",Setting!$E$11)</f>
        <v>X.MIPA 4</v>
      </c>
      <c r="F45" s="9">
        <f>'Input Nilai Sikap dan Catatan'!D40</f>
        <v>0</v>
      </c>
      <c r="G45" s="9">
        <f>'Input Nilai Sikap dan Catatan'!E40</f>
        <v>0</v>
      </c>
      <c r="H45" s="9">
        <f>'Input Nilai Sikap dan Catatan'!F40</f>
        <v>0</v>
      </c>
      <c r="I45" s="9">
        <f>'Input Nilai Sikap dan Catatan'!G40</f>
        <v>0</v>
      </c>
      <c r="J45" s="48"/>
      <c r="K45" s="48"/>
      <c r="L45" s="48"/>
      <c r="M45" s="48"/>
      <c r="N45" s="48"/>
      <c r="O45" s="48"/>
      <c r="P45" s="49"/>
      <c r="Q45" s="49"/>
      <c r="R45" s="49"/>
      <c r="S45" s="49"/>
      <c r="T45" s="49"/>
      <c r="U45" s="49"/>
      <c r="V45" s="48"/>
      <c r="W45" s="48"/>
      <c r="X45" s="48"/>
      <c r="Y45" s="48"/>
      <c r="Z45" s="48"/>
      <c r="AA45" s="48"/>
      <c r="AB45" s="49"/>
      <c r="AC45" s="49"/>
      <c r="AD45" s="49"/>
      <c r="AE45" s="49"/>
      <c r="AF45" s="49"/>
      <c r="AG45" s="49"/>
      <c r="AH45" s="48"/>
      <c r="AI45" s="48"/>
      <c r="AJ45" s="48"/>
      <c r="AK45" s="48"/>
      <c r="AL45" s="48"/>
      <c r="AM45" s="48"/>
      <c r="AN45" s="49"/>
      <c r="AO45" s="49"/>
      <c r="AP45" s="49"/>
      <c r="AQ45" s="49"/>
      <c r="AR45" s="49"/>
      <c r="AS45" s="49"/>
      <c r="AT45" s="48"/>
      <c r="AU45" s="48"/>
      <c r="AV45" s="48"/>
      <c r="AW45" s="48"/>
      <c r="AX45" s="48"/>
      <c r="AY45" s="48"/>
      <c r="AZ45" s="49"/>
      <c r="BA45" s="49"/>
      <c r="BB45" s="49"/>
      <c r="BC45" s="49"/>
      <c r="BD45" s="49"/>
      <c r="BE45" s="49"/>
      <c r="BF45" s="48"/>
      <c r="BG45" s="48"/>
      <c r="BH45" s="48"/>
      <c r="BI45" s="48"/>
      <c r="BJ45" s="48"/>
      <c r="BK45" s="48"/>
      <c r="BL45" s="49"/>
      <c r="BM45" s="49"/>
      <c r="BN45" s="49"/>
      <c r="BO45" s="49"/>
      <c r="BP45" s="49"/>
      <c r="BQ45" s="49"/>
      <c r="BR45" s="48"/>
      <c r="BS45" s="48"/>
      <c r="BT45" s="48"/>
      <c r="BU45" s="48"/>
      <c r="BV45" s="48"/>
      <c r="BW45" s="48"/>
      <c r="BX45" s="49"/>
      <c r="BY45" s="49"/>
      <c r="BZ45" s="49"/>
      <c r="CA45" s="49"/>
      <c r="CB45" s="49"/>
      <c r="CC45" s="49"/>
      <c r="CD45" s="48"/>
      <c r="CE45" s="48"/>
      <c r="CF45" s="48"/>
      <c r="CG45" s="48"/>
      <c r="CH45" s="48"/>
      <c r="CI45" s="48"/>
      <c r="CJ45" s="49"/>
      <c r="CK45" s="49"/>
      <c r="CL45" s="49"/>
      <c r="CM45" s="49"/>
      <c r="CN45" s="49"/>
      <c r="CO45" s="49"/>
      <c r="CP45" s="48"/>
      <c r="CQ45" s="48"/>
      <c r="CR45" s="48"/>
      <c r="CS45" s="48"/>
      <c r="CT45" s="48"/>
      <c r="CU45" s="48"/>
      <c r="CV45" s="49"/>
      <c r="CW45" s="49"/>
      <c r="CX45" s="49"/>
      <c r="CY45" s="49"/>
      <c r="CZ45" s="49"/>
      <c r="DA45" s="49"/>
      <c r="DB45" s="9">
        <f>'Input Ekstra'!E41</f>
        <v>0</v>
      </c>
      <c r="DC45" s="9">
        <f>'Input Ekstra'!F41</f>
        <v>0</v>
      </c>
      <c r="DD45" s="9">
        <f>'Input Ekstra'!G41</f>
        <v>0</v>
      </c>
      <c r="DE45" s="9">
        <f>'Input Ekstra'!H41</f>
        <v>0</v>
      </c>
      <c r="DF45" s="9">
        <f>'Input Ekstra'!I41</f>
        <v>0</v>
      </c>
      <c r="DG45" s="9">
        <f>'Input Ekstra'!J41</f>
        <v>0</v>
      </c>
      <c r="DH45" s="9">
        <f>'Input Kehadiran'!E41</f>
        <v>0</v>
      </c>
      <c r="DI45" s="9">
        <f>'Input Kehadiran'!F41</f>
        <v>0</v>
      </c>
      <c r="DJ45" s="9">
        <f>'Input Kehadiran'!G41</f>
        <v>0</v>
      </c>
      <c r="DK45" s="8">
        <f>'Input Prestasi'!D42</f>
        <v>0</v>
      </c>
      <c r="DL45" s="8">
        <f>'Input Prestasi'!E42</f>
        <v>0</v>
      </c>
      <c r="DM45" s="8">
        <f>'Input Prestasi'!F42</f>
        <v>0</v>
      </c>
      <c r="DN45" s="8">
        <f>'Input Prestasi'!G42</f>
        <v>0</v>
      </c>
      <c r="DO45" s="8">
        <f>'Input Prestasi'!H42</f>
        <v>0</v>
      </c>
      <c r="DP45" s="8">
        <f>'Input Prestasi'!I42</f>
        <v>0</v>
      </c>
      <c r="DQ45" s="8">
        <f>'Input Prestasi'!J42</f>
        <v>0</v>
      </c>
      <c r="DR45" s="8">
        <f>'Input Prestasi'!K42</f>
        <v>0</v>
      </c>
      <c r="DS45" s="9">
        <f>'Input Nilai Sikap dan Catatan'!H40</f>
        <v>0</v>
      </c>
    </row>
    <row r="46" spans="1:123">
      <c r="A46" s="44">
        <v>38</v>
      </c>
      <c r="B46" s="45" t="str">
        <f>IF(Setting!J43="","",Setting!J43)</f>
        <v/>
      </c>
      <c r="C46" s="46" t="str">
        <f>IF(Setting!K43="","",Setting!K43)</f>
        <v/>
      </c>
      <c r="D46" s="46" t="str">
        <f>IF(Setting!L43="","",Setting!L43)</f>
        <v/>
      </c>
      <c r="E46" s="9" t="str">
        <f>IF(Setting!$E$11="","",Setting!$E$11)</f>
        <v>X.MIPA 4</v>
      </c>
      <c r="F46" s="9">
        <f>'Input Nilai Sikap dan Catatan'!D41</f>
        <v>0</v>
      </c>
      <c r="G46" s="9">
        <f>'Input Nilai Sikap dan Catatan'!E41</f>
        <v>0</v>
      </c>
      <c r="H46" s="9">
        <f>'Input Nilai Sikap dan Catatan'!F41</f>
        <v>0</v>
      </c>
      <c r="I46" s="9">
        <f>'Input Nilai Sikap dan Catatan'!G41</f>
        <v>0</v>
      </c>
      <c r="J46" s="48"/>
      <c r="K46" s="48"/>
      <c r="L46" s="48"/>
      <c r="M46" s="48"/>
      <c r="N46" s="48"/>
      <c r="O46" s="48"/>
      <c r="P46" s="49"/>
      <c r="Q46" s="49"/>
      <c r="R46" s="49"/>
      <c r="S46" s="49"/>
      <c r="T46" s="49"/>
      <c r="U46" s="49"/>
      <c r="V46" s="48"/>
      <c r="W46" s="48"/>
      <c r="X46" s="48"/>
      <c r="Y46" s="48"/>
      <c r="Z46" s="48"/>
      <c r="AA46" s="48"/>
      <c r="AB46" s="49"/>
      <c r="AC46" s="49"/>
      <c r="AD46" s="49"/>
      <c r="AE46" s="49"/>
      <c r="AF46" s="49"/>
      <c r="AG46" s="49"/>
      <c r="AH46" s="48"/>
      <c r="AI46" s="48"/>
      <c r="AJ46" s="48"/>
      <c r="AK46" s="48"/>
      <c r="AL46" s="48"/>
      <c r="AM46" s="48"/>
      <c r="AN46" s="49"/>
      <c r="AO46" s="49"/>
      <c r="AP46" s="49"/>
      <c r="AQ46" s="49"/>
      <c r="AR46" s="49"/>
      <c r="AS46" s="49"/>
      <c r="AT46" s="48"/>
      <c r="AU46" s="48"/>
      <c r="AV46" s="48"/>
      <c r="AW46" s="48"/>
      <c r="AX46" s="48"/>
      <c r="AY46" s="48"/>
      <c r="AZ46" s="49"/>
      <c r="BA46" s="49"/>
      <c r="BB46" s="49"/>
      <c r="BC46" s="49"/>
      <c r="BD46" s="49"/>
      <c r="BE46" s="49"/>
      <c r="BF46" s="48"/>
      <c r="BG46" s="48"/>
      <c r="BH46" s="48"/>
      <c r="BI46" s="48"/>
      <c r="BJ46" s="48"/>
      <c r="BK46" s="48"/>
      <c r="BL46" s="49"/>
      <c r="BM46" s="49"/>
      <c r="BN46" s="49"/>
      <c r="BO46" s="49"/>
      <c r="BP46" s="49"/>
      <c r="BQ46" s="49"/>
      <c r="BR46" s="48"/>
      <c r="BS46" s="48"/>
      <c r="BT46" s="48"/>
      <c r="BU46" s="48"/>
      <c r="BV46" s="48"/>
      <c r="BW46" s="48"/>
      <c r="BX46" s="49"/>
      <c r="BY46" s="49"/>
      <c r="BZ46" s="49"/>
      <c r="CA46" s="49"/>
      <c r="CB46" s="49"/>
      <c r="CC46" s="49"/>
      <c r="CD46" s="48"/>
      <c r="CE46" s="48"/>
      <c r="CF46" s="48"/>
      <c r="CG46" s="48"/>
      <c r="CH46" s="48"/>
      <c r="CI46" s="48"/>
      <c r="CJ46" s="49"/>
      <c r="CK46" s="49"/>
      <c r="CL46" s="49"/>
      <c r="CM46" s="49"/>
      <c r="CN46" s="49"/>
      <c r="CO46" s="49"/>
      <c r="CP46" s="48"/>
      <c r="CQ46" s="48"/>
      <c r="CR46" s="48"/>
      <c r="CS46" s="48"/>
      <c r="CT46" s="48"/>
      <c r="CU46" s="48"/>
      <c r="CV46" s="49"/>
      <c r="CW46" s="49"/>
      <c r="CX46" s="49"/>
      <c r="CY46" s="49"/>
      <c r="CZ46" s="49"/>
      <c r="DA46" s="49"/>
      <c r="DB46" s="9">
        <f>'Input Ekstra'!E42</f>
        <v>0</v>
      </c>
      <c r="DC46" s="9">
        <f>'Input Ekstra'!F42</f>
        <v>0</v>
      </c>
      <c r="DD46" s="9">
        <f>'Input Ekstra'!G42</f>
        <v>0</v>
      </c>
      <c r="DE46" s="9">
        <f>'Input Ekstra'!H42</f>
        <v>0</v>
      </c>
      <c r="DF46" s="9">
        <f>'Input Ekstra'!I42</f>
        <v>0</v>
      </c>
      <c r="DG46" s="9">
        <f>'Input Ekstra'!J42</f>
        <v>0</v>
      </c>
      <c r="DH46" s="9">
        <f>'Input Kehadiran'!E42</f>
        <v>0</v>
      </c>
      <c r="DI46" s="9">
        <f>'Input Kehadiran'!F42</f>
        <v>0</v>
      </c>
      <c r="DJ46" s="9">
        <f>'Input Kehadiran'!G42</f>
        <v>0</v>
      </c>
      <c r="DK46" s="8">
        <f>'Input Prestasi'!D43</f>
        <v>0</v>
      </c>
      <c r="DL46" s="8">
        <f>'Input Prestasi'!E43</f>
        <v>0</v>
      </c>
      <c r="DM46" s="8">
        <f>'Input Prestasi'!F43</f>
        <v>0</v>
      </c>
      <c r="DN46" s="8">
        <f>'Input Prestasi'!G43</f>
        <v>0</v>
      </c>
      <c r="DO46" s="8">
        <f>'Input Prestasi'!H43</f>
        <v>0</v>
      </c>
      <c r="DP46" s="8">
        <f>'Input Prestasi'!I43</f>
        <v>0</v>
      </c>
      <c r="DQ46" s="8">
        <f>'Input Prestasi'!J43</f>
        <v>0</v>
      </c>
      <c r="DR46" s="8">
        <f>'Input Prestasi'!K43</f>
        <v>0</v>
      </c>
      <c r="DS46" s="9">
        <f>'Input Nilai Sikap dan Catatan'!H41</f>
        <v>0</v>
      </c>
    </row>
    <row r="47" spans="1:123">
      <c r="A47" s="44">
        <v>39</v>
      </c>
      <c r="B47" s="45" t="str">
        <f>IF(Setting!J44="","",Setting!J44)</f>
        <v/>
      </c>
      <c r="C47" s="46" t="str">
        <f>IF(Setting!K44="","",Setting!K44)</f>
        <v/>
      </c>
      <c r="D47" s="46" t="str">
        <f>IF(Setting!L44="","",Setting!L44)</f>
        <v/>
      </c>
      <c r="E47" s="9" t="str">
        <f>IF(Setting!$E$11="","",Setting!$E$11)</f>
        <v>X.MIPA 4</v>
      </c>
      <c r="F47" s="9">
        <f>'Input Nilai Sikap dan Catatan'!D42</f>
        <v>0</v>
      </c>
      <c r="G47" s="9">
        <f>'Input Nilai Sikap dan Catatan'!E42</f>
        <v>0</v>
      </c>
      <c r="H47" s="9">
        <f>'Input Nilai Sikap dan Catatan'!F42</f>
        <v>0</v>
      </c>
      <c r="I47" s="9">
        <f>'Input Nilai Sikap dan Catatan'!G42</f>
        <v>0</v>
      </c>
      <c r="J47" s="48"/>
      <c r="K47" s="48"/>
      <c r="L47" s="48"/>
      <c r="M47" s="48"/>
      <c r="N47" s="48"/>
      <c r="O47" s="48"/>
      <c r="P47" s="49"/>
      <c r="Q47" s="49"/>
      <c r="R47" s="49"/>
      <c r="S47" s="49"/>
      <c r="T47" s="49"/>
      <c r="U47" s="49"/>
      <c r="V47" s="48"/>
      <c r="W47" s="48"/>
      <c r="X47" s="48"/>
      <c r="Y47" s="48"/>
      <c r="Z47" s="48"/>
      <c r="AA47" s="48"/>
      <c r="AB47" s="49"/>
      <c r="AC47" s="49"/>
      <c r="AD47" s="49"/>
      <c r="AE47" s="49"/>
      <c r="AF47" s="49"/>
      <c r="AG47" s="49"/>
      <c r="AH47" s="48"/>
      <c r="AI47" s="48"/>
      <c r="AJ47" s="48"/>
      <c r="AK47" s="48"/>
      <c r="AL47" s="48"/>
      <c r="AM47" s="48"/>
      <c r="AN47" s="49"/>
      <c r="AO47" s="49"/>
      <c r="AP47" s="49"/>
      <c r="AQ47" s="49"/>
      <c r="AR47" s="49"/>
      <c r="AS47" s="49"/>
      <c r="AT47" s="48"/>
      <c r="AU47" s="48"/>
      <c r="AV47" s="48"/>
      <c r="AW47" s="48"/>
      <c r="AX47" s="48"/>
      <c r="AY47" s="48"/>
      <c r="AZ47" s="49"/>
      <c r="BA47" s="49"/>
      <c r="BB47" s="49"/>
      <c r="BC47" s="49"/>
      <c r="BD47" s="49"/>
      <c r="BE47" s="49"/>
      <c r="BF47" s="48"/>
      <c r="BG47" s="48"/>
      <c r="BH47" s="48"/>
      <c r="BI47" s="48"/>
      <c r="BJ47" s="48"/>
      <c r="BK47" s="48"/>
      <c r="BL47" s="49"/>
      <c r="BM47" s="49"/>
      <c r="BN47" s="49"/>
      <c r="BO47" s="49"/>
      <c r="BP47" s="49"/>
      <c r="BQ47" s="49"/>
      <c r="BR47" s="48"/>
      <c r="BS47" s="48"/>
      <c r="BT47" s="48"/>
      <c r="BU47" s="48"/>
      <c r="BV47" s="48"/>
      <c r="BW47" s="48"/>
      <c r="BX47" s="49"/>
      <c r="BY47" s="49"/>
      <c r="BZ47" s="49"/>
      <c r="CA47" s="49"/>
      <c r="CB47" s="49"/>
      <c r="CC47" s="49"/>
      <c r="CD47" s="48"/>
      <c r="CE47" s="48"/>
      <c r="CF47" s="48"/>
      <c r="CG47" s="48"/>
      <c r="CH47" s="48"/>
      <c r="CI47" s="48"/>
      <c r="CJ47" s="49"/>
      <c r="CK47" s="49"/>
      <c r="CL47" s="49"/>
      <c r="CM47" s="49"/>
      <c r="CN47" s="49"/>
      <c r="CO47" s="49"/>
      <c r="CP47" s="48"/>
      <c r="CQ47" s="48"/>
      <c r="CR47" s="48"/>
      <c r="CS47" s="48"/>
      <c r="CT47" s="48"/>
      <c r="CU47" s="48"/>
      <c r="CV47" s="49"/>
      <c r="CW47" s="49"/>
      <c r="CX47" s="49"/>
      <c r="CY47" s="49"/>
      <c r="CZ47" s="49"/>
      <c r="DA47" s="49"/>
      <c r="DB47" s="9">
        <f>'Input Ekstra'!E43</f>
        <v>0</v>
      </c>
      <c r="DC47" s="9">
        <f>'Input Ekstra'!F43</f>
        <v>0</v>
      </c>
      <c r="DD47" s="9">
        <f>'Input Ekstra'!G43</f>
        <v>0</v>
      </c>
      <c r="DE47" s="9">
        <f>'Input Ekstra'!H43</f>
        <v>0</v>
      </c>
      <c r="DF47" s="9">
        <f>'Input Ekstra'!I43</f>
        <v>0</v>
      </c>
      <c r="DG47" s="9">
        <f>'Input Ekstra'!J43</f>
        <v>0</v>
      </c>
      <c r="DH47" s="9">
        <f>'Input Kehadiran'!E43</f>
        <v>0</v>
      </c>
      <c r="DI47" s="9">
        <f>'Input Kehadiran'!F43</f>
        <v>0</v>
      </c>
      <c r="DJ47" s="9">
        <f>'Input Kehadiran'!G43</f>
        <v>0</v>
      </c>
      <c r="DK47" s="8">
        <f>'Input Prestasi'!D44</f>
        <v>0</v>
      </c>
      <c r="DL47" s="8">
        <f>'Input Prestasi'!E44</f>
        <v>0</v>
      </c>
      <c r="DM47" s="8">
        <f>'Input Prestasi'!F44</f>
        <v>0</v>
      </c>
      <c r="DN47" s="8">
        <f>'Input Prestasi'!G44</f>
        <v>0</v>
      </c>
      <c r="DO47" s="8">
        <f>'Input Prestasi'!H44</f>
        <v>0</v>
      </c>
      <c r="DP47" s="8">
        <f>'Input Prestasi'!I44</f>
        <v>0</v>
      </c>
      <c r="DQ47" s="8">
        <f>'Input Prestasi'!J44</f>
        <v>0</v>
      </c>
      <c r="DR47" s="8">
        <f>'Input Prestasi'!K44</f>
        <v>0</v>
      </c>
      <c r="DS47" s="9">
        <f>'Input Nilai Sikap dan Catatan'!H42</f>
        <v>0</v>
      </c>
    </row>
    <row r="48" spans="1:123">
      <c r="A48" s="44">
        <v>40</v>
      </c>
      <c r="B48" s="45" t="str">
        <f>IF(Setting!J45="","",Setting!J45)</f>
        <v/>
      </c>
      <c r="C48" s="46" t="str">
        <f>IF(Setting!K45="","",Setting!K45)</f>
        <v/>
      </c>
      <c r="D48" s="46" t="str">
        <f>IF(Setting!L45="","",Setting!L45)</f>
        <v/>
      </c>
      <c r="E48" s="9" t="str">
        <f>IF(Setting!$E$11="","",Setting!$E$11)</f>
        <v>X.MIPA 4</v>
      </c>
      <c r="F48" s="9">
        <f>'Input Nilai Sikap dan Catatan'!D43</f>
        <v>0</v>
      </c>
      <c r="G48" s="9">
        <f>'Input Nilai Sikap dan Catatan'!E43</f>
        <v>0</v>
      </c>
      <c r="H48" s="9">
        <f>'Input Nilai Sikap dan Catatan'!F43</f>
        <v>0</v>
      </c>
      <c r="I48" s="9">
        <f>'Input Nilai Sikap dan Catatan'!G43</f>
        <v>0</v>
      </c>
      <c r="J48" s="48"/>
      <c r="K48" s="48"/>
      <c r="L48" s="48"/>
      <c r="M48" s="48"/>
      <c r="N48" s="48"/>
      <c r="O48" s="48"/>
      <c r="P48" s="49"/>
      <c r="Q48" s="49"/>
      <c r="R48" s="49"/>
      <c r="S48" s="49"/>
      <c r="T48" s="49"/>
      <c r="U48" s="49"/>
      <c r="V48" s="48"/>
      <c r="W48" s="48"/>
      <c r="X48" s="48"/>
      <c r="Y48" s="48"/>
      <c r="Z48" s="48"/>
      <c r="AA48" s="48"/>
      <c r="AB48" s="49"/>
      <c r="AC48" s="49"/>
      <c r="AD48" s="49"/>
      <c r="AE48" s="49"/>
      <c r="AF48" s="49"/>
      <c r="AG48" s="49"/>
      <c r="AH48" s="48"/>
      <c r="AI48" s="48"/>
      <c r="AJ48" s="48"/>
      <c r="AK48" s="48"/>
      <c r="AL48" s="48"/>
      <c r="AM48" s="48"/>
      <c r="AN48" s="49"/>
      <c r="AO48" s="49"/>
      <c r="AP48" s="49"/>
      <c r="AQ48" s="49"/>
      <c r="AR48" s="49"/>
      <c r="AS48" s="49"/>
      <c r="AT48" s="48"/>
      <c r="AU48" s="48"/>
      <c r="AV48" s="48"/>
      <c r="AW48" s="48"/>
      <c r="AX48" s="48"/>
      <c r="AY48" s="48"/>
      <c r="AZ48" s="49"/>
      <c r="BA48" s="49"/>
      <c r="BB48" s="49"/>
      <c r="BC48" s="49"/>
      <c r="BD48" s="49"/>
      <c r="BE48" s="49"/>
      <c r="BF48" s="48"/>
      <c r="BG48" s="48"/>
      <c r="BH48" s="48"/>
      <c r="BI48" s="48"/>
      <c r="BJ48" s="48"/>
      <c r="BK48" s="48"/>
      <c r="BL48" s="49"/>
      <c r="BM48" s="49"/>
      <c r="BN48" s="49"/>
      <c r="BO48" s="49"/>
      <c r="BP48" s="49"/>
      <c r="BQ48" s="49"/>
      <c r="BR48" s="48"/>
      <c r="BS48" s="48"/>
      <c r="BT48" s="48"/>
      <c r="BU48" s="48"/>
      <c r="BV48" s="48"/>
      <c r="BW48" s="48"/>
      <c r="BX48" s="49"/>
      <c r="BY48" s="49"/>
      <c r="BZ48" s="49"/>
      <c r="CA48" s="49"/>
      <c r="CB48" s="49"/>
      <c r="CC48" s="49"/>
      <c r="CD48" s="48"/>
      <c r="CE48" s="48"/>
      <c r="CF48" s="48"/>
      <c r="CG48" s="48"/>
      <c r="CH48" s="48"/>
      <c r="CI48" s="48"/>
      <c r="CJ48" s="49"/>
      <c r="CK48" s="49"/>
      <c r="CL48" s="49"/>
      <c r="CM48" s="49"/>
      <c r="CN48" s="49"/>
      <c r="CO48" s="49"/>
      <c r="CP48" s="48"/>
      <c r="CQ48" s="48"/>
      <c r="CR48" s="48"/>
      <c r="CS48" s="48"/>
      <c r="CT48" s="48"/>
      <c r="CU48" s="48"/>
      <c r="CV48" s="49"/>
      <c r="CW48" s="49"/>
      <c r="CX48" s="49"/>
      <c r="CY48" s="49"/>
      <c r="CZ48" s="49"/>
      <c r="DA48" s="49"/>
      <c r="DB48" s="9">
        <f>'Input Ekstra'!E44</f>
        <v>0</v>
      </c>
      <c r="DC48" s="9">
        <f>'Input Ekstra'!F44</f>
        <v>0</v>
      </c>
      <c r="DD48" s="9">
        <f>'Input Ekstra'!G44</f>
        <v>0</v>
      </c>
      <c r="DE48" s="9">
        <f>'Input Ekstra'!H44</f>
        <v>0</v>
      </c>
      <c r="DF48" s="9">
        <f>'Input Ekstra'!I44</f>
        <v>0</v>
      </c>
      <c r="DG48" s="9">
        <f>'Input Ekstra'!J44</f>
        <v>0</v>
      </c>
      <c r="DH48" s="9">
        <f>'Input Kehadiran'!E44</f>
        <v>0</v>
      </c>
      <c r="DI48" s="9">
        <f>'Input Kehadiran'!F44</f>
        <v>0</v>
      </c>
      <c r="DJ48" s="9">
        <f>'Input Kehadiran'!G44</f>
        <v>0</v>
      </c>
      <c r="DK48" s="8">
        <f>'Input Prestasi'!D45</f>
        <v>0</v>
      </c>
      <c r="DL48" s="8">
        <f>'Input Prestasi'!E45</f>
        <v>0</v>
      </c>
      <c r="DM48" s="8">
        <f>'Input Prestasi'!F45</f>
        <v>0</v>
      </c>
      <c r="DN48" s="8">
        <f>'Input Prestasi'!G45</f>
        <v>0</v>
      </c>
      <c r="DO48" s="8">
        <f>'Input Prestasi'!H45</f>
        <v>0</v>
      </c>
      <c r="DP48" s="8">
        <f>'Input Prestasi'!I45</f>
        <v>0</v>
      </c>
      <c r="DQ48" s="8">
        <f>'Input Prestasi'!J45</f>
        <v>0</v>
      </c>
      <c r="DR48" s="8">
        <f>'Input Prestasi'!K45</f>
        <v>0</v>
      </c>
      <c r="DS48" s="9">
        <f>'Input Nilai Sikap dan Catatan'!H43</f>
        <v>0</v>
      </c>
    </row>
    <row r="49" spans="2:2">
      <c r="B49" s="38"/>
    </row>
  </sheetData>
  <sheetProtection sheet="1" objects="1" scenarios="1" selectLockedCells="1"/>
  <mergeCells count="75">
    <mergeCell ref="DI6:DI7"/>
    <mergeCell ref="DJ6:DJ7"/>
    <mergeCell ref="DS4:DS7"/>
    <mergeCell ref="F4:I5"/>
    <mergeCell ref="DH4:DJ5"/>
    <mergeCell ref="DK4:DR5"/>
    <mergeCell ref="DB4:DG5"/>
    <mergeCell ref="CV6:CX6"/>
    <mergeCell ref="CY6:DA6"/>
    <mergeCell ref="DK6:DN6"/>
    <mergeCell ref="DO6:DR6"/>
    <mergeCell ref="DB6:DB7"/>
    <mergeCell ref="DC6:DC7"/>
    <mergeCell ref="DD6:DD7"/>
    <mergeCell ref="DE6:DE7"/>
    <mergeCell ref="DF6:DF7"/>
    <mergeCell ref="A4:A7"/>
    <mergeCell ref="B4:B7"/>
    <mergeCell ref="C4:C7"/>
    <mergeCell ref="D4:D7"/>
    <mergeCell ref="E4:E7"/>
    <mergeCell ref="DG6:DG7"/>
    <mergeCell ref="DH6:DH7"/>
    <mergeCell ref="CG6:CI6"/>
    <mergeCell ref="CJ6:CL6"/>
    <mergeCell ref="CM6:CO6"/>
    <mergeCell ref="CP6:CR6"/>
    <mergeCell ref="CS6:CU6"/>
    <mergeCell ref="BR6:BT6"/>
    <mergeCell ref="BU6:BW6"/>
    <mergeCell ref="BX6:BZ6"/>
    <mergeCell ref="CA6:CC6"/>
    <mergeCell ref="CD6:CF6"/>
    <mergeCell ref="BC6:BE6"/>
    <mergeCell ref="BF6:BH6"/>
    <mergeCell ref="BI6:BK6"/>
    <mergeCell ref="BL6:BN6"/>
    <mergeCell ref="BO6:BQ6"/>
    <mergeCell ref="AN6:AP6"/>
    <mergeCell ref="AQ6:AS6"/>
    <mergeCell ref="AT6:AV6"/>
    <mergeCell ref="AW6:AY6"/>
    <mergeCell ref="AZ6:BB6"/>
    <mergeCell ref="CD5:CI5"/>
    <mergeCell ref="CJ5:CO5"/>
    <mergeCell ref="CP5:CU5"/>
    <mergeCell ref="CV5:DA5"/>
    <mergeCell ref="F6:G6"/>
    <mergeCell ref="H6:I6"/>
    <mergeCell ref="J6:L6"/>
    <mergeCell ref="M6:O6"/>
    <mergeCell ref="P6:R6"/>
    <mergeCell ref="S6:U6"/>
    <mergeCell ref="V6:X6"/>
    <mergeCell ref="Y6:AA6"/>
    <mergeCell ref="AB6:AD6"/>
    <mergeCell ref="AE6:AG6"/>
    <mergeCell ref="AH6:AJ6"/>
    <mergeCell ref="AK6:AM6"/>
    <mergeCell ref="J4:AS4"/>
    <mergeCell ref="AT4:BQ4"/>
    <mergeCell ref="BR4:CO4"/>
    <mergeCell ref="CP4:DA4"/>
    <mergeCell ref="J5:O5"/>
    <mergeCell ref="P5:U5"/>
    <mergeCell ref="V5:AA5"/>
    <mergeCell ref="AB5:AG5"/>
    <mergeCell ref="AH5:AM5"/>
    <mergeCell ref="AN5:AS5"/>
    <mergeCell ref="AT5:AY5"/>
    <mergeCell ref="AZ5:BE5"/>
    <mergeCell ref="BF5:BK5"/>
    <mergeCell ref="BL5:BQ5"/>
    <mergeCell ref="BR5:BW5"/>
    <mergeCell ref="BX5:CC5"/>
  </mergeCells>
  <conditionalFormatting sqref="V9:V43">
    <cfRule type="cellIs" dxfId="3" priority="4" operator="lessThan">
      <formula>50</formula>
    </cfRule>
  </conditionalFormatting>
  <conditionalFormatting sqref="V9:V35">
    <cfRule type="cellIs" dxfId="2" priority="2" operator="lessThan">
      <formula>50</formula>
    </cfRule>
  </conditionalFormatting>
  <conditionalFormatting sqref="Y9:Y43">
    <cfRule type="cellIs" dxfId="1" priority="3" operator="lessThan">
      <formula>50</formula>
    </cfRule>
  </conditionalFormatting>
  <conditionalFormatting sqref="Y9:Y35">
    <cfRule type="cellIs" dxfId="0" priority="1" operator="lessThan">
      <formula>50</formula>
    </cfRule>
  </conditionalFormatting>
  <pageMargins left="0.7" right="0.7"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82"/>
  <sheetViews>
    <sheetView view="pageBreakPreview" zoomScale="80" zoomScaleNormal="100" zoomScaleSheetLayoutView="80" workbookViewId="0">
      <pane xSplit="1" ySplit="8" topLeftCell="B9" activePane="bottomRight" state="frozenSplit"/>
      <selection pane="topRight"/>
      <selection pane="bottomLeft"/>
      <selection pane="bottomRight"/>
    </sheetView>
  </sheetViews>
  <sheetFormatPr defaultColWidth="9.140625" defaultRowHeight="15"/>
  <cols>
    <col min="1" max="1" width="15.28515625" customWidth="1"/>
    <col min="2" max="2" width="5.140625" style="4" customWidth="1"/>
    <col min="3" max="3" width="18.7109375" customWidth="1"/>
    <col min="4" max="4" width="26.42578125" customWidth="1"/>
    <col min="5" max="5" width="58.42578125" customWidth="1"/>
    <col min="6" max="6" width="16.28515625" customWidth="1"/>
    <col min="7" max="7" width="7.5703125" customWidth="1"/>
    <col min="8" max="8" width="19.85546875" customWidth="1"/>
  </cols>
  <sheetData>
    <row r="1" spans="2:13" ht="51" customHeight="1"/>
    <row r="2" spans="2:13" ht="21">
      <c r="B2" s="290" t="s">
        <v>305</v>
      </c>
      <c r="C2" s="290"/>
      <c r="D2" s="290"/>
      <c r="E2" s="290"/>
      <c r="F2" s="290"/>
      <c r="G2" s="290"/>
      <c r="H2" s="290"/>
      <c r="I2" s="35"/>
      <c r="J2" s="35"/>
      <c r="K2" s="35"/>
      <c r="L2" s="35"/>
      <c r="M2" s="35"/>
    </row>
    <row r="3" spans="2:13" ht="21">
      <c r="B3" s="290" t="str">
        <f>"SEMESTER "&amp;[1]Home!M19&amp;""</f>
        <v>SEMESTER GENAP</v>
      </c>
      <c r="C3" s="290"/>
      <c r="D3" s="290"/>
      <c r="E3" s="290"/>
      <c r="F3" s="290"/>
      <c r="G3" s="290"/>
      <c r="H3" s="290"/>
      <c r="I3" s="35"/>
      <c r="J3" s="35"/>
      <c r="K3" s="35"/>
      <c r="L3" s="35"/>
      <c r="M3" s="35"/>
    </row>
    <row r="4" spans="2:13" ht="21">
      <c r="B4" s="290" t="str">
        <f>"TAHUN PELAJARAN "&amp;[1]Home!L17&amp;""</f>
        <v>TAHUN PELAJARAN 2015/2016</v>
      </c>
      <c r="C4" s="290"/>
      <c r="D4" s="290"/>
      <c r="E4" s="290"/>
      <c r="F4" s="290"/>
      <c r="G4" s="290"/>
      <c r="H4" s="290"/>
      <c r="I4" s="35"/>
      <c r="J4" s="35"/>
      <c r="K4" s="35"/>
      <c r="L4" s="35"/>
      <c r="M4" s="35"/>
    </row>
    <row r="5" spans="2:13">
      <c r="B5" s="25"/>
      <c r="C5" s="26"/>
      <c r="D5" s="26"/>
      <c r="E5" s="26"/>
      <c r="F5" s="26"/>
      <c r="G5" s="26"/>
      <c r="H5" s="26"/>
      <c r="I5" s="26"/>
      <c r="J5" s="26"/>
      <c r="K5" s="26"/>
      <c r="L5" s="26"/>
      <c r="M5" s="36"/>
    </row>
    <row r="6" spans="2:13">
      <c r="B6" s="27" t="s">
        <v>306</v>
      </c>
      <c r="C6" s="28"/>
      <c r="D6" s="29" t="str">
        <f>": "&amp;[1]Home!$L$15&amp;""</f>
        <v>: XII.MIPA Khawarizmi</v>
      </c>
      <c r="F6" s="33"/>
      <c r="G6" s="33"/>
      <c r="H6" s="26"/>
      <c r="I6" s="26"/>
      <c r="J6" s="26"/>
      <c r="K6" s="26"/>
      <c r="L6" s="26"/>
      <c r="M6" s="36"/>
    </row>
    <row r="8" spans="2:13">
      <c r="B8" s="30" t="s">
        <v>0</v>
      </c>
      <c r="C8" s="30" t="s">
        <v>307</v>
      </c>
      <c r="D8" s="30" t="s">
        <v>308</v>
      </c>
      <c r="E8" s="30" t="s">
        <v>309</v>
      </c>
      <c r="F8" s="30" t="s">
        <v>310</v>
      </c>
      <c r="G8" s="30" t="s">
        <v>311</v>
      </c>
      <c r="H8" s="30" t="s">
        <v>312</v>
      </c>
    </row>
    <row r="9" spans="2:13">
      <c r="B9" s="31">
        <v>1</v>
      </c>
      <c r="C9" s="32" t="s">
        <v>313</v>
      </c>
      <c r="D9" s="32" t="s">
        <v>314</v>
      </c>
      <c r="E9" s="34" t="s">
        <v>315</v>
      </c>
      <c r="F9" s="32" t="s">
        <v>316</v>
      </c>
      <c r="G9" s="32" t="s">
        <v>317</v>
      </c>
      <c r="H9" s="32" t="s">
        <v>318</v>
      </c>
    </row>
    <row r="10" spans="2:13">
      <c r="B10" s="31"/>
      <c r="C10" s="32"/>
      <c r="D10" s="32"/>
      <c r="E10" s="34"/>
      <c r="F10" s="32"/>
      <c r="G10" s="32"/>
      <c r="H10" s="32"/>
    </row>
    <row r="11" spans="2:13">
      <c r="B11" s="31"/>
      <c r="C11" s="32"/>
      <c r="D11" s="32"/>
      <c r="E11" s="34"/>
      <c r="F11" s="32"/>
      <c r="G11" s="32"/>
      <c r="H11" s="32"/>
    </row>
    <row r="12" spans="2:13">
      <c r="B12" s="31"/>
      <c r="C12" s="32"/>
      <c r="D12" s="32"/>
      <c r="E12" s="34"/>
      <c r="F12" s="32"/>
      <c r="G12" s="32"/>
      <c r="H12" s="32"/>
    </row>
    <row r="13" spans="2:13">
      <c r="B13" s="31"/>
      <c r="C13" s="32"/>
      <c r="D13" s="32"/>
      <c r="E13" s="34"/>
      <c r="F13" s="32"/>
      <c r="G13" s="32"/>
      <c r="H13" s="32"/>
    </row>
    <row r="14" spans="2:13">
      <c r="B14" s="31"/>
      <c r="C14" s="32"/>
      <c r="D14" s="32"/>
      <c r="E14" s="34"/>
      <c r="F14" s="32"/>
      <c r="G14" s="32"/>
      <c r="H14" s="32"/>
    </row>
    <row r="15" spans="2:13">
      <c r="B15" s="31"/>
      <c r="C15" s="32"/>
      <c r="D15" s="32"/>
      <c r="E15" s="34"/>
      <c r="F15" s="32"/>
      <c r="G15" s="32"/>
      <c r="H15" s="32"/>
    </row>
    <row r="16" spans="2:13">
      <c r="B16" s="31"/>
      <c r="C16" s="32"/>
      <c r="D16" s="32"/>
      <c r="E16" s="34"/>
      <c r="F16" s="32"/>
      <c r="G16" s="32"/>
      <c r="H16" s="32"/>
    </row>
    <row r="17" spans="2:8">
      <c r="B17" s="31"/>
      <c r="C17" s="32"/>
      <c r="D17" s="32"/>
      <c r="E17" s="34"/>
      <c r="F17" s="32"/>
      <c r="G17" s="32"/>
      <c r="H17" s="32"/>
    </row>
    <row r="18" spans="2:8">
      <c r="B18" s="31"/>
      <c r="C18" s="32"/>
      <c r="D18" s="32"/>
      <c r="E18" s="34"/>
      <c r="F18" s="32"/>
      <c r="G18" s="32"/>
      <c r="H18" s="32"/>
    </row>
    <row r="19" spans="2:8">
      <c r="B19" s="31"/>
      <c r="C19" s="32"/>
      <c r="D19" s="32"/>
      <c r="E19" s="34"/>
      <c r="F19" s="32"/>
      <c r="G19" s="32"/>
      <c r="H19" s="32"/>
    </row>
    <row r="20" spans="2:8">
      <c r="B20" s="31"/>
      <c r="C20" s="32"/>
      <c r="D20" s="32"/>
      <c r="E20" s="34"/>
      <c r="F20" s="32"/>
      <c r="G20" s="32"/>
      <c r="H20" s="32"/>
    </row>
    <row r="21" spans="2:8">
      <c r="B21" s="31"/>
      <c r="C21" s="32"/>
      <c r="D21" s="32"/>
      <c r="E21" s="34"/>
      <c r="F21" s="32"/>
      <c r="G21" s="32"/>
      <c r="H21" s="32"/>
    </row>
    <row r="22" spans="2:8">
      <c r="B22" s="31"/>
      <c r="C22" s="32"/>
      <c r="D22" s="32"/>
      <c r="E22" s="34"/>
      <c r="F22" s="32"/>
      <c r="G22" s="32"/>
      <c r="H22" s="32"/>
    </row>
    <row r="23" spans="2:8">
      <c r="B23" s="31"/>
      <c r="C23" s="32"/>
      <c r="D23" s="32"/>
      <c r="E23" s="34"/>
      <c r="F23" s="32"/>
      <c r="G23" s="32"/>
      <c r="H23" s="32"/>
    </row>
    <row r="24" spans="2:8">
      <c r="B24" s="31"/>
      <c r="C24" s="32"/>
      <c r="D24" s="32"/>
      <c r="E24" s="34"/>
      <c r="F24" s="32"/>
      <c r="G24" s="32"/>
      <c r="H24" s="32"/>
    </row>
    <row r="25" spans="2:8">
      <c r="B25" s="31"/>
      <c r="C25" s="32"/>
      <c r="D25" s="32"/>
      <c r="E25" s="34"/>
      <c r="F25" s="32"/>
      <c r="G25" s="32"/>
      <c r="H25" s="32"/>
    </row>
    <row r="26" spans="2:8">
      <c r="B26" s="31"/>
      <c r="C26" s="32"/>
      <c r="D26" s="32"/>
      <c r="E26" s="34"/>
      <c r="F26" s="32"/>
      <c r="G26" s="32"/>
      <c r="H26" s="32"/>
    </row>
    <row r="27" spans="2:8">
      <c r="B27" s="31"/>
      <c r="C27" s="32"/>
      <c r="D27" s="32"/>
      <c r="E27" s="34"/>
      <c r="F27" s="32"/>
      <c r="G27" s="32"/>
      <c r="H27" s="32"/>
    </row>
    <row r="28" spans="2:8">
      <c r="B28" s="31"/>
      <c r="C28" s="32"/>
      <c r="D28" s="32"/>
      <c r="E28" s="34"/>
      <c r="F28" s="32"/>
      <c r="G28" s="32"/>
      <c r="H28" s="32"/>
    </row>
    <row r="29" spans="2:8">
      <c r="B29" s="31"/>
      <c r="C29" s="32"/>
      <c r="D29" s="32"/>
      <c r="E29" s="34"/>
      <c r="F29" s="32"/>
      <c r="G29" s="32"/>
      <c r="H29" s="32"/>
    </row>
    <row r="30" spans="2:8">
      <c r="B30" s="31"/>
      <c r="C30" s="32"/>
      <c r="D30" s="32"/>
      <c r="E30" s="34"/>
      <c r="F30" s="32"/>
      <c r="G30" s="32"/>
      <c r="H30" s="32"/>
    </row>
    <row r="31" spans="2:8">
      <c r="B31" s="31"/>
      <c r="C31" s="32"/>
      <c r="D31" s="32"/>
      <c r="E31" s="34"/>
      <c r="F31" s="32"/>
      <c r="G31" s="32"/>
      <c r="H31" s="32"/>
    </row>
    <row r="32" spans="2:8">
      <c r="B32" s="31"/>
      <c r="C32" s="32"/>
      <c r="D32" s="32"/>
      <c r="E32" s="34"/>
      <c r="F32" s="32"/>
      <c r="G32" s="32"/>
      <c r="H32" s="32"/>
    </row>
    <row r="33" spans="2:8">
      <c r="B33" s="31"/>
      <c r="C33" s="32"/>
      <c r="D33" s="32"/>
      <c r="E33" s="34"/>
      <c r="F33" s="32"/>
      <c r="G33" s="32"/>
      <c r="H33" s="32"/>
    </row>
    <row r="34" spans="2:8">
      <c r="B34" s="31"/>
      <c r="C34" s="32"/>
      <c r="D34" s="32"/>
      <c r="E34" s="34"/>
      <c r="F34" s="32"/>
      <c r="G34" s="32"/>
      <c r="H34" s="32"/>
    </row>
    <row r="35" spans="2:8">
      <c r="B35" s="31"/>
      <c r="C35" s="32"/>
      <c r="D35" s="32"/>
      <c r="E35" s="34"/>
      <c r="F35" s="32"/>
      <c r="G35" s="32"/>
      <c r="H35" s="32"/>
    </row>
    <row r="36" spans="2:8">
      <c r="B36" s="31"/>
      <c r="C36" s="32"/>
      <c r="D36" s="32"/>
      <c r="E36" s="34"/>
      <c r="F36" s="32"/>
      <c r="G36" s="32"/>
      <c r="H36" s="32"/>
    </row>
    <row r="37" spans="2:8">
      <c r="B37" s="31"/>
      <c r="C37" s="32"/>
      <c r="D37" s="32"/>
      <c r="E37" s="34"/>
      <c r="F37" s="32"/>
      <c r="G37" s="32"/>
      <c r="H37" s="32"/>
    </row>
    <row r="38" spans="2:8">
      <c r="B38" s="31"/>
      <c r="C38" s="32"/>
      <c r="D38" s="32"/>
      <c r="E38" s="34"/>
      <c r="F38" s="32"/>
      <c r="G38" s="32"/>
      <c r="H38" s="32"/>
    </row>
    <row r="39" spans="2:8">
      <c r="B39" s="31"/>
      <c r="C39" s="32"/>
      <c r="D39" s="32"/>
      <c r="E39" s="34"/>
      <c r="F39" s="32"/>
      <c r="G39" s="32"/>
      <c r="H39" s="32"/>
    </row>
    <row r="40" spans="2:8">
      <c r="B40" s="31"/>
      <c r="C40" s="32"/>
      <c r="D40" s="32"/>
      <c r="E40" s="34"/>
      <c r="F40" s="32"/>
      <c r="G40" s="32"/>
      <c r="H40" s="32"/>
    </row>
    <row r="41" spans="2:8">
      <c r="B41" s="31"/>
      <c r="C41" s="32"/>
      <c r="D41" s="32"/>
      <c r="E41" s="34"/>
      <c r="F41" s="32"/>
      <c r="G41" s="32"/>
      <c r="H41" s="32"/>
    </row>
    <row r="42" spans="2:8">
      <c r="B42" s="31"/>
      <c r="C42" s="32"/>
      <c r="D42" s="32"/>
      <c r="E42" s="34"/>
      <c r="F42" s="32"/>
      <c r="G42" s="32"/>
      <c r="H42" s="32"/>
    </row>
    <row r="43" spans="2:8">
      <c r="B43" s="31"/>
      <c r="C43" s="32"/>
      <c r="D43" s="32"/>
      <c r="E43" s="34"/>
      <c r="F43" s="32"/>
      <c r="G43" s="32"/>
      <c r="H43" s="32"/>
    </row>
    <row r="44" spans="2:8">
      <c r="B44" s="31"/>
      <c r="C44" s="32"/>
      <c r="D44" s="32"/>
      <c r="E44" s="34"/>
      <c r="F44" s="32"/>
      <c r="G44" s="32"/>
      <c r="H44" s="32"/>
    </row>
    <row r="45" spans="2:8">
      <c r="B45" s="31"/>
      <c r="C45" s="32"/>
      <c r="D45" s="32"/>
      <c r="E45" s="34"/>
      <c r="F45" s="32"/>
      <c r="G45" s="32"/>
      <c r="H45" s="32"/>
    </row>
    <row r="46" spans="2:8">
      <c r="B46" s="31"/>
      <c r="C46" s="32"/>
      <c r="D46" s="32"/>
      <c r="E46" s="34"/>
      <c r="F46" s="32"/>
      <c r="G46" s="32"/>
      <c r="H46" s="32"/>
    </row>
    <row r="47" spans="2:8">
      <c r="B47" s="31"/>
      <c r="C47" s="32"/>
      <c r="D47" s="32"/>
      <c r="E47" s="34"/>
      <c r="F47" s="32"/>
      <c r="G47" s="32"/>
      <c r="H47" s="32"/>
    </row>
    <row r="48" spans="2:8">
      <c r="B48" s="31"/>
      <c r="C48" s="32"/>
      <c r="D48" s="32"/>
      <c r="E48" s="34"/>
      <c r="F48" s="32"/>
      <c r="G48" s="32"/>
      <c r="H48" s="32"/>
    </row>
    <row r="49" spans="2:8">
      <c r="B49" s="31"/>
      <c r="C49" s="32"/>
      <c r="D49" s="32"/>
      <c r="E49" s="34"/>
      <c r="F49" s="32"/>
      <c r="G49" s="32"/>
      <c r="H49" s="32"/>
    </row>
    <row r="50" spans="2:8">
      <c r="B50" s="31"/>
      <c r="C50" s="32"/>
      <c r="D50" s="32"/>
      <c r="E50" s="34"/>
      <c r="F50" s="32"/>
      <c r="G50" s="32"/>
      <c r="H50" s="32"/>
    </row>
    <row r="51" spans="2:8">
      <c r="B51" s="31"/>
      <c r="C51" s="32"/>
      <c r="D51" s="32"/>
      <c r="E51" s="34"/>
      <c r="F51" s="32"/>
      <c r="G51" s="32"/>
      <c r="H51" s="32"/>
    </row>
    <row r="52" spans="2:8">
      <c r="B52" s="31"/>
      <c r="C52" s="32"/>
      <c r="D52" s="32"/>
      <c r="E52" s="34"/>
      <c r="F52" s="32"/>
      <c r="G52" s="32"/>
      <c r="H52" s="32"/>
    </row>
    <row r="53" spans="2:8">
      <c r="B53" s="31"/>
      <c r="C53" s="32"/>
      <c r="D53" s="32"/>
      <c r="E53" s="34"/>
      <c r="F53" s="32"/>
      <c r="G53" s="32"/>
      <c r="H53" s="32"/>
    </row>
    <row r="54" spans="2:8">
      <c r="B54" s="31"/>
      <c r="C54" s="32"/>
      <c r="D54" s="32"/>
      <c r="E54" s="34"/>
      <c r="F54" s="32"/>
      <c r="G54" s="32"/>
      <c r="H54" s="32"/>
    </row>
    <row r="55" spans="2:8">
      <c r="B55" s="31"/>
      <c r="C55" s="32"/>
      <c r="D55" s="32"/>
      <c r="E55" s="34"/>
      <c r="F55" s="32"/>
      <c r="G55" s="32"/>
      <c r="H55" s="32"/>
    </row>
    <row r="56" spans="2:8">
      <c r="B56" s="31"/>
      <c r="C56" s="32"/>
      <c r="D56" s="32"/>
      <c r="E56" s="34"/>
      <c r="F56" s="32"/>
      <c r="G56" s="32"/>
      <c r="H56" s="32"/>
    </row>
    <row r="57" spans="2:8">
      <c r="B57" s="31"/>
      <c r="C57" s="32"/>
      <c r="D57" s="32"/>
      <c r="E57" s="34"/>
      <c r="F57" s="32"/>
      <c r="G57" s="32"/>
      <c r="H57" s="32"/>
    </row>
    <row r="58" spans="2:8">
      <c r="B58" s="31"/>
      <c r="C58" s="32"/>
      <c r="D58" s="32"/>
      <c r="E58" s="34"/>
      <c r="F58" s="32"/>
      <c r="G58" s="32"/>
      <c r="H58" s="32"/>
    </row>
    <row r="59" spans="2:8">
      <c r="B59" s="31"/>
      <c r="C59" s="32"/>
      <c r="D59" s="32"/>
      <c r="E59" s="34"/>
      <c r="F59" s="32"/>
      <c r="G59" s="32"/>
      <c r="H59" s="32"/>
    </row>
    <row r="60" spans="2:8">
      <c r="B60" s="31"/>
      <c r="C60" s="32"/>
      <c r="D60" s="32"/>
      <c r="E60" s="34"/>
      <c r="F60" s="32"/>
      <c r="G60" s="32"/>
      <c r="H60" s="32"/>
    </row>
    <row r="61" spans="2:8">
      <c r="B61" s="31"/>
      <c r="C61" s="32"/>
      <c r="D61" s="32"/>
      <c r="E61" s="34"/>
      <c r="F61" s="32"/>
      <c r="G61" s="32"/>
      <c r="H61" s="32"/>
    </row>
    <row r="62" spans="2:8">
      <c r="B62" s="31"/>
      <c r="C62" s="32"/>
      <c r="D62" s="32"/>
      <c r="E62" s="34"/>
      <c r="F62" s="32"/>
      <c r="G62" s="32"/>
      <c r="H62" s="32"/>
    </row>
    <row r="63" spans="2:8">
      <c r="B63" s="31"/>
      <c r="C63" s="32"/>
      <c r="D63" s="32"/>
      <c r="E63" s="34"/>
      <c r="F63" s="32"/>
      <c r="G63" s="32"/>
      <c r="H63" s="32"/>
    </row>
    <row r="64" spans="2:8">
      <c r="B64" s="31"/>
      <c r="C64" s="32"/>
      <c r="D64" s="32"/>
      <c r="E64" s="34"/>
      <c r="F64" s="32"/>
      <c r="G64" s="32"/>
      <c r="H64" s="32"/>
    </row>
    <row r="65" spans="2:12">
      <c r="B65" s="31"/>
      <c r="C65" s="32"/>
      <c r="D65" s="32"/>
      <c r="E65" s="34"/>
      <c r="F65" s="32"/>
      <c r="G65" s="32"/>
      <c r="H65" s="32"/>
    </row>
    <row r="66" spans="2:12">
      <c r="B66" s="31"/>
      <c r="C66" s="32"/>
      <c r="D66" s="32"/>
      <c r="E66" s="34"/>
      <c r="F66" s="32"/>
      <c r="G66" s="32"/>
      <c r="H66" s="32"/>
    </row>
    <row r="67" spans="2:12">
      <c r="B67" s="31"/>
      <c r="C67" s="32"/>
      <c r="D67" s="32"/>
      <c r="E67" s="34"/>
      <c r="F67" s="32"/>
      <c r="G67" s="32"/>
      <c r="H67" s="32"/>
    </row>
    <row r="68" spans="2:12">
      <c r="B68" s="31"/>
      <c r="C68" s="32"/>
      <c r="D68" s="32"/>
      <c r="E68" s="34"/>
      <c r="F68" s="32"/>
      <c r="G68" s="32"/>
      <c r="H68" s="32"/>
    </row>
    <row r="69" spans="2:12">
      <c r="B69" s="31"/>
      <c r="C69" s="32"/>
      <c r="D69" s="32"/>
      <c r="E69" s="34"/>
      <c r="F69" s="32"/>
      <c r="G69" s="32"/>
      <c r="H69" s="32"/>
    </row>
    <row r="70" spans="2:12">
      <c r="B70" s="31"/>
      <c r="C70" s="32"/>
      <c r="D70" s="32"/>
      <c r="E70" s="34"/>
      <c r="F70" s="32"/>
      <c r="G70" s="32"/>
      <c r="H70" s="32"/>
    </row>
    <row r="71" spans="2:12">
      <c r="B71" s="31"/>
      <c r="C71" s="32"/>
      <c r="D71" s="32"/>
      <c r="E71" s="34"/>
      <c r="F71" s="32"/>
      <c r="G71" s="32"/>
      <c r="H71" s="32"/>
    </row>
    <row r="72" spans="2:12">
      <c r="B72" s="31"/>
      <c r="C72" s="32"/>
      <c r="D72" s="32"/>
      <c r="E72" s="34"/>
      <c r="F72" s="32"/>
      <c r="G72" s="32"/>
      <c r="H72" s="32"/>
    </row>
    <row r="73" spans="2:12">
      <c r="B73" s="31"/>
      <c r="C73" s="32"/>
      <c r="D73" s="32"/>
      <c r="E73" s="34"/>
      <c r="F73" s="32"/>
      <c r="G73" s="32"/>
      <c r="H73" s="32"/>
    </row>
    <row r="75" spans="2:12">
      <c r="F75" s="26" t="str">
        <f>"Surakarta, "&amp;[1]Home!L21&amp;""</f>
        <v>Surakarta, 22 Januari 2016</v>
      </c>
      <c r="G75" s="26"/>
    </row>
    <row r="76" spans="2:12">
      <c r="E76" s="26" t="s">
        <v>319</v>
      </c>
      <c r="F76" s="26"/>
      <c r="G76" s="26"/>
      <c r="H76" s="26"/>
      <c r="I76" s="26"/>
      <c r="J76" s="26"/>
      <c r="K76" s="26"/>
      <c r="L76" s="26"/>
    </row>
    <row r="77" spans="2:12">
      <c r="E77" s="26" t="s">
        <v>320</v>
      </c>
      <c r="F77" s="26" t="s">
        <v>321</v>
      </c>
      <c r="G77" s="26"/>
      <c r="H77" s="26"/>
      <c r="I77" s="26"/>
      <c r="J77" s="26"/>
      <c r="L77" s="26"/>
    </row>
    <row r="78" spans="2:12">
      <c r="E78" s="26"/>
      <c r="F78" s="26"/>
      <c r="G78" s="26"/>
      <c r="H78" s="26"/>
      <c r="I78" s="26"/>
      <c r="J78" s="26"/>
      <c r="K78" s="26"/>
    </row>
    <row r="79" spans="2:12">
      <c r="E79" s="37" t="str">
        <f>[1]Home!L9</f>
        <v>Imam Samodra, S.Si</v>
      </c>
      <c r="F79" s="26" t="str">
        <f>[1]Home!L5</f>
        <v>Achrudin, S.Pd.</v>
      </c>
      <c r="G79" s="26"/>
      <c r="H79" s="26"/>
      <c r="I79" s="26"/>
      <c r="J79" s="26"/>
    </row>
    <row r="80" spans="2:12">
      <c r="E80" s="38" t="str">
        <f>"NIK. "&amp;[1]Home!L11&amp;""</f>
        <v>NIK. 2014 10 3 172</v>
      </c>
      <c r="F80" t="str">
        <f>"NIK. "&amp;[1]Home!L7&amp;""</f>
        <v>NIK. 2014 09 3 163</v>
      </c>
      <c r="H80" s="26"/>
      <c r="I80" s="26"/>
      <c r="J80" s="26"/>
      <c r="K80" s="26"/>
    </row>
    <row r="81" spans="6:11">
      <c r="F81" s="26"/>
      <c r="G81" s="26"/>
      <c r="H81" s="26"/>
      <c r="I81" s="26"/>
      <c r="J81" s="26"/>
      <c r="K81" s="26"/>
    </row>
    <row r="82" spans="6:11">
      <c r="F82" s="26"/>
      <c r="G82" s="26"/>
      <c r="H82" s="26"/>
      <c r="I82" s="26"/>
      <c r="J82" s="26"/>
    </row>
  </sheetData>
  <mergeCells count="3">
    <mergeCell ref="B2:H2"/>
    <mergeCell ref="B3:H3"/>
    <mergeCell ref="B4:H4"/>
  </mergeCells>
  <pageMargins left="0.7" right="0.7" top="0.75" bottom="0.75" header="0.3" footer="0.3"/>
  <pageSetup paperSize="9" scale="86" fitToHeight="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3"/>
  <sheetViews>
    <sheetView zoomScale="70" zoomScaleNormal="70" workbookViewId="0">
      <selection activeCell="G34" sqref="G34"/>
    </sheetView>
  </sheetViews>
  <sheetFormatPr defaultColWidth="9" defaultRowHeight="15"/>
  <cols>
    <col min="1" max="1" width="16.42578125" customWidth="1"/>
    <col min="2" max="2" width="25.28515625" customWidth="1"/>
    <col min="4" max="4" width="12" customWidth="1"/>
    <col min="5" max="5" width="67.7109375" customWidth="1"/>
    <col min="6" max="6" width="12" customWidth="1"/>
    <col min="7" max="7" width="67.7109375" customWidth="1"/>
    <col min="8" max="8" width="59.85546875" customWidth="1"/>
  </cols>
  <sheetData>
    <row r="1" spans="1:8" s="20" customFormat="1" ht="39.75" customHeight="1">
      <c r="B1" s="21" t="str">
        <f>"Input Data Nilai Sikap dan Catatan Walas Siswa Kelas "&amp;Setting!E11&amp;" Tahun "&amp;Setting!E14&amp;" Semester "&amp;Setting!E15&amp;""</f>
        <v>Input Data Nilai Sikap dan Catatan Walas Siswa Kelas X.MIPA 4 Tahun 2020/2021 Semester I</v>
      </c>
    </row>
    <row r="2" spans="1:8">
      <c r="A2" s="291" t="s">
        <v>322</v>
      </c>
      <c r="B2" s="291" t="s">
        <v>308</v>
      </c>
      <c r="C2" s="291" t="s">
        <v>323</v>
      </c>
      <c r="D2" s="264" t="s">
        <v>191</v>
      </c>
      <c r="E2" s="265"/>
      <c r="F2" s="264" t="s">
        <v>192</v>
      </c>
      <c r="G2" s="265"/>
      <c r="H2" s="280" t="s">
        <v>181</v>
      </c>
    </row>
    <row r="3" spans="1:8" ht="27" customHeight="1">
      <c r="A3" s="291"/>
      <c r="B3" s="291"/>
      <c r="C3" s="291"/>
      <c r="D3" s="22" t="s">
        <v>139</v>
      </c>
      <c r="E3" s="22" t="s">
        <v>140</v>
      </c>
      <c r="F3" s="22" t="s">
        <v>139</v>
      </c>
      <c r="G3" s="22" t="s">
        <v>140</v>
      </c>
      <c r="H3" s="280"/>
    </row>
    <row r="4" spans="1:8" ht="30" customHeight="1">
      <c r="A4" s="7">
        <v>1</v>
      </c>
      <c r="B4" s="8" t="str">
        <f>IF(Setting!J6="","",Setting!J6)</f>
        <v>Abdul Fattah Irfan Al Mubaroq</v>
      </c>
      <c r="C4" s="9">
        <f>IF(Setting!K6="","",Setting!K6)</f>
        <v>2008004</v>
      </c>
      <c r="D4" s="23" t="s">
        <v>202</v>
      </c>
      <c r="E4" s="23" t="s">
        <v>324</v>
      </c>
      <c r="F4" s="23" t="s">
        <v>202</v>
      </c>
      <c r="G4" s="23" t="s">
        <v>325</v>
      </c>
      <c r="H4" s="23" t="s">
        <v>326</v>
      </c>
    </row>
    <row r="5" spans="1:8" ht="30" customHeight="1">
      <c r="A5" s="7">
        <v>2</v>
      </c>
      <c r="B5" s="8" t="str">
        <f>IF(Setting!J7="","",Setting!J7)</f>
        <v>Adam Zidane Danata Pranugroho</v>
      </c>
      <c r="C5" s="9">
        <f>IF(Setting!K7="","",Setting!K7)</f>
        <v>2008009</v>
      </c>
      <c r="D5" s="23" t="s">
        <v>202</v>
      </c>
      <c r="E5" s="23" t="s">
        <v>324</v>
      </c>
      <c r="F5" s="23" t="s">
        <v>202</v>
      </c>
      <c r="G5" s="23" t="s">
        <v>325</v>
      </c>
      <c r="H5" s="23" t="s">
        <v>326</v>
      </c>
    </row>
    <row r="6" spans="1:8" ht="30" customHeight="1">
      <c r="A6" s="7">
        <v>3</v>
      </c>
      <c r="B6" s="8" t="str">
        <f>IF(Setting!J8="","",Setting!J8)</f>
        <v>Ahmad Fikry</v>
      </c>
      <c r="C6" s="9">
        <f>IF(Setting!K8="","",Setting!K8)</f>
        <v>2008021</v>
      </c>
      <c r="D6" s="23" t="s">
        <v>202</v>
      </c>
      <c r="E6" s="23" t="s">
        <v>324</v>
      </c>
      <c r="F6" s="23" t="s">
        <v>202</v>
      </c>
      <c r="G6" s="23" t="s">
        <v>325</v>
      </c>
      <c r="H6" s="23" t="s">
        <v>326</v>
      </c>
    </row>
    <row r="7" spans="1:8" ht="30" customHeight="1">
      <c r="A7" s="7">
        <v>4</v>
      </c>
      <c r="B7" s="8" t="str">
        <f>IF(Setting!J9="","",Setting!J9)</f>
        <v>Akhmad Rifki Assegaf</v>
      </c>
      <c r="C7" s="9">
        <f>IF(Setting!K9="","",Setting!K9)</f>
        <v>2008029</v>
      </c>
      <c r="D7" s="23" t="s">
        <v>202</v>
      </c>
      <c r="E7" s="23" t="s">
        <v>324</v>
      </c>
      <c r="F7" s="23" t="s">
        <v>202</v>
      </c>
      <c r="G7" s="23" t="s">
        <v>325</v>
      </c>
      <c r="H7" s="23" t="s">
        <v>326</v>
      </c>
    </row>
    <row r="8" spans="1:8" ht="30" customHeight="1">
      <c r="A8" s="7">
        <v>5</v>
      </c>
      <c r="B8" s="8" t="str">
        <f>IF(Setting!J10="","",Setting!J10)</f>
        <v>Almas Sabih Wahindra</v>
      </c>
      <c r="C8" s="9">
        <f>IF(Setting!K10="","",Setting!K10)</f>
        <v>2008034</v>
      </c>
      <c r="D8" s="23" t="s">
        <v>202</v>
      </c>
      <c r="E8" s="23" t="s">
        <v>324</v>
      </c>
      <c r="F8" s="23" t="s">
        <v>202</v>
      </c>
      <c r="G8" s="23" t="s">
        <v>325</v>
      </c>
      <c r="H8" s="23" t="s">
        <v>326</v>
      </c>
    </row>
    <row r="9" spans="1:8" ht="30" customHeight="1">
      <c r="A9" s="7">
        <v>6</v>
      </c>
      <c r="B9" s="8" t="str">
        <f>IF(Setting!J11="","",Setting!J11)</f>
        <v>Aria Fenha Apri Bima</v>
      </c>
      <c r="C9" s="9">
        <f>IF(Setting!K11="","",Setting!K11)</f>
        <v>2008054</v>
      </c>
      <c r="D9" s="23" t="s">
        <v>202</v>
      </c>
      <c r="E9" s="23" t="s">
        <v>324</v>
      </c>
      <c r="F9" s="23" t="s">
        <v>202</v>
      </c>
      <c r="G9" s="23" t="s">
        <v>325</v>
      </c>
      <c r="H9" s="23" t="s">
        <v>326</v>
      </c>
    </row>
    <row r="10" spans="1:8" ht="30" customHeight="1">
      <c r="A10" s="7">
        <v>7</v>
      </c>
      <c r="B10" s="8" t="str">
        <f>IF(Setting!J12="","",Setting!J12)</f>
        <v>Baharuddin Barkah Pratama</v>
      </c>
      <c r="C10" s="9">
        <f>IF(Setting!K12="","",Setting!K12)</f>
        <v>2008075</v>
      </c>
      <c r="D10" s="23" t="s">
        <v>202</v>
      </c>
      <c r="E10" s="23" t="s">
        <v>324</v>
      </c>
      <c r="F10" s="23" t="s">
        <v>202</v>
      </c>
      <c r="G10" s="23" t="s">
        <v>325</v>
      </c>
      <c r="H10" s="23" t="s">
        <v>326</v>
      </c>
    </row>
    <row r="11" spans="1:8" ht="30" customHeight="1">
      <c r="A11" s="7">
        <v>8</v>
      </c>
      <c r="B11" s="8" t="str">
        <f>IF(Setting!J13="","",Setting!J13)</f>
        <v>Daffa Arya Pudyastungkara</v>
      </c>
      <c r="C11" s="9">
        <f>IF(Setting!K13="","",Setting!K13)</f>
        <v>2008089</v>
      </c>
      <c r="D11" s="23" t="s">
        <v>202</v>
      </c>
      <c r="E11" s="23" t="s">
        <v>324</v>
      </c>
      <c r="F11" s="23" t="s">
        <v>202</v>
      </c>
      <c r="G11" s="23" t="s">
        <v>325</v>
      </c>
      <c r="H11" s="23" t="s">
        <v>326</v>
      </c>
    </row>
    <row r="12" spans="1:8" ht="30" customHeight="1">
      <c r="A12" s="7">
        <v>9</v>
      </c>
      <c r="B12" s="8" t="str">
        <f>IF(Setting!J14="","",Setting!J14)</f>
        <v>Dody Muhammad Pasha</v>
      </c>
      <c r="C12" s="9">
        <f>IF(Setting!K14="","",Setting!K14)</f>
        <v>2008095</v>
      </c>
      <c r="D12" s="23" t="s">
        <v>202</v>
      </c>
      <c r="E12" s="23" t="s">
        <v>324</v>
      </c>
      <c r="F12" s="23" t="s">
        <v>202</v>
      </c>
      <c r="G12" s="23" t="s">
        <v>325</v>
      </c>
      <c r="H12" s="23" t="s">
        <v>326</v>
      </c>
    </row>
    <row r="13" spans="1:8" ht="30" customHeight="1">
      <c r="A13" s="7">
        <v>10</v>
      </c>
      <c r="B13" s="8" t="str">
        <f>IF(Setting!J15="","",Setting!J15)</f>
        <v>Elga Perdana</v>
      </c>
      <c r="C13" s="9">
        <f>IF(Setting!K15="","",Setting!K15)</f>
        <v>2008099</v>
      </c>
      <c r="D13" s="23" t="s">
        <v>202</v>
      </c>
      <c r="E13" s="23" t="s">
        <v>324</v>
      </c>
      <c r="F13" s="23" t="s">
        <v>202</v>
      </c>
      <c r="G13" s="23" t="s">
        <v>325</v>
      </c>
      <c r="H13" s="23" t="s">
        <v>326</v>
      </c>
    </row>
    <row r="14" spans="1:8" ht="30" customHeight="1">
      <c r="A14" s="7">
        <v>11</v>
      </c>
      <c r="B14" s="8" t="str">
        <f>IF(Setting!J16="","",Setting!J16)</f>
        <v>Fathoni Daniswara</v>
      </c>
      <c r="C14" s="9">
        <f>IF(Setting!K16="","",Setting!K16)</f>
        <v>2008118</v>
      </c>
      <c r="D14" s="23" t="s">
        <v>202</v>
      </c>
      <c r="E14" s="23" t="s">
        <v>324</v>
      </c>
      <c r="F14" s="23" t="s">
        <v>202</v>
      </c>
      <c r="G14" s="23" t="s">
        <v>325</v>
      </c>
      <c r="H14" s="23" t="s">
        <v>326</v>
      </c>
    </row>
    <row r="15" spans="1:8" ht="30" customHeight="1">
      <c r="A15" s="7">
        <v>12</v>
      </c>
      <c r="B15" s="8" t="str">
        <f>IF(Setting!J17="","",Setting!J17)</f>
        <v>Gading Setyo Manunggal</v>
      </c>
      <c r="C15" s="9">
        <f>IF(Setting!K17="","",Setting!K17)</f>
        <v>2008127</v>
      </c>
      <c r="D15" s="23" t="s">
        <v>202</v>
      </c>
      <c r="E15" s="23" t="s">
        <v>324</v>
      </c>
      <c r="F15" s="23" t="s">
        <v>202</v>
      </c>
      <c r="G15" s="23" t="s">
        <v>325</v>
      </c>
      <c r="H15" s="23" t="s">
        <v>326</v>
      </c>
    </row>
    <row r="16" spans="1:8" ht="30" customHeight="1">
      <c r="A16" s="7">
        <v>13</v>
      </c>
      <c r="B16" s="8" t="str">
        <f>IF(Setting!J18="","",Setting!J18)</f>
        <v>Ghifari Mabrur Al Burhani</v>
      </c>
      <c r="C16" s="9">
        <f>IF(Setting!K18="","",Setting!K18)</f>
        <v>2008128</v>
      </c>
      <c r="D16" s="23" t="s">
        <v>202</v>
      </c>
      <c r="E16" s="23" t="s">
        <v>324</v>
      </c>
      <c r="F16" s="23" t="s">
        <v>202</v>
      </c>
      <c r="G16" s="23" t="s">
        <v>325</v>
      </c>
      <c r="H16" s="23" t="s">
        <v>326</v>
      </c>
    </row>
    <row r="17" spans="1:8" ht="30" customHeight="1">
      <c r="A17" s="7">
        <v>14</v>
      </c>
      <c r="B17" s="8" t="str">
        <f>IF(Setting!J19="","",Setting!J19)</f>
        <v>Hafid Mahreza Ilham</v>
      </c>
      <c r="C17" s="9">
        <f>IF(Setting!K19="","",Setting!K19)</f>
        <v>2008131</v>
      </c>
      <c r="D17" s="23" t="s">
        <v>202</v>
      </c>
      <c r="E17" s="23" t="s">
        <v>324</v>
      </c>
      <c r="F17" s="23" t="s">
        <v>202</v>
      </c>
      <c r="G17" s="23" t="s">
        <v>325</v>
      </c>
      <c r="H17" s="23" t="s">
        <v>326</v>
      </c>
    </row>
    <row r="18" spans="1:8" ht="30" customHeight="1">
      <c r="A18" s="7">
        <v>15</v>
      </c>
      <c r="B18" s="8" t="str">
        <f>IF(Setting!J20="","",Setting!J20)</f>
        <v>Haidar Rafif Hibatulloh</v>
      </c>
      <c r="C18" s="9">
        <f>IF(Setting!K20="","",Setting!K20)</f>
        <v>2008132</v>
      </c>
      <c r="D18" s="23" t="s">
        <v>202</v>
      </c>
      <c r="E18" s="23" t="s">
        <v>324</v>
      </c>
      <c r="F18" s="23" t="s">
        <v>202</v>
      </c>
      <c r="G18" s="23" t="s">
        <v>325</v>
      </c>
      <c r="H18" s="23" t="s">
        <v>326</v>
      </c>
    </row>
    <row r="19" spans="1:8" ht="30" customHeight="1">
      <c r="A19" s="7">
        <v>16</v>
      </c>
      <c r="B19" s="8" t="str">
        <f>IF(Setting!J21="","",Setting!J21)</f>
        <v>Kelvin Oktabrian Ramadhan</v>
      </c>
      <c r="C19" s="9">
        <f>IF(Setting!K21="","",Setting!K21)</f>
        <v>2008169</v>
      </c>
      <c r="D19" s="23" t="s">
        <v>202</v>
      </c>
      <c r="E19" s="23" t="s">
        <v>324</v>
      </c>
      <c r="F19" s="23" t="s">
        <v>202</v>
      </c>
      <c r="G19" s="23" t="s">
        <v>325</v>
      </c>
      <c r="H19" s="23" t="s">
        <v>326</v>
      </c>
    </row>
    <row r="20" spans="1:8" ht="30" customHeight="1">
      <c r="A20" s="7">
        <v>17</v>
      </c>
      <c r="B20" s="8" t="str">
        <f>IF(Setting!J22="","",Setting!J22)</f>
        <v>Mohamad Khoiril Afwa</v>
      </c>
      <c r="C20" s="9">
        <f>IF(Setting!K22="","",Setting!K22)</f>
        <v>2008197</v>
      </c>
      <c r="D20" s="23" t="s">
        <v>202</v>
      </c>
      <c r="E20" s="23" t="s">
        <v>324</v>
      </c>
      <c r="F20" s="23" t="s">
        <v>202</v>
      </c>
      <c r="G20" s="23" t="s">
        <v>325</v>
      </c>
      <c r="H20" s="23" t="s">
        <v>326</v>
      </c>
    </row>
    <row r="21" spans="1:8" ht="30" customHeight="1">
      <c r="A21" s="7">
        <v>18</v>
      </c>
      <c r="B21" s="8" t="str">
        <f>IF(Setting!J23="","",Setting!J23)</f>
        <v>Muhammad Hanif Pearlyaradja</v>
      </c>
      <c r="C21" s="9">
        <f>IF(Setting!K23="","",Setting!K23)</f>
        <v>2008214</v>
      </c>
      <c r="D21" s="23" t="s">
        <v>202</v>
      </c>
      <c r="E21" s="23" t="s">
        <v>324</v>
      </c>
      <c r="F21" s="23" t="s">
        <v>202</v>
      </c>
      <c r="G21" s="23" t="s">
        <v>325</v>
      </c>
      <c r="H21" s="23" t="s">
        <v>326</v>
      </c>
    </row>
    <row r="22" spans="1:8" ht="30" customHeight="1">
      <c r="A22" s="7">
        <v>19</v>
      </c>
      <c r="B22" s="8" t="str">
        <f>IF(Setting!J24="","",Setting!J24)</f>
        <v>Muhammad Maurel Han</v>
      </c>
      <c r="C22" s="9">
        <f>IF(Setting!K24="","",Setting!K24)</f>
        <v>2008218</v>
      </c>
      <c r="D22" s="23" t="s">
        <v>202</v>
      </c>
      <c r="E22" s="23" t="s">
        <v>324</v>
      </c>
      <c r="F22" s="23" t="s">
        <v>202</v>
      </c>
      <c r="G22" s="23" t="s">
        <v>325</v>
      </c>
      <c r="H22" s="23" t="s">
        <v>326</v>
      </c>
    </row>
    <row r="23" spans="1:8" ht="30" customHeight="1">
      <c r="A23" s="7">
        <v>20</v>
      </c>
      <c r="B23" s="8" t="str">
        <f>IF(Setting!J25="","",Setting!J25)</f>
        <v>Muhammad Niam Masykuri</v>
      </c>
      <c r="C23" s="9">
        <f>IF(Setting!K25="","",Setting!K25)</f>
        <v>2008220</v>
      </c>
      <c r="D23" s="23" t="s">
        <v>202</v>
      </c>
      <c r="E23" s="23" t="s">
        <v>324</v>
      </c>
      <c r="F23" s="23" t="s">
        <v>202</v>
      </c>
      <c r="G23" s="23" t="s">
        <v>325</v>
      </c>
      <c r="H23" s="23" t="s">
        <v>326</v>
      </c>
    </row>
    <row r="24" spans="1:8" ht="30" customHeight="1">
      <c r="A24" s="7">
        <v>21</v>
      </c>
      <c r="B24" s="8" t="str">
        <f>IF(Setting!J26="","",Setting!J26)</f>
        <v>Muhammad Nur Arzhian Kusuma</v>
      </c>
      <c r="C24" s="9">
        <f>IF(Setting!K26="","",Setting!K26)</f>
        <v>2008221</v>
      </c>
      <c r="D24" s="23" t="s">
        <v>202</v>
      </c>
      <c r="E24" s="23" t="s">
        <v>324</v>
      </c>
      <c r="F24" s="23" t="s">
        <v>202</v>
      </c>
      <c r="G24" s="23" t="s">
        <v>325</v>
      </c>
      <c r="H24" s="23" t="s">
        <v>326</v>
      </c>
    </row>
    <row r="25" spans="1:8" ht="30" customHeight="1">
      <c r="A25" s="7">
        <v>22</v>
      </c>
      <c r="B25" s="8" t="str">
        <f>IF(Setting!J27="","",Setting!J27)</f>
        <v>Muhammad Rafif Rizqullah</v>
      </c>
      <c r="C25" s="9">
        <f>IF(Setting!K27="","",Setting!K27)</f>
        <v>2008222</v>
      </c>
      <c r="D25" s="23" t="s">
        <v>202</v>
      </c>
      <c r="E25" s="23" t="s">
        <v>324</v>
      </c>
      <c r="F25" s="23" t="s">
        <v>202</v>
      </c>
      <c r="G25" s="23" t="s">
        <v>325</v>
      </c>
      <c r="H25" s="23" t="s">
        <v>326</v>
      </c>
    </row>
    <row r="26" spans="1:8" ht="30" customHeight="1">
      <c r="A26" s="7">
        <v>23</v>
      </c>
      <c r="B26" s="8" t="str">
        <f>IF(Setting!J28="","",Setting!J28)</f>
        <v>Muhammad Raihan Al Faridzi</v>
      </c>
      <c r="C26" s="9">
        <f>IF(Setting!K28="","",Setting!K28)</f>
        <v>2008223</v>
      </c>
      <c r="D26" s="23" t="s">
        <v>202</v>
      </c>
      <c r="E26" s="23" t="s">
        <v>324</v>
      </c>
      <c r="F26" s="23" t="s">
        <v>202</v>
      </c>
      <c r="G26" s="23" t="s">
        <v>325</v>
      </c>
      <c r="H26" s="23" t="s">
        <v>326</v>
      </c>
    </row>
    <row r="27" spans="1:8" ht="30" customHeight="1">
      <c r="A27" s="7">
        <v>24</v>
      </c>
      <c r="B27" s="8" t="str">
        <f>IF(Setting!J29="","",Setting!J29)</f>
        <v>Muhammad Rakan Hafidh Al Ghalib</v>
      </c>
      <c r="C27" s="9">
        <f>IF(Setting!K29="","",Setting!K29)</f>
        <v>2008224</v>
      </c>
      <c r="D27" s="23" t="s">
        <v>202</v>
      </c>
      <c r="E27" s="23" t="s">
        <v>324</v>
      </c>
      <c r="F27" s="23" t="s">
        <v>202</v>
      </c>
      <c r="G27" s="23" t="s">
        <v>325</v>
      </c>
      <c r="H27" s="23" t="s">
        <v>326</v>
      </c>
    </row>
    <row r="28" spans="1:8" ht="30" customHeight="1">
      <c r="A28" s="7">
        <v>25</v>
      </c>
      <c r="B28" s="8" t="str">
        <f>IF(Setting!J30="","",Setting!J30)</f>
        <v>Muhammad Syamu Naufal</v>
      </c>
      <c r="C28" s="9">
        <f>IF(Setting!K30="","",Setting!K30)</f>
        <v>2008230</v>
      </c>
      <c r="D28" s="23" t="s">
        <v>202</v>
      </c>
      <c r="E28" s="23" t="s">
        <v>324</v>
      </c>
      <c r="F28" s="23" t="s">
        <v>202</v>
      </c>
      <c r="G28" s="23" t="s">
        <v>325</v>
      </c>
      <c r="H28" s="23" t="s">
        <v>326</v>
      </c>
    </row>
    <row r="29" spans="1:8" ht="30" customHeight="1">
      <c r="A29" s="7">
        <v>26</v>
      </c>
      <c r="B29" s="8" t="str">
        <f>IF(Setting!J31="","",Setting!J31)</f>
        <v>Naufal Muhammad Iqbal</v>
      </c>
      <c r="C29" s="9">
        <f>IF(Setting!K31="","",Setting!K31)</f>
        <v>2008251</v>
      </c>
      <c r="D29" s="23" t="s">
        <v>202</v>
      </c>
      <c r="E29" s="23" t="s">
        <v>324</v>
      </c>
      <c r="F29" s="23" t="s">
        <v>202</v>
      </c>
      <c r="G29" s="23" t="s">
        <v>325</v>
      </c>
      <c r="H29" s="23" t="s">
        <v>326</v>
      </c>
    </row>
    <row r="30" spans="1:8" ht="30" customHeight="1">
      <c r="A30" s="7">
        <v>27</v>
      </c>
      <c r="B30" s="8" t="str">
        <f>IF(Setting!J32="","",Setting!J32)</f>
        <v>Nauval Nur Mustafa</v>
      </c>
      <c r="C30" s="9">
        <f>IF(Setting!K32="","",Setting!K32)</f>
        <v>2008253</v>
      </c>
      <c r="D30" s="23" t="s">
        <v>202</v>
      </c>
      <c r="E30" s="23" t="s">
        <v>324</v>
      </c>
      <c r="F30" s="23" t="s">
        <v>202</v>
      </c>
      <c r="G30" s="23" t="s">
        <v>325</v>
      </c>
      <c r="H30" s="23" t="s">
        <v>326</v>
      </c>
    </row>
    <row r="31" spans="1:8" ht="30" customHeight="1">
      <c r="A31" s="7">
        <v>28</v>
      </c>
      <c r="B31" s="8" t="str">
        <f>IF(Setting!J33="","",Setting!J33)</f>
        <v>Oriegano Kanahaya  Siagian</v>
      </c>
      <c r="C31" s="9">
        <f>IF(Setting!K33="","",Setting!K33)</f>
        <v>2008272</v>
      </c>
      <c r="D31" s="23" t="s">
        <v>202</v>
      </c>
      <c r="E31" s="23" t="s">
        <v>324</v>
      </c>
      <c r="F31" s="23" t="s">
        <v>202</v>
      </c>
      <c r="G31" s="23" t="s">
        <v>325</v>
      </c>
      <c r="H31" s="23" t="s">
        <v>326</v>
      </c>
    </row>
    <row r="32" spans="1:8" ht="30" customHeight="1">
      <c r="A32" s="7">
        <v>29</v>
      </c>
      <c r="B32" s="8" t="str">
        <f>IF(Setting!J34="","",Setting!J34)</f>
        <v>Rafif Mahatma Indrastata</v>
      </c>
      <c r="C32" s="9">
        <f>IF(Setting!K34="","",Setting!K34)</f>
        <v>2008282</v>
      </c>
      <c r="D32" s="23" t="s">
        <v>202</v>
      </c>
      <c r="E32" s="23" t="s">
        <v>324</v>
      </c>
      <c r="F32" s="23" t="s">
        <v>202</v>
      </c>
      <c r="G32" s="23" t="s">
        <v>325</v>
      </c>
      <c r="H32" s="23" t="s">
        <v>326</v>
      </c>
    </row>
    <row r="33" spans="1:8" ht="30" customHeight="1">
      <c r="A33" s="7">
        <v>30</v>
      </c>
      <c r="B33" s="8" t="str">
        <f>IF(Setting!J35="","",Setting!J35)</f>
        <v>Rayhan Yoga Edy Pratama</v>
      </c>
      <c r="C33" s="9">
        <f>IF(Setting!K35="","",Setting!K35)</f>
        <v>2008296</v>
      </c>
      <c r="D33" s="23" t="s">
        <v>202</v>
      </c>
      <c r="E33" s="23" t="s">
        <v>324</v>
      </c>
      <c r="F33" s="23" t="s">
        <v>202</v>
      </c>
      <c r="G33" s="23" t="s">
        <v>325</v>
      </c>
      <c r="H33" s="23" t="s">
        <v>326</v>
      </c>
    </row>
    <row r="34" spans="1:8" ht="30" customHeight="1">
      <c r="A34" s="7">
        <v>31</v>
      </c>
      <c r="B34" s="8" t="str">
        <f>IF(Setting!J36="","",Setting!J36)</f>
        <v>Rusianto Munif</v>
      </c>
      <c r="C34" s="9">
        <f>IF(Setting!K36="","",Setting!K36)</f>
        <v>2008307</v>
      </c>
      <c r="D34" s="23" t="s">
        <v>202</v>
      </c>
      <c r="E34" s="23" t="s">
        <v>324</v>
      </c>
      <c r="F34" s="23" t="s">
        <v>202</v>
      </c>
      <c r="G34" s="23" t="s">
        <v>325</v>
      </c>
      <c r="H34" s="23" t="s">
        <v>326</v>
      </c>
    </row>
    <row r="35" spans="1:8" ht="30" customHeight="1">
      <c r="A35" s="7">
        <v>32</v>
      </c>
      <c r="B35" s="8" t="str">
        <f>IF(Setting!J37="","",Setting!J37)</f>
        <v>Zaidan Mu'afy Althaf</v>
      </c>
      <c r="C35" s="9">
        <f>IF(Setting!K37="","",Setting!K37)</f>
        <v>2008347</v>
      </c>
      <c r="D35" s="23" t="s">
        <v>202</v>
      </c>
      <c r="E35" s="23" t="s">
        <v>324</v>
      </c>
      <c r="F35" s="23" t="s">
        <v>202</v>
      </c>
      <c r="G35" s="23" t="s">
        <v>325</v>
      </c>
      <c r="H35" s="23" t="s">
        <v>326</v>
      </c>
    </row>
    <row r="36" spans="1:8" ht="30" customHeight="1">
      <c r="A36" s="7">
        <v>33</v>
      </c>
      <c r="B36" s="8" t="str">
        <f>IF(Setting!J38="","",Setting!J38)</f>
        <v/>
      </c>
      <c r="C36" s="9" t="str">
        <f>IF(Setting!K38="","",Setting!K38)</f>
        <v/>
      </c>
      <c r="D36" s="23"/>
      <c r="E36" s="23"/>
      <c r="F36" s="23"/>
      <c r="G36" s="23"/>
      <c r="H36" s="23"/>
    </row>
    <row r="37" spans="1:8" ht="30" customHeight="1">
      <c r="A37" s="7">
        <v>34</v>
      </c>
      <c r="B37" s="8" t="str">
        <f>IF(Setting!J39="","",Setting!J39)</f>
        <v/>
      </c>
      <c r="C37" s="9" t="str">
        <f>IF(Setting!K39="","",Setting!K39)</f>
        <v/>
      </c>
      <c r="D37" s="23"/>
      <c r="E37" s="23"/>
      <c r="F37" s="23"/>
      <c r="G37" s="23"/>
      <c r="H37" s="23"/>
    </row>
    <row r="38" spans="1:8" ht="30" customHeight="1">
      <c r="A38" s="7">
        <v>35</v>
      </c>
      <c r="B38" s="8" t="str">
        <f>IF(Setting!J40="","",Setting!J40)</f>
        <v/>
      </c>
      <c r="C38" s="9" t="str">
        <f>IF(Setting!K40="","",Setting!K40)</f>
        <v/>
      </c>
      <c r="D38" s="23"/>
      <c r="E38" s="23"/>
      <c r="F38" s="23"/>
      <c r="G38" s="23"/>
      <c r="H38" s="23"/>
    </row>
    <row r="39" spans="1:8" ht="30" customHeight="1">
      <c r="A39" s="7">
        <v>36</v>
      </c>
      <c r="B39" s="8" t="str">
        <f>IF(Setting!J41="","",Setting!J41)</f>
        <v/>
      </c>
      <c r="C39" s="9" t="str">
        <f>IF(Setting!K41="","",Setting!K41)</f>
        <v/>
      </c>
      <c r="D39" s="23"/>
      <c r="E39" s="23"/>
      <c r="F39" s="23"/>
      <c r="G39" s="23"/>
      <c r="H39" s="23"/>
    </row>
    <row r="40" spans="1:8" ht="30" customHeight="1">
      <c r="A40" s="7">
        <v>37</v>
      </c>
      <c r="B40" s="8" t="str">
        <f>IF(Setting!J42="","",Setting!J42)</f>
        <v/>
      </c>
      <c r="C40" s="9" t="str">
        <f>IF(Setting!K42="","",Setting!K42)</f>
        <v/>
      </c>
      <c r="D40" s="23"/>
      <c r="E40" s="23"/>
      <c r="F40" s="23"/>
      <c r="G40" s="23"/>
      <c r="H40" s="23"/>
    </row>
    <row r="41" spans="1:8" ht="30" customHeight="1">
      <c r="A41" s="7">
        <v>38</v>
      </c>
      <c r="B41" s="8" t="str">
        <f>IF(Setting!J43="","",Setting!J43)</f>
        <v/>
      </c>
      <c r="C41" s="9" t="str">
        <f>IF(Setting!K43="","",Setting!K43)</f>
        <v/>
      </c>
      <c r="D41" s="23"/>
      <c r="E41" s="23"/>
      <c r="F41" s="23"/>
      <c r="G41" s="23"/>
      <c r="H41" s="23"/>
    </row>
    <row r="42" spans="1:8" ht="30" customHeight="1">
      <c r="A42" s="7">
        <v>39</v>
      </c>
      <c r="B42" s="8" t="str">
        <f>IF(Setting!J44="","",Setting!J44)</f>
        <v/>
      </c>
      <c r="C42" s="9" t="str">
        <f>IF(Setting!K44="","",Setting!K44)</f>
        <v/>
      </c>
      <c r="D42" s="23"/>
      <c r="E42" s="23"/>
      <c r="F42" s="23"/>
      <c r="G42" s="23"/>
      <c r="H42" s="23"/>
    </row>
    <row r="43" spans="1:8" ht="30" customHeight="1">
      <c r="A43" s="7">
        <v>40</v>
      </c>
      <c r="B43" s="8" t="str">
        <f>IF(Setting!J45="","",Setting!J45)</f>
        <v/>
      </c>
      <c r="C43" s="9" t="str">
        <f>IF(Setting!K45="","",Setting!K45)</f>
        <v/>
      </c>
      <c r="D43" s="23"/>
      <c r="E43" s="23"/>
      <c r="F43" s="23"/>
      <c r="G43" s="23"/>
      <c r="H43" s="23"/>
    </row>
  </sheetData>
  <sheetProtection algorithmName="SHA-512" hashValue="ueRIXr6nQMJoCn9+iyuEtj8+1jtBB3/uOGZ7rYGK+8CWnqUgx91h/p4LZbQO93lXreQjCWmz6VYvyzSY7vGD9g==" saltValue="sD7jP68RHgn2sfc2Uwu7TQ==" spinCount="100000" sheet="1" objects="1" scenarios="1" selectLockedCells="1"/>
  <mergeCells count="6">
    <mergeCell ref="H2:H3"/>
    <mergeCell ref="D2:E2"/>
    <mergeCell ref="F2:G2"/>
    <mergeCell ref="A2:A3"/>
    <mergeCell ref="B2:B3"/>
    <mergeCell ref="C2:C3"/>
  </mergeCells>
  <pageMargins left="0.7" right="0.7" top="0.75" bottom="0.75" header="0.3" footer="0.3"/>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topLeftCell="B1" workbookViewId="0">
      <pane xSplit="3" ySplit="4" topLeftCell="E17" activePane="bottomRight" state="frozenSplit"/>
      <selection pane="topRight"/>
      <selection pane="bottomLeft"/>
      <selection pane="bottomRight" activeCell="G34" sqref="G34"/>
    </sheetView>
  </sheetViews>
  <sheetFormatPr defaultColWidth="9" defaultRowHeight="15"/>
  <cols>
    <col min="1" max="1" width="9" hidden="1" customWidth="1"/>
    <col min="2" max="2" width="14.7109375" customWidth="1"/>
    <col min="3" max="3" width="25.85546875" customWidth="1"/>
    <col min="4" max="4" width="10.42578125" style="14" customWidth="1"/>
    <col min="5" max="5" width="25.85546875" customWidth="1"/>
    <col min="6" max="6" width="8.7109375" customWidth="1"/>
    <col min="7" max="7" width="21.5703125" customWidth="1"/>
    <col min="8" max="8" width="23.28515625" customWidth="1"/>
    <col min="9" max="9" width="8.85546875" customWidth="1"/>
    <col min="10" max="10" width="21.5703125" customWidth="1"/>
  </cols>
  <sheetData>
    <row r="1" spans="2:10" s="12" customFormat="1" ht="21">
      <c r="C1" s="15" t="str">
        <f>"Input Data Ekstrakurikuler Siswa Kelas "&amp;Setting!E11&amp;" Tahun "&amp;Setting!E14&amp;" Semester "&amp;Setting!E15&amp;""</f>
        <v>Input Data Ekstrakurikuler Siswa Kelas X.MIPA 4 Tahun 2020/2021 Semester I</v>
      </c>
      <c r="D1" s="16"/>
    </row>
    <row r="3" spans="2:10" s="13" customFormat="1">
      <c r="B3" s="293" t="s">
        <v>322</v>
      </c>
      <c r="C3" s="293" t="s">
        <v>308</v>
      </c>
      <c r="D3" s="293" t="s">
        <v>323</v>
      </c>
      <c r="E3" s="292" t="s">
        <v>327</v>
      </c>
      <c r="F3" s="292"/>
      <c r="G3" s="292"/>
      <c r="H3" s="292"/>
      <c r="I3" s="292"/>
      <c r="J3" s="292"/>
    </row>
    <row r="4" spans="2:10" s="13" customFormat="1">
      <c r="B4" s="293"/>
      <c r="C4" s="293"/>
      <c r="D4" s="293"/>
      <c r="E4" s="6" t="s">
        <v>328</v>
      </c>
      <c r="F4" s="6" t="s">
        <v>194</v>
      </c>
      <c r="G4" s="6" t="s">
        <v>140</v>
      </c>
      <c r="H4" s="6" t="s">
        <v>329</v>
      </c>
      <c r="I4" s="6" t="s">
        <v>194</v>
      </c>
      <c r="J4" s="6" t="s">
        <v>140</v>
      </c>
    </row>
    <row r="5" spans="2:10">
      <c r="B5" s="7">
        <v>1</v>
      </c>
      <c r="C5" s="8" t="str">
        <f>IF(Setting!J6="","",Setting!J6)</f>
        <v>Abdul Fattah Irfan Al Mubaroq</v>
      </c>
      <c r="D5" s="9">
        <f>IF(Setting!K6="","",Setting!K6)</f>
        <v>2008004</v>
      </c>
      <c r="E5" s="17" t="s">
        <v>330</v>
      </c>
      <c r="F5" s="17" t="s">
        <v>331</v>
      </c>
      <c r="G5" s="17" t="s">
        <v>332</v>
      </c>
      <c r="H5" s="17"/>
      <c r="I5" s="17"/>
      <c r="J5" s="17"/>
    </row>
    <row r="6" spans="2:10">
      <c r="B6" s="7">
        <v>2</v>
      </c>
      <c r="C6" s="8" t="str">
        <f>IF(Setting!J7="","",Setting!J7)</f>
        <v>Adam Zidane Danata Pranugroho</v>
      </c>
      <c r="D6" s="9">
        <f>IF(Setting!K7="","",Setting!K7)</f>
        <v>2008009</v>
      </c>
      <c r="E6" s="17" t="s">
        <v>330</v>
      </c>
      <c r="F6" s="17" t="s">
        <v>331</v>
      </c>
      <c r="G6" s="17" t="s">
        <v>332</v>
      </c>
      <c r="H6" s="17"/>
      <c r="I6" s="17"/>
      <c r="J6" s="17"/>
    </row>
    <row r="7" spans="2:10">
      <c r="B7" s="7">
        <v>3</v>
      </c>
      <c r="C7" s="8" t="str">
        <f>IF(Setting!J8="","",Setting!J8)</f>
        <v>Ahmad Fikry</v>
      </c>
      <c r="D7" s="9">
        <f>IF(Setting!K8="","",Setting!K8)</f>
        <v>2008021</v>
      </c>
      <c r="E7" s="17" t="s">
        <v>330</v>
      </c>
      <c r="F7" s="17" t="s">
        <v>331</v>
      </c>
      <c r="G7" s="17" t="s">
        <v>332</v>
      </c>
      <c r="H7" s="17"/>
      <c r="I7" s="17"/>
      <c r="J7" s="17"/>
    </row>
    <row r="8" spans="2:10">
      <c r="B8" s="7">
        <v>4</v>
      </c>
      <c r="C8" s="8" t="str">
        <f>IF(Setting!J9="","",Setting!J9)</f>
        <v>Akhmad Rifki Assegaf</v>
      </c>
      <c r="D8" s="9">
        <f>IF(Setting!K9="","",Setting!K9)</f>
        <v>2008029</v>
      </c>
      <c r="E8" s="17" t="s">
        <v>330</v>
      </c>
      <c r="F8" s="17" t="s">
        <v>331</v>
      </c>
      <c r="G8" s="17" t="s">
        <v>332</v>
      </c>
      <c r="H8" s="17"/>
      <c r="I8" s="17"/>
      <c r="J8" s="17"/>
    </row>
    <row r="9" spans="2:10">
      <c r="B9" s="7">
        <v>5</v>
      </c>
      <c r="C9" s="8" t="str">
        <f>IF(Setting!J10="","",Setting!J10)</f>
        <v>Almas Sabih Wahindra</v>
      </c>
      <c r="D9" s="9">
        <f>IF(Setting!K10="","",Setting!K10)</f>
        <v>2008034</v>
      </c>
      <c r="E9" s="17" t="s">
        <v>330</v>
      </c>
      <c r="F9" s="17" t="s">
        <v>331</v>
      </c>
      <c r="G9" s="17" t="s">
        <v>332</v>
      </c>
      <c r="H9" s="17"/>
      <c r="I9" s="17"/>
      <c r="J9" s="17"/>
    </row>
    <row r="10" spans="2:10">
      <c r="B10" s="7">
        <v>6</v>
      </c>
      <c r="C10" s="8" t="str">
        <f>IF(Setting!J11="","",Setting!J11)</f>
        <v>Aria Fenha Apri Bima</v>
      </c>
      <c r="D10" s="9">
        <f>IF(Setting!K11="","",Setting!K11)</f>
        <v>2008054</v>
      </c>
      <c r="E10" s="17" t="s">
        <v>333</v>
      </c>
      <c r="F10" s="17" t="s">
        <v>331</v>
      </c>
      <c r="G10" s="17" t="s">
        <v>334</v>
      </c>
      <c r="H10" s="17"/>
      <c r="I10" s="17"/>
      <c r="J10" s="17"/>
    </row>
    <row r="11" spans="2:10">
      <c r="B11" s="7">
        <v>7</v>
      </c>
      <c r="C11" s="8" t="str">
        <f>IF(Setting!J12="","",Setting!J12)</f>
        <v>Baharuddin Barkah Pratama</v>
      </c>
      <c r="D11" s="9">
        <f>IF(Setting!K12="","",Setting!K12)</f>
        <v>2008075</v>
      </c>
      <c r="E11" s="17" t="s">
        <v>330</v>
      </c>
      <c r="F11" s="17" t="s">
        <v>331</v>
      </c>
      <c r="G11" s="17" t="s">
        <v>332</v>
      </c>
      <c r="H11" s="17"/>
      <c r="I11" s="17"/>
      <c r="J11" s="17"/>
    </row>
    <row r="12" spans="2:10">
      <c r="B12" s="7">
        <v>8</v>
      </c>
      <c r="C12" s="8" t="str">
        <f>IF(Setting!J13="","",Setting!J13)</f>
        <v>Daffa Arya Pudyastungkara</v>
      </c>
      <c r="D12" s="9">
        <f>IF(Setting!K13="","",Setting!K13)</f>
        <v>2008089</v>
      </c>
      <c r="E12" s="17" t="s">
        <v>333</v>
      </c>
      <c r="F12" s="17" t="s">
        <v>331</v>
      </c>
      <c r="G12" s="17" t="s">
        <v>334</v>
      </c>
      <c r="H12" s="17"/>
      <c r="I12" s="17"/>
      <c r="J12" s="17"/>
    </row>
    <row r="13" spans="2:10">
      <c r="B13" s="7">
        <v>9</v>
      </c>
      <c r="C13" s="8" t="str">
        <f>IF(Setting!J14="","",Setting!J14)</f>
        <v>Dody Muhammad Pasha</v>
      </c>
      <c r="D13" s="9">
        <f>IF(Setting!K14="","",Setting!K14)</f>
        <v>2008095</v>
      </c>
      <c r="E13" s="17" t="s">
        <v>330</v>
      </c>
      <c r="F13" s="17" t="s">
        <v>331</v>
      </c>
      <c r="G13" s="17" t="s">
        <v>332</v>
      </c>
      <c r="H13" s="17"/>
      <c r="I13" s="17"/>
      <c r="J13" s="17"/>
    </row>
    <row r="14" spans="2:10">
      <c r="B14" s="7">
        <v>10</v>
      </c>
      <c r="C14" s="8" t="str">
        <f>IF(Setting!J15="","",Setting!J15)</f>
        <v>Elga Perdana</v>
      </c>
      <c r="D14" s="9">
        <f>IF(Setting!K15="","",Setting!K15)</f>
        <v>2008099</v>
      </c>
      <c r="E14" s="17" t="s">
        <v>330</v>
      </c>
      <c r="F14" s="17" t="s">
        <v>331</v>
      </c>
      <c r="G14" s="17" t="s">
        <v>332</v>
      </c>
      <c r="H14" s="17"/>
      <c r="I14" s="17"/>
      <c r="J14" s="17"/>
    </row>
    <row r="15" spans="2:10">
      <c r="B15" s="7">
        <v>11</v>
      </c>
      <c r="C15" s="8" t="str">
        <f>IF(Setting!J16="","",Setting!J16)</f>
        <v>Fathoni Daniswara</v>
      </c>
      <c r="D15" s="9">
        <f>IF(Setting!K16="","",Setting!K16)</f>
        <v>2008118</v>
      </c>
      <c r="E15" s="17" t="s">
        <v>330</v>
      </c>
      <c r="F15" s="17" t="s">
        <v>331</v>
      </c>
      <c r="G15" s="17" t="s">
        <v>332</v>
      </c>
      <c r="H15" s="17"/>
      <c r="I15" s="17"/>
      <c r="J15" s="17"/>
    </row>
    <row r="16" spans="2:10">
      <c r="B16" s="7">
        <v>12</v>
      </c>
      <c r="C16" s="8" t="str">
        <f>IF(Setting!J17="","",Setting!J17)</f>
        <v>Gading Setyo Manunggal</v>
      </c>
      <c r="D16" s="9">
        <f>IF(Setting!K17="","",Setting!K17)</f>
        <v>2008127</v>
      </c>
      <c r="E16" s="17" t="s">
        <v>330</v>
      </c>
      <c r="F16" s="17" t="s">
        <v>331</v>
      </c>
      <c r="G16" s="17" t="s">
        <v>332</v>
      </c>
      <c r="H16" s="17"/>
      <c r="I16" s="17"/>
      <c r="J16" s="17"/>
    </row>
    <row r="17" spans="2:10">
      <c r="B17" s="7">
        <v>13</v>
      </c>
      <c r="C17" s="8" t="str">
        <f>IF(Setting!J18="","",Setting!J18)</f>
        <v>Ghifari Mabrur Al Burhani</v>
      </c>
      <c r="D17" s="9">
        <f>IF(Setting!K18="","",Setting!K18)</f>
        <v>2008128</v>
      </c>
      <c r="E17" s="17" t="s">
        <v>330</v>
      </c>
      <c r="F17" s="17" t="s">
        <v>331</v>
      </c>
      <c r="G17" s="17" t="s">
        <v>332</v>
      </c>
      <c r="H17" s="17"/>
      <c r="I17" s="17"/>
      <c r="J17" s="17"/>
    </row>
    <row r="18" spans="2:10">
      <c r="B18" s="7">
        <v>14</v>
      </c>
      <c r="C18" s="8" t="str">
        <f>IF(Setting!J19="","",Setting!J19)</f>
        <v>Hafid Mahreza Ilham</v>
      </c>
      <c r="D18" s="9">
        <f>IF(Setting!K19="","",Setting!K19)</f>
        <v>2008131</v>
      </c>
      <c r="E18" s="17" t="s">
        <v>330</v>
      </c>
      <c r="F18" s="17" t="s">
        <v>331</v>
      </c>
      <c r="G18" s="17" t="s">
        <v>332</v>
      </c>
      <c r="H18" s="17"/>
      <c r="I18" s="17"/>
      <c r="J18" s="17"/>
    </row>
    <row r="19" spans="2:10">
      <c r="B19" s="7">
        <v>15</v>
      </c>
      <c r="C19" s="8" t="str">
        <f>IF(Setting!J20="","",Setting!J20)</f>
        <v>Haidar Rafif Hibatulloh</v>
      </c>
      <c r="D19" s="9">
        <f>IF(Setting!K20="","",Setting!K20)</f>
        <v>2008132</v>
      </c>
      <c r="E19" s="17" t="s">
        <v>330</v>
      </c>
      <c r="F19" s="17" t="s">
        <v>331</v>
      </c>
      <c r="G19" s="17" t="s">
        <v>332</v>
      </c>
      <c r="H19" s="17"/>
      <c r="I19" s="17"/>
      <c r="J19" s="17"/>
    </row>
    <row r="20" spans="2:10">
      <c r="B20" s="7">
        <v>16</v>
      </c>
      <c r="C20" s="8" t="str">
        <f>IF(Setting!J21="","",Setting!J21)</f>
        <v>Kelvin Oktabrian Ramadhan</v>
      </c>
      <c r="D20" s="9">
        <f>IF(Setting!K21="","",Setting!K21)</f>
        <v>2008169</v>
      </c>
      <c r="E20" s="17" t="s">
        <v>330</v>
      </c>
      <c r="F20" s="17" t="s">
        <v>331</v>
      </c>
      <c r="G20" s="17" t="s">
        <v>332</v>
      </c>
      <c r="H20" s="17"/>
      <c r="I20" s="17"/>
      <c r="J20" s="17"/>
    </row>
    <row r="21" spans="2:10">
      <c r="B21" s="7">
        <v>17</v>
      </c>
      <c r="C21" s="8" t="str">
        <f>IF(Setting!J22="","",Setting!J22)</f>
        <v>Mohamad Khoiril Afwa</v>
      </c>
      <c r="D21" s="9">
        <f>IF(Setting!K22="","",Setting!K22)</f>
        <v>2008197</v>
      </c>
      <c r="E21" s="17" t="s">
        <v>330</v>
      </c>
      <c r="F21" s="17" t="s">
        <v>331</v>
      </c>
      <c r="G21" s="17" t="s">
        <v>332</v>
      </c>
      <c r="H21" s="17"/>
      <c r="I21" s="17"/>
      <c r="J21" s="17"/>
    </row>
    <row r="22" spans="2:10">
      <c r="B22" s="7">
        <v>18</v>
      </c>
      <c r="C22" s="8" t="str">
        <f>IF(Setting!J23="","",Setting!J23)</f>
        <v>Muhammad Hanif Pearlyaradja</v>
      </c>
      <c r="D22" s="9">
        <f>IF(Setting!K23="","",Setting!K23)</f>
        <v>2008214</v>
      </c>
      <c r="E22" s="17" t="s">
        <v>330</v>
      </c>
      <c r="F22" s="17" t="s">
        <v>331</v>
      </c>
      <c r="G22" s="17" t="s">
        <v>332</v>
      </c>
      <c r="H22" s="17"/>
      <c r="I22" s="17"/>
      <c r="J22" s="17"/>
    </row>
    <row r="23" spans="2:10">
      <c r="B23" s="7">
        <v>19</v>
      </c>
      <c r="C23" s="8" t="str">
        <f>IF(Setting!J24="","",Setting!J24)</f>
        <v>Muhammad Maurel Han</v>
      </c>
      <c r="D23" s="9">
        <f>IF(Setting!K24="","",Setting!K24)</f>
        <v>2008218</v>
      </c>
      <c r="E23" s="17" t="s">
        <v>330</v>
      </c>
      <c r="F23" s="17" t="s">
        <v>331</v>
      </c>
      <c r="G23" s="17" t="s">
        <v>332</v>
      </c>
      <c r="H23" s="17"/>
      <c r="I23" s="17"/>
      <c r="J23" s="17"/>
    </row>
    <row r="24" spans="2:10">
      <c r="B24" s="7">
        <v>20</v>
      </c>
      <c r="C24" s="8" t="str">
        <f>IF(Setting!J25="","",Setting!J25)</f>
        <v>Muhammad Niam Masykuri</v>
      </c>
      <c r="D24" s="9">
        <f>IF(Setting!K25="","",Setting!K25)</f>
        <v>2008220</v>
      </c>
      <c r="E24" s="17" t="s">
        <v>330</v>
      </c>
      <c r="F24" s="17" t="s">
        <v>331</v>
      </c>
      <c r="G24" s="17" t="s">
        <v>332</v>
      </c>
      <c r="H24" s="17"/>
      <c r="I24" s="17"/>
      <c r="J24" s="17"/>
    </row>
    <row r="25" spans="2:10">
      <c r="B25" s="7">
        <v>21</v>
      </c>
      <c r="C25" s="8" t="str">
        <f>IF(Setting!J26="","",Setting!J26)</f>
        <v>Muhammad Nur Arzhian Kusuma</v>
      </c>
      <c r="D25" s="9">
        <f>IF(Setting!K26="","",Setting!K26)</f>
        <v>2008221</v>
      </c>
      <c r="E25" s="17" t="s">
        <v>330</v>
      </c>
      <c r="F25" s="17" t="s">
        <v>331</v>
      </c>
      <c r="G25" s="17" t="s">
        <v>332</v>
      </c>
      <c r="H25" s="17"/>
      <c r="I25" s="17"/>
      <c r="J25" s="17"/>
    </row>
    <row r="26" spans="2:10">
      <c r="B26" s="7">
        <v>22</v>
      </c>
      <c r="C26" s="8" t="str">
        <f>IF(Setting!J27="","",Setting!J27)</f>
        <v>Muhammad Rafif Rizqullah</v>
      </c>
      <c r="D26" s="9">
        <f>IF(Setting!K27="","",Setting!K27)</f>
        <v>2008222</v>
      </c>
      <c r="E26" s="17" t="s">
        <v>330</v>
      </c>
      <c r="F26" s="17" t="s">
        <v>331</v>
      </c>
      <c r="G26" s="17" t="s">
        <v>332</v>
      </c>
      <c r="H26" s="17"/>
      <c r="I26" s="17"/>
      <c r="J26" s="17"/>
    </row>
    <row r="27" spans="2:10">
      <c r="B27" s="7">
        <v>23</v>
      </c>
      <c r="C27" s="8" t="str">
        <f>IF(Setting!J28="","",Setting!J28)</f>
        <v>Muhammad Raihan Al Faridzi</v>
      </c>
      <c r="D27" s="9">
        <f>IF(Setting!K28="","",Setting!K28)</f>
        <v>2008223</v>
      </c>
      <c r="E27" s="17" t="s">
        <v>330</v>
      </c>
      <c r="F27" s="17" t="s">
        <v>331</v>
      </c>
      <c r="G27" s="17" t="s">
        <v>332</v>
      </c>
      <c r="H27" s="17"/>
      <c r="I27" s="17"/>
      <c r="J27" s="17"/>
    </row>
    <row r="28" spans="2:10">
      <c r="B28" s="7">
        <v>24</v>
      </c>
      <c r="C28" s="8" t="str">
        <f>IF(Setting!J29="","",Setting!J29)</f>
        <v>Muhammad Rakan Hafidh Al Ghalib</v>
      </c>
      <c r="D28" s="9">
        <f>IF(Setting!K29="","",Setting!K29)</f>
        <v>2008224</v>
      </c>
      <c r="E28" s="17" t="s">
        <v>330</v>
      </c>
      <c r="F28" s="17" t="s">
        <v>331</v>
      </c>
      <c r="G28" s="17" t="s">
        <v>332</v>
      </c>
      <c r="H28" s="17"/>
      <c r="I28" s="17"/>
      <c r="J28" s="17"/>
    </row>
    <row r="29" spans="2:10">
      <c r="B29" s="7">
        <v>25</v>
      </c>
      <c r="C29" s="8" t="str">
        <f>IF(Setting!J30="","",Setting!J30)</f>
        <v>Muhammad Syamu Naufal</v>
      </c>
      <c r="D29" s="9">
        <f>IF(Setting!K30="","",Setting!K30)</f>
        <v>2008230</v>
      </c>
      <c r="E29" s="17" t="s">
        <v>330</v>
      </c>
      <c r="F29" s="17" t="s">
        <v>331</v>
      </c>
      <c r="G29" s="17" t="s">
        <v>332</v>
      </c>
      <c r="H29" s="17"/>
      <c r="I29" s="17"/>
      <c r="J29" s="17"/>
    </row>
    <row r="30" spans="2:10">
      <c r="B30" s="7">
        <v>26</v>
      </c>
      <c r="C30" s="8" t="str">
        <f>IF(Setting!J31="","",Setting!J31)</f>
        <v>Naufal Muhammad Iqbal</v>
      </c>
      <c r="D30" s="9">
        <f>IF(Setting!K31="","",Setting!K31)</f>
        <v>2008251</v>
      </c>
      <c r="E30" s="17" t="s">
        <v>330</v>
      </c>
      <c r="F30" s="17" t="s">
        <v>335</v>
      </c>
      <c r="G30" s="17" t="s">
        <v>332</v>
      </c>
      <c r="H30" s="17"/>
      <c r="I30" s="17"/>
      <c r="J30" s="17"/>
    </row>
    <row r="31" spans="2:10">
      <c r="B31" s="7">
        <v>27</v>
      </c>
      <c r="C31" s="8" t="str">
        <f>IF(Setting!J32="","",Setting!J32)</f>
        <v>Nauval Nur Mustafa</v>
      </c>
      <c r="D31" s="9">
        <f>IF(Setting!K32="","",Setting!K32)</f>
        <v>2008253</v>
      </c>
      <c r="E31" s="17" t="s">
        <v>330</v>
      </c>
      <c r="F31" s="17" t="s">
        <v>331</v>
      </c>
      <c r="G31" s="17" t="s">
        <v>332</v>
      </c>
      <c r="H31" s="17"/>
      <c r="I31" s="17"/>
      <c r="J31" s="17"/>
    </row>
    <row r="32" spans="2:10">
      <c r="B32" s="7">
        <v>28</v>
      </c>
      <c r="C32" s="8" t="str">
        <f>IF(Setting!J33="","",Setting!J33)</f>
        <v>Oriegano Kanahaya  Siagian</v>
      </c>
      <c r="D32" s="9">
        <f>IF(Setting!K33="","",Setting!K33)</f>
        <v>2008272</v>
      </c>
      <c r="E32" s="17" t="s">
        <v>330</v>
      </c>
      <c r="F32" s="17" t="s">
        <v>331</v>
      </c>
      <c r="G32" s="17" t="s">
        <v>332</v>
      </c>
      <c r="H32" s="17"/>
      <c r="I32" s="17"/>
      <c r="J32" s="17"/>
    </row>
    <row r="33" spans="2:10">
      <c r="B33" s="7">
        <v>29</v>
      </c>
      <c r="C33" s="8" t="str">
        <f>IF(Setting!J34="","",Setting!J34)</f>
        <v>Rafif Mahatma Indrastata</v>
      </c>
      <c r="D33" s="9">
        <f>IF(Setting!K34="","",Setting!K34)</f>
        <v>2008282</v>
      </c>
      <c r="E33" s="17" t="s">
        <v>330</v>
      </c>
      <c r="F33" s="17" t="s">
        <v>331</v>
      </c>
      <c r="G33" s="17" t="s">
        <v>332</v>
      </c>
      <c r="H33" s="17"/>
      <c r="I33" s="17"/>
      <c r="J33" s="17"/>
    </row>
    <row r="34" spans="2:10">
      <c r="B34" s="7">
        <v>30</v>
      </c>
      <c r="C34" s="8" t="str">
        <f>IF(Setting!J35="","",Setting!J35)</f>
        <v>Rayhan Yoga Edy Pratama</v>
      </c>
      <c r="D34" s="9">
        <f>IF(Setting!K35="","",Setting!K35)</f>
        <v>2008296</v>
      </c>
      <c r="E34" s="17" t="s">
        <v>330</v>
      </c>
      <c r="F34" s="17" t="s">
        <v>335</v>
      </c>
      <c r="G34" s="17" t="s">
        <v>332</v>
      </c>
      <c r="H34" s="17"/>
      <c r="I34" s="17"/>
      <c r="J34" s="17"/>
    </row>
    <row r="35" spans="2:10">
      <c r="B35" s="7">
        <v>31</v>
      </c>
      <c r="C35" s="8" t="str">
        <f>IF(Setting!J36="","",Setting!J36)</f>
        <v>Rusianto Munif</v>
      </c>
      <c r="D35" s="9">
        <f>IF(Setting!K36="","",Setting!K36)</f>
        <v>2008307</v>
      </c>
      <c r="E35" s="19" t="s">
        <v>330</v>
      </c>
      <c r="F35" s="17" t="s">
        <v>331</v>
      </c>
      <c r="G35" s="17" t="s">
        <v>332</v>
      </c>
      <c r="H35" s="17"/>
      <c r="I35" s="17"/>
      <c r="J35" s="17"/>
    </row>
    <row r="36" spans="2:10">
      <c r="B36" s="7">
        <v>32</v>
      </c>
      <c r="C36" s="8" t="str">
        <f>IF(Setting!J37="","",Setting!J37)</f>
        <v>Zaidan Mu'afy Althaf</v>
      </c>
      <c r="D36" s="9">
        <f>IF(Setting!K37="","",Setting!K37)</f>
        <v>2008347</v>
      </c>
      <c r="E36" s="19" t="s">
        <v>330</v>
      </c>
      <c r="F36" s="17" t="s">
        <v>331</v>
      </c>
      <c r="G36" s="17" t="s">
        <v>332</v>
      </c>
      <c r="H36" s="17"/>
      <c r="I36" s="17"/>
      <c r="J36" s="17"/>
    </row>
    <row r="37" spans="2:10">
      <c r="B37" s="7">
        <v>33</v>
      </c>
      <c r="C37" s="8" t="str">
        <f>IF(Setting!J38="","",Setting!J38)</f>
        <v/>
      </c>
      <c r="D37" s="9" t="str">
        <f>IF(Setting!K38="","",Setting!K38)</f>
        <v/>
      </c>
      <c r="E37" s="18"/>
      <c r="F37" s="17"/>
      <c r="G37" s="18"/>
      <c r="H37" s="17"/>
      <c r="I37" s="18"/>
      <c r="J37" s="18"/>
    </row>
    <row r="38" spans="2:10">
      <c r="B38" s="7">
        <v>34</v>
      </c>
      <c r="C38" s="8" t="str">
        <f>IF(Setting!J39="","",Setting!J39)</f>
        <v/>
      </c>
      <c r="D38" s="9" t="str">
        <f>IF(Setting!K39="","",Setting!K39)</f>
        <v/>
      </c>
      <c r="E38" s="18"/>
      <c r="F38" s="17"/>
      <c r="G38" s="18"/>
      <c r="H38" s="17"/>
      <c r="I38" s="18"/>
      <c r="J38" s="18"/>
    </row>
    <row r="39" spans="2:10">
      <c r="B39" s="7">
        <v>35</v>
      </c>
      <c r="C39" s="8" t="str">
        <f>IF(Setting!J40="","",Setting!J40)</f>
        <v/>
      </c>
      <c r="D39" s="9" t="str">
        <f>IF(Setting!K40="","",Setting!K40)</f>
        <v/>
      </c>
      <c r="E39" s="18"/>
      <c r="F39" s="17"/>
      <c r="G39" s="18"/>
      <c r="H39" s="17"/>
      <c r="I39" s="18"/>
      <c r="J39" s="18"/>
    </row>
    <row r="40" spans="2:10">
      <c r="B40" s="7">
        <v>36</v>
      </c>
      <c r="C40" s="8" t="str">
        <f>IF(Setting!J41="","",Setting!J41)</f>
        <v/>
      </c>
      <c r="D40" s="9" t="str">
        <f>IF(Setting!K41="","",Setting!K41)</f>
        <v/>
      </c>
      <c r="E40" s="18"/>
      <c r="F40" s="17"/>
      <c r="G40" s="18"/>
      <c r="H40" s="17"/>
      <c r="I40" s="18"/>
      <c r="J40" s="18"/>
    </row>
    <row r="41" spans="2:10">
      <c r="B41" s="7">
        <v>37</v>
      </c>
      <c r="C41" s="8" t="str">
        <f>IF(Setting!J42="","",Setting!J42)</f>
        <v/>
      </c>
      <c r="D41" s="9" t="str">
        <f>IF(Setting!K42="","",Setting!K42)</f>
        <v/>
      </c>
      <c r="E41" s="18"/>
      <c r="F41" s="17"/>
      <c r="G41" s="18"/>
      <c r="H41" s="17"/>
      <c r="I41" s="18"/>
      <c r="J41" s="18"/>
    </row>
    <row r="42" spans="2:10">
      <c r="B42" s="7">
        <v>38</v>
      </c>
      <c r="C42" s="8" t="str">
        <f>IF(Setting!J43="","",Setting!J43)</f>
        <v/>
      </c>
      <c r="D42" s="9" t="str">
        <f>IF(Setting!K43="","",Setting!K43)</f>
        <v/>
      </c>
      <c r="E42" s="18"/>
      <c r="F42" s="17"/>
      <c r="G42" s="18"/>
      <c r="H42" s="17"/>
      <c r="I42" s="18"/>
      <c r="J42" s="18"/>
    </row>
    <row r="43" spans="2:10">
      <c r="B43" s="7">
        <v>39</v>
      </c>
      <c r="C43" s="8" t="str">
        <f>IF(Setting!J44="","",Setting!J44)</f>
        <v/>
      </c>
      <c r="D43" s="9" t="str">
        <f>IF(Setting!K44="","",Setting!K44)</f>
        <v/>
      </c>
      <c r="E43" s="18"/>
      <c r="F43" s="17"/>
      <c r="G43" s="18"/>
      <c r="H43" s="17"/>
      <c r="I43" s="18"/>
      <c r="J43" s="18"/>
    </row>
    <row r="44" spans="2:10">
      <c r="B44" s="7">
        <v>40</v>
      </c>
      <c r="C44" s="8" t="str">
        <f>IF(Setting!J45="","",Setting!J45)</f>
        <v/>
      </c>
      <c r="D44" s="9" t="str">
        <f>IF(Setting!K45="","",Setting!K45)</f>
        <v/>
      </c>
      <c r="E44" s="18"/>
      <c r="F44" s="17"/>
      <c r="G44" s="18"/>
      <c r="H44" s="17"/>
      <c r="I44" s="18"/>
      <c r="J44" s="18"/>
    </row>
  </sheetData>
  <sheetProtection selectLockedCells="1"/>
  <mergeCells count="4">
    <mergeCell ref="E3:J3"/>
    <mergeCell ref="B3:B4"/>
    <mergeCell ref="C3:C4"/>
    <mergeCell ref="D3:D4"/>
  </mergeCells>
  <pageMargins left="0.7" right="0.7" top="0.75" bottom="0.75" header="0.3" footer="0.3"/>
  <pageSetup paperSize="30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Home</vt:lpstr>
      <vt:lpstr>Legger Dinas</vt:lpstr>
      <vt:lpstr>Rank</vt:lpstr>
      <vt:lpstr>Setting</vt:lpstr>
      <vt:lpstr>Raport</vt:lpstr>
      <vt:lpstr>Legger</vt:lpstr>
      <vt:lpstr>Catatan Sikap</vt:lpstr>
      <vt:lpstr>Input Nilai Sikap dan Catatan</vt:lpstr>
      <vt:lpstr>Input Ekstra</vt:lpstr>
      <vt:lpstr>Input Kehadiran</vt:lpstr>
      <vt:lpstr>Input Prestasi</vt:lpstr>
      <vt:lpstr>Sheet1</vt:lpstr>
      <vt:lpstr>'Catatan Sikap'!Print_Area</vt:lpstr>
      <vt:lpstr>Raport!Print_Area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Rudy</dc:creator>
  <cp:keywords>SMA ABBS SURAKARTA</cp:keywords>
  <cp:lastModifiedBy>acer</cp:lastModifiedBy>
  <cp:lastPrinted>2020-12-18T03:41:58Z</cp:lastPrinted>
  <dcterms:created xsi:type="dcterms:W3CDTF">2014-12-17T17:31:00Z</dcterms:created>
  <dcterms:modified xsi:type="dcterms:W3CDTF">2022-12-06T06:50:10Z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