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DE184964-3C7B-1047-B4B4-56EAE7A28A14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6" i="1" l="1"/>
  <c r="W46" i="1"/>
  <c r="V46" i="1"/>
  <c r="U46" i="1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AD6" i="3" l="1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D13" i="3"/>
  <c r="AB13" i="1"/>
  <c r="AD13" i="1"/>
  <c r="AF13" i="3" l="1"/>
  <c r="AB14" i="3" s="1"/>
  <c r="AD14" i="3"/>
  <c r="AJ13" i="3"/>
  <c r="AF13" i="1"/>
  <c r="AJ13" i="1"/>
  <c r="AJ14" i="3" l="1"/>
  <c r="AF14" i="3"/>
  <c r="AB14" i="1"/>
  <c r="AD14" i="1"/>
  <c r="AD15" i="3" l="1"/>
  <c r="AB15" i="3"/>
  <c r="AJ14" i="1"/>
  <c r="AF14" i="1"/>
  <c r="AJ15" i="3" l="1"/>
  <c r="AF15" i="3"/>
  <c r="AD15" i="1"/>
  <c r="AB15" i="1"/>
  <c r="AD16" i="3" l="1"/>
  <c r="AB16" i="3"/>
  <c r="AF15" i="1"/>
  <c r="AJ15" i="1"/>
  <c r="AF16" i="3" l="1"/>
  <c r="AD17" i="3" s="1"/>
  <c r="AB17" i="3"/>
  <c r="AJ16" i="3"/>
  <c r="AD16" i="1"/>
  <c r="AB16" i="1"/>
  <c r="AJ17" i="3" l="1"/>
  <c r="AF17" i="3"/>
  <c r="AF16" i="1"/>
  <c r="AB17" i="1" s="1"/>
  <c r="AJ16" i="1"/>
  <c r="AD18" i="3" l="1"/>
  <c r="AB18" i="3"/>
  <c r="AD17" i="1"/>
  <c r="AF17" i="1" s="1"/>
  <c r="AD18" i="1" s="1"/>
  <c r="AF18" i="3" l="1"/>
  <c r="AB19" i="3" s="1"/>
  <c r="AD19" i="3"/>
  <c r="AJ18" i="3"/>
  <c r="AJ17" i="1"/>
  <c r="AB18" i="1"/>
  <c r="AJ18" i="1" s="1"/>
  <c r="AF19" i="3" l="1"/>
  <c r="AB20" i="3" s="1"/>
  <c r="AD20" i="3"/>
  <c r="AJ19" i="3"/>
  <c r="AF18" i="1"/>
  <c r="AD19" i="1" s="1"/>
  <c r="AF20" i="3" l="1"/>
  <c r="AJ20" i="3"/>
  <c r="AB19" i="1"/>
  <c r="AF19" i="1" s="1"/>
  <c r="AD21" i="3" l="1"/>
  <c r="AB21" i="3"/>
  <c r="AJ19" i="1"/>
  <c r="AB20" i="1"/>
  <c r="AD20" i="1"/>
  <c r="AF21" i="3" l="1"/>
  <c r="AD22" i="3" s="1"/>
  <c r="AB22" i="3"/>
  <c r="AJ21" i="3"/>
  <c r="AF20" i="1"/>
  <c r="AD21" i="1" s="1"/>
  <c r="AJ20" i="1"/>
  <c r="AJ22" i="3" l="1"/>
  <c r="AF22" i="3"/>
  <c r="AB21" i="1"/>
  <c r="AF21" i="1" s="1"/>
  <c r="AB22" i="1" s="1"/>
  <c r="AD23" i="3" l="1"/>
  <c r="AB23" i="3"/>
  <c r="AD22" i="1"/>
  <c r="AF22" i="1" s="1"/>
  <c r="AD23" i="1" s="1"/>
  <c r="AJ21" i="1"/>
  <c r="AF23" i="3" l="1"/>
  <c r="AD24" i="3" s="1"/>
  <c r="AB24" i="3"/>
  <c r="AJ23" i="3"/>
  <c r="AB23" i="1"/>
  <c r="AF23" i="1" s="1"/>
  <c r="AD24" i="1" s="1"/>
  <c r="AJ22" i="1"/>
  <c r="AF24" i="3" l="1"/>
  <c r="AD25" i="3" s="1"/>
  <c r="AJ24" i="3"/>
  <c r="AJ23" i="1"/>
  <c r="AB24" i="1"/>
  <c r="AJ24" i="1" s="1"/>
  <c r="AB25" i="3" l="1"/>
  <c r="AJ25" i="3" s="1"/>
  <c r="AF24" i="1"/>
  <c r="AD25" i="1" s="1"/>
  <c r="AF25" i="3" l="1"/>
  <c r="AB26" i="3" s="1"/>
  <c r="AD26" i="3"/>
  <c r="AB25" i="1"/>
  <c r="AF25" i="1" s="1"/>
  <c r="AB26" i="1" s="1"/>
  <c r="AJ26" i="3" l="1"/>
  <c r="AF26" i="3"/>
  <c r="AB27" i="3" s="1"/>
  <c r="AD27" i="3"/>
  <c r="AD26" i="1"/>
  <c r="AF26" i="1" s="1"/>
  <c r="AB27" i="1" s="1"/>
  <c r="AJ25" i="1"/>
  <c r="AJ27" i="3" l="1"/>
  <c r="AF27" i="3"/>
  <c r="AD27" i="1"/>
  <c r="AF27" i="1" s="1"/>
  <c r="AD28" i="1" s="1"/>
  <c r="AJ26" i="1"/>
  <c r="AD28" i="3" l="1"/>
  <c r="AB28" i="3"/>
  <c r="AJ27" i="1"/>
  <c r="AB28" i="1"/>
  <c r="AJ28" i="1" s="1"/>
  <c r="AF28" i="3" l="1"/>
  <c r="AD29" i="3" s="1"/>
  <c r="AB29" i="3"/>
  <c r="AJ28" i="3"/>
  <c r="AF28" i="1"/>
  <c r="AB29" i="1" s="1"/>
  <c r="AJ29" i="3" l="1"/>
  <c r="AF29" i="3"/>
  <c r="AD29" i="1"/>
  <c r="AF29" i="1" s="1"/>
  <c r="AB30" i="3" l="1"/>
  <c r="AD30" i="3"/>
  <c r="AJ29" i="1"/>
  <c r="AB30" i="1"/>
  <c r="AD30" i="1"/>
  <c r="AJ30" i="3" l="1"/>
  <c r="AF30" i="3"/>
  <c r="AJ30" i="1"/>
  <c r="AF30" i="1"/>
  <c r="AD31" i="3" l="1"/>
  <c r="AB31" i="3"/>
  <c r="AD31" i="1"/>
  <c r="AB31" i="1"/>
  <c r="AF31" i="3" l="1"/>
  <c r="AD32" i="3" s="1"/>
  <c r="AJ31" i="3"/>
  <c r="AF31" i="1"/>
  <c r="AD32" i="1" s="1"/>
  <c r="AJ31" i="1"/>
  <c r="AB32" i="3" l="1"/>
  <c r="AF32" i="3" s="1"/>
  <c r="AB33" i="3" s="1"/>
  <c r="AB32" i="1"/>
  <c r="AF32" i="1" s="1"/>
  <c r="AB33" i="1" s="1"/>
  <c r="AJ32" i="3" l="1"/>
  <c r="AD33" i="3"/>
  <c r="AJ33" i="3" s="1"/>
  <c r="AD33" i="1"/>
  <c r="AF33" i="1" s="1"/>
  <c r="AB34" i="1" s="1"/>
  <c r="AJ32" i="1"/>
  <c r="AF33" i="3" l="1"/>
  <c r="AD34" i="3" s="1"/>
  <c r="AJ33" i="1"/>
  <c r="AD34" i="1"/>
  <c r="AF34" i="1" s="1"/>
  <c r="AB34" i="3" l="1"/>
  <c r="AF34" i="3" s="1"/>
  <c r="AB35" i="3" s="1"/>
  <c r="AD35" i="3"/>
  <c r="AJ34" i="1"/>
  <c r="AB35" i="1"/>
  <c r="AD35" i="1"/>
  <c r="AJ34" i="3" l="1"/>
  <c r="AF35" i="3"/>
  <c r="AD36" i="3" s="1"/>
  <c r="AB36" i="3"/>
  <c r="AJ35" i="3"/>
  <c r="AF35" i="1"/>
  <c r="AJ35" i="1"/>
  <c r="AJ36" i="3" l="1"/>
  <c r="AF36" i="3"/>
  <c r="AB36" i="1"/>
  <c r="AD36" i="1"/>
  <c r="AD37" i="3" l="1"/>
  <c r="AB37" i="3"/>
  <c r="AF36" i="1"/>
  <c r="AJ36" i="1"/>
  <c r="AF37" i="3" l="1"/>
  <c r="AB38" i="3" s="1"/>
  <c r="AD38" i="3"/>
  <c r="AJ37" i="3"/>
  <c r="AB37" i="1"/>
  <c r="AD37" i="1"/>
  <c r="G13" i="1"/>
  <c r="Y4" i="1"/>
  <c r="U4" i="1"/>
  <c r="K19" i="1"/>
  <c r="K17" i="1"/>
  <c r="K9" i="1"/>
  <c r="K5" i="1"/>
  <c r="AF38" i="3" l="1"/>
  <c r="AB39" i="3" s="1"/>
  <c r="AJ38" i="3"/>
  <c r="AD39" i="3"/>
  <c r="AF37" i="1"/>
  <c r="AJ37" i="1"/>
  <c r="K20" i="1"/>
  <c r="K23" i="1" s="1"/>
  <c r="AJ39" i="3" l="1"/>
  <c r="AF39" i="3"/>
  <c r="AD38" i="1"/>
  <c r="AB38" i="1"/>
  <c r="AD40" i="3" l="1"/>
  <c r="AB40" i="3"/>
  <c r="AF38" i="1"/>
  <c r="AB39" i="1" s="1"/>
  <c r="AJ38" i="1"/>
  <c r="AF40" i="3" l="1"/>
  <c r="AB41" i="3" s="1"/>
  <c r="AD41" i="3"/>
  <c r="AJ40" i="3"/>
  <c r="AD39" i="1"/>
  <c r="AF39" i="1" s="1"/>
  <c r="AF41" i="3" l="1"/>
  <c r="AB42" i="3" s="1"/>
  <c r="AJ41" i="3"/>
  <c r="AJ39" i="1"/>
  <c r="AB40" i="1"/>
  <c r="AD40" i="1"/>
  <c r="AD42" i="3" l="1"/>
  <c r="AJ42" i="3" s="1"/>
  <c r="AJ40" i="1"/>
  <c r="AF40" i="1"/>
  <c r="AF42" i="3" l="1"/>
  <c r="AB43" i="3" s="1"/>
  <c r="AD43" i="3"/>
  <c r="AD41" i="1"/>
  <c r="AB41" i="1"/>
  <c r="AF43" i="3" l="1"/>
  <c r="AB44" i="3" s="1"/>
  <c r="AD44" i="3"/>
  <c r="AJ43" i="3"/>
  <c r="AF41" i="1"/>
  <c r="AB42" i="1" s="1"/>
  <c r="AJ41" i="1"/>
  <c r="AF44" i="3" l="1"/>
  <c r="C15" i="3" s="1"/>
  <c r="K5" i="3" s="1"/>
  <c r="K6" i="3" s="1"/>
  <c r="AJ44" i="3"/>
  <c r="AD42" i="1"/>
  <c r="AJ42" i="1" s="1"/>
  <c r="G25" i="3" l="1"/>
  <c r="G24" i="3"/>
  <c r="G23" i="3"/>
  <c r="G20" i="3"/>
  <c r="G22" i="3"/>
  <c r="G4" i="3"/>
  <c r="G19" i="3" s="1"/>
  <c r="G31" i="3"/>
  <c r="G5" i="3"/>
  <c r="G21" i="3"/>
  <c r="K7" i="3"/>
  <c r="K8" i="3" s="1"/>
  <c r="K12" i="3" s="1"/>
  <c r="AF42" i="1"/>
  <c r="AD43" i="1" s="1"/>
  <c r="G34" i="3" l="1"/>
  <c r="G35" i="3"/>
  <c r="G18" i="3"/>
  <c r="G33" i="3" s="1"/>
  <c r="K18" i="3"/>
  <c r="K13" i="3"/>
  <c r="K17" i="3" s="1"/>
  <c r="K19" i="3" s="1"/>
  <c r="AB43" i="1"/>
  <c r="AJ43" i="1" s="1"/>
  <c r="K20" i="3" l="1"/>
  <c r="T4" i="3" s="1"/>
  <c r="K22" i="3"/>
  <c r="K25" i="3" s="1"/>
  <c r="K27" i="3" s="1"/>
  <c r="AF43" i="1"/>
  <c r="AB44" i="1" s="1"/>
  <c r="V4" i="3" l="1"/>
  <c r="X4" i="3" s="1"/>
  <c r="S5" i="3" s="1"/>
  <c r="T5" i="3" s="1"/>
  <c r="R4" i="3"/>
  <c r="AD44" i="1"/>
  <c r="AJ44" i="1" s="1"/>
  <c r="W4" i="3" l="1"/>
  <c r="Q5" i="3" s="1"/>
  <c r="R5" i="3" s="1"/>
  <c r="AF44" i="1"/>
  <c r="Y5" i="3" l="1"/>
  <c r="U5" i="3"/>
  <c r="V5" i="3" s="1"/>
  <c r="X5" i="3" s="1"/>
  <c r="S6" i="3" s="1"/>
  <c r="T6" i="3" s="1"/>
  <c r="C20" i="1"/>
  <c r="K6" i="1" s="1"/>
  <c r="G5" i="1" l="1"/>
  <c r="W5" i="3"/>
  <c r="Q6" i="3" s="1"/>
  <c r="R6" i="3" s="1"/>
  <c r="G28" i="1"/>
  <c r="G26" i="1"/>
  <c r="G27" i="1"/>
  <c r="G22" i="1"/>
  <c r="K4" i="1"/>
  <c r="K10" i="1" s="1"/>
  <c r="G21" i="1"/>
  <c r="G34" i="1"/>
  <c r="G25" i="1"/>
  <c r="G20" i="1"/>
  <c r="K7" i="1" l="1"/>
  <c r="K8" i="1" s="1"/>
  <c r="Y6" i="3"/>
  <c r="U6" i="3"/>
  <c r="V6" i="3" s="1"/>
  <c r="W6" i="3" s="1"/>
  <c r="Q7" i="3" s="1"/>
  <c r="R7" i="3" s="1"/>
  <c r="G38" i="1"/>
  <c r="G37" i="1"/>
  <c r="K11" i="1" l="1"/>
  <c r="X6" i="3"/>
  <c r="S7" i="3" s="1"/>
  <c r="Y7" i="3" s="1"/>
  <c r="K12" i="1" l="1"/>
  <c r="K18" i="1" s="1"/>
  <c r="K21" i="1" s="1"/>
  <c r="T4" i="1" s="1"/>
  <c r="K13" i="1"/>
  <c r="T7" i="3"/>
  <c r="U7" i="3"/>
  <c r="V7" i="3" s="1"/>
  <c r="W7" i="3" s="1"/>
  <c r="Q8" i="3" s="1"/>
  <c r="R8" i="3" s="1"/>
  <c r="V4" i="1" l="1"/>
  <c r="X4" i="1" s="1"/>
  <c r="S5" i="1" s="1"/>
  <c r="T5" i="1" s="1"/>
  <c r="R4" i="1"/>
  <c r="K26" i="1"/>
  <c r="K28" i="1" s="1"/>
  <c r="X7" i="3"/>
  <c r="S8" i="3" s="1"/>
  <c r="Y8" i="3" s="1"/>
  <c r="W4" i="1" l="1"/>
  <c r="Q5" i="1" s="1"/>
  <c r="U5" i="1" s="1"/>
  <c r="V5" i="1" s="1"/>
  <c r="X5" i="1" s="1"/>
  <c r="S6" i="1" s="1"/>
  <c r="T6" i="1" s="1"/>
  <c r="U8" i="3"/>
  <c r="V8" i="3" s="1"/>
  <c r="W8" i="3" s="1"/>
  <c r="Q9" i="3" s="1"/>
  <c r="R9" i="3" s="1"/>
  <c r="T8" i="3"/>
  <c r="R5" i="1" l="1"/>
  <c r="W5" i="1" s="1"/>
  <c r="Q6" i="1" s="1"/>
  <c r="Y5" i="1"/>
  <c r="X8" i="3"/>
  <c r="S9" i="3" s="1"/>
  <c r="Y9" i="3" s="1"/>
  <c r="R6" i="1" l="1"/>
  <c r="Y6" i="1"/>
  <c r="U6" i="1"/>
  <c r="V6" i="1" s="1"/>
  <c r="U9" i="3"/>
  <c r="V9" i="3" s="1"/>
  <c r="W9" i="3" s="1"/>
  <c r="Q10" i="3" s="1"/>
  <c r="T9" i="3"/>
  <c r="W6" i="1" l="1"/>
  <c r="Q7" i="1" s="1"/>
  <c r="R7" i="1" s="1"/>
  <c r="X6" i="1"/>
  <c r="S7" i="1" s="1"/>
  <c r="T7" i="1" s="1"/>
  <c r="R10" i="3"/>
  <c r="X9" i="3"/>
  <c r="S10" i="3" s="1"/>
  <c r="U7" i="1" l="1"/>
  <c r="V7" i="1" s="1"/>
  <c r="W7" i="1" s="1"/>
  <c r="Q8" i="1" s="1"/>
  <c r="R8" i="1" s="1"/>
  <c r="Y7" i="1"/>
  <c r="T10" i="3"/>
  <c r="Y10" i="3"/>
  <c r="U10" i="3"/>
  <c r="X7" i="1" l="1"/>
  <c r="S8" i="1" s="1"/>
  <c r="T8" i="1" s="1"/>
  <c r="V10" i="3"/>
  <c r="W10" i="3" s="1"/>
  <c r="Q11" i="3" s="1"/>
  <c r="Y8" i="1" l="1"/>
  <c r="U8" i="1"/>
  <c r="V8" i="1" s="1"/>
  <c r="X8" i="1" s="1"/>
  <c r="S9" i="1" s="1"/>
  <c r="T9" i="1" s="1"/>
  <c r="R11" i="3"/>
  <c r="X10" i="3"/>
  <c r="S11" i="3" s="1"/>
  <c r="W8" i="1" l="1"/>
  <c r="Q9" i="1" s="1"/>
  <c r="R9" i="1" s="1"/>
  <c r="T11" i="3"/>
  <c r="Y11" i="3"/>
  <c r="U11" i="3"/>
  <c r="Y9" i="1" l="1"/>
  <c r="U9" i="1"/>
  <c r="V9" i="1" s="1"/>
  <c r="W9" i="1" s="1"/>
  <c r="Q10" i="1" s="1"/>
  <c r="R10" i="1" s="1"/>
  <c r="V11" i="3"/>
  <c r="W11" i="3" s="1"/>
  <c r="Q12" i="3" s="1"/>
  <c r="X9" i="1" l="1"/>
  <c r="S10" i="1" s="1"/>
  <c r="U10" i="1" s="1"/>
  <c r="V10" i="1" s="1"/>
  <c r="W10" i="1" s="1"/>
  <c r="Q11" i="1" s="1"/>
  <c r="R11" i="1" s="1"/>
  <c r="R12" i="3"/>
  <c r="X11" i="3"/>
  <c r="S12" i="3" s="1"/>
  <c r="T10" i="1" l="1"/>
  <c r="X10" i="1" s="1"/>
  <c r="S11" i="1" s="1"/>
  <c r="U11" i="1" s="1"/>
  <c r="V11" i="1" s="1"/>
  <c r="W11" i="1" s="1"/>
  <c r="Q12" i="1" s="1"/>
  <c r="Y10" i="1"/>
  <c r="T12" i="3"/>
  <c r="Y12" i="3"/>
  <c r="U12" i="3"/>
  <c r="T11" i="1" l="1"/>
  <c r="X11" i="1" s="1"/>
  <c r="S12" i="1" s="1"/>
  <c r="T12" i="1" s="1"/>
  <c r="Y11" i="1"/>
  <c r="V12" i="3"/>
  <c r="W12" i="3" s="1"/>
  <c r="Q13" i="3" s="1"/>
  <c r="R12" i="1"/>
  <c r="R13" i="3" l="1"/>
  <c r="X12" i="3"/>
  <c r="S13" i="3" s="1"/>
  <c r="U12" i="1"/>
  <c r="V12" i="1" s="1"/>
  <c r="X12" i="1" s="1"/>
  <c r="S13" i="1" s="1"/>
  <c r="Y12" i="1"/>
  <c r="T13" i="3" l="1"/>
  <c r="Y13" i="3"/>
  <c r="U13" i="3"/>
  <c r="T13" i="1"/>
  <c r="W12" i="1"/>
  <c r="Q13" i="1" s="1"/>
  <c r="Y13" i="1" s="1"/>
  <c r="V13" i="3" l="1"/>
  <c r="X13" i="3" s="1"/>
  <c r="S14" i="3" s="1"/>
  <c r="R13" i="1"/>
  <c r="U13" i="1"/>
  <c r="V13" i="1" s="1"/>
  <c r="X13" i="1" s="1"/>
  <c r="S14" i="1" s="1"/>
  <c r="W13" i="3" l="1"/>
  <c r="Q14" i="3" s="1"/>
  <c r="Y14" i="3" s="1"/>
  <c r="T14" i="3"/>
  <c r="T14" i="1"/>
  <c r="W13" i="1"/>
  <c r="Q14" i="1" s="1"/>
  <c r="U14" i="3" l="1"/>
  <c r="V14" i="3" s="1"/>
  <c r="R14" i="3"/>
  <c r="U14" i="1"/>
  <c r="V14" i="1" s="1"/>
  <c r="X14" i="1" s="1"/>
  <c r="S15" i="1" s="1"/>
  <c r="R14" i="1"/>
  <c r="Y14" i="1"/>
  <c r="W14" i="3" l="1"/>
  <c r="Q15" i="3" s="1"/>
  <c r="R15" i="3" s="1"/>
  <c r="X14" i="3"/>
  <c r="S15" i="3" s="1"/>
  <c r="W14" i="1"/>
  <c r="Q15" i="1" s="1"/>
  <c r="Y15" i="1" s="1"/>
  <c r="T15" i="1"/>
  <c r="T15" i="3" l="1"/>
  <c r="Y15" i="3"/>
  <c r="U15" i="3"/>
  <c r="U15" i="1"/>
  <c r="V15" i="1" s="1"/>
  <c r="X15" i="1" s="1"/>
  <c r="S16" i="1" s="1"/>
  <c r="R15" i="1"/>
  <c r="V15" i="3" l="1"/>
  <c r="W15" i="3" s="1"/>
  <c r="Q16" i="3" s="1"/>
  <c r="T16" i="1"/>
  <c r="W15" i="1"/>
  <c r="Q16" i="1" s="1"/>
  <c r="R16" i="3" l="1"/>
  <c r="X15" i="3"/>
  <c r="S16" i="3" s="1"/>
  <c r="R16" i="1"/>
  <c r="U16" i="1"/>
  <c r="V16" i="1" s="1"/>
  <c r="X16" i="1" s="1"/>
  <c r="S17" i="1" s="1"/>
  <c r="Y16" i="1"/>
  <c r="T16" i="3" l="1"/>
  <c r="Y16" i="3"/>
  <c r="U16" i="3"/>
  <c r="T17" i="1"/>
  <c r="W16" i="1"/>
  <c r="Q17" i="1" s="1"/>
  <c r="V16" i="3" l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G9" i="1" s="1"/>
  <c r="V34" i="1"/>
  <c r="V29" i="3" l="1"/>
  <c r="X29" i="3" s="1"/>
  <c r="S30" i="3" s="1"/>
  <c r="W34" i="1"/>
  <c r="X34" i="1"/>
  <c r="G12" i="1"/>
  <c r="G17" i="1" s="1"/>
  <c r="G19" i="1"/>
  <c r="G18" i="1"/>
  <c r="T30" i="3" l="1"/>
  <c r="W29" i="3"/>
  <c r="Q30" i="3" s="1"/>
  <c r="G36" i="1"/>
  <c r="G35" i="1"/>
  <c r="G29" i="1"/>
  <c r="R30" i="3" l="1"/>
  <c r="U30" i="3"/>
  <c r="Y30" i="3"/>
  <c r="G39" i="1"/>
  <c r="AG4" i="1"/>
  <c r="AE4" i="1"/>
  <c r="AC4" i="1"/>
  <c r="G30" i="1"/>
  <c r="V30" i="3" l="1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G9" i="3" s="1"/>
  <c r="Y34" i="3"/>
  <c r="V34" i="3" l="1"/>
  <c r="X34" i="3" s="1"/>
  <c r="W34" i="3" l="1"/>
  <c r="G12" i="3" l="1"/>
  <c r="G17" i="3" s="1"/>
  <c r="G32" i="3" l="1"/>
  <c r="G36" i="3" s="1"/>
  <c r="G26" i="3"/>
  <c r="AG4" i="3" l="1"/>
  <c r="AE4" i="3"/>
  <c r="AC4" i="3"/>
  <c r="G27" i="3"/>
</calcChain>
</file>

<file path=xl/sharedStrings.xml><?xml version="1.0" encoding="utf-8"?>
<sst xmlns="http://schemas.openxmlformats.org/spreadsheetml/2006/main" count="323" uniqueCount="141">
  <si>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</si>
  <si>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</si>
  <si>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</si>
  <si>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</si>
  <si>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</si>
  <si>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</si>
  <si>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</si>
  <si>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</si>
  <si>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</si>
  <si>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</si>
  <si>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</si>
  <si>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</si>
  <si>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</si>
  <si>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</si>
  <si>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</si>
  <si>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</si>
  <si>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</si>
  <si>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</si>
  <si>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</si>
  <si>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</si>
  <si>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</si>
  <si>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</si>
  <si>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</si>
  <si>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</si>
  <si>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</si>
  <si>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</si>
  <si>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</si>
  <si>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</si>
  <si>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</si>
  <si>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</si>
  <si>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</si>
  <si>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</si>
  <si>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</si>
  <si>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</si>
  <si>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</si>
  <si>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</si>
  <si>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</si>
  <si>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</si>
  <si>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</si>
  <si>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</si>
  <si>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</si>
  <si>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</si>
  <si>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</si>
  <si>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</si>
  <si>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</si>
  <si>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</si>
  <si>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</si>
  <si>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</si>
  <si>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</si>
  <si>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</si>
  <si>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</si>
  <si>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</si>
  <si>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</si>
  <si>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</si>
  <si>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</si>
  <si>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</si>
  <si>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</si>
  <si>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</si>
  <si>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</si>
  <si>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</si>
  <si>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</si>
  <si>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</si>
  <si>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</si>
  <si>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</si>
  <si>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</si>
  <si>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</si>
  <si>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</si>
  <si>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</si>
  <si>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</si>
  <si>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</si>
  <si>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</si>
  <si>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</si>
  <si>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</si>
  <si>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</si>
  <si>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</si>
  <si>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</si>
  <si>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</si>
  <si>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</si>
  <si>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</si>
  <si>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</si>
  <si>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</si>
  <si>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</si>
  <si>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</si>
  <si>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</si>
  <si>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</si>
  <si>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</si>
  <si>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</si>
  <si>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</si>
  <si>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</si>
  <si>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</si>
  <si>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</si>
  <si>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</si>
  <si>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</si>
  <si>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</si>
  <si>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</si>
  <si>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</si>
  <si>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</si>
  <si>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</si>
  <si>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</si>
  <si>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</si>
  <si>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</si>
  <si>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</si>
  <si>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</si>
  <si>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</si>
  <si>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</si>
  <si>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</si>
  <si>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</si>
  <si>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</si>
  <si>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</si>
  <si>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</si>
  <si>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</si>
  <si>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</si>
  <si>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</si>
  <si>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</si>
  <si>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</si>
  <si>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</si>
  <si>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</si>
  <si>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</si>
  <si>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</si>
  <si>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</si>
  <si>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thrust</t>
  </si>
  <si>
    <t>n_rotor</t>
  </si>
  <si>
    <t>P_motor</t>
  </si>
  <si>
    <t>kW</t>
  </si>
  <si>
    <t>W_rotor+hubs</t>
  </si>
  <si>
    <t>W_motor</t>
  </si>
  <si>
    <t>W_motor_controller</t>
  </si>
  <si>
    <t>lb</t>
  </si>
  <si>
    <t>technology_factor</t>
  </si>
  <si>
    <t>RPM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</si>
  <si>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</si>
  <si>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</si>
  <si>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</si>
  <si>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</si>
  <si>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</si>
  <si>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</si>
  <si>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</si>
  <si>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</si>
  <si>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</si>
  <si>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S</t>
  </si>
  <si>
    <t>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</si>
</sst>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multirotor!$F$31:$F$35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multirotor!$G$31:$G$35</c:f>
              <c:numCache>
                <c:formatCode>General</c:formatCode>
                <c:ptCount val="5"/>
                <c:pt idx="0">
                  <c:v>32.049999999999997</c:v>
                </c:pt>
                <c:pt idx="1">
                  <c:v>38.909999999999997</c:v>
                </c:pt>
                <c:pt idx="2">
                  <c:v>9.14</c:v>
                </c:pt>
                <c:pt idx="3">
                  <c:v>14.03</c:v>
                </c:pt>
                <c:pt idx="4">
                  <c:v>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'lift+cruise'!$G$34:$G$38</c:f>
              <c:numCache>
                <c:formatCode>General</c:formatCode>
                <c:ptCount val="5"/>
                <c:pt idx="0">
                  <c:v>33.369999999999997</c:v>
                </c:pt>
                <c:pt idx="1">
                  <c:v>17.57</c:v>
                </c:pt>
                <c:pt idx="2">
                  <c:v>11.01</c:v>
                </c:pt>
                <c:pt idx="3">
                  <c:v>32.18</c:v>
                </c:pt>
                <c:pt idx="4">
                  <c:v>5.86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N8" sqref="N8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19" t="s">
        <v>0</v>
      </c>
      <c r="C1" s="19"/>
      <c r="D1" s="19"/>
    </row>
    <row r="2" spans="2:36" x14ac:dyDescent="0.2">
      <c r="P2" s="6" t="s">
        <v>75</v>
      </c>
      <c r="AA2" s="6" t="s">
        <v>117</v>
      </c>
    </row>
    <row r="3" spans="2:36" x14ac:dyDescent="0.2">
      <c r="B3" s="20" t="s">
        <v>111</v>
      </c>
      <c r="C3" s="21"/>
      <c r="D3" s="21"/>
      <c r="F3" s="20" t="s">
        <v>33</v>
      </c>
      <c r="G3" s="21"/>
      <c r="H3" s="21"/>
      <c r="J3" s="22" t="s">
        <v>45</v>
      </c>
      <c r="K3" s="22"/>
      <c r="L3" s="22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205115.18178619703</v>
      </c>
      <c r="H4" t="s">
        <v>35</v>
      </c>
      <c r="J4" t="s">
        <v>47</v>
      </c>
      <c r="K4">
        <f xml:space="preserve"> 0.5 * $C$26 * $C$17^2</f>
        <v>551.25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0.10194559945418491</v>
      </c>
      <c r="S4" s="9">
        <v>1</v>
      </c>
      <c r="T4" s="8">
        <f xml:space="preserve"> $C$18 * TAN($K$17) + $K$20 / (2 * SQRT($C$18^2 + S4^2)) - S4</f>
        <v>-0.93695702544108994</v>
      </c>
      <c r="U4" s="8">
        <f xml:space="preserve"> (Q4 + S4)/2</f>
        <v>0.5</v>
      </c>
      <c r="V4" s="8">
        <f xml:space="preserve"> $C$18 * TAN($K$17) + $K$20 / (2 * SQRT($C$18^2 + U4^2)) - U4</f>
        <v>-0.42455735918318133</v>
      </c>
      <c r="W4" s="8">
        <f>R4*V4</f>
        <v>-4.3281754484615118E-2</v>
      </c>
      <c r="X4" s="8">
        <f>T4*V4</f>
        <v>0.39779200038939799</v>
      </c>
      <c r="Y4" s="8">
        <f>S4-Q4</f>
        <v>1</v>
      </c>
      <c r="AA4" s="8">
        <v>0</v>
      </c>
      <c r="AB4" s="8"/>
      <c r="AC4" s="8">
        <f>G26</f>
        <v>1.4108536561252549E-10</v>
      </c>
      <c r="AD4" s="8"/>
      <c r="AE4" s="8">
        <f>G26</f>
        <v>1.4108536561252549E-10</v>
      </c>
      <c r="AF4" s="8"/>
      <c r="AG4" s="8">
        <f>G26</f>
        <v>1.4108536561252549E-10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1749.3102309301814</v>
      </c>
      <c r="H5" t="s">
        <v>37</v>
      </c>
      <c r="J5" t="s">
        <v>67</v>
      </c>
      <c r="K5">
        <f xml:space="preserve"> 0.0327 * ($C$15*2.20462)^0.8903 * 0.3048^2</f>
        <v>3.506549074876264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0.10194559945418491</v>
      </c>
      <c r="S5" s="8">
        <f>IF(X4&gt;0, U4, S4)</f>
        <v>0.5</v>
      </c>
      <c r="T5" s="8">
        <f t="shared" ref="T5:T34" si="1" xml:space="preserve"> $C$18 * TAN($K$17) + $K$20 / (2 * SQRT($C$18^2 + S5^2)) - S5</f>
        <v>-0.42455735918318133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-0.16070685808562851</v>
      </c>
      <c r="W5" s="8">
        <f t="shared" ref="W5:W34" si="4">R5*V5</f>
        <v>-1.6383356983938023E-2</v>
      </c>
      <c r="X5" s="8">
        <f t="shared" ref="X5:X34" si="5">T5*V5</f>
        <v>6.8229279271460733E-2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/>
        <v>-264.34947063042887</v>
      </c>
      <c r="AD5" s="9">
        <v>2500</v>
      </c>
      <c r="AE5" s="8">
        <f t="dataTable" ref="AE5:AE44" dt2D="0" dtr="0" r1="C15" ca="1"/>
        <v>59.019351225829723</v>
      </c>
      <c r="AF5" s="8">
        <f>(AB5+AD5)/2</f>
        <v>1500</v>
      </c>
      <c r="AG5" s="8">
        <f t="dataTable" ref="AG5:AG44" dt2D="0" dtr="0" r1="C15" ca="1"/>
        <v>48.370255085541658</v>
      </c>
      <c r="AH5" s="8">
        <f>AC5*AG5</f>
        <v>-12786.651326121748</v>
      </c>
      <c r="AI5" s="8">
        <f>AE5*AG5</f>
        <v>2854.7810737765594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0.11073107509144248</v>
      </c>
      <c r="P6" s="8">
        <v>2</v>
      </c>
      <c r="Q6" s="8">
        <f t="shared" ref="Q6:Q34" si="7">IF(W5&gt;0, U5, Q5)</f>
        <v>0</v>
      </c>
      <c r="R6" s="8">
        <f t="shared" si="0"/>
        <v>0.10194559945418491</v>
      </c>
      <c r="S6" s="8">
        <f t="shared" ref="S6:S34" si="8">IF(X5&gt;0, U5, S5)</f>
        <v>0.25</v>
      </c>
      <c r="T6" s="8">
        <f t="shared" si="1"/>
        <v>-0.16070685808562851</v>
      </c>
      <c r="U6" s="8">
        <f t="shared" si="2"/>
        <v>0.125</v>
      </c>
      <c r="V6" s="8">
        <f t="shared" si="3"/>
        <v>-2.7253517543744693E-2</v>
      </c>
      <c r="W6" s="8">
        <f t="shared" si="4"/>
        <v>-2.778376183232198E-3</v>
      </c>
      <c r="X6" s="8">
        <f t="shared" si="5"/>
        <v>4.379827176236765E-3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-264.34947063042887</v>
      </c>
      <c r="AD6" s="8">
        <f>IF(AI5&gt;0, AF5, AD5)</f>
        <v>1500</v>
      </c>
      <c r="AE6" s="8">
        <v>48.370255085541658</v>
      </c>
      <c r="AF6" s="8">
        <f t="shared" ref="AF6:AF44" si="9">(AB6+AD6)/2</f>
        <v>1000</v>
      </c>
      <c r="AG6" s="8">
        <v>-67.094962559569922</v>
      </c>
      <c r="AH6" s="8">
        <f t="shared" ref="AH6:AH44" si="10">AC6*AG6</f>
        <v>17736.517834590755</v>
      </c>
      <c r="AI6" s="8">
        <f t="shared" ref="AI6:AI44" si="11">AE6*AG6</f>
        <v>-3245.4004539612642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0" t="s">
        <v>38</v>
      </c>
      <c r="G7" s="21"/>
      <c r="H7" s="21"/>
      <c r="J7" t="s">
        <v>69</v>
      </c>
      <c r="K7">
        <f xml:space="preserve"> K4 * K5</f>
        <v>1932.9851775255406</v>
      </c>
      <c r="L7" t="s">
        <v>37</v>
      </c>
      <c r="P7" s="8">
        <v>3</v>
      </c>
      <c r="Q7" s="8">
        <f t="shared" si="7"/>
        <v>0</v>
      </c>
      <c r="R7" s="8">
        <f t="shared" si="0"/>
        <v>0.10194559945418491</v>
      </c>
      <c r="S7" s="8">
        <f t="shared" si="8"/>
        <v>0.125</v>
      </c>
      <c r="T7" s="8">
        <f t="shared" si="1"/>
        <v>-2.7253517543744693E-2</v>
      </c>
      <c r="U7" s="8">
        <f t="shared" si="2"/>
        <v>6.25E-2</v>
      </c>
      <c r="V7" s="8">
        <f t="shared" si="3"/>
        <v>3.8298171656185737E-2</v>
      </c>
      <c r="W7" s="8">
        <f t="shared" si="4"/>
        <v>3.9043300674891286E-3</v>
      </c>
      <c r="X7" s="8">
        <f t="shared" si="5"/>
        <v>-1.0437598931252038E-3</v>
      </c>
      <c r="Y7" s="8">
        <f t="shared" si="6"/>
        <v>0.125</v>
      </c>
      <c r="AA7" s="8">
        <v>3</v>
      </c>
      <c r="AB7" s="8">
        <f t="shared" ref="AB7:AB44" si="13">IF(AH6&gt;0, AF6, AB6)</f>
        <v>1000</v>
      </c>
      <c r="AC7" s="8">
        <v>-67.094962559569922</v>
      </c>
      <c r="AD7" s="8">
        <f t="shared" ref="AD7:AD44" si="14">IF(AI6&gt;0, AF6, AD6)</f>
        <v>1500</v>
      </c>
      <c r="AE7" s="8">
        <v>48.370255085541658</v>
      </c>
      <c r="AF7" s="8">
        <f t="shared" si="9"/>
        <v>1250</v>
      </c>
      <c r="AG7" s="8">
        <v>0.40757394959246085</v>
      </c>
      <c r="AH7" s="8">
        <f t="shared" si="10"/>
        <v>-27.346158888162201</v>
      </c>
      <c r="AI7" s="8">
        <f t="shared" si="11"/>
        <v>19.714455908009029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21260.758915039496</v>
      </c>
      <c r="H8" t="s">
        <v>35</v>
      </c>
      <c r="J8" t="s">
        <v>72</v>
      </c>
      <c r="K8">
        <f xml:space="preserve"> K7</f>
        <v>1932.9851775255406</v>
      </c>
      <c r="L8" t="s">
        <v>37</v>
      </c>
      <c r="P8" s="8">
        <v>4</v>
      </c>
      <c r="Q8" s="8">
        <f t="shared" si="7"/>
        <v>6.25E-2</v>
      </c>
      <c r="R8" s="8">
        <f t="shared" si="0"/>
        <v>3.8298171656185737E-2</v>
      </c>
      <c r="S8" s="8">
        <f t="shared" si="8"/>
        <v>0.125</v>
      </c>
      <c r="T8" s="8">
        <f t="shared" si="1"/>
        <v>-2.7253517543744693E-2</v>
      </c>
      <c r="U8" s="8">
        <f t="shared" si="2"/>
        <v>9.375E-2</v>
      </c>
      <c r="V8" s="8">
        <f t="shared" si="3"/>
        <v>5.7107287804548518E-3</v>
      </c>
      <c r="W8" s="8">
        <f t="shared" si="4"/>
        <v>2.1871047111578015E-4</v>
      </c>
      <c r="X8" s="8">
        <f t="shared" si="5"/>
        <v>-1.5563744700569404E-4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-67.094962559569922</v>
      </c>
      <c r="AD8" s="8">
        <f t="shared" si="14"/>
        <v>1250</v>
      </c>
      <c r="AE8" s="8">
        <v>0.40757394959246085</v>
      </c>
      <c r="AF8" s="8">
        <f t="shared" si="9"/>
        <v>1125</v>
      </c>
      <c r="AG8" s="8">
        <v>-30.85714489922043</v>
      </c>
      <c r="AH8" s="8">
        <f t="shared" si="10"/>
        <v>2070.3589817084189</v>
      </c>
      <c r="AI8" s="8">
        <f t="shared" si="11"/>
        <v>-12.576568419722127</v>
      </c>
      <c r="AJ8" s="8">
        <f t="shared" si="12"/>
        <v>250</v>
      </c>
    </row>
    <row r="9" spans="2:36" x14ac:dyDescent="0.2">
      <c r="B9" s="20" t="s">
        <v>8</v>
      </c>
      <c r="C9" s="21"/>
      <c r="D9" s="21"/>
      <c r="F9" s="4" t="s">
        <v>40</v>
      </c>
      <c r="G9">
        <f>$C$5 * G8</f>
        <v>148825.31240527646</v>
      </c>
      <c r="H9" t="s">
        <v>35</v>
      </c>
      <c r="P9" s="8">
        <v>5</v>
      </c>
      <c r="Q9" s="8">
        <f t="shared" si="7"/>
        <v>9.375E-2</v>
      </c>
      <c r="R9" s="8">
        <f t="shared" si="0"/>
        <v>5.7107287804548518E-3</v>
      </c>
      <c r="S9" s="8">
        <f t="shared" si="8"/>
        <v>0.125</v>
      </c>
      <c r="T9" s="8">
        <f t="shared" si="1"/>
        <v>-2.7253517543744693E-2</v>
      </c>
      <c r="U9" s="8">
        <f t="shared" si="2"/>
        <v>0.109375</v>
      </c>
      <c r="V9" s="8">
        <f t="shared" si="3"/>
        <v>-1.073160447124602E-2</v>
      </c>
      <c r="W9" s="8">
        <f t="shared" si="4"/>
        <v>-6.1285282514402612E-5</v>
      </c>
      <c r="X9" s="8">
        <f t="shared" si="5"/>
        <v>2.9247397072963238E-4</v>
      </c>
      <c r="Y9" s="8">
        <f t="shared" si="6"/>
        <v>3.125E-2</v>
      </c>
      <c r="AA9" s="8">
        <v>5</v>
      </c>
      <c r="AB9" s="8">
        <f t="shared" si="13"/>
        <v>1125</v>
      </c>
      <c r="AC9" s="8">
        <v>-30.85714489922043</v>
      </c>
      <c r="AD9" s="8">
        <f t="shared" si="14"/>
        <v>1250</v>
      </c>
      <c r="AE9" s="8">
        <v>0.40757394959246085</v>
      </c>
      <c r="AF9" s="8">
        <f t="shared" si="9"/>
        <v>1187.5</v>
      </c>
      <c r="AG9" s="8">
        <v>-14.608656807266243</v>
      </c>
      <c r="AH9" s="8">
        <f t="shared" si="10"/>
        <v>450.78143988479735</v>
      </c>
      <c r="AI9" s="8">
        <f t="shared" si="11"/>
        <v>-5.9541079531782914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9.375E-2</v>
      </c>
      <c r="R10" s="8">
        <f t="shared" si="0"/>
        <v>5.7107287804548518E-3</v>
      </c>
      <c r="S10" s="8">
        <f t="shared" si="8"/>
        <v>0.109375</v>
      </c>
      <c r="T10" s="8">
        <f t="shared" si="1"/>
        <v>-1.073160447124602E-2</v>
      </c>
      <c r="U10" s="8">
        <f t="shared" si="2"/>
        <v>0.1015625</v>
      </c>
      <c r="V10" s="8">
        <f t="shared" si="3"/>
        <v>-2.499560981782209E-3</v>
      </c>
      <c r="W10" s="8">
        <f t="shared" si="4"/>
        <v>-1.4274314837165647E-5</v>
      </c>
      <c r="X10" s="8">
        <f t="shared" si="5"/>
        <v>2.6824299808246045E-5</v>
      </c>
      <c r="Y10" s="8">
        <f t="shared" si="6"/>
        <v>1.5625E-2</v>
      </c>
      <c r="AA10" s="8">
        <v>6</v>
      </c>
      <c r="AB10" s="8">
        <f t="shared" si="13"/>
        <v>1187.5</v>
      </c>
      <c r="AC10" s="8">
        <v>-14.608656807266243</v>
      </c>
      <c r="AD10" s="8">
        <f t="shared" si="14"/>
        <v>1250</v>
      </c>
      <c r="AE10" s="8">
        <v>0.40757394959246085</v>
      </c>
      <c r="AF10" s="8">
        <f t="shared" si="9"/>
        <v>1218.75</v>
      </c>
      <c r="AG10" s="8">
        <v>-6.9471938893836978</v>
      </c>
      <c r="AH10" s="8">
        <f t="shared" si="10"/>
        <v>101.4891713035436</v>
      </c>
      <c r="AI10" s="8">
        <f t="shared" si="11"/>
        <v>-2.8314952520807233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0" t="s">
        <v>41</v>
      </c>
      <c r="G11" s="21"/>
      <c r="H11" s="21"/>
      <c r="J11" s="20" t="s">
        <v>114</v>
      </c>
      <c r="K11" s="24"/>
      <c r="L11" s="24"/>
      <c r="P11" s="8">
        <v>7</v>
      </c>
      <c r="Q11" s="8">
        <f t="shared" si="7"/>
        <v>9.375E-2</v>
      </c>
      <c r="R11" s="8">
        <f t="shared" si="0"/>
        <v>5.7107287804548518E-3</v>
      </c>
      <c r="S11" s="8">
        <f t="shared" si="8"/>
        <v>0.1015625</v>
      </c>
      <c r="T11" s="8">
        <f t="shared" si="1"/>
        <v>-2.499560981782209E-3</v>
      </c>
      <c r="U11" s="8">
        <f t="shared" si="2"/>
        <v>9.765625E-2</v>
      </c>
      <c r="V11" s="8">
        <f t="shared" si="3"/>
        <v>1.6084188940824196E-3</v>
      </c>
      <c r="W11" s="8">
        <f t="shared" si="4"/>
        <v>9.1852440694638372E-6</v>
      </c>
      <c r="X11" s="8">
        <f t="shared" si="5"/>
        <v>-4.0203411100097075E-6</v>
      </c>
      <c r="Y11" s="8">
        <f t="shared" si="6"/>
        <v>7.8125E-3</v>
      </c>
      <c r="AA11" s="8">
        <v>7</v>
      </c>
      <c r="AB11" s="8">
        <f t="shared" si="13"/>
        <v>1218.75</v>
      </c>
      <c r="AC11" s="8">
        <v>-6.9471938893836978</v>
      </c>
      <c r="AD11" s="8">
        <f t="shared" si="14"/>
        <v>1250</v>
      </c>
      <c r="AE11" s="8">
        <v>0.40757394959246085</v>
      </c>
      <c r="AF11" s="8">
        <f t="shared" si="9"/>
        <v>1234.375</v>
      </c>
      <c r="AG11" s="8">
        <v>-3.2315603835213551</v>
      </c>
      <c r="AH11" s="8">
        <f t="shared" si="10"/>
        <v>22.450276549573996</v>
      </c>
      <c r="AI11" s="8">
        <f t="shared" si="11"/>
        <v>-1.3170998288583262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82574.953047448536</v>
      </c>
      <c r="H12" t="s">
        <v>43</v>
      </c>
      <c r="J12" t="s">
        <v>115</v>
      </c>
      <c r="K12">
        <f xml:space="preserve"> SQRT( ($C$15*$C$27)^2 + K8^2)</f>
        <v>12396.800378095417</v>
      </c>
      <c r="L12" t="s">
        <v>37</v>
      </c>
      <c r="P12" s="8">
        <v>8</v>
      </c>
      <c r="Q12" s="8">
        <f t="shared" si="7"/>
        <v>9.765625E-2</v>
      </c>
      <c r="R12" s="8">
        <f t="shared" si="0"/>
        <v>1.6084188940824196E-3</v>
      </c>
      <c r="S12" s="8">
        <f t="shared" si="8"/>
        <v>0.1015625</v>
      </c>
      <c r="T12" s="8">
        <f t="shared" si="1"/>
        <v>-2.499560981782209E-3</v>
      </c>
      <c r="U12" s="8">
        <f t="shared" si="2"/>
        <v>9.9609375E-2</v>
      </c>
      <c r="V12" s="8">
        <f t="shared" si="3"/>
        <v>-4.4487672031645609E-4</v>
      </c>
      <c r="W12" s="8">
        <f t="shared" si="4"/>
        <v>-7.155481224944082E-7</v>
      </c>
      <c r="X12" s="8">
        <f t="shared" si="5"/>
        <v>1.1119964918062502E-6</v>
      </c>
      <c r="Y12" s="8">
        <f t="shared" si="6"/>
        <v>3.90625E-3</v>
      </c>
      <c r="AA12" s="8">
        <v>8</v>
      </c>
      <c r="AB12" s="8">
        <f t="shared" si="13"/>
        <v>1234.375</v>
      </c>
      <c r="AC12" s="8">
        <v>-3.2315603835213551</v>
      </c>
      <c r="AD12" s="8">
        <f t="shared" si="14"/>
        <v>1250</v>
      </c>
      <c r="AE12" s="8">
        <v>0.40757394959246085</v>
      </c>
      <c r="AF12" s="8">
        <f t="shared" si="9"/>
        <v>1242.1875</v>
      </c>
      <c r="AG12" s="8">
        <v>-1.402440095083648</v>
      </c>
      <c r="AH12" s="8">
        <f t="shared" si="10"/>
        <v>4.5320698515342395</v>
      </c>
      <c r="AI12" s="8">
        <f t="shared" si="11"/>
        <v>-0.57159804862006869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1666.6666666666667</v>
      </c>
      <c r="H13" t="s">
        <v>26</v>
      </c>
      <c r="J13" t="s">
        <v>116</v>
      </c>
      <c r="K13">
        <f>$C$15*$C$27/K12</f>
        <v>0.98776871797886912</v>
      </c>
      <c r="P13" s="8">
        <v>9</v>
      </c>
      <c r="Q13" s="8">
        <f t="shared" si="7"/>
        <v>9.765625E-2</v>
      </c>
      <c r="R13" s="8">
        <f t="shared" si="0"/>
        <v>1.6084188940824196E-3</v>
      </c>
      <c r="S13" s="8">
        <f t="shared" si="8"/>
        <v>9.9609375E-2</v>
      </c>
      <c r="T13" s="8">
        <f t="shared" si="1"/>
        <v>-4.4487672031645609E-4</v>
      </c>
      <c r="U13" s="8">
        <f t="shared" si="2"/>
        <v>9.86328125E-2</v>
      </c>
      <c r="V13" s="8">
        <f t="shared" si="3"/>
        <v>5.8194647467829652E-4</v>
      </c>
      <c r="W13" s="8">
        <f t="shared" si="4"/>
        <v>9.3601370521722845E-7</v>
      </c>
      <c r="X13" s="8">
        <f t="shared" si="5"/>
        <v>-2.588944390546041E-7</v>
      </c>
      <c r="Y13" s="8">
        <f t="shared" si="6"/>
        <v>1.953125E-3</v>
      </c>
      <c r="AA13" s="8">
        <v>9</v>
      </c>
      <c r="AB13" s="8">
        <f t="shared" si="13"/>
        <v>1242.1875</v>
      </c>
      <c r="AC13" s="8">
        <v>-1.402440095083648</v>
      </c>
      <c r="AD13" s="8">
        <f t="shared" si="14"/>
        <v>1250</v>
      </c>
      <c r="AE13" s="8">
        <v>0.40757394959246085</v>
      </c>
      <c r="AF13" s="8">
        <f t="shared" si="9"/>
        <v>1246.09375</v>
      </c>
      <c r="AG13" s="8">
        <v>-0.4950497100415987</v>
      </c>
      <c r="AH13" s="8">
        <f t="shared" si="10"/>
        <v>0.694277562421872</v>
      </c>
      <c r="AI13" s="8">
        <f t="shared" si="11"/>
        <v>-0.20176936556625691</v>
      </c>
      <c r="AJ13" s="8">
        <f t="shared" si="12"/>
        <v>7.8125</v>
      </c>
    </row>
    <row r="14" spans="2:36" x14ac:dyDescent="0.2">
      <c r="B14" s="22" t="s">
        <v>13</v>
      </c>
      <c r="C14" s="22"/>
      <c r="D14" s="22"/>
      <c r="P14" s="8">
        <v>10</v>
      </c>
      <c r="Q14" s="8">
        <f t="shared" si="7"/>
        <v>9.86328125E-2</v>
      </c>
      <c r="R14" s="8">
        <f t="shared" si="0"/>
        <v>5.8194647467829652E-4</v>
      </c>
      <c r="S14" s="8">
        <f t="shared" si="8"/>
        <v>9.9609375E-2</v>
      </c>
      <c r="T14" s="8">
        <f t="shared" si="1"/>
        <v>-4.4487672031645609E-4</v>
      </c>
      <c r="U14" s="8">
        <f t="shared" si="2"/>
        <v>9.912109375E-2</v>
      </c>
      <c r="V14" s="8">
        <f t="shared" si="3"/>
        <v>6.8578498475302396E-5</v>
      </c>
      <c r="W14" s="8">
        <f t="shared" si="4"/>
        <v>3.9909015426433164E-8</v>
      </c>
      <c r="X14" s="8">
        <f t="shared" si="5"/>
        <v>-3.0508977485919616E-8</v>
      </c>
      <c r="Y14" s="8">
        <f t="shared" si="6"/>
        <v>9.765625E-4</v>
      </c>
      <c r="AA14" s="8">
        <v>10</v>
      </c>
      <c r="AB14" s="8">
        <f t="shared" si="13"/>
        <v>1246.09375</v>
      </c>
      <c r="AC14" s="8">
        <v>-0.4950497100415987</v>
      </c>
      <c r="AD14" s="8">
        <f t="shared" si="14"/>
        <v>1250</v>
      </c>
      <c r="AE14" s="8">
        <v>0.40757394959246085</v>
      </c>
      <c r="AF14" s="8">
        <f t="shared" si="9"/>
        <v>1248.046875</v>
      </c>
      <c r="AG14" s="8">
        <v>-4.3142598953409106E-2</v>
      </c>
      <c r="AH14" s="8">
        <f t="shared" si="10"/>
        <v>2.1357731102326156E-2</v>
      </c>
      <c r="AI14" s="8">
        <f t="shared" si="11"/>
        <v>-1.7583799451124517E-2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1248.2336000521173</v>
      </c>
      <c r="D15" s="3" t="s">
        <v>14</v>
      </c>
      <c r="P15" s="8">
        <v>11</v>
      </c>
      <c r="Q15" s="8">
        <f t="shared" si="7"/>
        <v>9.912109375E-2</v>
      </c>
      <c r="R15" s="8">
        <f t="shared" si="0"/>
        <v>6.8578498475302396E-5</v>
      </c>
      <c r="S15" s="8">
        <f t="shared" si="8"/>
        <v>9.9609375E-2</v>
      </c>
      <c r="T15" s="8">
        <f t="shared" si="1"/>
        <v>-4.4487672031645609E-4</v>
      </c>
      <c r="U15" s="8">
        <f t="shared" si="2"/>
        <v>9.9365234375E-2</v>
      </c>
      <c r="V15" s="8">
        <f t="shared" si="3"/>
        <v>-1.8813823382304862E-4</v>
      </c>
      <c r="W15" s="8">
        <f t="shared" si="4"/>
        <v>-1.2902237581380025E-8</v>
      </c>
      <c r="X15" s="8">
        <f t="shared" si="5"/>
        <v>8.3698320429328412E-8</v>
      </c>
      <c r="Y15" s="8">
        <f t="shared" si="6"/>
        <v>4.8828125E-4</v>
      </c>
      <c r="AA15" s="8">
        <v>11</v>
      </c>
      <c r="AB15" s="8">
        <f t="shared" si="13"/>
        <v>1248.046875</v>
      </c>
      <c r="AC15" s="8">
        <v>-4.3142598953409106E-2</v>
      </c>
      <c r="AD15" s="8">
        <f t="shared" si="14"/>
        <v>1250</v>
      </c>
      <c r="AE15" s="8">
        <v>0.40757394959246085</v>
      </c>
      <c r="AF15" s="8">
        <f t="shared" si="9"/>
        <v>1249.0234375</v>
      </c>
      <c r="AG15" s="8">
        <v>0.18236448695699892</v>
      </c>
      <c r="AH15" s="8">
        <f t="shared" si="10"/>
        <v>-7.8676779241300104E-3</v>
      </c>
      <c r="AI15" s="8">
        <f t="shared" si="11"/>
        <v>7.4327014214466858E-2</v>
      </c>
      <c r="AJ15" s="8">
        <f t="shared" si="12"/>
        <v>1.953125</v>
      </c>
    </row>
    <row r="16" spans="2:36" x14ac:dyDescent="0.2">
      <c r="B16" t="s">
        <v>15</v>
      </c>
      <c r="C16" s="1">
        <v>1.2</v>
      </c>
      <c r="D16" t="s">
        <v>16</v>
      </c>
      <c r="F16" s="20" t="s">
        <v>86</v>
      </c>
      <c r="G16" s="20"/>
      <c r="H16" s="20"/>
      <c r="J16" s="20" t="s">
        <v>50</v>
      </c>
      <c r="K16" s="24"/>
      <c r="L16" s="24"/>
      <c r="P16" s="8">
        <v>12</v>
      </c>
      <c r="Q16" s="8">
        <f t="shared" si="7"/>
        <v>9.912109375E-2</v>
      </c>
      <c r="R16" s="8">
        <f t="shared" si="0"/>
        <v>6.8578498475302396E-5</v>
      </c>
      <c r="S16" s="8">
        <f t="shared" si="8"/>
        <v>9.9365234375E-2</v>
      </c>
      <c r="T16" s="8">
        <f t="shared" si="1"/>
        <v>-1.8813823382304862E-4</v>
      </c>
      <c r="U16" s="8">
        <f t="shared" si="2"/>
        <v>9.92431640625E-2</v>
      </c>
      <c r="V16" s="8">
        <f t="shared" si="3"/>
        <v>-5.9777144870404308E-5</v>
      </c>
      <c r="W16" s="8">
        <f t="shared" si="4"/>
        <v>-4.0994268383529525E-9</v>
      </c>
      <c r="X16" s="8">
        <f t="shared" si="5"/>
        <v>1.1246366458902376E-8</v>
      </c>
      <c r="Y16" s="8">
        <f t="shared" si="6"/>
        <v>2.44140625E-4</v>
      </c>
      <c r="AA16" s="8">
        <v>12</v>
      </c>
      <c r="AB16" s="8">
        <f t="shared" si="13"/>
        <v>1248.046875</v>
      </c>
      <c r="AC16" s="8">
        <v>-4.3142598953409106E-2</v>
      </c>
      <c r="AD16" s="8">
        <f t="shared" si="14"/>
        <v>1249.0234375</v>
      </c>
      <c r="AE16" s="8">
        <v>0.18236448695699892</v>
      </c>
      <c r="AF16" s="8">
        <f t="shared" si="9"/>
        <v>1248.53515625</v>
      </c>
      <c r="AG16" s="8">
        <v>6.9650118018557805E-2</v>
      </c>
      <c r="AH16" s="8">
        <f t="shared" si="10"/>
        <v>-3.0048871087322527E-3</v>
      </c>
      <c r="AI16" s="8">
        <f t="shared" si="11"/>
        <v>1.270170803894872E-2</v>
      </c>
      <c r="AJ16" s="8">
        <f t="shared" si="12"/>
        <v>0.9765625</v>
      </c>
    </row>
    <row r="17" spans="2:36" x14ac:dyDescent="0.2">
      <c r="B17" t="s">
        <v>18</v>
      </c>
      <c r="C17" s="1">
        <v>30</v>
      </c>
      <c r="D17" t="s">
        <v>19</v>
      </c>
      <c r="F17" s="16" t="s">
        <v>87</v>
      </c>
      <c r="G17">
        <f xml:space="preserve"> G12 / ($C$10 * $C$11 * $C$12)</f>
        <v>485.73501792616787</v>
      </c>
      <c r="H17" t="s">
        <v>14</v>
      </c>
      <c r="J17" t="s">
        <v>51</v>
      </c>
      <c r="K17">
        <f xml:space="preserve"> ACOS(K13)</f>
        <v>0.15656498786335904</v>
      </c>
      <c r="L17" t="s">
        <v>52</v>
      </c>
      <c r="P17" s="8">
        <v>13</v>
      </c>
      <c r="Q17" s="8">
        <f t="shared" si="7"/>
        <v>9.912109375E-2</v>
      </c>
      <c r="R17" s="8">
        <f t="shared" si="0"/>
        <v>6.8578498475302396E-5</v>
      </c>
      <c r="S17" s="8">
        <f t="shared" si="8"/>
        <v>9.92431640625E-2</v>
      </c>
      <c r="T17" s="8">
        <f t="shared" si="1"/>
        <v>-5.9777144870404308E-5</v>
      </c>
      <c r="U17" s="8">
        <f t="shared" si="2"/>
        <v>9.918212890625E-2</v>
      </c>
      <c r="V17" s="8">
        <f t="shared" si="3"/>
        <v>4.401357944383566E-6</v>
      </c>
      <c r="W17" s="8">
        <f t="shared" si="4"/>
        <v>3.0183851907816846E-10</v>
      </c>
      <c r="X17" s="8">
        <f t="shared" si="5"/>
        <v>-2.6310061146792131E-10</v>
      </c>
      <c r="Y17" s="8">
        <f t="shared" si="6"/>
        <v>1.220703125E-4</v>
      </c>
      <c r="AA17" s="8">
        <v>13</v>
      </c>
      <c r="AB17" s="8">
        <f t="shared" si="13"/>
        <v>1248.046875</v>
      </c>
      <c r="AC17" s="8">
        <v>-4.3142598953409106E-2</v>
      </c>
      <c r="AD17" s="8">
        <f t="shared" si="14"/>
        <v>1248.53515625</v>
      </c>
      <c r="AE17" s="8">
        <v>6.9650118018557805E-2</v>
      </c>
      <c r="AF17" s="8">
        <f t="shared" si="9"/>
        <v>1248.291015625</v>
      </c>
      <c r="AG17" s="8">
        <v>1.3263060459507869E-2</v>
      </c>
      <c r="AH17" s="8">
        <f t="shared" si="10"/>
        <v>-5.7220289829936594E-4</v>
      </c>
      <c r="AI17" s="8">
        <f t="shared" si="11"/>
        <v>9.2377372629199065E-4</v>
      </c>
      <c r="AJ17" s="8">
        <f t="shared" si="12"/>
        <v>0.48828125</v>
      </c>
    </row>
    <row r="18" spans="2:36" x14ac:dyDescent="0.2">
      <c r="B18" t="s">
        <v>113</v>
      </c>
      <c r="C18" s="1">
        <v>0.3</v>
      </c>
      <c r="F18" s="12" t="s">
        <v>88</v>
      </c>
      <c r="G18">
        <f xml:space="preserve"> $C$5 * 0.144 * (2*$C$16*3.28084 * (G4*0.00134102/$C$5) * 4^0.5)^0.782 * 0.453592</f>
        <v>69.683003690574409</v>
      </c>
      <c r="H18" t="s">
        <v>14</v>
      </c>
      <c r="J18" t="s">
        <v>36</v>
      </c>
      <c r="K18">
        <f xml:space="preserve"> K12 / $C$5</f>
        <v>1770.9714825850594</v>
      </c>
      <c r="L18" t="s">
        <v>37</v>
      </c>
      <c r="P18" s="8">
        <v>14</v>
      </c>
      <c r="Q18" s="8">
        <f t="shared" si="7"/>
        <v>9.918212890625E-2</v>
      </c>
      <c r="R18" s="8">
        <f t="shared" si="0"/>
        <v>4.401357944383566E-6</v>
      </c>
      <c r="S18" s="8">
        <f t="shared" si="8"/>
        <v>9.92431640625E-2</v>
      </c>
      <c r="T18" s="8">
        <f t="shared" si="1"/>
        <v>-5.9777144870404308E-5</v>
      </c>
      <c r="U18" s="8">
        <f t="shared" si="2"/>
        <v>9.9212646484375E-2</v>
      </c>
      <c r="V18" s="8">
        <f t="shared" si="3"/>
        <v>-2.7687723232652783E-5</v>
      </c>
      <c r="W18" s="8">
        <f t="shared" si="4"/>
        <v>-1.2186358061192977E-10</v>
      </c>
      <c r="X18" s="8">
        <f t="shared" si="5"/>
        <v>1.6550930428099446E-9</v>
      </c>
      <c r="Y18" s="8">
        <f t="shared" si="6"/>
        <v>6.103515625E-5</v>
      </c>
      <c r="AA18" s="8">
        <v>14</v>
      </c>
      <c r="AB18" s="8">
        <f t="shared" si="13"/>
        <v>1248.046875</v>
      </c>
      <c r="AC18" s="8">
        <v>-4.3142598953409106E-2</v>
      </c>
      <c r="AD18" s="8">
        <f t="shared" si="14"/>
        <v>1248.291015625</v>
      </c>
      <c r="AE18" s="8">
        <v>1.3263060459507869E-2</v>
      </c>
      <c r="AF18" s="8">
        <f t="shared" si="9"/>
        <v>1248.1689453125</v>
      </c>
      <c r="AG18" s="8">
        <v>-1.4935474596654785E-2</v>
      </c>
      <c r="AH18" s="8">
        <f t="shared" si="10"/>
        <v>6.4435519070230702E-4</v>
      </c>
      <c r="AI18" s="8">
        <f t="shared" si="11"/>
        <v>-1.9809010256687632E-4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0.188 * (G4/1000) + 5.836</f>
        <v>44.397654175805044</v>
      </c>
      <c r="H19" t="s">
        <v>14</v>
      </c>
      <c r="J19" t="s">
        <v>53</v>
      </c>
      <c r="K19">
        <f xml:space="preserve"> $C$17 * COS(K17) / ($C$18 * $C$16)</f>
        <v>82.314059831572436</v>
      </c>
      <c r="L19" t="s">
        <v>54</v>
      </c>
      <c r="P19" s="8">
        <v>15</v>
      </c>
      <c r="Q19" s="8">
        <f t="shared" si="7"/>
        <v>9.918212890625E-2</v>
      </c>
      <c r="R19" s="8">
        <f t="shared" si="0"/>
        <v>4.401357944383566E-6</v>
      </c>
      <c r="S19" s="8">
        <f t="shared" si="8"/>
        <v>9.9212646484375E-2</v>
      </c>
      <c r="T19" s="8">
        <f t="shared" si="1"/>
        <v>-2.7687723232652783E-5</v>
      </c>
      <c r="U19" s="8">
        <f t="shared" si="2"/>
        <v>9.91973876953125E-2</v>
      </c>
      <c r="V19" s="8">
        <f t="shared" si="3"/>
        <v>-1.1643140079647951E-5</v>
      </c>
      <c r="W19" s="8">
        <f t="shared" si="4"/>
        <v>-5.1245627087129215E-11</v>
      </c>
      <c r="X19" s="8">
        <f t="shared" si="5"/>
        <v>3.2237204008429935E-10</v>
      </c>
      <c r="Y19" s="8">
        <f t="shared" si="6"/>
        <v>3.0517578125E-5</v>
      </c>
      <c r="AA19" s="8">
        <v>15</v>
      </c>
      <c r="AB19" s="8">
        <f t="shared" si="13"/>
        <v>1248.1689453125</v>
      </c>
      <c r="AC19" s="8">
        <v>-1.4935474596654785E-2</v>
      </c>
      <c r="AD19" s="8">
        <f t="shared" si="14"/>
        <v>1248.291015625</v>
      </c>
      <c r="AE19" s="8">
        <v>1.3263060459507869E-2</v>
      </c>
      <c r="AF19" s="8">
        <f t="shared" si="9"/>
        <v>1248.22998046875</v>
      </c>
      <c r="AG19" s="8">
        <v>-8.3562570671347203E-4</v>
      </c>
      <c r="AH19" s="8">
        <f t="shared" si="10"/>
        <v>1.2480466514930763E-5</v>
      </c>
      <c r="AI19" s="8">
        <f t="shared" si="11"/>
        <v>-1.1082954269659771E-5</v>
      </c>
      <c r="AJ19" s="8">
        <f t="shared" si="12"/>
        <v>0.1220703125</v>
      </c>
    </row>
    <row r="20" spans="2:36" x14ac:dyDescent="0.2">
      <c r="B20" s="22" t="s">
        <v>23</v>
      </c>
      <c r="C20" s="22"/>
      <c r="D20" s="22"/>
      <c r="F20" s="14" t="s">
        <v>97</v>
      </c>
      <c r="G20">
        <f xml:space="preserve"> 14.86 * ($C$15*2.20462)^0.144 * (6.7/(PI()*1.8))^0.778 * (6.7*3.28084)^0.383 * 4^0.455 * 0.453592</f>
        <v>147.65177305694664</v>
      </c>
      <c r="H20" t="s">
        <v>14</v>
      </c>
      <c r="J20" t="s">
        <v>56</v>
      </c>
      <c r="K20">
        <f xml:space="preserve"> K18 / ($C$26 * PI() * $C$16^2 * K19^2 * $C$16^2)</f>
        <v>3.2753112583850968E-2</v>
      </c>
      <c r="P20" s="8">
        <v>16</v>
      </c>
      <c r="Q20" s="8">
        <f t="shared" si="7"/>
        <v>9.918212890625E-2</v>
      </c>
      <c r="R20" s="8">
        <f t="shared" si="0"/>
        <v>4.401357944383566E-6</v>
      </c>
      <c r="S20" s="8">
        <f t="shared" si="8"/>
        <v>9.91973876953125E-2</v>
      </c>
      <c r="T20" s="8">
        <f t="shared" si="1"/>
        <v>-1.1643140079647951E-5</v>
      </c>
      <c r="U20" s="8">
        <f t="shared" si="2"/>
        <v>9.918975830078125E-2</v>
      </c>
      <c r="V20" s="8">
        <f t="shared" si="3"/>
        <v>-3.620880425658779E-6</v>
      </c>
      <c r="W20" s="8">
        <f t="shared" si="4"/>
        <v>-1.5936790827136213E-11</v>
      </c>
      <c r="X20" s="8">
        <f t="shared" si="5"/>
        <v>4.2158418007600463E-11</v>
      </c>
      <c r="Y20" s="8">
        <f t="shared" si="6"/>
        <v>1.52587890625E-5</v>
      </c>
      <c r="AA20" s="8">
        <v>16</v>
      </c>
      <c r="AB20" s="8">
        <f t="shared" si="13"/>
        <v>1248.22998046875</v>
      </c>
      <c r="AC20" s="8">
        <v>-8.3562570671347203E-4</v>
      </c>
      <c r="AD20" s="8">
        <f t="shared" si="14"/>
        <v>1248.291015625</v>
      </c>
      <c r="AE20" s="8">
        <v>1.3263060459507869E-2</v>
      </c>
      <c r="AF20" s="8">
        <f t="shared" si="9"/>
        <v>1248.260498046875</v>
      </c>
      <c r="AG20" s="8">
        <v>6.21386271677693E-3</v>
      </c>
      <c r="AH20" s="8">
        <f t="shared" si="10"/>
        <v>-5.1924634241272177E-6</v>
      </c>
      <c r="AI20" s="8">
        <f t="shared" si="11"/>
        <v>8.2414836899694254E-5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98</v>
      </c>
      <c r="G21">
        <f xml:space="preserve"> 0.054 * (0.7*3.28084)^0.501 * ($C$15*2.20462*5.7)^0.684 * 0.453592</f>
        <v>27.522433467817535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9.918212890625E-2</v>
      </c>
      <c r="R21" s="8">
        <f t="shared" si="0"/>
        <v>4.401357944383566E-6</v>
      </c>
      <c r="S21" s="8">
        <f t="shared" si="8"/>
        <v>9.918975830078125E-2</v>
      </c>
      <c r="T21" s="8">
        <f t="shared" si="1"/>
        <v>-3.620880425658779E-6</v>
      </c>
      <c r="U21" s="8">
        <f t="shared" si="2"/>
        <v>9.9185943603515625E-2</v>
      </c>
      <c r="V21" s="8">
        <f t="shared" si="3"/>
        <v>3.9024141997023865E-7</v>
      </c>
      <c r="W21" s="8">
        <f t="shared" si="4"/>
        <v>1.7175921740135334E-12</v>
      </c>
      <c r="X21" s="8">
        <f t="shared" si="5"/>
        <v>-1.4130175188515241E-12</v>
      </c>
      <c r="Y21" s="8">
        <f t="shared" si="6"/>
        <v>7.62939453125E-6</v>
      </c>
      <c r="AA21" s="8">
        <v>17</v>
      </c>
      <c r="AB21" s="8">
        <f t="shared" si="13"/>
        <v>1248.22998046875</v>
      </c>
      <c r="AC21" s="8">
        <v>-8.3562570671347203E-4</v>
      </c>
      <c r="AD21" s="8">
        <f t="shared" si="14"/>
        <v>1248.260498046875</v>
      </c>
      <c r="AE21" s="8">
        <v>6.21386271677693E-3</v>
      </c>
      <c r="AF21" s="8">
        <f t="shared" si="9"/>
        <v>1248.2452392578125</v>
      </c>
      <c r="AG21" s="8">
        <v>2.6891548400271859E-3</v>
      </c>
      <c r="AH21" s="8">
        <f t="shared" si="10"/>
        <v>-2.2471269136596711E-6</v>
      </c>
      <c r="AI21" s="8">
        <f t="shared" si="11"/>
        <v>1.6710039000085158E-5</v>
      </c>
      <c r="AJ21" s="8">
        <f t="shared" si="12"/>
        <v>3.0517578125E-2</v>
      </c>
    </row>
    <row r="22" spans="2:36" x14ac:dyDescent="0.2">
      <c r="B22" t="s">
        <v>24</v>
      </c>
      <c r="C22" s="1">
        <v>50000</v>
      </c>
      <c r="D22" t="s">
        <v>16</v>
      </c>
      <c r="F22" s="15" t="s">
        <v>101</v>
      </c>
      <c r="G22">
        <f xml:space="preserve"> 0.0268 * $C$15</f>
        <v>33.452660481396741</v>
      </c>
      <c r="H22" t="s">
        <v>14</v>
      </c>
      <c r="J22" t="s">
        <v>57</v>
      </c>
      <c r="K22">
        <f xml:space="preserve"> ($C$6 * K21 / 8) * (1 + 4.65 *$C$18^ 2) * ( PI() * $C$26 * K19^3 *$C$16^ 5)</f>
        <v>1477.3323557059282</v>
      </c>
      <c r="L22" t="s">
        <v>35</v>
      </c>
      <c r="P22" s="8">
        <v>18</v>
      </c>
      <c r="Q22" s="8">
        <f t="shared" si="7"/>
        <v>9.9185943603515625E-2</v>
      </c>
      <c r="R22" s="8">
        <f t="shared" si="0"/>
        <v>3.9024141997023865E-7</v>
      </c>
      <c r="S22" s="8">
        <f t="shared" si="8"/>
        <v>9.918975830078125E-2</v>
      </c>
      <c r="T22" s="8">
        <f t="shared" si="1"/>
        <v>-3.620880425658779E-6</v>
      </c>
      <c r="U22" s="8">
        <f t="shared" si="2"/>
        <v>9.9187850952148438E-2</v>
      </c>
      <c r="V22" s="8">
        <f t="shared" si="3"/>
        <v>-1.6153188377027172E-6</v>
      </c>
      <c r="W22" s="8">
        <f t="shared" si="4"/>
        <v>-6.3036431692978383E-13</v>
      </c>
      <c r="X22" s="8">
        <f t="shared" si="5"/>
        <v>5.8488763606356592E-12</v>
      </c>
      <c r="Y22" s="8">
        <f t="shared" si="6"/>
        <v>3.814697265625E-6</v>
      </c>
      <c r="AA22" s="8">
        <v>18</v>
      </c>
      <c r="AB22" s="8">
        <f t="shared" si="13"/>
        <v>1248.22998046875</v>
      </c>
      <c r="AC22" s="8">
        <v>-8.3562570671347203E-4</v>
      </c>
      <c r="AD22" s="8">
        <f t="shared" si="14"/>
        <v>1248.2452392578125</v>
      </c>
      <c r="AE22" s="8">
        <v>2.6891548400271859E-3</v>
      </c>
      <c r="AF22" s="8">
        <f t="shared" si="9"/>
        <v>1248.2376098632812</v>
      </c>
      <c r="AG22" s="8">
        <v>9.2480413229623082E-4</v>
      </c>
      <c r="AH22" s="8">
        <f t="shared" si="10"/>
        <v>-7.7279010662157717E-7</v>
      </c>
      <c r="AI22" s="8">
        <f t="shared" si="11"/>
        <v>2.4869415084415512E-6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5" t="s">
        <v>102</v>
      </c>
      <c r="G23">
        <f xml:space="preserve"> 11.5 * ($C$15*2.20462/1000)^0.4 * 0.453592</f>
        <v>7.8201497823223827</v>
      </c>
      <c r="H23" t="s">
        <v>14</v>
      </c>
      <c r="J23" t="s">
        <v>58</v>
      </c>
      <c r="K23" s="5">
        <f>U34</f>
        <v>9.9186314735561609E-2</v>
      </c>
      <c r="P23" s="8">
        <v>19</v>
      </c>
      <c r="Q23" s="8">
        <f t="shared" si="7"/>
        <v>9.9185943603515625E-2</v>
      </c>
      <c r="R23" s="8">
        <f t="shared" si="0"/>
        <v>3.9024141997023865E-7</v>
      </c>
      <c r="S23" s="8">
        <f t="shared" si="8"/>
        <v>9.9187850952148438E-2</v>
      </c>
      <c r="T23" s="8">
        <f t="shared" si="1"/>
        <v>-1.6153188377027172E-6</v>
      </c>
      <c r="U23" s="8">
        <f t="shared" si="2"/>
        <v>9.9186897277832031E-2</v>
      </c>
      <c r="V23" s="8">
        <f t="shared" si="3"/>
        <v>-6.1253854258258578E-7</v>
      </c>
      <c r="W23" s="8">
        <f t="shared" si="4"/>
        <v>-2.3903791064392875E-13</v>
      </c>
      <c r="X23" s="8">
        <f t="shared" si="5"/>
        <v>9.8944504665261873E-13</v>
      </c>
      <c r="Y23" s="8">
        <f t="shared" si="6"/>
        <v>1.9073486328125E-6</v>
      </c>
      <c r="AA23" s="8">
        <v>19</v>
      </c>
      <c r="AB23" s="8">
        <f t="shared" si="13"/>
        <v>1248.22998046875</v>
      </c>
      <c r="AC23" s="8">
        <v>-8.3562570671347203E-4</v>
      </c>
      <c r="AD23" s="8">
        <f t="shared" si="14"/>
        <v>1248.2376098632812</v>
      </c>
      <c r="AE23" s="8">
        <v>9.2480413229623082E-4</v>
      </c>
      <c r="AF23" s="8">
        <f t="shared" si="9"/>
        <v>1248.2337951660156</v>
      </c>
      <c r="AG23" s="8">
        <v>4.6560998725908576E-5</v>
      </c>
      <c r="AH23" s="8">
        <f t="shared" si="10"/>
        <v>-3.8907567465622426E-8</v>
      </c>
      <c r="AI23" s="8">
        <f t="shared" si="11"/>
        <v>4.3059804025559788E-8</v>
      </c>
      <c r="AJ23" s="8">
        <f t="shared" si="12"/>
        <v>7.62939453125E-3</v>
      </c>
    </row>
    <row r="24" spans="2:36" x14ac:dyDescent="0.2">
      <c r="F24" s="15" t="s">
        <v>103</v>
      </c>
      <c r="G24">
        <f xml:space="preserve"> 8 * ($C$15/1000)</f>
        <v>9.985868800416938</v>
      </c>
      <c r="H24" t="s">
        <v>14</v>
      </c>
      <c r="J24" t="s">
        <v>59</v>
      </c>
      <c r="K24">
        <f xml:space="preserve"> K19 * $C$16 * K23 - $C$17 * SIN(K17)</f>
        <v>5.1195298248893515</v>
      </c>
      <c r="L24" t="s">
        <v>19</v>
      </c>
      <c r="P24" s="8">
        <v>20</v>
      </c>
      <c r="Q24" s="8">
        <f t="shared" si="7"/>
        <v>9.9185943603515625E-2</v>
      </c>
      <c r="R24" s="8">
        <f t="shared" si="0"/>
        <v>3.9024141997023865E-7</v>
      </c>
      <c r="S24" s="8">
        <f t="shared" si="8"/>
        <v>9.9186897277832031E-2</v>
      </c>
      <c r="T24" s="8">
        <f t="shared" si="1"/>
        <v>-6.1253854258258578E-7</v>
      </c>
      <c r="U24" s="8">
        <f t="shared" si="2"/>
        <v>9.9186420440673828E-2</v>
      </c>
      <c r="V24" s="8">
        <f t="shared" si="3"/>
        <v>-1.1114851973526019E-7</v>
      </c>
      <c r="W24" s="8">
        <f t="shared" si="4"/>
        <v>-4.3374756169078026E-14</v>
      </c>
      <c r="X24" s="8">
        <f t="shared" si="5"/>
        <v>6.8082752288848042E-14</v>
      </c>
      <c r="Y24" s="8">
        <f t="shared" si="6"/>
        <v>9.5367431640625E-7</v>
      </c>
      <c r="AA24" s="8">
        <v>20</v>
      </c>
      <c r="AB24" s="8">
        <f t="shared" si="13"/>
        <v>1248.22998046875</v>
      </c>
      <c r="AC24" s="8">
        <v>-8.3562570671347203E-4</v>
      </c>
      <c r="AD24" s="8">
        <f t="shared" si="14"/>
        <v>1248.2337951660156</v>
      </c>
      <c r="AE24" s="8">
        <v>4.6560998725908576E-5</v>
      </c>
      <c r="AF24" s="8">
        <f t="shared" si="9"/>
        <v>1248.2318878173828</v>
      </c>
      <c r="AG24" s="8">
        <v>-3.9453178715120885E-4</v>
      </c>
      <c r="AH24" s="8">
        <f t="shared" si="10"/>
        <v>3.29680903459158E-7</v>
      </c>
      <c r="AI24" s="8">
        <f t="shared" si="11"/>
        <v>-1.8369794038877868E-8</v>
      </c>
      <c r="AJ24" s="8">
        <f t="shared" si="12"/>
        <v>3.814697265625E-3</v>
      </c>
    </row>
    <row r="25" spans="2:36" x14ac:dyDescent="0.2">
      <c r="B25" s="22" t="s">
        <v>110</v>
      </c>
      <c r="C25" s="23"/>
      <c r="D25" s="23"/>
      <c r="F25" s="15" t="s">
        <v>104</v>
      </c>
      <c r="G25">
        <f xml:space="preserve"> 13 * ($C$15*2.20462/1000)^1.3 * 0.453592</f>
        <v>21.985038670528521</v>
      </c>
      <c r="H25" t="s">
        <v>14</v>
      </c>
      <c r="J25" t="s">
        <v>60</v>
      </c>
      <c r="K25">
        <f xml:space="preserve"> 1/$C$7 - K22 * SQRT( (2*$C$26*PI()*$C$16^2) / K18^3 )</f>
        <v>1.2673399974039654</v>
      </c>
      <c r="P25" s="8">
        <v>21</v>
      </c>
      <c r="Q25" s="8">
        <f t="shared" si="7"/>
        <v>9.9185943603515625E-2</v>
      </c>
      <c r="R25" s="8">
        <f t="shared" si="0"/>
        <v>3.9024141997023865E-7</v>
      </c>
      <c r="S25" s="8">
        <f t="shared" si="8"/>
        <v>9.9186420440673828E-2</v>
      </c>
      <c r="T25" s="8">
        <f t="shared" si="1"/>
        <v>-1.1114851973526019E-7</v>
      </c>
      <c r="U25" s="8">
        <f t="shared" si="2"/>
        <v>9.9186182022094727E-2</v>
      </c>
      <c r="V25" s="8">
        <f t="shared" si="3"/>
        <v>1.3954646049807451E-7</v>
      </c>
      <c r="W25" s="8">
        <f t="shared" si="4"/>
        <v>5.4456808896589413E-14</v>
      </c>
      <c r="X25" s="8">
        <f t="shared" si="5"/>
        <v>-1.5510382518655941E-14</v>
      </c>
      <c r="Y25" s="8">
        <f t="shared" si="6"/>
        <v>4.76837158203125E-7</v>
      </c>
      <c r="AA25" s="8">
        <v>21</v>
      </c>
      <c r="AB25" s="8">
        <f t="shared" si="13"/>
        <v>1248.2318878173828</v>
      </c>
      <c r="AC25" s="8">
        <v>-3.9453178715120885E-4</v>
      </c>
      <c r="AD25" s="8">
        <f t="shared" si="14"/>
        <v>1248.2337951660156</v>
      </c>
      <c r="AE25" s="8">
        <v>4.6560998725908576E-5</v>
      </c>
      <c r="AF25" s="8">
        <f t="shared" si="9"/>
        <v>1248.2328414916992</v>
      </c>
      <c r="AG25" s="8">
        <v>-1.739852524451635E-4</v>
      </c>
      <c r="AH25" s="8">
        <f t="shared" si="10"/>
        <v>6.8642712585144576E-8</v>
      </c>
      <c r="AI25" s="8">
        <f t="shared" si="11"/>
        <v>-8.1009271174261387E-9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3" t="s">
        <v>91</v>
      </c>
      <c r="G26" s="3">
        <f>$C$15 - $C$21 - SUM(G17:G25)</f>
        <v>1.4108536561252549E-10</v>
      </c>
      <c r="H26" s="3" t="s">
        <v>14</v>
      </c>
      <c r="J26" t="s">
        <v>61</v>
      </c>
      <c r="K26" s="1">
        <v>1.1499999999999999</v>
      </c>
      <c r="P26" s="8">
        <v>22</v>
      </c>
      <c r="Q26" s="8">
        <f t="shared" si="7"/>
        <v>9.9186182022094727E-2</v>
      </c>
      <c r="R26" s="8">
        <f t="shared" si="0"/>
        <v>1.3954646049807451E-7</v>
      </c>
      <c r="S26" s="8">
        <f t="shared" si="8"/>
        <v>9.9186420440673828E-2</v>
      </c>
      <c r="T26" s="8">
        <f t="shared" si="1"/>
        <v>-1.1114851973526019E-7</v>
      </c>
      <c r="U26" s="8">
        <f t="shared" si="2"/>
        <v>9.9186301231384277E-2</v>
      </c>
      <c r="V26" s="8">
        <f t="shared" si="3"/>
        <v>1.4198972969614587E-8</v>
      </c>
      <c r="W26" s="8">
        <f t="shared" si="4"/>
        <v>1.9814164206175495E-15</v>
      </c>
      <c r="X26" s="8">
        <f t="shared" si="5"/>
        <v>-1.5781948273336328E-15</v>
      </c>
      <c r="Y26" s="8">
        <f t="shared" si="6"/>
        <v>2.384185791015625E-7</v>
      </c>
      <c r="AA26" s="8">
        <v>22</v>
      </c>
      <c r="AB26" s="8">
        <f t="shared" si="13"/>
        <v>1248.2328414916992</v>
      </c>
      <c r="AC26" s="8">
        <v>-1.739852524451635E-4</v>
      </c>
      <c r="AD26" s="8">
        <f t="shared" si="14"/>
        <v>1248.2337951660156</v>
      </c>
      <c r="AE26" s="8">
        <v>4.6560998725908576E-5</v>
      </c>
      <c r="AF26" s="8">
        <f t="shared" si="9"/>
        <v>1248.2333183288574</v>
      </c>
      <c r="AG26" s="8">
        <v>-6.371209144617751E-5</v>
      </c>
      <c r="AH26" s="8">
        <f t="shared" si="10"/>
        <v>1.1084964314072536E-8</v>
      </c>
      <c r="AI26" s="8">
        <f t="shared" si="11"/>
        <v>-2.9664986086504419E-9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t="s">
        <v>92</v>
      </c>
      <c r="G27" s="10" t="str">
        <f>IF(ABS(G26)&lt;0.00001, "TRUE", "FALSE")</f>
        <v>TRUE</v>
      </c>
      <c r="J27" t="s">
        <v>62</v>
      </c>
      <c r="K27">
        <f xml:space="preserve"> 1/$C$30 * LN( EXP($C$30 * K25) + EXP($C$30 * K26) )</f>
        <v>1.2683121334640868</v>
      </c>
      <c r="P27" s="8">
        <v>23</v>
      </c>
      <c r="Q27" s="8">
        <f t="shared" si="7"/>
        <v>9.9186301231384277E-2</v>
      </c>
      <c r="R27" s="8">
        <f t="shared" si="0"/>
        <v>1.4198972969614587E-8</v>
      </c>
      <c r="S27" s="8">
        <f t="shared" si="8"/>
        <v>9.9186420440673828E-2</v>
      </c>
      <c r="T27" s="8">
        <f t="shared" si="1"/>
        <v>-1.1114851973526019E-7</v>
      </c>
      <c r="U27" s="8">
        <f t="shared" si="2"/>
        <v>9.9186360836029053E-2</v>
      </c>
      <c r="V27" s="8">
        <f t="shared" si="3"/>
        <v>-4.8474772723627879E-8</v>
      </c>
      <c r="W27" s="8">
        <f t="shared" si="4"/>
        <v>-6.8829198761100271E-16</v>
      </c>
      <c r="X27" s="8">
        <f t="shared" si="5"/>
        <v>5.3878992327344057E-15</v>
      </c>
      <c r="Y27" s="8">
        <f t="shared" si="6"/>
        <v>1.1920928955078125E-7</v>
      </c>
      <c r="AA27" s="8">
        <v>23</v>
      </c>
      <c r="AB27" s="8">
        <f t="shared" si="13"/>
        <v>1248.2333183288574</v>
      </c>
      <c r="AC27" s="8">
        <v>-6.371209144617751E-5</v>
      </c>
      <c r="AD27" s="8">
        <f t="shared" si="14"/>
        <v>1248.2337951660156</v>
      </c>
      <c r="AE27" s="8">
        <v>4.6560998725908576E-5</v>
      </c>
      <c r="AF27" s="8">
        <f t="shared" si="9"/>
        <v>1248.2335567474365</v>
      </c>
      <c r="AG27" s="8">
        <v>-8.5755377767782193E-6</v>
      </c>
      <c r="AH27" s="8">
        <f t="shared" si="10"/>
        <v>5.4636544703424363E-10</v>
      </c>
      <c r="AI27" s="8">
        <f t="shared" si="11"/>
        <v>-3.9928560349855153E-10</v>
      </c>
      <c r="AJ27" s="8">
        <f t="shared" si="12"/>
        <v>4.76837158203125E-4</v>
      </c>
    </row>
    <row r="28" spans="2:36" x14ac:dyDescent="0.2">
      <c r="P28" s="8">
        <v>24</v>
      </c>
      <c r="Q28" s="8">
        <f t="shared" si="7"/>
        <v>9.9186301231384277E-2</v>
      </c>
      <c r="R28" s="8">
        <f t="shared" si="0"/>
        <v>1.4198972969614587E-8</v>
      </c>
      <c r="S28" s="8">
        <f t="shared" si="8"/>
        <v>9.9186360836029053E-2</v>
      </c>
      <c r="T28" s="8">
        <f t="shared" si="1"/>
        <v>-4.8474772723627879E-8</v>
      </c>
      <c r="U28" s="8">
        <f t="shared" si="2"/>
        <v>9.9186331033706665E-2</v>
      </c>
      <c r="V28" s="8">
        <f t="shared" si="3"/>
        <v>-1.7137899710473192E-8</v>
      </c>
      <c r="W28" s="8">
        <f t="shared" si="4"/>
        <v>-2.433405747449745E-16</v>
      </c>
      <c r="X28" s="8">
        <f t="shared" si="5"/>
        <v>8.3075579342551605E-16</v>
      </c>
      <c r="Y28" s="8">
        <f t="shared" si="6"/>
        <v>5.9604644775390625E-8</v>
      </c>
      <c r="AA28" s="8">
        <v>24</v>
      </c>
      <c r="AB28" s="8">
        <f t="shared" si="13"/>
        <v>1248.2335567474365</v>
      </c>
      <c r="AC28" s="8">
        <v>-8.5755377767782193E-6</v>
      </c>
      <c r="AD28" s="8">
        <f t="shared" si="14"/>
        <v>1248.2337951660156</v>
      </c>
      <c r="AE28" s="8">
        <v>4.6560998725908576E-5</v>
      </c>
      <c r="AF28" s="8">
        <f t="shared" si="9"/>
        <v>1248.2336759567261</v>
      </c>
      <c r="AG28" s="8">
        <v>1.702322128949163E-5</v>
      </c>
      <c r="AH28" s="8">
        <f t="shared" si="10"/>
        <v>-1.4598327725049071E-10</v>
      </c>
      <c r="AI28" s="8">
        <f t="shared" si="11"/>
        <v>7.9261818477087953E-10</v>
      </c>
      <c r="AJ28" s="8">
        <f t="shared" si="12"/>
        <v>2.384185791015625E-4</v>
      </c>
    </row>
    <row r="29" spans="2:36" x14ac:dyDescent="0.2">
      <c r="B29" s="22" t="s">
        <v>31</v>
      </c>
      <c r="C29" s="23"/>
      <c r="D29" s="23"/>
      <c r="P29" s="8">
        <v>25</v>
      </c>
      <c r="Q29" s="8">
        <f t="shared" si="7"/>
        <v>9.9186301231384277E-2</v>
      </c>
      <c r="R29" s="8">
        <f t="shared" si="0"/>
        <v>1.4198972969614587E-8</v>
      </c>
      <c r="S29" s="8">
        <f t="shared" si="8"/>
        <v>9.9186331033706665E-2</v>
      </c>
      <c r="T29" s="8">
        <f t="shared" si="1"/>
        <v>-1.7137899710473192E-8</v>
      </c>
      <c r="U29" s="8">
        <f t="shared" si="2"/>
        <v>9.9186316132545471E-2</v>
      </c>
      <c r="V29" s="8">
        <f t="shared" si="3"/>
        <v>-1.4694633287959391E-9</v>
      </c>
      <c r="W29" s="8">
        <f t="shared" si="4"/>
        <v>-2.0864870085413412E-17</v>
      </c>
      <c r="X29" s="8">
        <f t="shared" si="5"/>
        <v>2.5183515157122898E-17</v>
      </c>
      <c r="Y29" s="8">
        <f t="shared" si="6"/>
        <v>2.9802322387695312E-8</v>
      </c>
      <c r="AA29" s="8">
        <v>25</v>
      </c>
      <c r="AB29" s="8">
        <f t="shared" si="13"/>
        <v>1248.2335567474365</v>
      </c>
      <c r="AC29" s="8">
        <v>-8.5755377767782193E-6</v>
      </c>
      <c r="AD29" s="8">
        <f t="shared" si="14"/>
        <v>1248.2336759567261</v>
      </c>
      <c r="AE29" s="8">
        <v>1.702322128949163E-5</v>
      </c>
      <c r="AF29" s="8">
        <f t="shared" si="9"/>
        <v>1248.2336163520813</v>
      </c>
      <c r="AG29" s="8">
        <v>2.2543313207279425E-6</v>
      </c>
      <c r="AH29" s="8">
        <f t="shared" si="10"/>
        <v>-1.9332103402276807E-11</v>
      </c>
      <c r="AI29" s="8">
        <f t="shared" si="11"/>
        <v>3.8375980932583695E-11</v>
      </c>
      <c r="AJ29" s="8">
        <f t="shared" si="12"/>
        <v>1.1920928955078125E-4</v>
      </c>
    </row>
    <row r="30" spans="2:36" x14ac:dyDescent="0.2">
      <c r="B30" t="s">
        <v>32</v>
      </c>
      <c r="C30" s="1">
        <v>30</v>
      </c>
      <c r="F30" s="2" t="s">
        <v>93</v>
      </c>
      <c r="G30" s="2"/>
      <c r="H30" s="2"/>
      <c r="P30" s="8">
        <v>26</v>
      </c>
      <c r="Q30" s="8">
        <f t="shared" si="7"/>
        <v>9.9186301231384277E-2</v>
      </c>
      <c r="R30" s="8">
        <f t="shared" si="0"/>
        <v>1.4198972969614587E-8</v>
      </c>
      <c r="S30" s="8">
        <f t="shared" si="8"/>
        <v>9.9186316132545471E-2</v>
      </c>
      <c r="T30" s="8">
        <f t="shared" si="1"/>
        <v>-1.4694633287959391E-9</v>
      </c>
      <c r="U30" s="8">
        <f t="shared" si="2"/>
        <v>9.9186308681964874E-2</v>
      </c>
      <c r="V30" s="8">
        <f t="shared" si="3"/>
        <v>6.3647548342871119E-9</v>
      </c>
      <c r="W30" s="8">
        <f t="shared" si="4"/>
        <v>9.037298185026647E-17</v>
      </c>
      <c r="X30" s="8">
        <f t="shared" si="5"/>
        <v>-9.3527738257615852E-18</v>
      </c>
      <c r="Y30" s="8">
        <f t="shared" si="6"/>
        <v>1.4901161193847656E-8</v>
      </c>
      <c r="AA30" s="8">
        <v>26</v>
      </c>
      <c r="AB30" s="8">
        <f t="shared" si="13"/>
        <v>1248.2335567474365</v>
      </c>
      <c r="AC30" s="8">
        <v>-8.5755377767782193E-6</v>
      </c>
      <c r="AD30" s="8">
        <f t="shared" si="14"/>
        <v>1248.2336163520813</v>
      </c>
      <c r="AE30" s="8">
        <v>2.2543313207279425E-6</v>
      </c>
      <c r="AF30" s="8">
        <f t="shared" si="9"/>
        <v>1248.2335865497589</v>
      </c>
      <c r="AG30" s="8">
        <v>-1.1910918829016737E-6</v>
      </c>
      <c r="AH30" s="8">
        <f t="shared" si="10"/>
        <v>1.0214253437437202E-11</v>
      </c>
      <c r="AI30" s="8">
        <f t="shared" si="11"/>
        <v>-2.6851157374900619E-12</v>
      </c>
      <c r="AJ30" s="8">
        <f t="shared" si="12"/>
        <v>5.9604644775390625E-5</v>
      </c>
    </row>
    <row r="31" spans="2:36" x14ac:dyDescent="0.2">
      <c r="F31" t="s">
        <v>94</v>
      </c>
      <c r="G31">
        <f>ROUND($C$21/$C$15 * 100, 2)</f>
        <v>32.049999999999997</v>
      </c>
      <c r="H31" t="s">
        <v>95</v>
      </c>
      <c r="P31" s="8">
        <v>27</v>
      </c>
      <c r="Q31" s="8">
        <f t="shared" si="7"/>
        <v>9.9186308681964874E-2</v>
      </c>
      <c r="R31" s="8">
        <f t="shared" si="0"/>
        <v>6.3647548342871119E-9</v>
      </c>
      <c r="S31" s="8">
        <f t="shared" si="8"/>
        <v>9.9186316132545471E-2</v>
      </c>
      <c r="T31" s="8">
        <f t="shared" si="1"/>
        <v>-1.4694633287959391E-9</v>
      </c>
      <c r="U31" s="8">
        <f t="shared" si="2"/>
        <v>9.9186312407255173E-2</v>
      </c>
      <c r="V31" s="8">
        <f t="shared" si="3"/>
        <v>2.4476457527455864E-9</v>
      </c>
      <c r="W31" s="8">
        <f t="shared" si="4"/>
        <v>1.5578665137409788E-17</v>
      </c>
      <c r="X31" s="8">
        <f t="shared" si="5"/>
        <v>-3.5967256755427715E-18</v>
      </c>
      <c r="Y31" s="8">
        <f t="shared" si="6"/>
        <v>7.4505805969238281E-9</v>
      </c>
      <c r="AA31" s="8">
        <v>27</v>
      </c>
      <c r="AB31" s="8">
        <f t="shared" si="13"/>
        <v>1248.2335865497589</v>
      </c>
      <c r="AC31" s="8">
        <v>-1.1910918829016737E-6</v>
      </c>
      <c r="AD31" s="8">
        <f t="shared" si="14"/>
        <v>1248.2336163520813</v>
      </c>
      <c r="AE31" s="8">
        <v>2.2543313207279425E-6</v>
      </c>
      <c r="AF31" s="8">
        <f t="shared" si="9"/>
        <v>1248.2336014509201</v>
      </c>
      <c r="AG31" s="8">
        <v>5.3161966206971556E-7</v>
      </c>
      <c r="AH31" s="8">
        <f t="shared" si="10"/>
        <v>-6.3320786428216897E-13</v>
      </c>
      <c r="AI31" s="8">
        <f t="shared" si="11"/>
        <v>1.1984468549185644E-12</v>
      </c>
      <c r="AJ31" s="8">
        <f t="shared" si="12"/>
        <v>2.9802322387695312E-5</v>
      </c>
    </row>
    <row r="32" spans="2:36" x14ac:dyDescent="0.2">
      <c r="F32" s="16" t="s">
        <v>87</v>
      </c>
      <c r="G32">
        <f>ROUND(G17/$C$15 * 100, 2)</f>
        <v>38.909999999999997</v>
      </c>
      <c r="H32" t="s">
        <v>95</v>
      </c>
      <c r="P32" s="8">
        <v>28</v>
      </c>
      <c r="Q32" s="8">
        <f t="shared" si="7"/>
        <v>9.9186312407255173E-2</v>
      </c>
      <c r="R32" s="8">
        <f t="shared" si="0"/>
        <v>2.4476457527455864E-9</v>
      </c>
      <c r="S32" s="8">
        <f t="shared" si="8"/>
        <v>9.9186316132545471E-2</v>
      </c>
      <c r="T32" s="8">
        <f t="shared" si="1"/>
        <v>-1.4694633287959391E-9</v>
      </c>
      <c r="U32" s="8">
        <f t="shared" si="2"/>
        <v>9.9186314269900322E-2</v>
      </c>
      <c r="V32" s="8">
        <f t="shared" si="3"/>
        <v>4.8909122585261144E-10</v>
      </c>
      <c r="W32" s="8">
        <f t="shared" si="4"/>
        <v>1.1971220616632767E-18</v>
      </c>
      <c r="X32" s="8">
        <f t="shared" si="5"/>
        <v>-7.1870162082626488E-19</v>
      </c>
      <c r="Y32" s="8">
        <f t="shared" si="6"/>
        <v>3.7252902984619141E-9</v>
      </c>
      <c r="AA32" s="8">
        <v>28</v>
      </c>
      <c r="AB32" s="8">
        <f t="shared" si="13"/>
        <v>1248.2335865497589</v>
      </c>
      <c r="AC32" s="8">
        <v>-1.1910918829016737E-6</v>
      </c>
      <c r="AD32" s="8">
        <f t="shared" si="14"/>
        <v>1248.2336014509201</v>
      </c>
      <c r="AE32" s="8">
        <v>5.3161966206971556E-7</v>
      </c>
      <c r="AF32" s="8">
        <f t="shared" si="9"/>
        <v>1248.2335940003395</v>
      </c>
      <c r="AG32" s="8">
        <v>-2.2992475123828626E-6</v>
      </c>
      <c r="AH32" s="8">
        <f t="shared" si="10"/>
        <v>2.7386150487810931E-12</v>
      </c>
      <c r="AI32" s="8">
        <f t="shared" si="11"/>
        <v>-1.2223251855476116E-12</v>
      </c>
      <c r="AJ32" s="8">
        <f t="shared" si="12"/>
        <v>1.4901161193847656E-5</v>
      </c>
    </row>
    <row r="33" spans="6:36" x14ac:dyDescent="0.2">
      <c r="F33" s="18" t="s">
        <v>107</v>
      </c>
      <c r="G33">
        <f>ROUND(SUM(G18:G19)/$C$15 * 100, 2)</f>
        <v>9.14</v>
      </c>
      <c r="H33" t="s">
        <v>95</v>
      </c>
      <c r="P33" s="8">
        <v>29</v>
      </c>
      <c r="Q33" s="8">
        <f t="shared" si="7"/>
        <v>9.9186314269900322E-2</v>
      </c>
      <c r="R33" s="8">
        <f t="shared" si="0"/>
        <v>4.8909122585261144E-10</v>
      </c>
      <c r="S33" s="8">
        <f t="shared" si="8"/>
        <v>9.9186316132545471E-2</v>
      </c>
      <c r="T33" s="8">
        <f t="shared" si="1"/>
        <v>-1.4694633287959391E-9</v>
      </c>
      <c r="U33" s="8">
        <f t="shared" si="2"/>
        <v>9.9186315201222897E-2</v>
      </c>
      <c r="V33" s="8">
        <f t="shared" si="3"/>
        <v>-4.9018605841055773E-10</v>
      </c>
      <c r="W33" s="8">
        <f t="shared" si="4"/>
        <v>-2.3974570020387948E-19</v>
      </c>
      <c r="X33" s="8">
        <f t="shared" si="5"/>
        <v>7.2031043712133881E-19</v>
      </c>
      <c r="Y33" s="8">
        <f t="shared" si="6"/>
        <v>1.862645149230957E-9</v>
      </c>
      <c r="AA33" s="8">
        <v>29</v>
      </c>
      <c r="AB33" s="8">
        <f t="shared" si="13"/>
        <v>1248.2335940003395</v>
      </c>
      <c r="AC33" s="8">
        <v>-2.2992475123828626E-6</v>
      </c>
      <c r="AD33" s="8">
        <f t="shared" si="14"/>
        <v>1248.2336014509201</v>
      </c>
      <c r="AE33" s="8">
        <v>5.3161966206971556E-7</v>
      </c>
      <c r="AF33" s="8">
        <f t="shared" si="9"/>
        <v>1248.2335977256298</v>
      </c>
      <c r="AG33" s="8">
        <v>-8.8381364093947923E-7</v>
      </c>
      <c r="AH33" s="8">
        <f t="shared" si="10"/>
        <v>2.0321063153401382E-12</v>
      </c>
      <c r="AI33" s="8">
        <f t="shared" si="11"/>
        <v>-4.6985270912885087E-13</v>
      </c>
      <c r="AJ33" s="8">
        <f t="shared" si="12"/>
        <v>7.4505805969238281E-6</v>
      </c>
    </row>
    <row r="34" spans="6:36" x14ac:dyDescent="0.2">
      <c r="F34" s="17" t="s">
        <v>108</v>
      </c>
      <c r="G34">
        <f>ROUND(SUM(G20:G21)/$C$15 * 100, 2)</f>
        <v>14.03</v>
      </c>
      <c r="H34" t="s">
        <v>95</v>
      </c>
      <c r="P34" s="8">
        <v>30</v>
      </c>
      <c r="Q34" s="8">
        <f t="shared" si="7"/>
        <v>9.9186314269900322E-2</v>
      </c>
      <c r="R34" s="8">
        <f t="shared" si="0"/>
        <v>4.8909122585261144E-10</v>
      </c>
      <c r="S34" s="8">
        <f t="shared" si="8"/>
        <v>9.9186315201222897E-2</v>
      </c>
      <c r="T34" s="8">
        <f t="shared" si="1"/>
        <v>-4.9018605841055773E-10</v>
      </c>
      <c r="U34" s="8">
        <f t="shared" si="2"/>
        <v>9.9186314735561609E-2</v>
      </c>
      <c r="V34" s="8">
        <f t="shared" si="3"/>
        <v>-5.4742321786704906E-13</v>
      </c>
      <c r="W34" s="8">
        <f t="shared" si="4"/>
        <v>-2.6773989268677621E-22</v>
      </c>
      <c r="X34" s="8">
        <f t="shared" si="5"/>
        <v>2.6833922944867278E-22</v>
      </c>
      <c r="Y34" s="8">
        <f t="shared" si="6"/>
        <v>9.3132257461547852E-10</v>
      </c>
      <c r="AA34" s="8">
        <v>30</v>
      </c>
      <c r="AB34" s="8">
        <f t="shared" si="13"/>
        <v>1248.2335977256298</v>
      </c>
      <c r="AC34" s="8">
        <v>-8.8381364093947923E-7</v>
      </c>
      <c r="AD34" s="8">
        <f t="shared" si="14"/>
        <v>1248.2336014509201</v>
      </c>
      <c r="AE34" s="8">
        <v>5.3161966206971556E-7</v>
      </c>
      <c r="AF34" s="8">
        <f t="shared" si="9"/>
        <v>1248.233599588275</v>
      </c>
      <c r="AG34" s="8">
        <v>-1.7609693259146297E-7</v>
      </c>
      <c r="AH34" s="8">
        <f t="shared" si="10"/>
        <v>1.5563687115193493E-13</v>
      </c>
      <c r="AI34" s="8">
        <f t="shared" si="11"/>
        <v>-9.3616591795787026E-14</v>
      </c>
      <c r="AJ34" s="8">
        <f t="shared" si="12"/>
        <v>3.7252902984619141E-6</v>
      </c>
    </row>
    <row r="35" spans="6:36" x14ac:dyDescent="0.2">
      <c r="F35" s="15" t="s">
        <v>109</v>
      </c>
      <c r="G35">
        <f>ROUND(SUM(G22:G25)/$C$15*100, 2)</f>
        <v>5.87</v>
      </c>
      <c r="H35" t="s">
        <v>95</v>
      </c>
      <c r="AA35" s="8">
        <v>31</v>
      </c>
      <c r="AB35" s="8">
        <f t="shared" si="13"/>
        <v>1248.233599588275</v>
      </c>
      <c r="AC35">
        <v>-1.7609693259146297E-7</v>
      </c>
      <c r="AD35" s="8">
        <f t="shared" si="14"/>
        <v>1248.2336014509201</v>
      </c>
      <c r="AE35">
        <v>5.3161966206971556E-7</v>
      </c>
      <c r="AF35" s="8">
        <f t="shared" si="9"/>
        <v>1248.2336005195975</v>
      </c>
      <c r="AG35">
        <v>1.7776142158254515E-7</v>
      </c>
      <c r="AH35" s="8">
        <f t="shared" si="10"/>
        <v>-3.1303241073784085E-14</v>
      </c>
      <c r="AI35" s="8">
        <f t="shared" si="11"/>
        <v>9.4501466870744897E-14</v>
      </c>
      <c r="AJ35" s="8">
        <f t="shared" si="12"/>
        <v>1.862645149230957E-6</v>
      </c>
    </row>
    <row r="36" spans="6:36" x14ac:dyDescent="0.2">
      <c r="F36" s="3" t="s">
        <v>96</v>
      </c>
      <c r="G36" s="3">
        <f>SUM(G31:G35)</f>
        <v>100</v>
      </c>
      <c r="H36" s="3" t="s">
        <v>95</v>
      </c>
      <c r="AA36" s="8">
        <v>32</v>
      </c>
      <c r="AB36" s="8">
        <f t="shared" si="13"/>
        <v>1248.233599588275</v>
      </c>
      <c r="AC36">
        <v>-1.7609693259146297E-7</v>
      </c>
      <c r="AD36" s="8">
        <f t="shared" si="14"/>
        <v>1248.2336005195975</v>
      </c>
      <c r="AE36">
        <v>1.7776142158254515E-7</v>
      </c>
      <c r="AF36" s="8">
        <f t="shared" si="9"/>
        <v>1248.2336000539362</v>
      </c>
      <c r="AG36">
        <v>8.3241502579767257E-10</v>
      </c>
      <c r="AH36" s="8">
        <f t="shared" si="10"/>
        <v>-1.4658573268601366E-16</v>
      </c>
      <c r="AI36" s="8">
        <f t="shared" si="11"/>
        <v>1.4797127833246527E-16</v>
      </c>
      <c r="AJ36" s="8">
        <f t="shared" si="12"/>
        <v>9.3132257461547852E-7</v>
      </c>
    </row>
    <row r="37" spans="6:36" x14ac:dyDescent="0.2">
      <c r="AA37" s="8">
        <v>33</v>
      </c>
      <c r="AB37" s="8">
        <f t="shared" si="13"/>
        <v>1248.233599588275</v>
      </c>
      <c r="AC37">
        <v>-1.7609693259146297E-7</v>
      </c>
      <c r="AD37" s="8">
        <f t="shared" si="14"/>
        <v>1248.2336000539362</v>
      </c>
      <c r="AE37">
        <v>8.3241502579767257E-10</v>
      </c>
      <c r="AF37" s="8">
        <f t="shared" si="9"/>
        <v>1248.2335998211056</v>
      </c>
      <c r="AG37">
        <v>-8.7632315626251511E-8</v>
      </c>
      <c r="AH37" s="8">
        <f t="shared" si="10"/>
        <v>1.543178197766982E-14</v>
      </c>
      <c r="AI37" s="8">
        <f t="shared" si="11"/>
        <v>-7.2946456272735937E-17</v>
      </c>
      <c r="AJ37" s="8">
        <f t="shared" si="12"/>
        <v>4.6566128730773926E-7</v>
      </c>
    </row>
    <row r="38" spans="6:36" x14ac:dyDescent="0.2">
      <c r="AA38" s="8">
        <v>34</v>
      </c>
      <c r="AB38" s="8">
        <f t="shared" si="13"/>
        <v>1248.2335998211056</v>
      </c>
      <c r="AC38">
        <v>-8.7632315626251511E-8</v>
      </c>
      <c r="AD38" s="8">
        <f t="shared" si="14"/>
        <v>1248.2336000539362</v>
      </c>
      <c r="AE38">
        <v>8.3241502579767257E-10</v>
      </c>
      <c r="AF38" s="8">
        <f t="shared" si="9"/>
        <v>1248.2335999375209</v>
      </c>
      <c r="AG38">
        <v>-4.3400291360740084E-8</v>
      </c>
      <c r="AH38" s="8">
        <f t="shared" si="10"/>
        <v>3.8032680307956517E-15</v>
      </c>
      <c r="AI38" s="8">
        <f t="shared" si="11"/>
        <v>-3.6127054652676963E-17</v>
      </c>
      <c r="AJ38" s="8">
        <f t="shared" si="12"/>
        <v>2.3283064365386963E-7</v>
      </c>
    </row>
    <row r="39" spans="6:36" x14ac:dyDescent="0.2">
      <c r="AA39" s="8">
        <v>35</v>
      </c>
      <c r="AB39" s="8">
        <f t="shared" si="13"/>
        <v>1248.2335999375209</v>
      </c>
      <c r="AC39">
        <v>-4.3400291360740084E-8</v>
      </c>
      <c r="AD39" s="8">
        <f t="shared" si="14"/>
        <v>1248.2336000539362</v>
      </c>
      <c r="AE39">
        <v>8.3241502579767257E-10</v>
      </c>
      <c r="AF39" s="8">
        <f t="shared" si="9"/>
        <v>1248.2335999957286</v>
      </c>
      <c r="AG39">
        <v>-2.1283881324052345E-8</v>
      </c>
      <c r="AH39" s="8">
        <f t="shared" si="10"/>
        <v>9.2372665075128621E-16</v>
      </c>
      <c r="AI39" s="8">
        <f t="shared" si="11"/>
        <v>-1.7717022621435634E-17</v>
      </c>
      <c r="AJ39" s="8">
        <f t="shared" si="12"/>
        <v>1.1641532182693481E-7</v>
      </c>
    </row>
    <row r="40" spans="6:36" x14ac:dyDescent="0.2">
      <c r="AA40" s="8">
        <v>36</v>
      </c>
      <c r="AB40" s="8">
        <f t="shared" si="13"/>
        <v>1248.2335999957286</v>
      </c>
      <c r="AC40">
        <v>-2.1283881324052345E-8</v>
      </c>
      <c r="AD40" s="8">
        <f t="shared" si="14"/>
        <v>1248.2336000539362</v>
      </c>
      <c r="AE40">
        <v>8.3241502579767257E-10</v>
      </c>
      <c r="AF40" s="8">
        <f t="shared" si="9"/>
        <v>1248.2336000248324</v>
      </c>
      <c r="AG40">
        <v>-1.022601736622164E-8</v>
      </c>
      <c r="AH40" s="8">
        <f t="shared" si="10"/>
        <v>2.1764934004035972E-16</v>
      </c>
      <c r="AI40" s="8">
        <f t="shared" si="11"/>
        <v>-8.5122905097108344E-18</v>
      </c>
      <c r="AJ40" s="8">
        <f t="shared" si="12"/>
        <v>5.8207660913467407E-8</v>
      </c>
    </row>
    <row r="41" spans="6:36" x14ac:dyDescent="0.2">
      <c r="AA41" s="8">
        <v>37</v>
      </c>
      <c r="AB41" s="8">
        <f t="shared" si="13"/>
        <v>1248.2336000248324</v>
      </c>
      <c r="AC41">
        <v>-1.022601736622164E-8</v>
      </c>
      <c r="AD41" s="8">
        <f t="shared" si="14"/>
        <v>1248.2336000539362</v>
      </c>
      <c r="AE41">
        <v>8.3241502579767257E-10</v>
      </c>
      <c r="AF41" s="8">
        <f t="shared" si="9"/>
        <v>1248.2336000393843</v>
      </c>
      <c r="AG41">
        <v>-4.6968580136308447E-9</v>
      </c>
      <c r="AH41" s="8">
        <f t="shared" si="10"/>
        <v>4.8030151614066295E-17</v>
      </c>
      <c r="AI41" s="8">
        <f t="shared" si="11"/>
        <v>-3.9097351845845247E-18</v>
      </c>
      <c r="AJ41" s="8">
        <f t="shared" si="12"/>
        <v>2.9103830456733704E-8</v>
      </c>
    </row>
    <row r="42" spans="6:36" x14ac:dyDescent="0.2">
      <c r="AA42" s="8">
        <v>38</v>
      </c>
      <c r="AB42" s="8">
        <f t="shared" si="13"/>
        <v>1248.2336000393843</v>
      </c>
      <c r="AC42">
        <v>-4.6968580136308447E-9</v>
      </c>
      <c r="AD42" s="8">
        <f t="shared" si="14"/>
        <v>1248.2336000539362</v>
      </c>
      <c r="AE42">
        <v>8.3241502579767257E-10</v>
      </c>
      <c r="AF42" s="8">
        <f t="shared" si="9"/>
        <v>1248.2336000466603</v>
      </c>
      <c r="AG42">
        <v>-1.9324488675920293E-9</v>
      </c>
      <c r="AH42" s="8">
        <f t="shared" si="10"/>
        <v>9.0764379496814737E-18</v>
      </c>
      <c r="AI42" s="8">
        <f t="shared" si="11"/>
        <v>-1.6085994739693022E-18</v>
      </c>
      <c r="AJ42" s="8">
        <f t="shared" si="12"/>
        <v>1.4551915228366852E-8</v>
      </c>
    </row>
    <row r="43" spans="6:36" x14ac:dyDescent="0.2">
      <c r="AA43" s="8">
        <v>39</v>
      </c>
      <c r="AB43" s="8">
        <f t="shared" si="13"/>
        <v>1248.2336000466603</v>
      </c>
      <c r="AC43">
        <v>-1.9324488675920293E-9</v>
      </c>
      <c r="AD43" s="8">
        <f t="shared" si="14"/>
        <v>1248.2336000539362</v>
      </c>
      <c r="AE43">
        <v>8.3241502579767257E-10</v>
      </c>
      <c r="AF43" s="8">
        <f t="shared" si="9"/>
        <v>1248.2336000502983</v>
      </c>
      <c r="AG43">
        <v>-5.5024429457262158E-10</v>
      </c>
      <c r="AH43" s="8">
        <f t="shared" si="10"/>
        <v>1.0633189639458376E-18</v>
      </c>
      <c r="AI43" s="8">
        <f t="shared" si="11"/>
        <v>-4.5803161866169094E-19</v>
      </c>
      <c r="AJ43" s="8">
        <f t="shared" si="12"/>
        <v>7.2759576141834259E-9</v>
      </c>
    </row>
    <row r="44" spans="6:36" x14ac:dyDescent="0.2">
      <c r="AA44" s="8">
        <v>40</v>
      </c>
      <c r="AB44" s="8">
        <f t="shared" si="13"/>
        <v>1248.2336000502983</v>
      </c>
      <c r="AC44">
        <v>-5.5024429457262158E-10</v>
      </c>
      <c r="AD44" s="8">
        <f t="shared" si="14"/>
        <v>1248.2336000539362</v>
      </c>
      <c r="AE44">
        <v>8.3241502579767257E-10</v>
      </c>
      <c r="AF44" s="11">
        <f t="shared" si="9"/>
        <v>1248.2336000521173</v>
      </c>
      <c r="AG44">
        <v>1.4108536561252549E-10</v>
      </c>
      <c r="AH44" s="8">
        <f t="shared" si="10"/>
        <v>-7.7631417475984493E-20</v>
      </c>
      <c r="AI44" s="8">
        <f t="shared" si="11"/>
        <v>1.1744157825602447E-19</v>
      </c>
      <c r="AJ44" s="8">
        <f t="shared" si="12"/>
        <v>3.637978807091713E-9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29:D29"/>
    <mergeCell ref="J11:L11"/>
    <mergeCell ref="J16:L16"/>
    <mergeCell ref="B9:D9"/>
    <mergeCell ref="F16:H16"/>
    <mergeCell ref="B14:D14"/>
    <mergeCell ref="B20:D20"/>
    <mergeCell ref="B25:D25"/>
    <mergeCell ref="F11:H11"/>
    <mergeCell ref="B1:D1"/>
    <mergeCell ref="B3:D3"/>
    <mergeCell ref="F3:H3"/>
    <mergeCell ref="J3:L3"/>
    <mergeCell ref="F7:H7"/>
  </mergeCells>
  <conditionalFormatting sqref="G27">
    <cfRule type="containsText" dxfId="11" priority="1" operator="containsText" text="FALSE">
      <formula>NOT(ISERROR(SEARCH("FALSE",G27)))</formula>
    </cfRule>
    <cfRule type="containsText" dxfId="10" priority="2" operator="containsText" text="TRUE">
      <formula>NOT(ISERROR(SEARCH("TRUE",G27)))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NOT(ISERROR(SEARCH("YES",G27)))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tabSelected="1" topLeftCell="A7" workbookViewId="0">
      <selection activeCell="E44" sqref="E44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19" t="s">
        <v>0</v>
      </c>
      <c r="C1" s="19"/>
      <c r="D1" s="19"/>
    </row>
    <row r="2" spans="2:36" x14ac:dyDescent="0.2">
      <c r="P2" s="6" t="s">
        <v>75</v>
      </c>
      <c r="AA2" s="6" t="s">
        <v>106</v>
      </c>
    </row>
    <row r="3" spans="2:36" x14ac:dyDescent="0.2">
      <c r="B3" s="20" t="s">
        <v>111</v>
      </c>
      <c r="C3" s="21"/>
      <c r="D3" s="21"/>
      <c r="F3" s="20" t="s">
        <v>33</v>
      </c>
      <c r="G3" s="21"/>
      <c r="H3" s="21"/>
      <c r="J3" s="22" t="s">
        <v>45</v>
      </c>
      <c r="K3" s="22"/>
      <c r="L3" s="22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166764.64204991527</v>
      </c>
      <c r="H4" t="s">
        <v>35</v>
      </c>
      <c r="J4" t="s">
        <v>46</v>
      </c>
      <c r="K4">
        <f xml:space="preserve"> $C$20 * $C$34</f>
        <v>11757.8180294921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0.63509455714344953</v>
      </c>
      <c r="S4" s="9">
        <v>1</v>
      </c>
      <c r="T4" s="8">
        <f t="shared" ref="T4:T34" si="1" xml:space="preserve"> $K$20 * TAN($K$17) + $K$21 / (2 * SQRT($K$20^2 + S4^2)) - S4</f>
        <v>-0.57973927437983719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-7.1737967926194857E-2</v>
      </c>
      <c r="W4" s="8">
        <f>R4*V4</f>
        <v>-4.5560392970457712E-2</v>
      </c>
      <c r="X4" s="8">
        <f>T4*V4</f>
        <v>4.1589317471016241E-2</v>
      </c>
      <c r="Y4" s="8">
        <f>S4-Q4</f>
        <v>1</v>
      </c>
      <c r="AA4" s="8">
        <v>0</v>
      </c>
      <c r="AB4" s="8"/>
      <c r="AC4" s="8">
        <f>G29</f>
        <v>-1.0618350643198937E-10</v>
      </c>
      <c r="AD4" s="8"/>
      <c r="AE4" s="8">
        <f>G29</f>
        <v>-1.0618350643198937E-10</v>
      </c>
      <c r="AF4" s="8"/>
      <c r="AG4" s="8">
        <f>G29</f>
        <v>-1.0618350643198937E-10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1959.6363382486834</v>
      </c>
      <c r="H5" t="s">
        <v>37</v>
      </c>
      <c r="J5" t="s">
        <v>47</v>
      </c>
      <c r="K5">
        <f xml:space="preserve"> 0.5 * $C$33 * $C$23^2</f>
        <v>1852.8124999999461</v>
      </c>
      <c r="L5" t="s">
        <v>48</v>
      </c>
      <c r="P5" s="8">
        <v>1</v>
      </c>
      <c r="Q5" s="8">
        <f>IF(W4&gt;0, U4, Q4)</f>
        <v>0</v>
      </c>
      <c r="R5" s="8">
        <f t="shared" si="0"/>
        <v>0.63509455714344953</v>
      </c>
      <c r="S5" s="8">
        <f>IF(X4&gt;0, U4, S4)</f>
        <v>0.5</v>
      </c>
      <c r="T5" s="8">
        <f t="shared" si="1"/>
        <v>-7.1737967926194857E-2</v>
      </c>
      <c r="U5" s="8">
        <f t="shared" ref="U5:U34" si="3" xml:space="preserve"> (Q5 + S5)/2</f>
        <v>0.25</v>
      </c>
      <c r="V5" s="8">
        <f t="shared" si="2"/>
        <v>0.19404975122575574</v>
      </c>
      <c r="W5" s="8">
        <f t="shared" ref="W5:W34" si="4">R5*V5</f>
        <v>0.1232399408185179</v>
      </c>
      <c r="X5" s="8">
        <f t="shared" ref="X5:X34" si="5">T5*V5</f>
        <v>-1.3920734829519357E-2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/>
        <v>-357.0306442450181</v>
      </c>
      <c r="AD5" s="9">
        <v>2500</v>
      </c>
      <c r="AE5" s="8">
        <f t="dataTable" ref="AE5:AE44" dt2D="0" dtr="0" r1="C20" ca="1"/>
        <v>536.38035314613489</v>
      </c>
      <c r="AF5" s="8">
        <f>(AB5+AD5)/2</f>
        <v>1500</v>
      </c>
      <c r="AG5" s="8">
        <f t="dataTable" ref="AG5:AG44" dt2D="0" dtr="0" r1="C20" ca="1"/>
        <v>142.55710353272457</v>
      </c>
      <c r="AH5" s="8">
        <f>AC5*AG5</f>
        <v>-50897.254515992398</v>
      </c>
      <c r="AI5" s="8">
        <f>AE5*AG5</f>
        <v>76464.829536372912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0.28410413500282999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0.19404975122575574</v>
      </c>
      <c r="S6" s="8">
        <f t="shared" ref="S6:S34" si="8">IF(X5&gt;0, U5, S5)</f>
        <v>0.5</v>
      </c>
      <c r="T6" s="8">
        <f t="shared" si="1"/>
        <v>-7.1737967926194857E-2</v>
      </c>
      <c r="U6" s="8">
        <f t="shared" si="3"/>
        <v>0.375</v>
      </c>
      <c r="V6" s="8">
        <f t="shared" si="2"/>
        <v>5.8563738317039926E-2</v>
      </c>
      <c r="W6" s="8">
        <f t="shared" si="4"/>
        <v>1.1364278851271857E-2</v>
      </c>
      <c r="X6" s="8">
        <f t="shared" si="5"/>
        <v>-4.2012435810258788E-3</v>
      </c>
      <c r="Y6" s="8">
        <f t="shared" si="6"/>
        <v>0.25</v>
      </c>
      <c r="AA6" s="8">
        <v>2</v>
      </c>
      <c r="AB6" s="8">
        <f>IF(AH5&gt;0,AF5,AB5)</f>
        <v>500</v>
      </c>
      <c r="AC6" s="8">
        <v>-357.0306442450181</v>
      </c>
      <c r="AD6" s="8">
        <f>IF(AI5&gt;0,AF5,AD5)</f>
        <v>1500</v>
      </c>
      <c r="AE6" s="8">
        <v>142.55710353272457</v>
      </c>
      <c r="AF6" s="8">
        <f t="shared" ref="AF6:AF44" si="9">(AB6+AD6)/2</f>
        <v>1000</v>
      </c>
      <c r="AG6" s="8">
        <v>-98.697740238587812</v>
      </c>
      <c r="AH6" s="8">
        <f t="shared" ref="AH6:AH44" si="10">AC6*AG6</f>
        <v>35238.117782910449</v>
      </c>
      <c r="AI6" s="8">
        <f t="shared" ref="AI6:AI44" si="11">AE6*AG6</f>
        <v>-14070.063973638318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0" t="s">
        <v>38</v>
      </c>
      <c r="G7" s="21"/>
      <c r="H7" s="21"/>
      <c r="J7" t="s">
        <v>68</v>
      </c>
      <c r="K7">
        <f xml:space="preserve"> K6 / $C$24</f>
        <v>2.6861702975669303E-2</v>
      </c>
      <c r="P7" s="8">
        <v>3</v>
      </c>
      <c r="Q7" s="8">
        <f t="shared" si="7"/>
        <v>0.375</v>
      </c>
      <c r="R7" s="8">
        <f t="shared" si="0"/>
        <v>5.8563738317039926E-2</v>
      </c>
      <c r="S7" s="8">
        <f t="shared" si="8"/>
        <v>0.5</v>
      </c>
      <c r="T7" s="8">
        <f t="shared" si="1"/>
        <v>-7.1737967926194857E-2</v>
      </c>
      <c r="U7" s="8">
        <f t="shared" si="3"/>
        <v>0.4375</v>
      </c>
      <c r="V7" s="8">
        <f t="shared" si="2"/>
        <v>-6.9619213839557936E-3</v>
      </c>
      <c r="W7" s="8">
        <f t="shared" si="4"/>
        <v>-4.0771614211379152E-4</v>
      </c>
      <c r="X7" s="8">
        <f t="shared" si="5"/>
        <v>4.9943409294691079E-4</v>
      </c>
      <c r="Y7" s="8">
        <f t="shared" si="6"/>
        <v>0.125</v>
      </c>
      <c r="AA7" s="8">
        <v>3</v>
      </c>
      <c r="AB7" s="8">
        <f t="shared" ref="AB7:AB44" si="13">IF(AH6&gt;0,AF6,AB6)</f>
        <v>1000</v>
      </c>
      <c r="AC7" s="8">
        <v>-98.697740238587812</v>
      </c>
      <c r="AD7" s="8">
        <f t="shared" ref="AD7:AD44" si="14">IF(AI6&gt;0,AF6,AD6)</f>
        <v>1500</v>
      </c>
      <c r="AE7" s="8">
        <v>142.55710353272457</v>
      </c>
      <c r="AF7" s="8">
        <f t="shared" si="9"/>
        <v>1250</v>
      </c>
      <c r="AG7" s="8">
        <v>24.988074606286091</v>
      </c>
      <c r="AH7" s="8">
        <f t="shared" si="10"/>
        <v>-2466.2664965536769</v>
      </c>
      <c r="AI7" s="8">
        <f t="shared" si="11"/>
        <v>3562.2275387317718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48888.096169850709</v>
      </c>
      <c r="H8" t="s">
        <v>35</v>
      </c>
      <c r="J8" t="s">
        <v>69</v>
      </c>
      <c r="K8">
        <f xml:space="preserve"> K5 * $C$24 * K7</f>
        <v>526.39169263491567</v>
      </c>
      <c r="L8" t="s">
        <v>37</v>
      </c>
      <c r="P8" s="8">
        <v>4</v>
      </c>
      <c r="Q8" s="8">
        <f t="shared" si="7"/>
        <v>0.375</v>
      </c>
      <c r="R8" s="8">
        <f t="shared" si="0"/>
        <v>5.8563738317039926E-2</v>
      </c>
      <c r="S8" s="8">
        <f t="shared" si="8"/>
        <v>0.4375</v>
      </c>
      <c r="T8" s="8">
        <f t="shared" si="1"/>
        <v>-6.9619213839557936E-3</v>
      </c>
      <c r="U8" s="8">
        <f t="shared" si="3"/>
        <v>0.40625</v>
      </c>
      <c r="V8" s="8">
        <f t="shared" si="2"/>
        <v>2.5685907249851925E-2</v>
      </c>
      <c r="W8" s="8">
        <f t="shared" si="4"/>
        <v>1.5042627506160868E-3</v>
      </c>
      <c r="X8" s="8">
        <f t="shared" si="5"/>
        <v>-1.7882326694904926E-4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-98.697740238587812</v>
      </c>
      <c r="AD8" s="8">
        <f t="shared" si="14"/>
        <v>1250</v>
      </c>
      <c r="AE8" s="8">
        <v>24.988074606286091</v>
      </c>
      <c r="AF8" s="8">
        <f t="shared" si="9"/>
        <v>1125</v>
      </c>
      <c r="AG8" s="8">
        <v>-36.160048462268151</v>
      </c>
      <c r="AH8" s="8">
        <f t="shared" si="10"/>
        <v>3568.9150701436888</v>
      </c>
      <c r="AI8" s="8">
        <f t="shared" si="11"/>
        <v>-903.56998874207716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48888.096169850709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0.40625</v>
      </c>
      <c r="R9" s="8">
        <f t="shared" si="0"/>
        <v>2.5685907249851925E-2</v>
      </c>
      <c r="S9" s="8">
        <f t="shared" si="8"/>
        <v>0.4375</v>
      </c>
      <c r="T9" s="8">
        <f t="shared" si="1"/>
        <v>-6.9619213839557936E-3</v>
      </c>
      <c r="U9" s="8">
        <f t="shared" si="3"/>
        <v>0.421875</v>
      </c>
      <c r="V9" s="8">
        <f t="shared" si="2"/>
        <v>9.3363891812671684E-3</v>
      </c>
      <c r="W9" s="8">
        <f t="shared" si="4"/>
        <v>2.3981362655854944E-4</v>
      </c>
      <c r="X9" s="8">
        <f t="shared" si="5"/>
        <v>-6.4999207489997425E-5</v>
      </c>
      <c r="Y9" s="8">
        <f t="shared" si="6"/>
        <v>3.125E-2</v>
      </c>
      <c r="AA9" s="8">
        <v>5</v>
      </c>
      <c r="AB9" s="8">
        <f t="shared" si="13"/>
        <v>1125</v>
      </c>
      <c r="AC9" s="8">
        <v>-36.160048462268151</v>
      </c>
      <c r="AD9" s="8">
        <f t="shared" si="14"/>
        <v>1250</v>
      </c>
      <c r="AE9" s="8">
        <v>24.988074606286091</v>
      </c>
      <c r="AF9" s="8">
        <f t="shared" si="9"/>
        <v>1187.5</v>
      </c>
      <c r="AG9" s="8">
        <v>-5.4023833145230356</v>
      </c>
      <c r="AH9" s="8">
        <f t="shared" si="10"/>
        <v>195.35044246490182</v>
      </c>
      <c r="AI9" s="8">
        <f t="shared" si="11"/>
        <v>-134.99515731505676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0.59999999994155828</v>
      </c>
      <c r="P10" s="8">
        <v>6</v>
      </c>
      <c r="Q10" s="8">
        <f t="shared" si="7"/>
        <v>0.421875</v>
      </c>
      <c r="R10" s="8">
        <f t="shared" si="0"/>
        <v>9.3363891812671684E-3</v>
      </c>
      <c r="S10" s="8">
        <f t="shared" si="8"/>
        <v>0.4375</v>
      </c>
      <c r="T10" s="8">
        <f t="shared" si="1"/>
        <v>-6.9619213839557936E-3</v>
      </c>
      <c r="U10" s="8">
        <f t="shared" si="3"/>
        <v>0.4296875</v>
      </c>
      <c r="V10" s="8">
        <f t="shared" si="2"/>
        <v>1.181177137633882E-3</v>
      </c>
      <c r="W10" s="8">
        <f t="shared" si="4"/>
        <v>1.1027929448965097E-5</v>
      </c>
      <c r="X10" s="8">
        <f t="shared" si="5"/>
        <v>-8.2232623727330189E-6</v>
      </c>
      <c r="Y10" s="8">
        <f t="shared" si="6"/>
        <v>1.5625E-2</v>
      </c>
      <c r="AA10" s="8">
        <v>6</v>
      </c>
      <c r="AB10" s="8">
        <f t="shared" si="13"/>
        <v>1187.5</v>
      </c>
      <c r="AC10" s="8">
        <v>-5.4023833145230356</v>
      </c>
      <c r="AD10" s="8">
        <f t="shared" si="14"/>
        <v>1250</v>
      </c>
      <c r="AE10" s="8">
        <v>24.988074606286091</v>
      </c>
      <c r="AF10" s="8">
        <f t="shared" si="9"/>
        <v>1218.75</v>
      </c>
      <c r="AG10" s="8">
        <v>9.8398576323439784</v>
      </c>
      <c r="AH10" s="8">
        <f t="shared" si="10"/>
        <v>-53.158682690257251</v>
      </c>
      <c r="AI10" s="8">
        <f t="shared" si="11"/>
        <v>245.87909663224494</v>
      </c>
      <c r="AJ10" s="8">
        <f t="shared" si="12"/>
        <v>62.5</v>
      </c>
    </row>
    <row r="11" spans="2:36" x14ac:dyDescent="0.2">
      <c r="B11" s="20" t="s">
        <v>5</v>
      </c>
      <c r="C11" s="21"/>
      <c r="D11" s="21"/>
      <c r="F11" s="20" t="s">
        <v>41</v>
      </c>
      <c r="G11" s="21"/>
      <c r="H11" s="21"/>
      <c r="J11" t="s">
        <v>71</v>
      </c>
      <c r="K11">
        <f xml:space="preserve"> K7 + K10^2 / ( PI() * K9 * $C$12 )</f>
        <v>4.2006950064540312E-2</v>
      </c>
      <c r="P11" s="8">
        <v>7</v>
      </c>
      <c r="Q11" s="8">
        <f t="shared" si="7"/>
        <v>0.4296875</v>
      </c>
      <c r="R11" s="8">
        <f t="shared" si="0"/>
        <v>1.181177137633882E-3</v>
      </c>
      <c r="S11" s="8">
        <f t="shared" si="8"/>
        <v>0.4375</v>
      </c>
      <c r="T11" s="8">
        <f t="shared" si="1"/>
        <v>-6.9619213839557936E-3</v>
      </c>
      <c r="U11" s="8">
        <f t="shared" si="3"/>
        <v>0.43359375</v>
      </c>
      <c r="V11" s="8">
        <f t="shared" si="2"/>
        <v>-2.8918459566564803E-3</v>
      </c>
      <c r="W11" s="8">
        <f t="shared" si="4"/>
        <v>-3.4157823295616164E-6</v>
      </c>
      <c r="X11" s="8">
        <f t="shared" si="5"/>
        <v>2.013280420475285E-5</v>
      </c>
      <c r="Y11" s="8">
        <f t="shared" si="6"/>
        <v>7.8125E-3</v>
      </c>
      <c r="AA11" s="8">
        <v>7</v>
      </c>
      <c r="AB11" s="8">
        <f t="shared" si="13"/>
        <v>1187.5</v>
      </c>
      <c r="AC11" s="8">
        <v>-5.4023833145230356</v>
      </c>
      <c r="AD11" s="8">
        <f t="shared" si="14"/>
        <v>1218.75</v>
      </c>
      <c r="AE11" s="8">
        <v>9.8398576323439784</v>
      </c>
      <c r="AF11" s="8">
        <f t="shared" si="9"/>
        <v>1203.125</v>
      </c>
      <c r="AG11" s="8">
        <v>2.2303559250751732</v>
      </c>
      <c r="AH11" s="8">
        <f t="shared" si="10"/>
        <v>-12.049237635073705</v>
      </c>
      <c r="AI11" s="8">
        <f t="shared" si="11"/>
        <v>21.946384772194559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35808.600464868803</v>
      </c>
      <c r="H12" t="s">
        <v>43</v>
      </c>
      <c r="J12" t="s">
        <v>72</v>
      </c>
      <c r="K12">
        <f xml:space="preserve"> K5 * K11 * $C$24</f>
        <v>823.18345813489111</v>
      </c>
      <c r="L12" t="s">
        <v>37</v>
      </c>
      <c r="P12" s="8">
        <v>8</v>
      </c>
      <c r="Q12" s="8">
        <f t="shared" si="7"/>
        <v>0.4296875</v>
      </c>
      <c r="R12" s="8">
        <f t="shared" si="0"/>
        <v>1.181177137633882E-3</v>
      </c>
      <c r="S12" s="8">
        <f t="shared" si="8"/>
        <v>0.43359375</v>
      </c>
      <c r="T12" s="8">
        <f t="shared" si="1"/>
        <v>-2.8918459566564803E-3</v>
      </c>
      <c r="U12" s="8">
        <f t="shared" si="3"/>
        <v>0.431640625</v>
      </c>
      <c r="V12" s="8">
        <f t="shared" si="2"/>
        <v>-8.5570780034160965E-4</v>
      </c>
      <c r="W12" s="8">
        <f t="shared" si="4"/>
        <v>-1.0107424902584879E-6</v>
      </c>
      <c r="X12" s="8">
        <f t="shared" si="5"/>
        <v>2.4745751424972946E-6</v>
      </c>
      <c r="Y12" s="8">
        <f t="shared" si="6"/>
        <v>3.90625E-3</v>
      </c>
      <c r="AA12" s="8">
        <v>8</v>
      </c>
      <c r="AB12" s="8">
        <f t="shared" si="13"/>
        <v>1187.5</v>
      </c>
      <c r="AC12" s="8">
        <v>-5.4023833145230356</v>
      </c>
      <c r="AD12" s="8">
        <f t="shared" si="14"/>
        <v>1203.125</v>
      </c>
      <c r="AE12" s="8">
        <v>2.2303559250751732</v>
      </c>
      <c r="AF12" s="8">
        <f t="shared" si="9"/>
        <v>1195.3125</v>
      </c>
      <c r="AG12" s="8">
        <v>-1.5831262617477933</v>
      </c>
      <c r="AH12" s="8">
        <f t="shared" si="10"/>
        <v>8.5526549012495057</v>
      </c>
      <c r="AI12" s="8">
        <f t="shared" si="11"/>
        <v>-3.5309350380313003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1818.1818181818446</v>
      </c>
      <c r="H13" t="s">
        <v>26</v>
      </c>
      <c r="J13" t="s">
        <v>138</v>
      </c>
      <c r="K13">
        <f>K10/K11</f>
        <v>14.28335070791158</v>
      </c>
      <c r="P13" s="8">
        <v>9</v>
      </c>
      <c r="Q13" s="8">
        <f t="shared" si="7"/>
        <v>0.4296875</v>
      </c>
      <c r="R13" s="8">
        <f t="shared" si="0"/>
        <v>1.181177137633882E-3</v>
      </c>
      <c r="S13" s="8">
        <f t="shared" si="8"/>
        <v>0.431640625</v>
      </c>
      <c r="T13" s="8">
        <f t="shared" si="1"/>
        <v>-8.5570780034160965E-4</v>
      </c>
      <c r="U13" s="8">
        <f t="shared" si="3"/>
        <v>0.4306640625</v>
      </c>
      <c r="V13" s="8">
        <f t="shared" si="2"/>
        <v>1.6264069476540355E-4</v>
      </c>
      <c r="W13" s="8">
        <f t="shared" si="4"/>
        <v>1.9210747030578525E-7</v>
      </c>
      <c r="X13" s="8">
        <f t="shared" si="5"/>
        <v>-1.3917291116373461E-7</v>
      </c>
      <c r="Y13" s="8">
        <f t="shared" si="6"/>
        <v>1.953125E-3</v>
      </c>
      <c r="AA13" s="8">
        <v>9</v>
      </c>
      <c r="AB13" s="8">
        <f t="shared" si="13"/>
        <v>1195.3125</v>
      </c>
      <c r="AC13" s="8">
        <v>-1.5831262617477933</v>
      </c>
      <c r="AD13" s="8">
        <f t="shared" si="14"/>
        <v>1203.125</v>
      </c>
      <c r="AE13" s="8">
        <v>2.2303559250751732</v>
      </c>
      <c r="AF13" s="8">
        <f t="shared" si="9"/>
        <v>1199.21875</v>
      </c>
      <c r="AG13" s="8">
        <v>0.32433894758037241</v>
      </c>
      <c r="AH13" s="8">
        <f t="shared" si="10"/>
        <v>-0.51346950562212845</v>
      </c>
      <c r="AI13" s="8">
        <f t="shared" si="11"/>
        <v>0.72339129346852959</v>
      </c>
      <c r="AJ13" s="8">
        <f t="shared" si="12"/>
        <v>7.8125</v>
      </c>
    </row>
    <row r="14" spans="2:36" x14ac:dyDescent="0.2">
      <c r="B14" s="20" t="s">
        <v>8</v>
      </c>
      <c r="C14" s="21"/>
      <c r="D14" s="21"/>
      <c r="P14" s="8">
        <v>10</v>
      </c>
      <c r="Q14" s="8">
        <f t="shared" si="7"/>
        <v>0.4306640625</v>
      </c>
      <c r="R14" s="8">
        <f t="shared" si="0"/>
        <v>1.6264069476540355E-4</v>
      </c>
      <c r="S14" s="8">
        <f t="shared" si="8"/>
        <v>0.431640625</v>
      </c>
      <c r="T14" s="8">
        <f t="shared" si="1"/>
        <v>-8.5570780034160965E-4</v>
      </c>
      <c r="U14" s="8">
        <f t="shared" si="3"/>
        <v>0.43115234375</v>
      </c>
      <c r="V14" s="8">
        <f t="shared" si="2"/>
        <v>-3.4655696755120369E-4</v>
      </c>
      <c r="W14" s="8">
        <f t="shared" si="4"/>
        <v>-5.6364265978319179E-8</v>
      </c>
      <c r="X14" s="8">
        <f t="shared" si="5"/>
        <v>2.9655150039629911E-7</v>
      </c>
      <c r="Y14" s="8">
        <f t="shared" si="6"/>
        <v>9.765625E-4</v>
      </c>
      <c r="AA14" s="8">
        <v>10</v>
      </c>
      <c r="AB14" s="8">
        <f t="shared" si="13"/>
        <v>1195.3125</v>
      </c>
      <c r="AC14" s="8">
        <v>-1.5831262617477933</v>
      </c>
      <c r="AD14" s="8">
        <f t="shared" si="14"/>
        <v>1199.21875</v>
      </c>
      <c r="AE14" s="8">
        <v>0.32433894758037241</v>
      </c>
      <c r="AF14" s="8">
        <f t="shared" si="9"/>
        <v>1197.265625</v>
      </c>
      <c r="AG14" s="8">
        <v>-0.62921274287998585</v>
      </c>
      <c r="AH14" s="8">
        <f t="shared" si="10"/>
        <v>0.99612321747966737</v>
      </c>
      <c r="AI14" s="8">
        <f t="shared" si="11"/>
        <v>-0.20407819882985406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P15" s="8">
        <v>11</v>
      </c>
      <c r="Q15" s="8">
        <f t="shared" si="7"/>
        <v>0.4306640625</v>
      </c>
      <c r="R15" s="8">
        <f t="shared" si="0"/>
        <v>1.6264069476540355E-4</v>
      </c>
      <c r="S15" s="8">
        <f t="shared" si="8"/>
        <v>0.43115234375</v>
      </c>
      <c r="T15" s="8">
        <f t="shared" si="1"/>
        <v>-3.4655696755120369E-4</v>
      </c>
      <c r="U15" s="8">
        <f t="shared" si="3"/>
        <v>0.430908203125</v>
      </c>
      <c r="V15" s="8">
        <f t="shared" si="2"/>
        <v>-9.196399989463977E-5</v>
      </c>
      <c r="W15" s="8">
        <f t="shared" si="4"/>
        <v>-1.4957088836269711E-8</v>
      </c>
      <c r="X15" s="8">
        <f t="shared" si="5"/>
        <v>3.1870764927365571E-8</v>
      </c>
      <c r="Y15" s="8">
        <f t="shared" si="6"/>
        <v>4.8828125E-4</v>
      </c>
      <c r="AA15" s="8">
        <v>11</v>
      </c>
      <c r="AB15" s="8">
        <f t="shared" si="13"/>
        <v>1197.265625</v>
      </c>
      <c r="AC15" s="8">
        <v>-0.62921274287998585</v>
      </c>
      <c r="AD15" s="8">
        <f t="shared" si="14"/>
        <v>1199.21875</v>
      </c>
      <c r="AE15" s="8">
        <v>0.32433894758037241</v>
      </c>
      <c r="AF15" s="8">
        <f t="shared" si="9"/>
        <v>1198.2421875</v>
      </c>
      <c r="AG15" s="8">
        <v>-0.1523916866287891</v>
      </c>
      <c r="AH15" s="8">
        <f t="shared" si="10"/>
        <v>9.5886791135807656E-2</v>
      </c>
      <c r="AI15" s="8">
        <f t="shared" si="11"/>
        <v>-4.9426559261179365E-2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20" t="s">
        <v>86</v>
      </c>
      <c r="G16" s="20"/>
      <c r="H16" s="20"/>
      <c r="J16" s="20" t="s">
        <v>50</v>
      </c>
      <c r="K16" s="24"/>
      <c r="L16" s="24"/>
      <c r="P16" s="8">
        <v>12</v>
      </c>
      <c r="Q16" s="8">
        <f t="shared" si="7"/>
        <v>0.4306640625</v>
      </c>
      <c r="R16" s="8">
        <f t="shared" si="0"/>
        <v>1.6264069476540355E-4</v>
      </c>
      <c r="S16" s="8">
        <f t="shared" si="8"/>
        <v>0.430908203125</v>
      </c>
      <c r="T16" s="8">
        <f t="shared" si="1"/>
        <v>-9.196399989463977E-5</v>
      </c>
      <c r="U16" s="8">
        <f t="shared" si="3"/>
        <v>0.4307861328125</v>
      </c>
      <c r="V16" s="8">
        <f t="shared" si="2"/>
        <v>3.5336880331138243E-5</v>
      </c>
      <c r="W16" s="8">
        <f t="shared" si="4"/>
        <v>5.747214767898247E-9</v>
      </c>
      <c r="X16" s="8">
        <f t="shared" si="5"/>
        <v>-3.2497208590496955E-9</v>
      </c>
      <c r="Y16" s="8">
        <f t="shared" si="6"/>
        <v>2.44140625E-4</v>
      </c>
      <c r="AA16" s="8">
        <v>12</v>
      </c>
      <c r="AB16" s="8">
        <f t="shared" si="13"/>
        <v>1198.2421875</v>
      </c>
      <c r="AC16" s="8">
        <v>-0.1523916866287891</v>
      </c>
      <c r="AD16" s="8">
        <f t="shared" si="14"/>
        <v>1199.21875</v>
      </c>
      <c r="AE16" s="8">
        <v>0.32433894758037241</v>
      </c>
      <c r="AF16" s="8">
        <f t="shared" si="9"/>
        <v>1198.73046875</v>
      </c>
      <c r="AG16" s="8">
        <v>8.5984834820919787E-2</v>
      </c>
      <c r="AH16" s="8">
        <f t="shared" si="10"/>
        <v>-1.3103374002857802E-2</v>
      </c>
      <c r="AI16" s="8">
        <f t="shared" si="11"/>
        <v>2.7888230833689284E-2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210.63882626393413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0.4307861328125</v>
      </c>
      <c r="R17" s="8">
        <f t="shared" si="0"/>
        <v>3.5336880331138243E-5</v>
      </c>
      <c r="S17" s="8">
        <f t="shared" si="8"/>
        <v>0.430908203125</v>
      </c>
      <c r="T17" s="8">
        <f t="shared" si="1"/>
        <v>-9.196399989463977E-5</v>
      </c>
      <c r="U17" s="8">
        <f t="shared" si="3"/>
        <v>0.43084716796875</v>
      </c>
      <c r="V17" s="8">
        <f t="shared" si="2"/>
        <v>-2.8313926404122114E-5</v>
      </c>
      <c r="W17" s="8">
        <f t="shared" si="4"/>
        <v>-1.0005258290471184E-9</v>
      </c>
      <c r="X17" s="8">
        <f t="shared" si="5"/>
        <v>2.6038619248455244E-9</v>
      </c>
      <c r="Y17" s="8">
        <f t="shared" si="6"/>
        <v>1.220703125E-4</v>
      </c>
      <c r="AA17" s="8">
        <v>13</v>
      </c>
      <c r="AB17" s="8">
        <f t="shared" si="13"/>
        <v>1198.2421875</v>
      </c>
      <c r="AC17" s="8">
        <v>-0.1523916866287891</v>
      </c>
      <c r="AD17" s="8">
        <f t="shared" si="14"/>
        <v>1198.73046875</v>
      </c>
      <c r="AE17" s="8">
        <v>8.5984834820919787E-2</v>
      </c>
      <c r="AF17" s="8">
        <f t="shared" si="9"/>
        <v>1198.486328125</v>
      </c>
      <c r="AG17" s="8">
        <v>-3.32006766085442E-2</v>
      </c>
      <c r="AH17" s="8">
        <f t="shared" si="10"/>
        <v>5.0595071055930365E-3</v>
      </c>
      <c r="AI17" s="8">
        <f t="shared" si="11"/>
        <v>-2.8547546941284484E-3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79.76666441523615</v>
      </c>
      <c r="H18" t="s">
        <v>14</v>
      </c>
      <c r="J18" t="s">
        <v>36</v>
      </c>
      <c r="K18">
        <f xml:space="preserve"> K12 / $C$6</f>
        <v>823.18345813489111</v>
      </c>
      <c r="L18" t="s">
        <v>37</v>
      </c>
      <c r="P18" s="8">
        <v>14</v>
      </c>
      <c r="Q18" s="8">
        <f t="shared" si="7"/>
        <v>0.4307861328125</v>
      </c>
      <c r="R18" s="8">
        <f t="shared" si="0"/>
        <v>3.5336880331138243E-5</v>
      </c>
      <c r="S18" s="8">
        <f t="shared" si="8"/>
        <v>0.43084716796875</v>
      </c>
      <c r="T18" s="8">
        <f t="shared" si="1"/>
        <v>-2.8313926404122114E-5</v>
      </c>
      <c r="U18" s="8">
        <f t="shared" si="3"/>
        <v>0.430816650390625</v>
      </c>
      <c r="V18" s="8">
        <f t="shared" si="2"/>
        <v>3.5113852887569408E-6</v>
      </c>
      <c r="W18" s="8">
        <f t="shared" si="4"/>
        <v>1.2408140174532331E-10</v>
      </c>
      <c r="X18" s="8">
        <f t="shared" si="5"/>
        <v>-9.9421104642381105E-11</v>
      </c>
      <c r="Y18" s="8">
        <f t="shared" si="6"/>
        <v>6.103515625E-5</v>
      </c>
      <c r="AA18" s="8">
        <v>14</v>
      </c>
      <c r="AB18" s="8">
        <f t="shared" si="13"/>
        <v>1198.486328125</v>
      </c>
      <c r="AC18" s="8">
        <v>-3.32006766085442E-2</v>
      </c>
      <c r="AD18" s="8">
        <f t="shared" si="14"/>
        <v>1198.73046875</v>
      </c>
      <c r="AE18" s="8">
        <v>8.5984834820919787E-2</v>
      </c>
      <c r="AF18" s="8">
        <f t="shared" si="9"/>
        <v>1198.6083984375</v>
      </c>
      <c r="AG18" s="8">
        <v>2.6392766487902009E-2</v>
      </c>
      <c r="AH18" s="8">
        <f t="shared" si="10"/>
        <v>-8.7625770496965749E-4</v>
      </c>
      <c r="AI18" s="8">
        <f t="shared" si="11"/>
        <v>2.2693776669293615E-3</v>
      </c>
      <c r="AJ18" s="8">
        <f t="shared" si="12"/>
        <v>0.244140625</v>
      </c>
    </row>
    <row r="19" spans="2:36" x14ac:dyDescent="0.2">
      <c r="B19" s="22" t="s">
        <v>13</v>
      </c>
      <c r="C19" s="22"/>
      <c r="D19" s="22"/>
      <c r="F19" s="13" t="s">
        <v>89</v>
      </c>
      <c r="G19">
        <f xml:space="preserve"> 0.188 * (G4/1000) + 5.836 + 0.188 * (G9/1000) + 5.836</f>
        <v>52.214714785316005</v>
      </c>
      <c r="H19" t="s">
        <v>14</v>
      </c>
      <c r="J19" t="s">
        <v>53</v>
      </c>
      <c r="K19">
        <f xml:space="preserve"> PI() * $C$23 / ($C$22 * $C$25)</f>
        <v>153.14932077647677</v>
      </c>
      <c r="L19" t="s">
        <v>54</v>
      </c>
      <c r="P19" s="8">
        <v>15</v>
      </c>
      <c r="Q19" s="8">
        <f t="shared" si="7"/>
        <v>0.430816650390625</v>
      </c>
      <c r="R19" s="8">
        <f t="shared" si="0"/>
        <v>3.5113852887569408E-6</v>
      </c>
      <c r="S19" s="8">
        <f t="shared" si="8"/>
        <v>0.43084716796875</v>
      </c>
      <c r="T19" s="8">
        <f t="shared" si="1"/>
        <v>-2.8313926404122114E-5</v>
      </c>
      <c r="U19" s="8">
        <f t="shared" si="3"/>
        <v>0.4308319091796875</v>
      </c>
      <c r="V19" s="8">
        <f t="shared" si="2"/>
        <v>-1.2401293473962571E-5</v>
      </c>
      <c r="W19" s="8">
        <f t="shared" si="4"/>
        <v>-4.3545719466029626E-11</v>
      </c>
      <c r="X19" s="8">
        <f t="shared" si="5"/>
        <v>3.5112931073769609E-10</v>
      </c>
      <c r="Y19" s="8">
        <f t="shared" si="6"/>
        <v>3.0517578125E-5</v>
      </c>
      <c r="AA19" s="8">
        <v>15</v>
      </c>
      <c r="AB19" s="8">
        <f t="shared" si="13"/>
        <v>1198.486328125</v>
      </c>
      <c r="AC19" s="8">
        <v>-3.32006766085442E-2</v>
      </c>
      <c r="AD19" s="8">
        <f t="shared" si="14"/>
        <v>1198.6083984375</v>
      </c>
      <c r="AE19" s="8">
        <v>2.6392766487902009E-2</v>
      </c>
      <c r="AF19" s="8">
        <f t="shared" si="9"/>
        <v>1198.54736328125</v>
      </c>
      <c r="AG19" s="8">
        <v>-3.4035780588510534E-3</v>
      </c>
      <c r="AH19" s="8">
        <f t="shared" si="10"/>
        <v>1.1300109444385044E-4</v>
      </c>
      <c r="AI19" s="8">
        <f t="shared" si="11"/>
        <v>-8.9829840930602656E-5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1198.5543353202956</v>
      </c>
      <c r="D20" s="3" t="s">
        <v>14</v>
      </c>
      <c r="F20" s="14" t="s">
        <v>97</v>
      </c>
      <c r="G20">
        <f xml:space="preserve"> 14.86 * ($C$20*2.20462)^0.144 * (6.7/(PI()*1.8))^0.778 * (6.7*3.28084)^0.383 * 4^0.455 * 0.453592</f>
        <v>146.79077861950864</v>
      </c>
      <c r="H20" t="s">
        <v>14</v>
      </c>
      <c r="J20" t="s">
        <v>55</v>
      </c>
      <c r="K20">
        <f xml:space="preserve"> $C$23 * COS(K17) / (K19 * $C$22)</f>
        <v>3.6065294920551015E-2</v>
      </c>
      <c r="P20" s="8">
        <v>16</v>
      </c>
      <c r="Q20" s="8">
        <f t="shared" si="7"/>
        <v>0.430816650390625</v>
      </c>
      <c r="R20" s="8">
        <f t="shared" si="0"/>
        <v>3.5113852887569408E-6</v>
      </c>
      <c r="S20" s="8">
        <f t="shared" si="8"/>
        <v>0.4308319091796875</v>
      </c>
      <c r="T20" s="8">
        <f t="shared" si="1"/>
        <v>-1.2401293473962571E-5</v>
      </c>
      <c r="U20" s="8">
        <f t="shared" si="3"/>
        <v>0.43082427978515625</v>
      </c>
      <c r="V20" s="8">
        <f t="shared" si="2"/>
        <v>-4.4449598219920006E-6</v>
      </c>
      <c r="W20" s="8">
        <f t="shared" si="4"/>
        <v>-1.5607966528058381E-11</v>
      </c>
      <c r="X20" s="8">
        <f t="shared" si="5"/>
        <v>5.512325123249523E-11</v>
      </c>
      <c r="Y20" s="8">
        <f t="shared" si="6"/>
        <v>1.52587890625E-5</v>
      </c>
      <c r="AA20" s="8">
        <v>16</v>
      </c>
      <c r="AB20" s="8">
        <f t="shared" si="13"/>
        <v>1198.54736328125</v>
      </c>
      <c r="AC20" s="8">
        <v>-3.4035780588510534E-3</v>
      </c>
      <c r="AD20" s="8">
        <f t="shared" si="14"/>
        <v>1198.6083984375</v>
      </c>
      <c r="AE20" s="8">
        <v>2.6392766487902009E-2</v>
      </c>
      <c r="AF20" s="8">
        <f t="shared" si="9"/>
        <v>1198.577880859375</v>
      </c>
      <c r="AG20" s="8">
        <v>1.1494842348497514E-2</v>
      </c>
      <c r="AH20" s="8">
        <f t="shared" si="10"/>
        <v>-3.9123593207298053E-5</v>
      </c>
      <c r="AI20" s="8">
        <f t="shared" si="11"/>
        <v>3.0338068991914201E-4</v>
      </c>
      <c r="AJ20" s="8">
        <f t="shared" si="12"/>
        <v>6.103515625E-2</v>
      </c>
    </row>
    <row r="21" spans="2:36" x14ac:dyDescent="0.2">
      <c r="B21" t="s">
        <v>15</v>
      </c>
      <c r="C21" s="1">
        <v>1.49999999999999</v>
      </c>
      <c r="D21" t="s">
        <v>16</v>
      </c>
      <c r="F21" s="14" t="s">
        <v>98</v>
      </c>
      <c r="G21">
        <f xml:space="preserve"> 0.054 * (0.7*3.28084)^0.501 * ($C$20*2.20462*5.7)^0.684 * 0.453592</f>
        <v>26.768395583058929</v>
      </c>
      <c r="H21" t="s">
        <v>14</v>
      </c>
      <c r="J21" t="s">
        <v>56</v>
      </c>
      <c r="K21">
        <f xml:space="preserve"> K18 / ( $C$33 * PI() * $C$22^2 * K19^2 * $C$22^2)</f>
        <v>1.6075481273085567E-2</v>
      </c>
      <c r="P21" s="8">
        <v>17</v>
      </c>
      <c r="Q21" s="8">
        <f t="shared" si="7"/>
        <v>0.430816650390625</v>
      </c>
      <c r="R21" s="8">
        <f t="shared" si="0"/>
        <v>3.5113852887569408E-6</v>
      </c>
      <c r="S21" s="8">
        <f t="shared" si="8"/>
        <v>0.43082427978515625</v>
      </c>
      <c r="T21" s="8">
        <f t="shared" si="1"/>
        <v>-4.4449598219920006E-6</v>
      </c>
      <c r="U21" s="8">
        <f t="shared" si="3"/>
        <v>0.43082046508789062</v>
      </c>
      <c r="V21" s="8">
        <f t="shared" si="2"/>
        <v>-4.6678869902727627E-7</v>
      </c>
      <c r="W21" s="8">
        <f t="shared" si="4"/>
        <v>-1.6390749707223692E-12</v>
      </c>
      <c r="X21" s="8">
        <f t="shared" si="5"/>
        <v>2.0748570125361595E-12</v>
      </c>
      <c r="Y21" s="8">
        <f t="shared" si="6"/>
        <v>7.62939453125E-6</v>
      </c>
      <c r="AA21" s="8">
        <v>17</v>
      </c>
      <c r="AB21" s="8">
        <f t="shared" si="13"/>
        <v>1198.54736328125</v>
      </c>
      <c r="AC21" s="8">
        <v>-3.4035780588510534E-3</v>
      </c>
      <c r="AD21" s="8">
        <f t="shared" si="14"/>
        <v>1198.577880859375</v>
      </c>
      <c r="AE21" s="8">
        <v>1.1494842348497514E-2</v>
      </c>
      <c r="AF21" s="8">
        <f t="shared" si="9"/>
        <v>1198.5626220703125</v>
      </c>
      <c r="AG21" s="8">
        <v>4.0454377171954548E-3</v>
      </c>
      <c r="AH21" s="8">
        <f t="shared" si="10"/>
        <v>-1.3768963052694943E-5</v>
      </c>
      <c r="AI21" s="8">
        <f t="shared" si="11"/>
        <v>4.650166878982742E-5</v>
      </c>
      <c r="AJ21" s="8">
        <f t="shared" si="12"/>
        <v>3.0517578125E-2</v>
      </c>
    </row>
    <row r="22" spans="2:36" x14ac:dyDescent="0.2">
      <c r="B22" t="s">
        <v>17</v>
      </c>
      <c r="C22" s="1">
        <v>0.86786891819242595</v>
      </c>
      <c r="D22" t="s">
        <v>16</v>
      </c>
      <c r="F22" s="14" t="s">
        <v>90</v>
      </c>
      <c r="G22">
        <f xml:space="preserve"> 0.04674 * ($C$20*2.20462)^0.397 * ($C$24*3.28084^2)^0.36 * 3^0.397 * $C$12^1.712 * 0.453592</f>
        <v>212.1167319418031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0.430816650390625</v>
      </c>
      <c r="R22" s="8">
        <f t="shared" si="0"/>
        <v>3.5113852887569408E-6</v>
      </c>
      <c r="S22" s="8">
        <f t="shared" si="8"/>
        <v>0.43082046508789062</v>
      </c>
      <c r="T22" s="8">
        <f t="shared" si="1"/>
        <v>-4.6678869902727627E-7</v>
      </c>
      <c r="U22" s="8">
        <f t="shared" si="3"/>
        <v>0.43081855773925781</v>
      </c>
      <c r="V22" s="8">
        <f t="shared" si="2"/>
        <v>1.5222979367623957E-6</v>
      </c>
      <c r="W22" s="8">
        <f t="shared" si="4"/>
        <v>5.3453745802525202E-12</v>
      </c>
      <c r="X22" s="8">
        <f t="shared" si="5"/>
        <v>-7.1059147343322556E-13</v>
      </c>
      <c r="Y22" s="8">
        <f t="shared" si="6"/>
        <v>3.814697265625E-6</v>
      </c>
      <c r="AA22" s="8">
        <v>18</v>
      </c>
      <c r="AB22" s="8">
        <f t="shared" si="13"/>
        <v>1198.54736328125</v>
      </c>
      <c r="AC22" s="8">
        <v>-3.4035780588510534E-3</v>
      </c>
      <c r="AD22" s="8">
        <f t="shared" si="14"/>
        <v>1198.5626220703125</v>
      </c>
      <c r="AE22" s="8">
        <v>4.0454377171954548E-3</v>
      </c>
      <c r="AF22" s="8">
        <f t="shared" si="9"/>
        <v>1198.5549926757812</v>
      </c>
      <c r="AG22" s="8">
        <v>3.2093251491005503E-4</v>
      </c>
      <c r="AH22" s="8">
        <f t="shared" si="10"/>
        <v>-1.0923188661197518E-6</v>
      </c>
      <c r="AI22" s="8">
        <f t="shared" si="11"/>
        <v>1.2983125004915294E-6</v>
      </c>
      <c r="AJ22" s="8">
        <f t="shared" si="12"/>
        <v>1.52587890625E-2</v>
      </c>
    </row>
    <row r="23" spans="2:36" x14ac:dyDescent="0.2">
      <c r="B23" t="s">
        <v>18</v>
      </c>
      <c r="C23" s="1">
        <v>54.999999999999197</v>
      </c>
      <c r="D23" t="s">
        <v>19</v>
      </c>
      <c r="F23" s="14" t="s">
        <v>99</v>
      </c>
      <c r="G23">
        <v>0</v>
      </c>
      <c r="H23" t="s">
        <v>14</v>
      </c>
      <c r="J23" t="s">
        <v>57</v>
      </c>
      <c r="K23">
        <f xml:space="preserve"> ($C$8 * $K$22 / 8) * (1 + 4.65 * K20^2) * ( PI() * $C$33 * K19^3 * C22^5)</f>
        <v>1335.2275825919908</v>
      </c>
      <c r="L23" t="s">
        <v>35</v>
      </c>
      <c r="P23" s="8">
        <v>19</v>
      </c>
      <c r="Q23" s="8">
        <f t="shared" si="7"/>
        <v>0.43081855773925781</v>
      </c>
      <c r="R23" s="8">
        <f t="shared" si="0"/>
        <v>1.5222979367623957E-6</v>
      </c>
      <c r="S23" s="8">
        <f t="shared" si="8"/>
        <v>0.43082046508789062</v>
      </c>
      <c r="T23" s="8">
        <f t="shared" si="1"/>
        <v>-4.6678869902727627E-7</v>
      </c>
      <c r="U23" s="8">
        <f t="shared" si="3"/>
        <v>0.43081951141357422</v>
      </c>
      <c r="V23" s="8">
        <f t="shared" si="2"/>
        <v>5.2775452935582834E-7</v>
      </c>
      <c r="W23" s="8">
        <f t="shared" si="4"/>
        <v>8.0339963115538665E-13</v>
      </c>
      <c r="X23" s="8">
        <f t="shared" si="5"/>
        <v>-2.4634985016375957E-13</v>
      </c>
      <c r="Y23" s="8">
        <f t="shared" si="6"/>
        <v>1.9073486328125E-6</v>
      </c>
      <c r="AA23" s="8">
        <v>19</v>
      </c>
      <c r="AB23" s="8">
        <f t="shared" si="13"/>
        <v>1198.54736328125</v>
      </c>
      <c r="AC23" s="8">
        <v>-3.4035780588510534E-3</v>
      </c>
      <c r="AD23" s="8">
        <f t="shared" si="14"/>
        <v>1198.5549926757812</v>
      </c>
      <c r="AE23" s="8">
        <v>3.2093251491005503E-4</v>
      </c>
      <c r="AF23" s="8">
        <f t="shared" si="9"/>
        <v>1198.5511779785156</v>
      </c>
      <c r="AG23" s="8">
        <v>-1.5413221004791922E-3</v>
      </c>
      <c r="AH23" s="8">
        <f t="shared" si="10"/>
        <v>5.2460100828131967E-6</v>
      </c>
      <c r="AI23" s="8">
        <f t="shared" si="11"/>
        <v>-4.9466037799323565E-7</v>
      </c>
      <c r="AJ23" s="8">
        <f t="shared" si="12"/>
        <v>7.62939453125E-3</v>
      </c>
    </row>
    <row r="24" spans="2:36" x14ac:dyDescent="0.2">
      <c r="B24" t="s">
        <v>20</v>
      </c>
      <c r="C24" s="1">
        <v>10.576549642446899</v>
      </c>
      <c r="D24" t="s">
        <v>21</v>
      </c>
      <c r="F24" s="14" t="s">
        <v>100</v>
      </c>
      <c r="G24">
        <v>0</v>
      </c>
      <c r="H24" t="s">
        <v>14</v>
      </c>
      <c r="J24" t="s">
        <v>58</v>
      </c>
      <c r="K24" s="5">
        <f>U34</f>
        <v>0.43082001758739352</v>
      </c>
      <c r="P24" s="8">
        <v>20</v>
      </c>
      <c r="Q24" s="8">
        <f t="shared" si="7"/>
        <v>0.43081951141357422</v>
      </c>
      <c r="R24" s="8">
        <f t="shared" si="0"/>
        <v>5.2775452935582834E-7</v>
      </c>
      <c r="S24" s="8">
        <f t="shared" si="8"/>
        <v>0.43082046508789062</v>
      </c>
      <c r="T24" s="8">
        <f t="shared" si="1"/>
        <v>-4.6678869902727627E-7</v>
      </c>
      <c r="U24" s="8">
        <f t="shared" si="3"/>
        <v>0.43081998825073242</v>
      </c>
      <c r="V24" s="8">
        <f t="shared" si="2"/>
        <v>3.0482892765526515E-8</v>
      </c>
      <c r="W24" s="8">
        <f t="shared" si="4"/>
        <v>1.6087484724874629E-14</v>
      </c>
      <c r="X24" s="8">
        <f t="shared" si="5"/>
        <v>-1.4229069856608094E-14</v>
      </c>
      <c r="Y24" s="8">
        <f t="shared" si="6"/>
        <v>9.5367431640625E-7</v>
      </c>
      <c r="AA24" s="8">
        <v>20</v>
      </c>
      <c r="AB24" s="8">
        <f t="shared" si="13"/>
        <v>1198.5511779785156</v>
      </c>
      <c r="AC24" s="8">
        <v>-1.5413221004791922E-3</v>
      </c>
      <c r="AD24" s="8">
        <f t="shared" si="14"/>
        <v>1198.5549926757812</v>
      </c>
      <c r="AE24" s="8">
        <v>3.2093251491005503E-4</v>
      </c>
      <c r="AF24" s="8">
        <f t="shared" si="9"/>
        <v>1198.5530853271484</v>
      </c>
      <c r="AG24" s="8">
        <v>-6.1019462509648292E-4</v>
      </c>
      <c r="AH24" s="8">
        <f t="shared" si="10"/>
        <v>9.4050646125482422E-7</v>
      </c>
      <c r="AI24" s="8">
        <f t="shared" si="11"/>
        <v>-1.9583129561681245E-7</v>
      </c>
      <c r="AJ24" s="8">
        <f t="shared" si="12"/>
        <v>3.814697265625E-3</v>
      </c>
    </row>
    <row r="25" spans="2:36" x14ac:dyDescent="0.2">
      <c r="B25" t="s">
        <v>22</v>
      </c>
      <c r="C25" s="1">
        <v>1.2999999999999601</v>
      </c>
      <c r="F25" s="15" t="s">
        <v>101</v>
      </c>
      <c r="G25">
        <f xml:space="preserve"> 0.0268 * $C$20</f>
        <v>32.121256186583928</v>
      </c>
      <c r="H25" t="s">
        <v>14</v>
      </c>
      <c r="J25" t="s">
        <v>59</v>
      </c>
      <c r="K25">
        <f xml:space="preserve"> K19 * $C$22 * K24 - $C$23 * SIN(K17)</f>
        <v>2.4711032395395378</v>
      </c>
      <c r="L25" t="s">
        <v>19</v>
      </c>
      <c r="P25" s="8">
        <v>21</v>
      </c>
      <c r="Q25" s="8">
        <f t="shared" si="7"/>
        <v>0.43081998825073242</v>
      </c>
      <c r="R25" s="8">
        <f t="shared" si="0"/>
        <v>3.0482892765526515E-8</v>
      </c>
      <c r="S25" s="8">
        <f t="shared" si="8"/>
        <v>0.43082046508789062</v>
      </c>
      <c r="T25" s="8">
        <f t="shared" si="1"/>
        <v>-4.6678869902727627E-7</v>
      </c>
      <c r="U25" s="8">
        <f t="shared" si="3"/>
        <v>0.43082022666931152</v>
      </c>
      <c r="V25" s="8">
        <f t="shared" si="2"/>
        <v>-2.1815290873750115E-7</v>
      </c>
      <c r="W25" s="8">
        <f t="shared" si="4"/>
        <v>-6.6499317235329396E-15</v>
      </c>
      <c r="X25" s="8">
        <f t="shared" si="5"/>
        <v>1.0183131245859429E-13</v>
      </c>
      <c r="Y25" s="8">
        <f t="shared" si="6"/>
        <v>4.76837158203125E-7</v>
      </c>
      <c r="AA25" s="8">
        <v>21</v>
      </c>
      <c r="AB25" s="8">
        <f t="shared" si="13"/>
        <v>1198.5530853271484</v>
      </c>
      <c r="AC25" s="8">
        <v>-6.1019462509648292E-4</v>
      </c>
      <c r="AD25" s="8">
        <f t="shared" si="14"/>
        <v>1198.5549926757812</v>
      </c>
      <c r="AE25" s="8">
        <v>3.2093251491005503E-4</v>
      </c>
      <c r="AF25" s="8">
        <f t="shared" si="9"/>
        <v>1198.5540390014648</v>
      </c>
      <c r="AG25" s="8">
        <v>-1.4442584836160677E-4</v>
      </c>
      <c r="AH25" s="8">
        <f t="shared" si="10"/>
        <v>8.8127876395252129E-8</v>
      </c>
      <c r="AI25" s="8">
        <f t="shared" si="11"/>
        <v>-4.6350950732708712E-8</v>
      </c>
      <c r="AJ25" s="8">
        <f t="shared" si="12"/>
        <v>1.9073486328125E-3</v>
      </c>
    </row>
    <row r="26" spans="2:36" x14ac:dyDescent="0.2">
      <c r="F26" s="15" t="s">
        <v>102</v>
      </c>
      <c r="G26">
        <f xml:space="preserve"> 11.5 * ($C$20*2.20462/1000)^0.4 * 0.453592</f>
        <v>7.6941352232120019</v>
      </c>
      <c r="H26" t="s">
        <v>14</v>
      </c>
      <c r="J26" t="s">
        <v>60</v>
      </c>
      <c r="K26">
        <f xml:space="preserve"> 1/$C$9 - K23 * SQRT( (2*$C$33*PI()*$C$22^2) / K18^3 )</f>
        <v>1.1972131715570866</v>
      </c>
      <c r="P26" s="8">
        <v>22</v>
      </c>
      <c r="Q26" s="8">
        <f t="shared" si="7"/>
        <v>0.43081998825073242</v>
      </c>
      <c r="R26" s="8">
        <f t="shared" si="0"/>
        <v>3.0482892765526515E-8</v>
      </c>
      <c r="S26" s="8">
        <f t="shared" si="8"/>
        <v>0.43082022666931152</v>
      </c>
      <c r="T26" s="8">
        <f t="shared" si="1"/>
        <v>-2.1815290873750115E-7</v>
      </c>
      <c r="U26" s="8">
        <f t="shared" si="3"/>
        <v>0.43082010746002197</v>
      </c>
      <c r="V26" s="8">
        <f t="shared" si="2"/>
        <v>-9.3835009373766098E-8</v>
      </c>
      <c r="W26" s="8">
        <f t="shared" si="4"/>
        <v>-2.8603625283926874E-15</v>
      </c>
      <c r="X26" s="8">
        <f t="shared" si="5"/>
        <v>2.047038023629776E-14</v>
      </c>
      <c r="Y26" s="8">
        <f t="shared" si="6"/>
        <v>2.384185791015625E-7</v>
      </c>
      <c r="AA26" s="8">
        <v>22</v>
      </c>
      <c r="AB26" s="8">
        <f t="shared" si="13"/>
        <v>1198.5540390014648</v>
      </c>
      <c r="AC26" s="8">
        <v>-1.4442584836160677E-4</v>
      </c>
      <c r="AD26" s="8">
        <f t="shared" si="14"/>
        <v>1198.5549926757812</v>
      </c>
      <c r="AE26" s="8">
        <v>3.2093251491005503E-4</v>
      </c>
      <c r="AF26" s="8">
        <f t="shared" si="9"/>
        <v>1198.554515838623</v>
      </c>
      <c r="AG26" s="8">
        <v>8.8253343619726365E-5</v>
      </c>
      <c r="AH26" s="8">
        <f t="shared" si="10"/>
        <v>-1.2746064023027376E-8</v>
      </c>
      <c r="AI26" s="8">
        <f t="shared" si="11"/>
        <v>2.8323367517100041E-8</v>
      </c>
      <c r="AJ26" s="8">
        <f t="shared" si="12"/>
        <v>9.5367431640625E-4</v>
      </c>
    </row>
    <row r="27" spans="2:36" x14ac:dyDescent="0.2">
      <c r="B27" s="22" t="s">
        <v>23</v>
      </c>
      <c r="C27" s="22"/>
      <c r="D27" s="22"/>
      <c r="F27" s="15" t="s">
        <v>103</v>
      </c>
      <c r="G27">
        <f xml:space="preserve"> 8 * ($C$20/1000)</f>
        <v>9.5884346825623652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0.43081998825073242</v>
      </c>
      <c r="R27" s="8">
        <f t="shared" si="0"/>
        <v>3.0482892765526515E-8</v>
      </c>
      <c r="S27" s="8">
        <f t="shared" si="8"/>
        <v>0.43082010746002197</v>
      </c>
      <c r="T27" s="8">
        <f t="shared" si="1"/>
        <v>-9.3835009373766098E-8</v>
      </c>
      <c r="U27" s="8">
        <f t="shared" si="3"/>
        <v>0.4308200478553772</v>
      </c>
      <c r="V27" s="8">
        <f t="shared" si="2"/>
        <v>-3.1676058664942275E-8</v>
      </c>
      <c r="W27" s="8">
        <f t="shared" si="4"/>
        <v>-9.6557789951796239E-16</v>
      </c>
      <c r="X27" s="8">
        <f t="shared" si="5"/>
        <v>2.9723232617488233E-15</v>
      </c>
      <c r="Y27" s="8">
        <f t="shared" si="6"/>
        <v>1.1920928955078125E-7</v>
      </c>
      <c r="AA27" s="8">
        <v>23</v>
      </c>
      <c r="AB27" s="8">
        <f t="shared" si="13"/>
        <v>1198.5540390014648</v>
      </c>
      <c r="AC27" s="8">
        <v>-1.4442584836160677E-4</v>
      </c>
      <c r="AD27" s="8">
        <f t="shared" si="14"/>
        <v>1198.554515838623</v>
      </c>
      <c r="AE27" s="8">
        <v>8.8253343619726365E-5</v>
      </c>
      <c r="AF27" s="8">
        <f t="shared" si="9"/>
        <v>1198.5542774200439</v>
      </c>
      <c r="AG27" s="8">
        <v>-2.8291414537306991E-5</v>
      </c>
      <c r="AH27" s="8">
        <f t="shared" si="10"/>
        <v>4.086011545900457E-9</v>
      </c>
      <c r="AI27" s="8">
        <f t="shared" si="11"/>
        <v>-2.4968119286490758E-9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104</v>
      </c>
      <c r="G28">
        <f xml:space="preserve"> 13 * ($C$20*2.20462/1000)^1.3 * 0.453592</f>
        <v>20.854397619186699</v>
      </c>
      <c r="H28" t="s">
        <v>14</v>
      </c>
      <c r="J28" t="s">
        <v>62</v>
      </c>
      <c r="K28">
        <f xml:space="preserve"> 1/$C$38 * LN( EXP($C$38 * K26) + EXP($C$38 * K27) )</f>
        <v>1.2044530196453378</v>
      </c>
      <c r="P28" s="8">
        <v>24</v>
      </c>
      <c r="Q28" s="8">
        <f t="shared" si="7"/>
        <v>0.43081998825073242</v>
      </c>
      <c r="R28" s="8">
        <f t="shared" si="0"/>
        <v>3.0482892765526515E-8</v>
      </c>
      <c r="S28" s="8">
        <f t="shared" si="8"/>
        <v>0.4308200478553772</v>
      </c>
      <c r="T28" s="8">
        <f t="shared" si="1"/>
        <v>-3.1676058664942275E-8</v>
      </c>
      <c r="U28" s="8">
        <f t="shared" si="3"/>
        <v>0.43082001805305481</v>
      </c>
      <c r="V28" s="8">
        <f t="shared" si="2"/>
        <v>-5.9658300521903129E-10</v>
      </c>
      <c r="W28" s="8">
        <f t="shared" si="4"/>
        <v>-1.8185575773827276E-17</v>
      </c>
      <c r="X28" s="8">
        <f t="shared" si="5"/>
        <v>1.8897398271825599E-17</v>
      </c>
      <c r="Y28" s="8">
        <f t="shared" si="6"/>
        <v>5.9604644775390625E-8</v>
      </c>
      <c r="AA28" s="8">
        <v>24</v>
      </c>
      <c r="AB28" s="8">
        <f t="shared" si="13"/>
        <v>1198.5542774200439</v>
      </c>
      <c r="AC28" s="8">
        <v>-2.8291414537306991E-5</v>
      </c>
      <c r="AD28" s="8">
        <f t="shared" si="14"/>
        <v>1198.554515838623</v>
      </c>
      <c r="AE28" s="8">
        <v>8.8253343619726365E-5</v>
      </c>
      <c r="AF28" s="8">
        <f t="shared" si="9"/>
        <v>1198.5543966293335</v>
      </c>
      <c r="AG28" s="8">
        <v>2.9980965337017551E-5</v>
      </c>
      <c r="AH28" s="8">
        <f t="shared" si="10"/>
        <v>-8.4820391857819535E-10</v>
      </c>
      <c r="AI28" s="8">
        <f t="shared" si="11"/>
        <v>2.6459204359389152E-9</v>
      </c>
      <c r="AJ28" s="8">
        <f t="shared" si="12"/>
        <v>2.384185791015625E-4</v>
      </c>
    </row>
    <row r="29" spans="2:36" x14ac:dyDescent="0.2">
      <c r="B29" t="s">
        <v>24</v>
      </c>
      <c r="C29" s="1">
        <v>100000</v>
      </c>
      <c r="D29" t="s">
        <v>16</v>
      </c>
      <c r="F29" s="3" t="s">
        <v>91</v>
      </c>
      <c r="G29" s="3">
        <f>$C$20 - $C$28 - SUM(G17:G28)</f>
        <v>-1.0618350643198937E-10</v>
      </c>
      <c r="H29" s="3" t="s">
        <v>14</v>
      </c>
      <c r="P29" s="8">
        <v>25</v>
      </c>
      <c r="Q29" s="8">
        <f t="shared" si="7"/>
        <v>0.43081998825073242</v>
      </c>
      <c r="R29" s="8">
        <f t="shared" si="0"/>
        <v>3.0482892765526515E-8</v>
      </c>
      <c r="S29" s="8">
        <f t="shared" si="8"/>
        <v>0.43082001805305481</v>
      </c>
      <c r="T29" s="8">
        <f t="shared" si="1"/>
        <v>-5.9658300521903129E-10</v>
      </c>
      <c r="U29" s="8">
        <f t="shared" si="3"/>
        <v>0.43082000315189362</v>
      </c>
      <c r="V29" s="8">
        <f t="shared" si="2"/>
        <v>1.4943154880153742E-8</v>
      </c>
      <c r="W29" s="8">
        <f t="shared" si="4"/>
        <v>4.5551058779038076E-16</v>
      </c>
      <c r="X29" s="8">
        <f t="shared" si="5"/>
        <v>-8.9148322458555526E-18</v>
      </c>
      <c r="Y29" s="8">
        <f t="shared" si="6"/>
        <v>2.9802322387695312E-8</v>
      </c>
      <c r="AA29" s="8">
        <v>25</v>
      </c>
      <c r="AB29" s="8">
        <f t="shared" si="13"/>
        <v>1198.5542774200439</v>
      </c>
      <c r="AC29" s="8">
        <v>-2.8291414537306991E-5</v>
      </c>
      <c r="AD29" s="8">
        <f t="shared" si="14"/>
        <v>1198.5543966293335</v>
      </c>
      <c r="AE29" s="8">
        <v>2.9980965337017551E-5</v>
      </c>
      <c r="AF29" s="8">
        <f t="shared" si="9"/>
        <v>1198.5543370246887</v>
      </c>
      <c r="AG29" s="8">
        <v>8.4477562722895527E-7</v>
      </c>
      <c r="AH29" s="8">
        <f t="shared" si="10"/>
        <v>-2.3899897460947897E-11</v>
      </c>
      <c r="AI29" s="8">
        <f t="shared" si="11"/>
        <v>2.5327188797508568E-11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t="s">
        <v>92</v>
      </c>
      <c r="G30" s="10" t="str">
        <f>IF(ABS(G29)&lt;0.00001, "TRUE", "FALSE")</f>
        <v>TRUE</v>
      </c>
      <c r="P30" s="8">
        <v>26</v>
      </c>
      <c r="Q30" s="8">
        <f t="shared" si="7"/>
        <v>0.43082000315189362</v>
      </c>
      <c r="R30" s="8">
        <f t="shared" si="0"/>
        <v>1.4943154880153742E-8</v>
      </c>
      <c r="S30" s="8">
        <f t="shared" si="8"/>
        <v>0.43082001805305481</v>
      </c>
      <c r="T30" s="8">
        <f t="shared" si="1"/>
        <v>-5.9658300521903129E-10</v>
      </c>
      <c r="U30" s="8">
        <f t="shared" si="3"/>
        <v>0.43082001060247421</v>
      </c>
      <c r="V30" s="8">
        <f t="shared" si="2"/>
        <v>7.1732859097117796E-9</v>
      </c>
      <c r="W30" s="8">
        <f t="shared" si="4"/>
        <v>1.0719152234844765E-16</v>
      </c>
      <c r="X30" s="8">
        <f t="shared" si="5"/>
        <v>-4.2794604653111862E-18</v>
      </c>
      <c r="Y30" s="8">
        <f t="shared" si="6"/>
        <v>1.4901161193847656E-8</v>
      </c>
      <c r="AA30" s="8">
        <v>26</v>
      </c>
      <c r="AB30" s="8">
        <f t="shared" si="13"/>
        <v>1198.5542774200439</v>
      </c>
      <c r="AC30" s="8">
        <v>-2.8291414537306991E-5</v>
      </c>
      <c r="AD30" s="8">
        <f t="shared" si="14"/>
        <v>1198.5543370246887</v>
      </c>
      <c r="AE30" s="8">
        <v>8.4477562722895527E-7</v>
      </c>
      <c r="AF30" s="8">
        <f t="shared" si="9"/>
        <v>1198.5543072223663</v>
      </c>
      <c r="AG30" s="8">
        <v>-1.3518154560188123E-5</v>
      </c>
      <c r="AH30" s="8">
        <f t="shared" si="10"/>
        <v>3.8244771444166902E-10</v>
      </c>
      <c r="AI30" s="8">
        <f t="shared" si="11"/>
        <v>-1.1419807497560883E-11</v>
      </c>
      <c r="AJ30" s="8">
        <f t="shared" si="12"/>
        <v>5.9604644775390625E-5</v>
      </c>
    </row>
    <row r="31" spans="2:36" x14ac:dyDescent="0.2">
      <c r="P31" s="8">
        <v>27</v>
      </c>
      <c r="Q31" s="8">
        <f t="shared" si="7"/>
        <v>0.43082001060247421</v>
      </c>
      <c r="R31" s="8">
        <f t="shared" si="0"/>
        <v>7.1732859097117796E-9</v>
      </c>
      <c r="S31" s="8">
        <f t="shared" si="8"/>
        <v>0.43082001805305481</v>
      </c>
      <c r="T31" s="8">
        <f t="shared" si="1"/>
        <v>-5.9658300521903129E-10</v>
      </c>
      <c r="U31" s="8">
        <f t="shared" si="3"/>
        <v>0.43082001432776451</v>
      </c>
      <c r="V31" s="8">
        <f t="shared" si="2"/>
        <v>3.2883514800019498E-9</v>
      </c>
      <c r="W31" s="8">
        <f t="shared" si="4"/>
        <v>2.3588285337677863E-17</v>
      </c>
      <c r="X31" s="8">
        <f t="shared" si="5"/>
        <v>-1.9617746081560125E-18</v>
      </c>
      <c r="Y31" s="8">
        <f t="shared" si="6"/>
        <v>7.4505805969238281E-9</v>
      </c>
      <c r="AA31" s="8">
        <v>27</v>
      </c>
      <c r="AB31" s="8">
        <f t="shared" si="13"/>
        <v>1198.5543072223663</v>
      </c>
      <c r="AC31" s="8">
        <v>-1.3518154560188123E-5</v>
      </c>
      <c r="AD31" s="8">
        <f t="shared" si="14"/>
        <v>1198.5543370246887</v>
      </c>
      <c r="AE31" s="8">
        <v>8.4477562722895527E-7</v>
      </c>
      <c r="AF31" s="8">
        <f t="shared" si="9"/>
        <v>1198.5543221235275</v>
      </c>
      <c r="AG31" s="8">
        <v>-6.5418543044870603E-6</v>
      </c>
      <c r="AH31" s="8">
        <f t="shared" si="10"/>
        <v>8.8433797598288053E-11</v>
      </c>
      <c r="AI31" s="8">
        <f t="shared" si="11"/>
        <v>-5.5263990733134973E-12</v>
      </c>
      <c r="AJ31" s="8">
        <f t="shared" si="12"/>
        <v>2.9802322387695312E-5</v>
      </c>
    </row>
    <row r="32" spans="2:36" x14ac:dyDescent="0.2">
      <c r="B32" s="22" t="s">
        <v>110</v>
      </c>
      <c r="C32" s="23"/>
      <c r="D32" s="23"/>
      <c r="P32" s="8">
        <v>28</v>
      </c>
      <c r="Q32" s="8">
        <f t="shared" si="7"/>
        <v>0.43082001432776451</v>
      </c>
      <c r="R32" s="8">
        <f t="shared" si="0"/>
        <v>3.2883514800019498E-9</v>
      </c>
      <c r="S32" s="8">
        <f t="shared" si="8"/>
        <v>0.43082001805305481</v>
      </c>
      <c r="T32" s="8">
        <f t="shared" si="1"/>
        <v>-5.9658300521903129E-10</v>
      </c>
      <c r="U32" s="8">
        <f t="shared" si="3"/>
        <v>0.43082001619040966</v>
      </c>
      <c r="V32" s="8">
        <f t="shared" si="2"/>
        <v>1.3458842373914592E-9</v>
      </c>
      <c r="W32" s="8">
        <f t="shared" si="4"/>
        <v>4.4257404239375005E-18</v>
      </c>
      <c r="X32" s="8">
        <f t="shared" si="5"/>
        <v>-8.0293166301992088E-19</v>
      </c>
      <c r="Y32" s="8">
        <f t="shared" si="6"/>
        <v>3.7252902984619141E-9</v>
      </c>
      <c r="AA32" s="8">
        <v>28</v>
      </c>
      <c r="AB32" s="8">
        <f t="shared" si="13"/>
        <v>1198.5543221235275</v>
      </c>
      <c r="AC32" s="8">
        <v>-6.5418543044870603E-6</v>
      </c>
      <c r="AD32" s="8">
        <f t="shared" si="14"/>
        <v>1198.5543370246887</v>
      </c>
      <c r="AE32" s="8">
        <v>8.4477562722895527E-7</v>
      </c>
      <c r="AF32" s="8">
        <f t="shared" si="9"/>
        <v>1198.5543295741081</v>
      </c>
      <c r="AG32" s="8">
        <v>-2.848539566002728E-6</v>
      </c>
      <c r="AH32" s="8">
        <f t="shared" si="10"/>
        <v>1.8634730821356648E-11</v>
      </c>
      <c r="AI32" s="8">
        <f t="shared" si="11"/>
        <v>-2.4063767985564505E-12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F33" s="2" t="s">
        <v>93</v>
      </c>
      <c r="G33" s="2"/>
      <c r="H33" s="2"/>
      <c r="P33" s="8">
        <v>29</v>
      </c>
      <c r="Q33" s="8">
        <f t="shared" si="7"/>
        <v>0.43082001619040966</v>
      </c>
      <c r="R33" s="8">
        <f t="shared" si="0"/>
        <v>1.3458842373914592E-9</v>
      </c>
      <c r="S33" s="8">
        <f t="shared" si="8"/>
        <v>0.43082001805305481</v>
      </c>
      <c r="T33" s="8">
        <f t="shared" si="1"/>
        <v>-5.9658300521903129E-10</v>
      </c>
      <c r="U33" s="8">
        <f t="shared" si="3"/>
        <v>0.43082001712173223</v>
      </c>
      <c r="V33" s="8">
        <f t="shared" si="2"/>
        <v>3.7465058833063836E-10</v>
      </c>
      <c r="W33" s="8">
        <f t="shared" si="4"/>
        <v>5.0423632136364274E-19</v>
      </c>
      <c r="X33" s="8">
        <f t="shared" si="5"/>
        <v>-2.2351017389337037E-19</v>
      </c>
      <c r="Y33" s="8">
        <f t="shared" si="6"/>
        <v>1.862645149230957E-9</v>
      </c>
      <c r="AA33" s="8">
        <v>29</v>
      </c>
      <c r="AB33" s="8">
        <f t="shared" si="13"/>
        <v>1198.5543295741081</v>
      </c>
      <c r="AC33" s="8">
        <v>-2.848539566002728E-6</v>
      </c>
      <c r="AD33" s="8">
        <f t="shared" si="14"/>
        <v>1198.5543370246887</v>
      </c>
      <c r="AE33" s="8">
        <v>8.4477562722895527E-7</v>
      </c>
      <c r="AF33" s="8">
        <f t="shared" si="9"/>
        <v>1198.5543332993984</v>
      </c>
      <c r="AG33" s="8">
        <v>-1.0018820830737241E-6</v>
      </c>
      <c r="AH33" s="8">
        <f t="shared" si="10"/>
        <v>2.853900754104735E-12</v>
      </c>
      <c r="AI33" s="8">
        <f t="shared" si="11"/>
        <v>-8.4636556513805752E-13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t="s">
        <v>94</v>
      </c>
      <c r="G34">
        <f>ROUND($C$28/$C$20 * 100, 2)</f>
        <v>33.369999999999997</v>
      </c>
      <c r="H34" t="s">
        <v>95</v>
      </c>
      <c r="P34" s="8">
        <v>30</v>
      </c>
      <c r="Q34" s="8">
        <f t="shared" si="7"/>
        <v>0.43082001712173223</v>
      </c>
      <c r="R34" s="8">
        <f t="shared" si="0"/>
        <v>3.7465058833063836E-10</v>
      </c>
      <c r="S34" s="8">
        <f t="shared" si="8"/>
        <v>0.43082001805305481</v>
      </c>
      <c r="T34" s="8">
        <f t="shared" si="1"/>
        <v>-5.9658300521903129E-10</v>
      </c>
      <c r="U34" s="8">
        <f t="shared" si="3"/>
        <v>0.43082001758739352</v>
      </c>
      <c r="V34" s="8">
        <f t="shared" si="2"/>
        <v>-1.1096623619977208E-10</v>
      </c>
      <c r="W34" s="8">
        <f t="shared" si="4"/>
        <v>-4.1573565677081191E-20</v>
      </c>
      <c r="X34" s="8">
        <f t="shared" si="5"/>
        <v>6.6200570669904888E-20</v>
      </c>
      <c r="Y34" s="8">
        <f t="shared" si="6"/>
        <v>9.3132257461547852E-10</v>
      </c>
      <c r="AA34" s="8">
        <v>30</v>
      </c>
      <c r="AB34" s="8">
        <f t="shared" si="13"/>
        <v>1198.5543332993984</v>
      </c>
      <c r="AC34" s="8">
        <v>-1.0018820830737241E-6</v>
      </c>
      <c r="AD34" s="8">
        <f t="shared" si="14"/>
        <v>1198.5543370246887</v>
      </c>
      <c r="AE34" s="8">
        <v>8.4477562722895527E-7</v>
      </c>
      <c r="AF34" s="8">
        <f t="shared" si="9"/>
        <v>1198.5543351620436</v>
      </c>
      <c r="AG34" s="8">
        <v>-7.8553057392127812E-8</v>
      </c>
      <c r="AH34" s="8">
        <f t="shared" si="10"/>
        <v>7.870090077183481E-14</v>
      </c>
      <c r="AI34" s="8">
        <f t="shared" si="11"/>
        <v>-6.6359708329186894E-14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s="16" t="s">
        <v>87</v>
      </c>
      <c r="G35">
        <f>ROUND(G17/$C$20 * 100, 2)</f>
        <v>17.57</v>
      </c>
      <c r="H35" t="s">
        <v>95</v>
      </c>
      <c r="AA35" s="8">
        <v>31</v>
      </c>
      <c r="AB35" s="8">
        <f t="shared" si="13"/>
        <v>1198.5543351620436</v>
      </c>
      <c r="AC35">
        <v>-7.8553057392127812E-8</v>
      </c>
      <c r="AD35" s="8">
        <f t="shared" si="14"/>
        <v>1198.5543370246887</v>
      </c>
      <c r="AE35">
        <v>8.4477562722895527E-7</v>
      </c>
      <c r="AF35" s="8">
        <f t="shared" si="9"/>
        <v>1198.5543360933661</v>
      </c>
      <c r="AG35">
        <v>3.8311111438815715E-7</v>
      </c>
      <c r="AH35" s="8">
        <f t="shared" si="10"/>
        <v>-3.0094549356094952E-14</v>
      </c>
      <c r="AI35" s="8">
        <f t="shared" si="11"/>
        <v>3.2364293195563949E-13</v>
      </c>
      <c r="AJ35" s="8">
        <f t="shared" si="12"/>
        <v>1.862645149230957E-6</v>
      </c>
    </row>
    <row r="36" spans="2:36" x14ac:dyDescent="0.2">
      <c r="F36" s="18" t="s">
        <v>107</v>
      </c>
      <c r="G36">
        <f>ROUND(SUM(G18:G19)/$C$20 * 100, 2)</f>
        <v>11.01</v>
      </c>
      <c r="H36" t="s">
        <v>95</v>
      </c>
      <c r="AA36" s="8">
        <v>32</v>
      </c>
      <c r="AB36" s="8">
        <f t="shared" si="13"/>
        <v>1198.5543351620436</v>
      </c>
      <c r="AC36">
        <v>-7.8553057392127812E-8</v>
      </c>
      <c r="AD36" s="8">
        <f t="shared" si="14"/>
        <v>1198.5543360933661</v>
      </c>
      <c r="AE36">
        <v>3.8311111438815715E-7</v>
      </c>
      <c r="AF36" s="8">
        <f t="shared" si="9"/>
        <v>1198.5543356277049</v>
      </c>
      <c r="AG36">
        <v>1.5227908534143353E-7</v>
      </c>
      <c r="AH36" s="8">
        <f t="shared" si="10"/>
        <v>-1.1961987730446357E-14</v>
      </c>
      <c r="AI36" s="8">
        <f t="shared" si="11"/>
        <v>5.8339810083165885E-14</v>
      </c>
      <c r="AJ36" s="8">
        <f t="shared" si="12"/>
        <v>9.3132257461547852E-7</v>
      </c>
    </row>
    <row r="37" spans="2:36" x14ac:dyDescent="0.2">
      <c r="B37" s="22" t="s">
        <v>31</v>
      </c>
      <c r="C37" s="23"/>
      <c r="D37" s="23"/>
      <c r="F37" s="17" t="s">
        <v>108</v>
      </c>
      <c r="G37">
        <f>ROUND(SUM(G20:G24)/$C$20 * 100, 2)</f>
        <v>32.18</v>
      </c>
      <c r="H37" t="s">
        <v>95</v>
      </c>
      <c r="AA37" s="8">
        <v>33</v>
      </c>
      <c r="AB37" s="8">
        <f t="shared" si="13"/>
        <v>1198.5543351620436</v>
      </c>
      <c r="AC37">
        <v>-7.8553057392127812E-8</v>
      </c>
      <c r="AD37" s="8">
        <f t="shared" si="14"/>
        <v>1198.5543356277049</v>
      </c>
      <c r="AE37">
        <v>1.5227908534143353E-7</v>
      </c>
      <c r="AF37" s="8">
        <f t="shared" si="9"/>
        <v>1198.5543353948742</v>
      </c>
      <c r="AG37">
        <v>3.6862957131233998E-8</v>
      </c>
      <c r="AH37" s="8">
        <f t="shared" si="10"/>
        <v>-2.8956979871733714E-15</v>
      </c>
      <c r="AI37" s="8">
        <f t="shared" si="11"/>
        <v>5.6134573949247876E-15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5" t="s">
        <v>109</v>
      </c>
      <c r="G38">
        <f>ROUND(SUM(G25:G28)/$C$20*100, 2)</f>
        <v>5.86</v>
      </c>
      <c r="H38" t="s">
        <v>95</v>
      </c>
      <c r="AA38" s="8">
        <v>34</v>
      </c>
      <c r="AB38" s="8">
        <f t="shared" si="13"/>
        <v>1198.5543351620436</v>
      </c>
      <c r="AC38">
        <v>-7.8553057392127812E-8</v>
      </c>
      <c r="AD38" s="8">
        <f t="shared" si="14"/>
        <v>1198.5543353948742</v>
      </c>
      <c r="AE38">
        <v>3.6862957131233998E-8</v>
      </c>
      <c r="AF38" s="8">
        <f t="shared" si="9"/>
        <v>1198.5543352784589</v>
      </c>
      <c r="AG38">
        <v>-2.0844936443609186E-8</v>
      </c>
      <c r="AH38" s="8">
        <f t="shared" si="10"/>
        <v>1.637433488790089E-15</v>
      </c>
      <c r="AI38" s="8">
        <f t="shared" si="11"/>
        <v>-7.6840599852406267E-16</v>
      </c>
      <c r="AJ38" s="8">
        <f t="shared" si="12"/>
        <v>2.3283064365386963E-7</v>
      </c>
    </row>
    <row r="39" spans="2:36" x14ac:dyDescent="0.2">
      <c r="F39" s="3" t="s">
        <v>96</v>
      </c>
      <c r="G39" s="3">
        <f>SUM(G34:G38)</f>
        <v>99.99</v>
      </c>
      <c r="H39" s="3" t="s">
        <v>95</v>
      </c>
      <c r="AA39" s="8">
        <v>35</v>
      </c>
      <c r="AB39" s="8">
        <f t="shared" si="13"/>
        <v>1198.5543352784589</v>
      </c>
      <c r="AC39">
        <v>-2.0844936443609186E-8</v>
      </c>
      <c r="AD39" s="8">
        <f t="shared" si="14"/>
        <v>1198.5543353948742</v>
      </c>
      <c r="AE39">
        <v>3.6862957131233998E-8</v>
      </c>
      <c r="AF39" s="8">
        <f t="shared" si="9"/>
        <v>1198.5543353366666</v>
      </c>
      <c r="AG39">
        <v>8.0087829701369628E-9</v>
      </c>
      <c r="AH39" s="8">
        <f t="shared" si="10"/>
        <v>-1.6694257200316459E-16</v>
      </c>
      <c r="AI39" s="8">
        <f t="shared" si="11"/>
        <v>2.9522742330151575E-16</v>
      </c>
      <c r="AJ39" s="8">
        <f t="shared" si="12"/>
        <v>1.1641532182693481E-7</v>
      </c>
    </row>
    <row r="40" spans="2:36" x14ac:dyDescent="0.2">
      <c r="AA40" s="8">
        <v>36</v>
      </c>
      <c r="AB40" s="8">
        <f t="shared" si="13"/>
        <v>1198.5543352784589</v>
      </c>
      <c r="AC40">
        <v>-2.0844936443609186E-8</v>
      </c>
      <c r="AD40" s="8">
        <f t="shared" si="14"/>
        <v>1198.5543353366666</v>
      </c>
      <c r="AE40">
        <v>8.0087829701369628E-9</v>
      </c>
      <c r="AF40" s="8">
        <f t="shared" si="9"/>
        <v>1198.5543353075627</v>
      </c>
      <c r="AG40">
        <v>-6.418190423573833E-9</v>
      </c>
      <c r="AH40" s="8">
        <f t="shared" si="10"/>
        <v>1.3378677146237767E-16</v>
      </c>
      <c r="AI40" s="8">
        <f t="shared" si="11"/>
        <v>-5.1401894163414253E-17</v>
      </c>
      <c r="AJ40" s="8">
        <f t="shared" si="12"/>
        <v>5.8207660913467407E-8</v>
      </c>
    </row>
    <row r="41" spans="2:36" x14ac:dyDescent="0.2">
      <c r="C41" s="1">
        <v>1.2</v>
      </c>
      <c r="AA41" s="8">
        <v>37</v>
      </c>
      <c r="AB41" s="8">
        <f t="shared" si="13"/>
        <v>1198.5543353075627</v>
      </c>
      <c r="AC41">
        <v>-6.418190423573833E-9</v>
      </c>
      <c r="AD41" s="8">
        <f t="shared" si="14"/>
        <v>1198.5543353366666</v>
      </c>
      <c r="AE41">
        <v>8.0087829701369628E-9</v>
      </c>
      <c r="AF41" s="8">
        <f t="shared" si="9"/>
        <v>1198.5543353221146</v>
      </c>
      <c r="AG41">
        <v>7.9535311670042574E-10</v>
      </c>
      <c r="AH41" s="8">
        <f t="shared" si="10"/>
        <v>-5.1047277569662737E-18</v>
      </c>
      <c r="AI41" s="8">
        <f t="shared" si="11"/>
        <v>6.3698104962757261E-18</v>
      </c>
      <c r="AJ41" s="8">
        <f t="shared" si="12"/>
        <v>2.9103830456733704E-8</v>
      </c>
    </row>
    <row r="42" spans="2:36" x14ac:dyDescent="0.2">
      <c r="C42" s="1">
        <v>0.9</v>
      </c>
      <c r="AA42" s="8">
        <v>38</v>
      </c>
      <c r="AB42" s="8">
        <f t="shared" si="13"/>
        <v>1198.5543353075627</v>
      </c>
      <c r="AC42">
        <v>-6.418190423573833E-9</v>
      </c>
      <c r="AD42" s="8">
        <f t="shared" si="14"/>
        <v>1198.5543353221146</v>
      </c>
      <c r="AE42">
        <v>7.9535311670042574E-10</v>
      </c>
      <c r="AF42" s="8">
        <f t="shared" si="9"/>
        <v>1198.5543353148387</v>
      </c>
      <c r="AG42">
        <v>-2.8113618100178428E-9</v>
      </c>
      <c r="AH42" s="8">
        <f t="shared" si="10"/>
        <v>1.8043855446257716E-17</v>
      </c>
      <c r="AI42" s="8">
        <f t="shared" si="11"/>
        <v>-2.2360253777702415E-18</v>
      </c>
      <c r="AJ42" s="8">
        <f t="shared" si="12"/>
        <v>1.4551915228366852E-8</v>
      </c>
    </row>
    <row r="43" spans="2:36" x14ac:dyDescent="0.2">
      <c r="C43" s="1">
        <v>55</v>
      </c>
      <c r="AA43" s="8">
        <v>39</v>
      </c>
      <c r="AB43" s="8">
        <f t="shared" si="13"/>
        <v>1198.5543353148387</v>
      </c>
      <c r="AC43">
        <v>-2.8113618100178428E-9</v>
      </c>
      <c r="AD43" s="8">
        <f t="shared" si="14"/>
        <v>1198.5543353221146</v>
      </c>
      <c r="AE43">
        <v>7.9535311670042574E-10</v>
      </c>
      <c r="AF43" s="8">
        <f t="shared" si="9"/>
        <v>1198.5543353184767</v>
      </c>
      <c r="AG43">
        <v>-1.0079475032398477E-9</v>
      </c>
      <c r="AH43" s="8">
        <f t="shared" si="10"/>
        <v>2.8337051171113438E-18</v>
      </c>
      <c r="AI43" s="8">
        <f t="shared" si="11"/>
        <v>-8.0167418817222536E-19</v>
      </c>
      <c r="AJ43" s="8">
        <f t="shared" si="12"/>
        <v>7.2759576141834259E-9</v>
      </c>
    </row>
    <row r="44" spans="2:36" x14ac:dyDescent="0.2">
      <c r="C44" s="1">
        <v>6.4</v>
      </c>
      <c r="AA44" s="8">
        <v>40</v>
      </c>
      <c r="AB44" s="8">
        <f t="shared" si="13"/>
        <v>1198.5543353184767</v>
      </c>
      <c r="AC44">
        <v>-1.0079475032398477E-9</v>
      </c>
      <c r="AD44" s="8">
        <f t="shared" si="14"/>
        <v>1198.5543353221146</v>
      </c>
      <c r="AE44">
        <v>7.9535311670042574E-10</v>
      </c>
      <c r="AF44" s="11">
        <f t="shared" si="9"/>
        <v>1198.5543353202956</v>
      </c>
      <c r="AG44">
        <v>-1.0618350643198937E-10</v>
      </c>
      <c r="AH44" s="8">
        <f t="shared" si="10"/>
        <v>1.07027400193376E-19</v>
      </c>
      <c r="AI44" s="8">
        <f t="shared" si="11"/>
        <v>-8.445338278286245E-20</v>
      </c>
      <c r="AJ44" s="8">
        <f t="shared" si="12"/>
        <v>3.637978807091713E-9</v>
      </c>
    </row>
    <row r="45" spans="2:36" x14ac:dyDescent="0.2">
      <c r="C45" s="1">
        <v>1</v>
      </c>
      <c r="T45" t="s">
        <v>140</v>
      </c>
      <c r="U45">
        <v>10</v>
      </c>
      <c r="V45">
        <v>10</v>
      </c>
      <c r="W45">
        <v>10</v>
      </c>
      <c r="X45">
        <v>10</v>
      </c>
    </row>
    <row r="46" spans="2:36" x14ac:dyDescent="0.2">
      <c r="T46" t="s">
        <v>139</v>
      </c>
      <c r="U46">
        <f>U47^2/U45</f>
        <v>6.4</v>
      </c>
      <c r="V46">
        <f>V47^2/V45</f>
        <v>3.6</v>
      </c>
      <c r="W46">
        <f>W47^2/W45</f>
        <v>14.4</v>
      </c>
      <c r="X46">
        <f>X47^2/X45</f>
        <v>0</v>
      </c>
    </row>
    <row r="47" spans="2:36" x14ac:dyDescent="0.2">
      <c r="T47" t="s">
        <v>79</v>
      </c>
      <c r="U47">
        <v>8</v>
      </c>
      <c r="V47">
        <v>6</v>
      </c>
      <c r="W47">
        <v>12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37:D37"/>
    <mergeCell ref="F3:H3"/>
    <mergeCell ref="F7:H7"/>
    <mergeCell ref="F11:H11"/>
    <mergeCell ref="B19:D19"/>
    <mergeCell ref="B27:D27"/>
    <mergeCell ref="F16:H16"/>
    <mergeCell ref="B32:D32"/>
    <mergeCell ref="J3:L3"/>
    <mergeCell ref="J16:L16"/>
    <mergeCell ref="B1:D1"/>
    <mergeCell ref="B3:D3"/>
    <mergeCell ref="B11:D11"/>
    <mergeCell ref="B14:D14"/>
  </mergeCells>
  <conditionalFormatting sqref="G30">
    <cfRule type="containsText" dxfId="5" priority="1" operator="containsText" text="FALSE">
      <formula>NOT(ISERROR(SEARCH("FALSE",G30)))</formula>
    </cfRule>
    <cfRule type="containsText" dxfId="4" priority="2" operator="containsText" text="TRUE">
      <formula>NOT(ISERROR(SEARCH("TRUE",G30)))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NOT(ISERROR(SEARCH("YES",G30)))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H17"/>
  <sheetViews>
    <sheetView workbookViewId="0">
      <selection activeCell="G7" sqref="G7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130</v>
      </c>
      <c r="D2" t="s">
        <v>112</v>
      </c>
      <c r="E2" t="s">
        <v>131</v>
      </c>
      <c r="F2" t="s">
        <v>132</v>
      </c>
      <c r="G2" t="s">
        <v>1</v>
      </c>
    </row>
    <row r="3" spans="2:8" x14ac:dyDescent="0.2">
      <c r="B3" t="s">
        <v>133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127</v>
      </c>
    </row>
    <row r="4" spans="2:8" x14ac:dyDescent="0.2">
      <c r="B4" t="s">
        <v>121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135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134</v>
      </c>
    </row>
    <row r="6" spans="2:8" x14ac:dyDescent="0.2">
      <c r="B6" t="s">
        <v>137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136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120</v>
      </c>
      <c r="H8" t="s">
        <v>37</v>
      </c>
    </row>
    <row r="9" spans="2:8" x14ac:dyDescent="0.2">
      <c r="B9" t="s">
        <v>118</v>
      </c>
      <c r="H9" t="s">
        <v>119</v>
      </c>
    </row>
    <row r="10" spans="2:8" x14ac:dyDescent="0.2">
      <c r="B10" t="s">
        <v>122</v>
      </c>
      <c r="H10" t="s">
        <v>123</v>
      </c>
    </row>
    <row r="11" spans="2:8" x14ac:dyDescent="0.2">
      <c r="B11" t="s">
        <v>53</v>
      </c>
      <c r="H11" t="s">
        <v>129</v>
      </c>
    </row>
    <row r="13" spans="2:8" x14ac:dyDescent="0.2">
      <c r="B13" t="s">
        <v>124</v>
      </c>
      <c r="H13" t="s">
        <v>127</v>
      </c>
    </row>
    <row r="14" spans="2:8" x14ac:dyDescent="0.2">
      <c r="B14" t="s">
        <v>125</v>
      </c>
      <c r="H14" t="s">
        <v>127</v>
      </c>
    </row>
    <row r="15" spans="2:8" x14ac:dyDescent="0.2">
      <c r="B15" t="s">
        <v>126</v>
      </c>
      <c r="H15" t="s">
        <v>127</v>
      </c>
    </row>
    <row r="17" spans="2:3" x14ac:dyDescent="0.2">
      <c r="B17" t="s">
        <v>128</v>
      </c>
      <c r="C1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2024-06-21T11:52:27Z</dcterms:modified>
</cp:coreProperties>
</file>