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fiyandyhr/Github_Repos/MCEVS/sheets/"/>
    </mc:Choice>
  </mc:AlternateContent>
  <xr:revisionPtr revIDLastSave="0" documentId="13_ncr:1_{EF242EC1-E257-0747-8E7A-AD68B209C3C8}" xr6:coauthVersionLast="47" xr6:coauthVersionMax="47" xr10:uidLastSave="{00000000-0000-0000-0000-000000000000}"/>
  <bookViews>
    <workbookView xWindow="0" yWindow="740" windowWidth="15080" windowHeight="18900" xr2:uid="{843CD013-835A-1741-B375-CD508AE79BD2}"/>
  </bookViews>
  <sheets>
    <sheet name="multirotor" sheetId="2" r:id="rId1"/>
    <sheet name="lift+cruis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K27" i="2"/>
  <c r="K23" i="2"/>
  <c r="K20" i="2"/>
  <c r="R4" i="2" l="1"/>
  <c r="K25" i="2"/>
  <c r="K22" i="2"/>
  <c r="K18" i="1"/>
  <c r="K19" i="1"/>
  <c r="K12" i="1"/>
  <c r="K5" i="2"/>
  <c r="K6" i="2" s="1"/>
  <c r="K4" i="2"/>
  <c r="G5" i="2"/>
  <c r="G5" i="1"/>
  <c r="G4" i="2"/>
  <c r="G13" i="2"/>
  <c r="Y4" i="2"/>
  <c r="U4" i="2"/>
  <c r="G13" i="1"/>
  <c r="Y4" i="1"/>
  <c r="U4" i="1"/>
  <c r="K16" i="1"/>
  <c r="K9" i="1"/>
  <c r="K6" i="1"/>
  <c r="K7" i="1" s="1"/>
  <c r="K5" i="1"/>
  <c r="K4" i="1"/>
  <c r="T4" i="2" l="1"/>
  <c r="V4" i="2"/>
  <c r="K7" i="2"/>
  <c r="K8" i="2" s="1"/>
  <c r="K12" i="2" s="1"/>
  <c r="K22" i="1"/>
  <c r="K10" i="1"/>
  <c r="K11" i="1" s="1"/>
  <c r="K13" i="1" s="1"/>
  <c r="K17" i="1" s="1"/>
  <c r="K20" i="1" s="1"/>
  <c r="R4" i="1" s="1"/>
  <c r="K8" i="1"/>
  <c r="K13" i="2" l="1"/>
  <c r="K17" i="2" s="1"/>
  <c r="K19" i="2" s="1"/>
  <c r="K18" i="2"/>
  <c r="T4" i="1"/>
  <c r="K25" i="1"/>
  <c r="K27" i="1" s="1"/>
  <c r="V4" i="1"/>
  <c r="W4" i="1" s="1"/>
  <c r="Q5" i="1" s="1"/>
  <c r="R5" i="1" l="1"/>
  <c r="X4" i="1"/>
  <c r="S5" i="1" s="1"/>
  <c r="X4" i="2" l="1"/>
  <c r="S5" i="2" s="1"/>
  <c r="T5" i="2" s="1"/>
  <c r="Y5" i="1"/>
  <c r="T5" i="1"/>
  <c r="U5" i="1"/>
  <c r="V5" i="1" s="1"/>
  <c r="W5" i="1" s="1"/>
  <c r="Q6" i="1" s="1"/>
  <c r="W4" i="2" l="1"/>
  <c r="Q5" i="2" s="1"/>
  <c r="R5" i="2" s="1"/>
  <c r="R6" i="1"/>
  <c r="X5" i="1"/>
  <c r="S6" i="1" s="1"/>
  <c r="T6" i="1" s="1"/>
  <c r="Y5" i="2" l="1"/>
  <c r="U5" i="2"/>
  <c r="U6" i="1"/>
  <c r="V6" i="1" s="1"/>
  <c r="X6" i="1" s="1"/>
  <c r="S7" i="1" s="1"/>
  <c r="T7" i="1" s="1"/>
  <c r="Y6" i="1"/>
  <c r="V5" i="2" l="1"/>
  <c r="X5" i="2" s="1"/>
  <c r="S6" i="2" s="1"/>
  <c r="T6" i="2" s="1"/>
  <c r="W6" i="1"/>
  <c r="Q7" i="1" s="1"/>
  <c r="W5" i="2" l="1"/>
  <c r="Q6" i="2" s="1"/>
  <c r="R6" i="2" s="1"/>
  <c r="Y7" i="1"/>
  <c r="R7" i="1"/>
  <c r="U7" i="1"/>
  <c r="V7" i="1" s="1"/>
  <c r="X7" i="1" s="1"/>
  <c r="S8" i="1" s="1"/>
  <c r="Y6" i="2" l="1"/>
  <c r="U6" i="2"/>
  <c r="V6" i="2" s="1"/>
  <c r="W6" i="2"/>
  <c r="Q7" i="2" s="1"/>
  <c r="R7" i="2" s="1"/>
  <c r="X6" i="2"/>
  <c r="S7" i="2" s="1"/>
  <c r="T7" i="2" s="1"/>
  <c r="T8" i="1"/>
  <c r="W7" i="1"/>
  <c r="Q8" i="1" s="1"/>
  <c r="Y7" i="2" l="1"/>
  <c r="U7" i="2"/>
  <c r="V7" i="2" s="1"/>
  <c r="R8" i="1"/>
  <c r="U8" i="1"/>
  <c r="V8" i="1" s="1"/>
  <c r="X8" i="1" s="1"/>
  <c r="S9" i="1" s="1"/>
  <c r="Y8" i="1"/>
  <c r="W7" i="2" l="1"/>
  <c r="Q8" i="2" s="1"/>
  <c r="R8" i="2" s="1"/>
  <c r="X7" i="2"/>
  <c r="S8" i="2" s="1"/>
  <c r="T8" i="2" s="1"/>
  <c r="W8" i="1"/>
  <c r="Q9" i="1" s="1"/>
  <c r="Y9" i="1" s="1"/>
  <c r="T9" i="1"/>
  <c r="Y8" i="2" l="1"/>
  <c r="U8" i="2"/>
  <c r="R9" i="1"/>
  <c r="U9" i="1"/>
  <c r="V9" i="1" s="1"/>
  <c r="W9" i="1" s="1"/>
  <c r="Q10" i="1" s="1"/>
  <c r="R10" i="1" s="1"/>
  <c r="V8" i="2" l="1"/>
  <c r="W8" i="2" s="1"/>
  <c r="Q9" i="2" s="1"/>
  <c r="R9" i="2" s="1"/>
  <c r="X9" i="1"/>
  <c r="S10" i="1" s="1"/>
  <c r="U10" i="1" s="1"/>
  <c r="V10" i="1" s="1"/>
  <c r="W10" i="1" s="1"/>
  <c r="Q11" i="1" s="1"/>
  <c r="T10" i="1"/>
  <c r="Y10" i="1"/>
  <c r="X8" i="2" l="1"/>
  <c r="S9" i="2" s="1"/>
  <c r="U9" i="2" s="1"/>
  <c r="V9" i="2" s="1"/>
  <c r="W9" i="2" s="1"/>
  <c r="Q10" i="2" s="1"/>
  <c r="R10" i="2" s="1"/>
  <c r="Y9" i="2"/>
  <c r="X10" i="1"/>
  <c r="S11" i="1" s="1"/>
  <c r="U11" i="1"/>
  <c r="V11" i="1" s="1"/>
  <c r="R11" i="1"/>
  <c r="W11" i="1" s="1"/>
  <c r="Q12" i="1" s="1"/>
  <c r="T11" i="1"/>
  <c r="Y11" i="1"/>
  <c r="T9" i="2" l="1"/>
  <c r="X9" i="2" s="1"/>
  <c r="S10" i="2" s="1"/>
  <c r="T10" i="2" s="1"/>
  <c r="R12" i="1"/>
  <c r="X11" i="1"/>
  <c r="S12" i="1" s="1"/>
  <c r="Y10" i="2" l="1"/>
  <c r="U10" i="2"/>
  <c r="Y12" i="1"/>
  <c r="T12" i="1"/>
  <c r="U12" i="1"/>
  <c r="V12" i="1" s="1"/>
  <c r="X12" i="1" s="1"/>
  <c r="S13" i="1" s="1"/>
  <c r="V10" i="2" l="1"/>
  <c r="X10" i="2" s="1"/>
  <c r="S11" i="2" s="1"/>
  <c r="T13" i="1"/>
  <c r="W12" i="1"/>
  <c r="Q13" i="1" s="1"/>
  <c r="Y13" i="1" s="1"/>
  <c r="T11" i="2" l="1"/>
  <c r="W10" i="2"/>
  <c r="Q11" i="2" s="1"/>
  <c r="R11" i="2" s="1"/>
  <c r="U13" i="1"/>
  <c r="V13" i="1" s="1"/>
  <c r="X13" i="1" s="1"/>
  <c r="S14" i="1" s="1"/>
  <c r="R13" i="1"/>
  <c r="W13" i="1" s="1"/>
  <c r="Q14" i="1" s="1"/>
  <c r="Y11" i="2" l="1"/>
  <c r="U11" i="2"/>
  <c r="V11" i="2" s="1"/>
  <c r="W11" i="2" s="1"/>
  <c r="Q12" i="2" s="1"/>
  <c r="U14" i="1"/>
  <c r="V14" i="1" s="1"/>
  <c r="R14" i="1"/>
  <c r="W14" i="1" s="1"/>
  <c r="Q15" i="1" s="1"/>
  <c r="Y14" i="1"/>
  <c r="T14" i="1"/>
  <c r="R12" i="2" l="1"/>
  <c r="X11" i="2"/>
  <c r="S12" i="2" s="1"/>
  <c r="R15" i="1"/>
  <c r="X14" i="1"/>
  <c r="S15" i="1" s="1"/>
  <c r="T12" i="2" l="1"/>
  <c r="Y12" i="2"/>
  <c r="U12" i="2"/>
  <c r="T15" i="1"/>
  <c r="Y15" i="1"/>
  <c r="U15" i="1"/>
  <c r="V15" i="1" s="1"/>
  <c r="W15" i="1" s="1"/>
  <c r="Q16" i="1" s="1"/>
  <c r="V12" i="2" l="1"/>
  <c r="W12" i="2" s="1"/>
  <c r="Q13" i="2" s="1"/>
  <c r="R16" i="1"/>
  <c r="X15" i="1"/>
  <c r="S16" i="1" s="1"/>
  <c r="R13" i="2" l="1"/>
  <c r="X12" i="2"/>
  <c r="S13" i="2" s="1"/>
  <c r="T16" i="1"/>
  <c r="Y16" i="1"/>
  <c r="U16" i="1"/>
  <c r="V16" i="1" s="1"/>
  <c r="X16" i="1" s="1"/>
  <c r="S17" i="1" s="1"/>
  <c r="T13" i="2" l="1"/>
  <c r="Y13" i="2"/>
  <c r="U13" i="2"/>
  <c r="W16" i="1"/>
  <c r="Q17" i="1" s="1"/>
  <c r="T17" i="1"/>
  <c r="Y17" i="1"/>
  <c r="V13" i="2" l="1"/>
  <c r="W13" i="2" s="1"/>
  <c r="Q14" i="2" s="1"/>
  <c r="U17" i="1"/>
  <c r="V17" i="1" s="1"/>
  <c r="X17" i="1" s="1"/>
  <c r="S18" i="1" s="1"/>
  <c r="R17" i="1"/>
  <c r="W17" i="1" s="1"/>
  <c r="Q18" i="1" s="1"/>
  <c r="R14" i="2" l="1"/>
  <c r="X13" i="2"/>
  <c r="S14" i="2" s="1"/>
  <c r="R18" i="1"/>
  <c r="U18" i="1"/>
  <c r="V18" i="1" s="1"/>
  <c r="T18" i="1"/>
  <c r="Y18" i="1"/>
  <c r="T14" i="2" l="1"/>
  <c r="Y14" i="2"/>
  <c r="U14" i="2"/>
  <c r="X18" i="1"/>
  <c r="S19" i="1" s="1"/>
  <c r="W18" i="1"/>
  <c r="Q19" i="1" s="1"/>
  <c r="V14" i="2" l="1"/>
  <c r="W14" i="2" s="1"/>
  <c r="Q15" i="2" s="1"/>
  <c r="R19" i="1"/>
  <c r="U19" i="1"/>
  <c r="V19" i="1" s="1"/>
  <c r="T19" i="1"/>
  <c r="Y19" i="1"/>
  <c r="R15" i="2" l="1"/>
  <c r="X14" i="2"/>
  <c r="S15" i="2" s="1"/>
  <c r="X19" i="1"/>
  <c r="S20" i="1" s="1"/>
  <c r="T20" i="1"/>
  <c r="W19" i="1"/>
  <c r="Q20" i="1" s="1"/>
  <c r="T15" i="2" l="1"/>
  <c r="Y15" i="2"/>
  <c r="U15" i="2"/>
  <c r="R20" i="1"/>
  <c r="U20" i="1"/>
  <c r="V20" i="1" s="1"/>
  <c r="X20" i="1" s="1"/>
  <c r="S21" i="1" s="1"/>
  <c r="Y20" i="1"/>
  <c r="V15" i="2" l="1"/>
  <c r="W15" i="2" s="1"/>
  <c r="Q16" i="2" s="1"/>
  <c r="T21" i="1"/>
  <c r="W20" i="1"/>
  <c r="Q21" i="1" s="1"/>
  <c r="X15" i="2" l="1"/>
  <c r="S16" i="2" s="1"/>
  <c r="R16" i="2"/>
  <c r="U16" i="2"/>
  <c r="T16" i="2"/>
  <c r="Y16" i="2"/>
  <c r="R21" i="1"/>
  <c r="U21" i="1"/>
  <c r="V21" i="1" s="1"/>
  <c r="X21" i="1" s="1"/>
  <c r="S22" i="1" s="1"/>
  <c r="Y21" i="1"/>
  <c r="V16" i="2" l="1"/>
  <c r="X16" i="2" s="1"/>
  <c r="S17" i="2" s="1"/>
  <c r="T22" i="1"/>
  <c r="W21" i="1"/>
  <c r="Q22" i="1" s="1"/>
  <c r="T17" i="2" l="1"/>
  <c r="W16" i="2"/>
  <c r="Q17" i="2" s="1"/>
  <c r="U22" i="1"/>
  <c r="V22" i="1" s="1"/>
  <c r="X22" i="1" s="1"/>
  <c r="S23" i="1" s="1"/>
  <c r="R22" i="1"/>
  <c r="W22" i="1" s="1"/>
  <c r="Q23" i="1" s="1"/>
  <c r="Y22" i="1"/>
  <c r="R17" i="2" l="1"/>
  <c r="U17" i="2"/>
  <c r="Y17" i="2"/>
  <c r="U23" i="1"/>
  <c r="V23" i="1" s="1"/>
  <c r="R23" i="1"/>
  <c r="T23" i="1"/>
  <c r="Y23" i="1"/>
  <c r="V17" i="2" l="1"/>
  <c r="X17" i="2" s="1"/>
  <c r="S18" i="2" s="1"/>
  <c r="W23" i="1"/>
  <c r="Q24" i="1" s="1"/>
  <c r="R24" i="1"/>
  <c r="X23" i="1"/>
  <c r="S24" i="1" s="1"/>
  <c r="T18" i="2" l="1"/>
  <c r="W17" i="2"/>
  <c r="Q18" i="2" s="1"/>
  <c r="Y24" i="1"/>
  <c r="T24" i="1"/>
  <c r="U24" i="1"/>
  <c r="V24" i="1" s="1"/>
  <c r="W24" i="1" s="1"/>
  <c r="Q25" i="1" s="1"/>
  <c r="R18" i="2" l="1"/>
  <c r="U18" i="2"/>
  <c r="Y18" i="2"/>
  <c r="R25" i="1"/>
  <c r="X24" i="1"/>
  <c r="S25" i="1" s="1"/>
  <c r="V18" i="2" l="1"/>
  <c r="X18" i="2" s="1"/>
  <c r="S19" i="2" s="1"/>
  <c r="T25" i="1"/>
  <c r="Y25" i="1"/>
  <c r="U25" i="1"/>
  <c r="V25" i="1" s="1"/>
  <c r="X25" i="1" s="1"/>
  <c r="S26" i="1" s="1"/>
  <c r="T19" i="2" l="1"/>
  <c r="W18" i="2"/>
  <c r="Q19" i="2" s="1"/>
  <c r="W25" i="1"/>
  <c r="Q26" i="1" s="1"/>
  <c r="U26" i="1"/>
  <c r="V26" i="1" s="1"/>
  <c r="R26" i="1"/>
  <c r="W26" i="1" s="1"/>
  <c r="Q27" i="1" s="1"/>
  <c r="T26" i="1"/>
  <c r="Y26" i="1"/>
  <c r="R19" i="2" l="1"/>
  <c r="U19" i="2"/>
  <c r="Y19" i="2"/>
  <c r="R27" i="1"/>
  <c r="X26" i="1"/>
  <c r="S27" i="1" s="1"/>
  <c r="V19" i="2" l="1"/>
  <c r="X19" i="2" s="1"/>
  <c r="S20" i="2" s="1"/>
  <c r="T27" i="1"/>
  <c r="Y27" i="1"/>
  <c r="U27" i="1"/>
  <c r="V27" i="1" s="1"/>
  <c r="X27" i="1" s="1"/>
  <c r="S28" i="1" s="1"/>
  <c r="W19" i="2" l="1"/>
  <c r="Q20" i="2" s="1"/>
  <c r="Y20" i="2" s="1"/>
  <c r="T20" i="2"/>
  <c r="R20" i="2"/>
  <c r="U20" i="2"/>
  <c r="T28" i="1"/>
  <c r="W27" i="1"/>
  <c r="Q28" i="1" s="1"/>
  <c r="V20" i="2" l="1"/>
  <c r="X20" i="2" s="1"/>
  <c r="S21" i="2" s="1"/>
  <c r="U28" i="1"/>
  <c r="V28" i="1" s="1"/>
  <c r="X28" i="1" s="1"/>
  <c r="S29" i="1" s="1"/>
  <c r="R28" i="1"/>
  <c r="W28" i="1" s="1"/>
  <c r="Q29" i="1" s="1"/>
  <c r="Y28" i="1"/>
  <c r="T21" i="2" l="1"/>
  <c r="W20" i="2"/>
  <c r="Q21" i="2" s="1"/>
  <c r="R29" i="1"/>
  <c r="U29" i="1"/>
  <c r="V29" i="1" s="1"/>
  <c r="T29" i="1"/>
  <c r="Y29" i="1"/>
  <c r="R21" i="2" l="1"/>
  <c r="U21" i="2"/>
  <c r="Y21" i="2"/>
  <c r="X29" i="1"/>
  <c r="S30" i="1" s="1"/>
  <c r="W29" i="1"/>
  <c r="Q30" i="1" s="1"/>
  <c r="V21" i="2" l="1"/>
  <c r="X21" i="2" s="1"/>
  <c r="S22" i="2" s="1"/>
  <c r="R30" i="1"/>
  <c r="U30" i="1"/>
  <c r="V30" i="1" s="1"/>
  <c r="T30" i="1"/>
  <c r="Y30" i="1"/>
  <c r="W21" i="2" l="1"/>
  <c r="Q22" i="2" s="1"/>
  <c r="T22" i="2"/>
  <c r="Y22" i="2"/>
  <c r="U22" i="2"/>
  <c r="R22" i="2"/>
  <c r="X30" i="1"/>
  <c r="S31" i="1" s="1"/>
  <c r="W30" i="1"/>
  <c r="Q31" i="1" s="1"/>
  <c r="V22" i="2" l="1"/>
  <c r="X22" i="2" s="1"/>
  <c r="S23" i="2" s="1"/>
  <c r="R31" i="1"/>
  <c r="U31" i="1"/>
  <c r="V31" i="1" s="1"/>
  <c r="T31" i="1"/>
  <c r="Y31" i="1"/>
  <c r="T23" i="2" l="1"/>
  <c r="W22" i="2"/>
  <c r="Q23" i="2" s="1"/>
  <c r="X31" i="1"/>
  <c r="S32" i="1" s="1"/>
  <c r="W31" i="1"/>
  <c r="Q32" i="1" s="1"/>
  <c r="R23" i="2" l="1"/>
  <c r="U23" i="2"/>
  <c r="Y23" i="2"/>
  <c r="U32" i="1"/>
  <c r="V32" i="1" s="1"/>
  <c r="R32" i="1"/>
  <c r="T32" i="1"/>
  <c r="Y32" i="1"/>
  <c r="G4" i="1"/>
  <c r="V23" i="2" l="1"/>
  <c r="X23" i="2" s="1"/>
  <c r="S24" i="2" s="1"/>
  <c r="T24" i="2" s="1"/>
  <c r="W23" i="2"/>
  <c r="Q24" i="2" s="1"/>
  <c r="W32" i="1"/>
  <c r="Q33" i="1" s="1"/>
  <c r="R33" i="1"/>
  <c r="X32" i="1"/>
  <c r="S33" i="1" s="1"/>
  <c r="Y24" i="2" l="1"/>
  <c r="R24" i="2"/>
  <c r="U24" i="2"/>
  <c r="V24" i="2" s="1"/>
  <c r="X24" i="2" s="1"/>
  <c r="S25" i="2" s="1"/>
  <c r="T33" i="1"/>
  <c r="Y33" i="1"/>
  <c r="U33" i="1"/>
  <c r="V33" i="1" s="1"/>
  <c r="W33" i="1" s="1"/>
  <c r="Q34" i="1" s="1"/>
  <c r="T25" i="2" l="1"/>
  <c r="W24" i="2"/>
  <c r="Q25" i="2" s="1"/>
  <c r="R34" i="1"/>
  <c r="X33" i="1"/>
  <c r="S34" i="1" s="1"/>
  <c r="R25" i="2" l="1"/>
  <c r="U25" i="2"/>
  <c r="Y25" i="2"/>
  <c r="T34" i="1"/>
  <c r="Y34" i="1"/>
  <c r="U34" i="1"/>
  <c r="V25" i="2" l="1"/>
  <c r="X25" i="2" s="1"/>
  <c r="S26" i="2" s="1"/>
  <c r="V34" i="1"/>
  <c r="K23" i="1"/>
  <c r="K24" i="1" s="1"/>
  <c r="G8" i="1" s="1"/>
  <c r="G9" i="1" s="1"/>
  <c r="G12" i="1" s="1"/>
  <c r="T26" i="2" l="1"/>
  <c r="W25" i="2"/>
  <c r="Q26" i="2" s="1"/>
  <c r="X34" i="1"/>
  <c r="W34" i="1"/>
  <c r="R26" i="2" l="1"/>
  <c r="U26" i="2"/>
  <c r="Y26" i="2"/>
  <c r="V26" i="2" l="1"/>
  <c r="X26" i="2" s="1"/>
  <c r="S27" i="2" s="1"/>
  <c r="T27" i="2" l="1"/>
  <c r="W26" i="2"/>
  <c r="Q27" i="2" s="1"/>
  <c r="R27" i="2" s="1"/>
  <c r="Y27" i="2" l="1"/>
  <c r="U27" i="2"/>
  <c r="V27" i="2" l="1"/>
  <c r="X27" i="2" s="1"/>
  <c r="S28" i="2" s="1"/>
  <c r="T28" i="2" l="1"/>
  <c r="W27" i="2"/>
  <c r="Q28" i="2" s="1"/>
  <c r="R28" i="2" l="1"/>
  <c r="U28" i="2"/>
  <c r="Y28" i="2"/>
  <c r="V28" i="2" l="1"/>
  <c r="X28" i="2" s="1"/>
  <c r="S29" i="2" s="1"/>
  <c r="T29" i="2" l="1"/>
  <c r="W28" i="2"/>
  <c r="Q29" i="2" s="1"/>
  <c r="R29" i="2" l="1"/>
  <c r="U29" i="2"/>
  <c r="Y29" i="2"/>
  <c r="V29" i="2" l="1"/>
  <c r="X29" i="2" s="1"/>
  <c r="S30" i="2" s="1"/>
  <c r="T30" i="2" l="1"/>
  <c r="W29" i="2"/>
  <c r="Q30" i="2" s="1"/>
  <c r="R30" i="2" l="1"/>
  <c r="U30" i="2"/>
  <c r="Y30" i="2"/>
  <c r="V30" i="2" l="1"/>
  <c r="X30" i="2" s="1"/>
  <c r="S31" i="2" s="1"/>
  <c r="T31" i="2" l="1"/>
  <c r="W30" i="2"/>
  <c r="Q31" i="2" s="1"/>
  <c r="R31" i="2" l="1"/>
  <c r="U31" i="2"/>
  <c r="Y31" i="2"/>
  <c r="V31" i="2" l="1"/>
  <c r="X31" i="2" s="1"/>
  <c r="S32" i="2" s="1"/>
  <c r="T32" i="2" l="1"/>
  <c r="W31" i="2"/>
  <c r="Q32" i="2" s="1"/>
  <c r="R32" i="2" l="1"/>
  <c r="U32" i="2"/>
  <c r="Y32" i="2"/>
  <c r="V32" i="2" l="1"/>
  <c r="X32" i="2" s="1"/>
  <c r="S33" i="2" s="1"/>
  <c r="T33" i="2" l="1"/>
  <c r="W32" i="2"/>
  <c r="Q33" i="2" s="1"/>
  <c r="R33" i="2" l="1"/>
  <c r="U33" i="2"/>
  <c r="Y33" i="2"/>
  <c r="V33" i="2" l="1"/>
  <c r="X33" i="2" s="1"/>
  <c r="S34" i="2" s="1"/>
  <c r="T34" i="2" l="1"/>
  <c r="W33" i="2"/>
  <c r="Q34" i="2" s="1"/>
  <c r="R34" i="2" l="1"/>
  <c r="U34" i="2"/>
  <c r="Y34" i="2"/>
  <c r="V34" i="2" l="1"/>
  <c r="X34" i="2" s="1"/>
  <c r="K24" i="2" l="1"/>
  <c r="G9" i="2" s="1"/>
  <c r="G12" i="2" s="1"/>
  <c r="W34" i="2"/>
</calcChain>
</file>

<file path=xl/sharedStrings.xml><?xml version="1.0" encoding="utf-8"?>
<sst xmlns="http://schemas.openxmlformats.org/spreadsheetml/2006/main" count="191" uniqueCount="94">
  <si>
    <t>!!! Press F9 to recalculate !!!</t>
  </si>
  <si>
    <t>lift+cruise</t>
  </si>
  <si>
    <t>rotor_lift_solidity</t>
  </si>
  <si>
    <t>rotor_cruise_solidity</t>
  </si>
  <si>
    <t>hover_FM</t>
  </si>
  <si>
    <t>Wing parameters</t>
  </si>
  <si>
    <t>Cd0</t>
  </si>
  <si>
    <t>wing_AR</t>
  </si>
  <si>
    <t>Battery parameters</t>
  </si>
  <si>
    <t>battery_rho</t>
  </si>
  <si>
    <t>Wh/kg</t>
  </si>
  <si>
    <t>battery_eff</t>
  </si>
  <si>
    <t>battery_max_discharge</t>
  </si>
  <si>
    <t>Design parameters</t>
  </si>
  <si>
    <t>kg</t>
  </si>
  <si>
    <t>r_rotor_lift</t>
  </si>
  <si>
    <t>m</t>
  </si>
  <si>
    <t>r_rotor_cruise</t>
  </si>
  <si>
    <t>cruise_speed</t>
  </si>
  <si>
    <t>m/s</t>
  </si>
  <si>
    <t>wing_area</t>
  </si>
  <si>
    <t>m^2</t>
  </si>
  <si>
    <t>Rotor|J</t>
  </si>
  <si>
    <t>Mission requirements</t>
  </si>
  <si>
    <t>flight_range</t>
  </si>
  <si>
    <t>hover_time</t>
  </si>
  <si>
    <t>s</t>
  </si>
  <si>
    <t>rho_air</t>
  </si>
  <si>
    <t>kg/m^3</t>
  </si>
  <si>
    <t>gravitational_accel</t>
  </si>
  <si>
    <t>m/s^2</t>
  </si>
  <si>
    <t>Softmax</t>
  </si>
  <si>
    <t>rho</t>
  </si>
  <si>
    <t>Hover segment modeling</t>
  </si>
  <si>
    <t>power_hover</t>
  </si>
  <si>
    <t>W</t>
  </si>
  <si>
    <t>thrust_each</t>
  </si>
  <si>
    <t>N</t>
  </si>
  <si>
    <t>Cruise segment modeling</t>
  </si>
  <si>
    <t>power_fwd_each</t>
  </si>
  <si>
    <t>power_forward</t>
  </si>
  <si>
    <t>Energy and time</t>
  </si>
  <si>
    <t>energy_cnsmp</t>
  </si>
  <si>
    <t>Wh</t>
  </si>
  <si>
    <t>flight_time</t>
  </si>
  <si>
    <t>Aerodynamics</t>
  </si>
  <si>
    <t>lift</t>
  </si>
  <si>
    <t>dyn_pressure</t>
  </si>
  <si>
    <t>N/m^2</t>
  </si>
  <si>
    <t>CL_cruise</t>
  </si>
  <si>
    <t>Rotor performance</t>
  </si>
  <si>
    <t>alpha</t>
  </si>
  <si>
    <t>rad</t>
  </si>
  <si>
    <t>omega</t>
  </si>
  <si>
    <t>rad/s</t>
  </si>
  <si>
    <t>mu</t>
  </si>
  <si>
    <t>Ct</t>
  </si>
  <si>
    <t>Profile_power</t>
  </si>
  <si>
    <t>lambda</t>
  </si>
  <si>
    <t>v_induced</t>
  </si>
  <si>
    <t>kappa_raw</t>
  </si>
  <si>
    <t>kappa_min</t>
  </si>
  <si>
    <t>kappa</t>
  </si>
  <si>
    <t>N_rotors_lift</t>
  </si>
  <si>
    <t>N_rotors_cruise</t>
  </si>
  <si>
    <t>evtol_config</t>
  </si>
  <si>
    <t>W_total_takeoff</t>
  </si>
  <si>
    <t>f</t>
  </si>
  <si>
    <t>CD0</t>
  </si>
  <si>
    <t>Parasite_drag</t>
  </si>
  <si>
    <t>Oswald_e</t>
  </si>
  <si>
    <t>CD_cruise</t>
  </si>
  <si>
    <t>Total_drag</t>
  </si>
  <si>
    <t>Conditions</t>
  </si>
  <si>
    <t>AoA</t>
  </si>
  <si>
    <t>deg</t>
  </si>
  <si>
    <t>Bisection method for solving RotorInflow lambda</t>
  </si>
  <si>
    <t>Iter</t>
  </si>
  <si>
    <t>a</t>
  </si>
  <si>
    <t>f(a)</t>
  </si>
  <si>
    <t>b</t>
  </si>
  <si>
    <t>f(b)</t>
  </si>
  <si>
    <t>c</t>
  </si>
  <si>
    <t>f(c)</t>
  </si>
  <si>
    <t>f(a)*f(c)</t>
  </si>
  <si>
    <t>f(b)*f(c)</t>
  </si>
  <si>
    <t>Error (b-a)</t>
  </si>
  <si>
    <t>eVTOL general parameters</t>
  </si>
  <si>
    <t>multirotor</t>
  </si>
  <si>
    <t>Rotor|mu</t>
  </si>
  <si>
    <t>L/D</t>
  </si>
  <si>
    <t>Stability (trim)</t>
  </si>
  <si>
    <t>Thrust_all</t>
  </si>
  <si>
    <t>sin_beta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</si>
</sst>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0" xfId="0" applyFill="1"/>
    <xf numFmtId="0" fontId="0" fillId="5" borderId="0" xfId="0" applyFill="1"/>
    <xf numFmtId="0" fontId="3" fillId="0" borderId="0" xfId="0" applyFont="1"/>
    <xf numFmtId="0" fontId="4" fillId="0" borderId="0" xfId="0" applyFont="1"/>
    <xf numFmtId="0" fontId="2" fillId="0" borderId="0" xfId="0" applyFont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3" borderId="0" xfId="0" applyFont="1" applyFill="1"/>
    <xf numFmtId="0" fontId="0" fillId="3" borderId="0" xfId="0" applyFill="1"/>
    <xf numFmtId="0" fontId="0" fillId="0" borderId="0" xfId="0"/>
    <xf numFmtId="0" fontId="2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0D980-77E2-5F49-A087-DF4F0ECC2A24}">
  <dimension ref="B1:Y34"/>
  <sheetViews>
    <sheetView tabSelected="1" topLeftCell="B1" workbookViewId="0">
      <selection activeCell="G20" sqref="G20"/>
    </sheetView>
  </sheetViews>
  <sheetFormatPr baseColWidth="10" defaultRowHeight="16" x14ac:dyDescent="0.2"/>
  <cols>
    <col min="1" max="1" width="4.1640625" customWidth="1"/>
    <col min="2" max="2" width="20.5" customWidth="1"/>
    <col min="4" max="4" width="7.1640625" customWidth="1"/>
    <col min="5" max="5" width="3.5" customWidth="1"/>
    <col min="6" max="6" width="14.6640625" customWidth="1"/>
    <col min="7" max="7" width="12.33203125" customWidth="1"/>
    <col min="9" max="9" width="3.6640625" customWidth="1"/>
    <col min="10" max="10" width="12" customWidth="1"/>
    <col min="12" max="12" width="6.33203125" customWidth="1"/>
    <col min="13" max="13" width="4" customWidth="1"/>
    <col min="14" max="15" width="3.83203125" customWidth="1"/>
    <col min="16" max="16" width="5.5" customWidth="1"/>
    <col min="17" max="18" width="6.1640625" customWidth="1"/>
    <col min="19" max="19" width="6.6640625" customWidth="1"/>
    <col min="20" max="20" width="7" customWidth="1"/>
    <col min="21" max="21" width="14.6640625" customWidth="1"/>
    <col min="22" max="22" width="7.83203125" customWidth="1"/>
    <col min="23" max="23" width="10" customWidth="1"/>
    <col min="24" max="24" width="9.5" customWidth="1"/>
    <col min="25" max="25" width="13.6640625" customWidth="1"/>
  </cols>
  <sheetData>
    <row r="1" spans="2:25" x14ac:dyDescent="0.2">
      <c r="B1" s="13" t="s">
        <v>0</v>
      </c>
      <c r="C1" s="13"/>
      <c r="D1" s="13"/>
    </row>
    <row r="2" spans="2:25" x14ac:dyDescent="0.2">
      <c r="P2" s="5" t="s">
        <v>76</v>
      </c>
    </row>
    <row r="3" spans="2:25" x14ac:dyDescent="0.2">
      <c r="B3" s="9" t="s">
        <v>87</v>
      </c>
      <c r="C3" s="10"/>
      <c r="D3" s="10"/>
      <c r="F3" s="9" t="s">
        <v>33</v>
      </c>
      <c r="G3" s="10"/>
      <c r="H3" s="10"/>
      <c r="J3" s="12" t="s">
        <v>45</v>
      </c>
      <c r="K3" s="12"/>
      <c r="L3" s="12"/>
      <c r="P3" s="6" t="s">
        <v>77</v>
      </c>
      <c r="Q3" s="6" t="s">
        <v>78</v>
      </c>
      <c r="R3" s="6" t="s">
        <v>79</v>
      </c>
      <c r="S3" s="6" t="s">
        <v>80</v>
      </c>
      <c r="T3" s="6" t="s">
        <v>81</v>
      </c>
      <c r="U3" s="6" t="s">
        <v>82</v>
      </c>
      <c r="V3" s="6" t="s">
        <v>83</v>
      </c>
      <c r="W3" s="6" t="s">
        <v>84</v>
      </c>
      <c r="X3" s="6" t="s">
        <v>85</v>
      </c>
      <c r="Y3" s="6" t="s">
        <v>86</v>
      </c>
    </row>
    <row r="4" spans="2:25" x14ac:dyDescent="0.2">
      <c r="B4" t="s">
        <v>65</v>
      </c>
      <c r="C4" s="1" t="s">
        <v>88</v>
      </c>
      <c r="F4" t="s">
        <v>34</v>
      </c>
      <c r="G4">
        <f xml:space="preserve"> 1/$C$7 * SQRT( ($C$15*$C$26)^3 / (2 * $C$25 * PI() * $C$16^2* $C$5) )</f>
        <v>270203.45112999814</v>
      </c>
      <c r="H4" t="s">
        <v>35</v>
      </c>
      <c r="J4" t="s">
        <v>47</v>
      </c>
      <c r="K4">
        <f xml:space="preserve"> 0.5 * $C$25 * $C$17^2</f>
        <v>551.25</v>
      </c>
      <c r="L4" t="s">
        <v>48</v>
      </c>
      <c r="P4" s="7">
        <v>0</v>
      </c>
      <c r="Q4" s="8">
        <v>0</v>
      </c>
      <c r="R4" s="7">
        <f>$C$18 * TAN( $K$17) + $K$20 / (2 * SQRT($C$18^2 + Q4^2)) - Q4</f>
        <v>0.11191653902306264</v>
      </c>
      <c r="S4" s="8">
        <v>1</v>
      </c>
      <c r="T4" s="7">
        <f>$C$18 * TAN( $K$17) + $K$20 / (2 * SQRT($C$18^2 + S4^2)) - S4</f>
        <v>-0.93476532814706514</v>
      </c>
      <c r="U4" s="7">
        <f xml:space="preserve"> (Q4 + S4)/2</f>
        <v>0.5</v>
      </c>
      <c r="V4" s="7">
        <f>$C$18 * TAN( $K$17) + $K$20 / (2 * SQRT($C$18^2 + U4^2)) - U4</f>
        <v>-0.41988613748155523</v>
      </c>
      <c r="W4" s="7">
        <f>R4*V4</f>
        <v>-4.6992203290697525E-2</v>
      </c>
      <c r="X4" s="7">
        <f>T4*V4</f>
        <v>0.39249500308734969</v>
      </c>
      <c r="Y4" s="7">
        <f>S4-Q4</f>
        <v>1</v>
      </c>
    </row>
    <row r="5" spans="2:25" x14ac:dyDescent="0.2">
      <c r="B5" t="s">
        <v>63</v>
      </c>
      <c r="C5" s="1">
        <v>7</v>
      </c>
      <c r="F5" t="s">
        <v>36</v>
      </c>
      <c r="G5">
        <f>$C$15*$C$26/$C$5</f>
        <v>2102.1428571428573</v>
      </c>
      <c r="H5" t="s">
        <v>37</v>
      </c>
      <c r="J5" t="s">
        <v>67</v>
      </c>
      <c r="K5">
        <f xml:space="preserve"> 0.0327 * ($C$15*2.20462)^0.8903 * 0.3048^2</f>
        <v>4.1297309384395309</v>
      </c>
      <c r="L5" t="s">
        <v>21</v>
      </c>
      <c r="P5" s="7">
        <v>1</v>
      </c>
      <c r="Q5" s="7">
        <f>IF(W4&gt;0, U4, Q4)</f>
        <v>0</v>
      </c>
      <c r="R5" s="7">
        <f t="shared" ref="R5:R34" si="0">$C$18 * TAN( $K$17) + $K$20 / (2 * SQRT($C$18^2 + Q5^2)) - Q5</f>
        <v>0.11191653902306264</v>
      </c>
      <c r="S5" s="7">
        <f>IF(X4&gt;0, U4, S4)</f>
        <v>0.5</v>
      </c>
      <c r="T5" s="7">
        <f t="shared" ref="T5:T34" si="1">$C$18 * TAN( $K$17) + $K$20 / (2 * SQRT($C$18^2 + S5^2)) - S5</f>
        <v>-0.41988613748155523</v>
      </c>
      <c r="U5" s="7">
        <f t="shared" ref="U5:U34" si="2" xml:space="preserve"> (Q5 + S5)/2</f>
        <v>0.25</v>
      </c>
      <c r="V5" s="7">
        <f t="shared" ref="V5:V34" si="3">$C$18 * TAN( $K$17) + $K$20 / (2 * SQRT($C$18^2 + U5^2)) - U5</f>
        <v>-0.15326599284565431</v>
      </c>
      <c r="W5" s="7">
        <f t="shared" ref="W5:W34" si="4">R5*V5</f>
        <v>-1.715299946921911E-2</v>
      </c>
      <c r="X5" s="7">
        <f t="shared" ref="X5:X34" si="5">T5*V5</f>
        <v>6.4354265743237465E-2</v>
      </c>
      <c r="Y5" s="7">
        <f t="shared" ref="Y5:Y34" si="6">S5-Q5</f>
        <v>0.5</v>
      </c>
    </row>
    <row r="6" spans="2:25" x14ac:dyDescent="0.2">
      <c r="B6" t="s">
        <v>2</v>
      </c>
      <c r="C6" s="1">
        <v>0.13</v>
      </c>
      <c r="J6" t="s">
        <v>68</v>
      </c>
      <c r="K6">
        <f xml:space="preserve"> K5 / ($C$5 * PI() * $C$16^2)</f>
        <v>0.13041013739924268</v>
      </c>
      <c r="P6" s="7">
        <v>2</v>
      </c>
      <c r="Q6" s="7">
        <f t="shared" ref="Q6:Q34" si="7">IF(W5&gt;0, U5, Q5)</f>
        <v>0</v>
      </c>
      <c r="R6" s="7">
        <f t="shared" si="0"/>
        <v>0.11191653902306264</v>
      </c>
      <c r="S6" s="7">
        <f t="shared" ref="S6:S34" si="8">IF(X5&gt;0, U5, S5)</f>
        <v>0.25</v>
      </c>
      <c r="T6" s="7">
        <f t="shared" si="1"/>
        <v>-0.15326599284565431</v>
      </c>
      <c r="U6" s="7">
        <f t="shared" si="2"/>
        <v>0.125</v>
      </c>
      <c r="V6" s="7">
        <f t="shared" si="3"/>
        <v>-1.8122262920427429E-2</v>
      </c>
      <c r="W6" s="7">
        <f t="shared" si="4"/>
        <v>-2.0281809453202176E-3</v>
      </c>
      <c r="X6" s="7">
        <f t="shared" si="5"/>
        <v>2.7775266191092966E-3</v>
      </c>
      <c r="Y6" s="7">
        <f t="shared" si="6"/>
        <v>0.25</v>
      </c>
    </row>
    <row r="7" spans="2:25" x14ac:dyDescent="0.2">
      <c r="B7" t="s">
        <v>4</v>
      </c>
      <c r="C7" s="1">
        <v>0.75</v>
      </c>
      <c r="F7" s="9" t="s">
        <v>38</v>
      </c>
      <c r="G7" s="10"/>
      <c r="H7" s="10"/>
      <c r="J7" t="s">
        <v>69</v>
      </c>
      <c r="K7">
        <f xml:space="preserve"> K4 * K5</f>
        <v>2276.5141798147915</v>
      </c>
      <c r="L7" t="s">
        <v>37</v>
      </c>
      <c r="P7" s="7">
        <v>3</v>
      </c>
      <c r="Q7" s="7">
        <f t="shared" si="7"/>
        <v>0</v>
      </c>
      <c r="R7" s="7">
        <f t="shared" si="0"/>
        <v>0.11191653902306264</v>
      </c>
      <c r="S7" s="7">
        <f t="shared" si="8"/>
        <v>0.125</v>
      </c>
      <c r="T7" s="7">
        <f t="shared" si="1"/>
        <v>-1.8122262920427429E-2</v>
      </c>
      <c r="U7" s="7">
        <f t="shared" si="2"/>
        <v>6.25E-2</v>
      </c>
      <c r="V7" s="7">
        <f t="shared" si="3"/>
        <v>4.8039663498655127E-2</v>
      </c>
      <c r="W7" s="7">
        <f t="shared" si="4"/>
        <v>5.3764328746020345E-3</v>
      </c>
      <c r="X7" s="7">
        <f t="shared" si="5"/>
        <v>-8.7058741253148882E-4</v>
      </c>
      <c r="Y7" s="7">
        <f t="shared" si="6"/>
        <v>0.125</v>
      </c>
    </row>
    <row r="8" spans="2:25" x14ac:dyDescent="0.2">
      <c r="F8" s="3" t="s">
        <v>39</v>
      </c>
      <c r="G8">
        <f xml:space="preserve"> K22 + K18 * (K27 * K24 + $C$17 * SIN(K17))</f>
        <v>27867.298973721139</v>
      </c>
      <c r="H8" t="s">
        <v>35</v>
      </c>
      <c r="J8" t="s">
        <v>72</v>
      </c>
      <c r="K8">
        <f>K7</f>
        <v>2276.5141798147915</v>
      </c>
      <c r="L8" t="s">
        <v>37</v>
      </c>
      <c r="P8" s="7">
        <v>4</v>
      </c>
      <c r="Q8" s="7">
        <f t="shared" si="7"/>
        <v>6.25E-2</v>
      </c>
      <c r="R8" s="7">
        <f t="shared" si="0"/>
        <v>4.8039663498655127E-2</v>
      </c>
      <c r="S8" s="7">
        <f t="shared" si="8"/>
        <v>0.125</v>
      </c>
      <c r="T8" s="7">
        <f t="shared" si="1"/>
        <v>-1.8122262920427429E-2</v>
      </c>
      <c r="U8" s="7">
        <f t="shared" si="2"/>
        <v>9.375E-2</v>
      </c>
      <c r="V8" s="7">
        <f t="shared" si="3"/>
        <v>1.5184776146180218E-2</v>
      </c>
      <c r="W8" s="7">
        <f t="shared" si="4"/>
        <v>7.2947153636490289E-4</v>
      </c>
      <c r="X8" s="7">
        <f t="shared" si="5"/>
        <v>-2.7518250570891269E-4</v>
      </c>
      <c r="Y8" s="7">
        <f t="shared" si="6"/>
        <v>6.25E-2</v>
      </c>
    </row>
    <row r="9" spans="2:25" x14ac:dyDescent="0.2">
      <c r="B9" s="9" t="s">
        <v>8</v>
      </c>
      <c r="C9" s="10"/>
      <c r="D9" s="10"/>
      <c r="F9" s="3" t="s">
        <v>40</v>
      </c>
      <c r="G9">
        <f>$C$5 * G8</f>
        <v>195071.09281604798</v>
      </c>
      <c r="H9" t="s">
        <v>35</v>
      </c>
      <c r="P9" s="7">
        <v>5</v>
      </c>
      <c r="Q9" s="7">
        <f t="shared" si="7"/>
        <v>9.375E-2</v>
      </c>
      <c r="R9" s="7">
        <f t="shared" si="0"/>
        <v>1.5184776146180218E-2</v>
      </c>
      <c r="S9" s="7">
        <f t="shared" si="8"/>
        <v>0.125</v>
      </c>
      <c r="T9" s="7">
        <f t="shared" si="1"/>
        <v>-1.8122262920427429E-2</v>
      </c>
      <c r="U9" s="7">
        <f t="shared" si="2"/>
        <v>0.109375</v>
      </c>
      <c r="V9" s="7">
        <f t="shared" si="3"/>
        <v>-1.4209968066048739E-3</v>
      </c>
      <c r="W9" s="7">
        <f t="shared" si="4"/>
        <v>-2.1577518412731952E-5</v>
      </c>
      <c r="X9" s="7">
        <f t="shared" si="5"/>
        <v>2.5751677738381293E-5</v>
      </c>
      <c r="Y9" s="7">
        <f t="shared" si="6"/>
        <v>3.125E-2</v>
      </c>
    </row>
    <row r="10" spans="2:25" x14ac:dyDescent="0.2">
      <c r="B10" t="s">
        <v>9</v>
      </c>
      <c r="C10" s="1">
        <v>280</v>
      </c>
      <c r="D10" t="s">
        <v>10</v>
      </c>
      <c r="P10" s="7">
        <v>6</v>
      </c>
      <c r="Q10" s="7">
        <f t="shared" si="7"/>
        <v>9.375E-2</v>
      </c>
      <c r="R10" s="7">
        <f t="shared" si="0"/>
        <v>1.5184776146180218E-2</v>
      </c>
      <c r="S10" s="7">
        <f t="shared" si="8"/>
        <v>0.109375</v>
      </c>
      <c r="T10" s="7">
        <f t="shared" si="1"/>
        <v>-1.4209968066048739E-3</v>
      </c>
      <c r="U10" s="7">
        <f t="shared" si="2"/>
        <v>0.1015625</v>
      </c>
      <c r="V10" s="7">
        <f t="shared" si="3"/>
        <v>6.8949415474898468E-3</v>
      </c>
      <c r="W10" s="7">
        <f t="shared" si="4"/>
        <v>1.0469814393963074E-4</v>
      </c>
      <c r="X10" s="7">
        <f t="shared" si="5"/>
        <v>-9.7976899207103406E-6</v>
      </c>
      <c r="Y10" s="7">
        <f t="shared" si="6"/>
        <v>1.5625E-2</v>
      </c>
    </row>
    <row r="11" spans="2:25" x14ac:dyDescent="0.2">
      <c r="B11" t="s">
        <v>11</v>
      </c>
      <c r="C11" s="1">
        <v>0.85</v>
      </c>
      <c r="F11" s="9" t="s">
        <v>41</v>
      </c>
      <c r="G11" s="10"/>
      <c r="H11" s="10"/>
      <c r="J11" s="9" t="s">
        <v>91</v>
      </c>
      <c r="K11" s="11"/>
      <c r="L11" s="11"/>
      <c r="P11" s="7">
        <v>7</v>
      </c>
      <c r="Q11" s="7">
        <f t="shared" si="7"/>
        <v>0.1015625</v>
      </c>
      <c r="R11" s="7">
        <f t="shared" si="0"/>
        <v>6.8949415474898468E-3</v>
      </c>
      <c r="S11" s="7">
        <f t="shared" si="8"/>
        <v>0.109375</v>
      </c>
      <c r="T11" s="7">
        <f t="shared" si="1"/>
        <v>-1.4209968066048739E-3</v>
      </c>
      <c r="U11" s="7">
        <f t="shared" si="2"/>
        <v>0.10546875</v>
      </c>
      <c r="V11" s="7">
        <f t="shared" si="3"/>
        <v>2.740096100800643E-3</v>
      </c>
      <c r="W11" s="7">
        <f t="shared" si="4"/>
        <v>1.889280244952528E-5</v>
      </c>
      <c r="X11" s="7">
        <f t="shared" si="5"/>
        <v>-3.8936678090281809E-6</v>
      </c>
      <c r="Y11" s="7">
        <f t="shared" si="6"/>
        <v>7.8125E-3</v>
      </c>
    </row>
    <row r="12" spans="2:25" x14ac:dyDescent="0.2">
      <c r="B12" t="s">
        <v>12</v>
      </c>
      <c r="C12" s="1">
        <v>0.8</v>
      </c>
      <c r="F12" t="s">
        <v>42</v>
      </c>
      <c r="G12">
        <f xml:space="preserve"> (G4*$C$22 + G9*G13)/3600</f>
        <v>27044.632520520616</v>
      </c>
      <c r="H12" t="s">
        <v>43</v>
      </c>
      <c r="J12" t="s">
        <v>92</v>
      </c>
      <c r="K12">
        <f xml:space="preserve"> SQRT( ($C$15*$C$26)^2 + K8^2)</f>
        <v>14890.055131224257</v>
      </c>
      <c r="L12" t="s">
        <v>37</v>
      </c>
      <c r="P12" s="7">
        <v>8</v>
      </c>
      <c r="Q12" s="7">
        <f t="shared" si="7"/>
        <v>0.10546875</v>
      </c>
      <c r="R12" s="7">
        <f t="shared" si="0"/>
        <v>2.740096100800643E-3</v>
      </c>
      <c r="S12" s="7">
        <f t="shared" si="8"/>
        <v>0.109375</v>
      </c>
      <c r="T12" s="7">
        <f t="shared" si="1"/>
        <v>-1.4209968066048739E-3</v>
      </c>
      <c r="U12" s="7">
        <f t="shared" si="2"/>
        <v>0.107421875</v>
      </c>
      <c r="V12" s="7">
        <f t="shared" si="3"/>
        <v>6.6031312689410204E-4</v>
      </c>
      <c r="W12" s="7">
        <f t="shared" si="4"/>
        <v>1.8093214243100092E-6</v>
      </c>
      <c r="X12" s="7">
        <f t="shared" si="5"/>
        <v>-9.3830284467579785E-7</v>
      </c>
      <c r="Y12" s="7">
        <f t="shared" si="6"/>
        <v>3.90625E-3</v>
      </c>
    </row>
    <row r="13" spans="2:25" x14ac:dyDescent="0.2">
      <c r="F13" t="s">
        <v>44</v>
      </c>
      <c r="G13">
        <f xml:space="preserve"> $C$21 / $C$17</f>
        <v>166.66666666666666</v>
      </c>
      <c r="H13" t="s">
        <v>26</v>
      </c>
      <c r="J13" t="s">
        <v>93</v>
      </c>
      <c r="K13">
        <f>$C$15*$C$26/K12</f>
        <v>0.98824348669756312</v>
      </c>
      <c r="P13" s="7">
        <v>9</v>
      </c>
      <c r="Q13" s="7">
        <f t="shared" si="7"/>
        <v>0.107421875</v>
      </c>
      <c r="R13" s="7">
        <f t="shared" si="0"/>
        <v>6.6031312689410204E-4</v>
      </c>
      <c r="S13" s="7">
        <f t="shared" si="8"/>
        <v>0.109375</v>
      </c>
      <c r="T13" s="7">
        <f t="shared" si="1"/>
        <v>-1.4209968066048739E-3</v>
      </c>
      <c r="U13" s="7">
        <f t="shared" si="2"/>
        <v>0.1083984375</v>
      </c>
      <c r="V13" s="7">
        <f t="shared" si="3"/>
        <v>-3.801531527020674E-4</v>
      </c>
      <c r="W13" s="7">
        <f t="shared" si="4"/>
        <v>-2.510201169593532E-7</v>
      </c>
      <c r="X13" s="7">
        <f t="shared" si="5"/>
        <v>5.4019641601041274E-7</v>
      </c>
      <c r="Y13" s="7">
        <f t="shared" si="6"/>
        <v>1.953125E-3</v>
      </c>
    </row>
    <row r="14" spans="2:25" x14ac:dyDescent="0.2">
      <c r="B14" s="12" t="s">
        <v>13</v>
      </c>
      <c r="C14" s="12"/>
      <c r="D14" s="12"/>
      <c r="P14" s="7">
        <v>10</v>
      </c>
      <c r="Q14" s="7">
        <f t="shared" si="7"/>
        <v>0.107421875</v>
      </c>
      <c r="R14" s="7">
        <f t="shared" si="0"/>
        <v>6.6031312689410204E-4</v>
      </c>
      <c r="S14" s="7">
        <f t="shared" si="8"/>
        <v>0.1083984375</v>
      </c>
      <c r="T14" s="7">
        <f t="shared" si="1"/>
        <v>-3.801531527020674E-4</v>
      </c>
      <c r="U14" s="7">
        <f t="shared" si="2"/>
        <v>0.10791015625</v>
      </c>
      <c r="V14" s="7">
        <f t="shared" si="3"/>
        <v>1.4012743175331743E-4</v>
      </c>
      <c r="W14" s="7">
        <f t="shared" si="4"/>
        <v>9.2527982624672922E-8</v>
      </c>
      <c r="X14" s="7">
        <f t="shared" si="5"/>
        <v>-5.3269884961067407E-8</v>
      </c>
      <c r="Y14" s="7">
        <f t="shared" si="6"/>
        <v>9.765625E-4</v>
      </c>
    </row>
    <row r="15" spans="2:25" x14ac:dyDescent="0.2">
      <c r="B15" s="2" t="s">
        <v>66</v>
      </c>
      <c r="C15" s="2">
        <v>1500</v>
      </c>
      <c r="D15" s="2" t="s">
        <v>14</v>
      </c>
      <c r="P15" s="7">
        <v>11</v>
      </c>
      <c r="Q15" s="7">
        <f t="shared" si="7"/>
        <v>0.10791015625</v>
      </c>
      <c r="R15" s="7">
        <f t="shared" si="0"/>
        <v>1.4012743175331743E-4</v>
      </c>
      <c r="S15" s="7">
        <f t="shared" si="8"/>
        <v>0.1083984375</v>
      </c>
      <c r="T15" s="7">
        <f t="shared" si="1"/>
        <v>-3.801531527020674E-4</v>
      </c>
      <c r="U15" s="7">
        <f t="shared" si="2"/>
        <v>0.108154296875</v>
      </c>
      <c r="V15" s="7">
        <f t="shared" si="3"/>
        <v>-1.2000103341833213E-4</v>
      </c>
      <c r="W15" s="7">
        <f t="shared" si="4"/>
        <v>-1.6815436620654901E-8</v>
      </c>
      <c r="X15" s="7">
        <f t="shared" si="5"/>
        <v>4.5618771181485103E-8</v>
      </c>
      <c r="Y15" s="7">
        <f t="shared" si="6"/>
        <v>4.8828125E-4</v>
      </c>
    </row>
    <row r="16" spans="2:25" x14ac:dyDescent="0.2">
      <c r="B16" t="s">
        <v>15</v>
      </c>
      <c r="C16" s="1">
        <v>1.2</v>
      </c>
      <c r="D16" t="s">
        <v>16</v>
      </c>
      <c r="J16" s="9" t="s">
        <v>50</v>
      </c>
      <c r="K16" s="11"/>
      <c r="L16" s="11"/>
      <c r="P16" s="7">
        <v>12</v>
      </c>
      <c r="Q16" s="7">
        <f t="shared" si="7"/>
        <v>0.10791015625</v>
      </c>
      <c r="R16" s="7">
        <f t="shared" si="0"/>
        <v>1.4012743175331743E-4</v>
      </c>
      <c r="S16" s="7">
        <f t="shared" si="8"/>
        <v>0.108154296875</v>
      </c>
      <c r="T16" s="7">
        <f t="shared" si="1"/>
        <v>-1.2000103341833213E-4</v>
      </c>
      <c r="U16" s="7">
        <f t="shared" si="2"/>
        <v>0.1080322265625</v>
      </c>
      <c r="V16" s="7">
        <f t="shared" si="3"/>
        <v>1.0066160195082441E-5</v>
      </c>
      <c r="W16" s="7">
        <f t="shared" si="4"/>
        <v>1.4105451757543752E-9</v>
      </c>
      <c r="X16" s="7">
        <f t="shared" si="5"/>
        <v>-1.2079496259643727E-9</v>
      </c>
      <c r="Y16" s="7">
        <f t="shared" si="6"/>
        <v>2.44140625E-4</v>
      </c>
    </row>
    <row r="17" spans="2:25" x14ac:dyDescent="0.2">
      <c r="B17" t="s">
        <v>18</v>
      </c>
      <c r="C17" s="1">
        <v>30</v>
      </c>
      <c r="D17" t="s">
        <v>19</v>
      </c>
      <c r="J17" t="s">
        <v>51</v>
      </c>
      <c r="K17">
        <f xml:space="preserve"> ACOS(K13)</f>
        <v>0.15349020639723854</v>
      </c>
      <c r="L17" t="s">
        <v>52</v>
      </c>
      <c r="P17" s="7">
        <v>13</v>
      </c>
      <c r="Q17" s="7">
        <f t="shared" si="7"/>
        <v>0.1080322265625</v>
      </c>
      <c r="R17" s="7">
        <f t="shared" si="0"/>
        <v>1.0066160195082441E-5</v>
      </c>
      <c r="S17" s="7">
        <f t="shared" si="8"/>
        <v>0.108154296875</v>
      </c>
      <c r="T17" s="7">
        <f t="shared" si="1"/>
        <v>-1.2000103341833213E-4</v>
      </c>
      <c r="U17" s="7">
        <f t="shared" si="2"/>
        <v>0.10809326171875</v>
      </c>
      <c r="V17" s="7">
        <f t="shared" si="3"/>
        <v>-5.4966696887676081E-5</v>
      </c>
      <c r="W17" s="7">
        <f t="shared" si="4"/>
        <v>-5.5330357626588686E-10</v>
      </c>
      <c r="X17" s="7">
        <f t="shared" si="5"/>
        <v>6.5960604301133499E-9</v>
      </c>
      <c r="Y17" s="7">
        <f t="shared" si="6"/>
        <v>1.220703125E-4</v>
      </c>
    </row>
    <row r="18" spans="2:25" x14ac:dyDescent="0.2">
      <c r="B18" t="s">
        <v>89</v>
      </c>
      <c r="C18" s="1">
        <v>0.3</v>
      </c>
      <c r="J18" t="s">
        <v>36</v>
      </c>
      <c r="K18">
        <f xml:space="preserve"> K12 / $C$5</f>
        <v>2127.1507330320369</v>
      </c>
      <c r="L18" t="s">
        <v>37</v>
      </c>
      <c r="P18" s="7">
        <v>14</v>
      </c>
      <c r="Q18" s="7">
        <f t="shared" si="7"/>
        <v>0.1080322265625</v>
      </c>
      <c r="R18" s="7">
        <f t="shared" si="0"/>
        <v>1.0066160195082441E-5</v>
      </c>
      <c r="S18" s="7">
        <f t="shared" si="8"/>
        <v>0.10809326171875</v>
      </c>
      <c r="T18" s="7">
        <f t="shared" si="1"/>
        <v>-5.4966696887676081E-5</v>
      </c>
      <c r="U18" s="7">
        <f t="shared" si="2"/>
        <v>0.108062744140625</v>
      </c>
      <c r="V18" s="7">
        <f t="shared" si="3"/>
        <v>-2.2450083348696248E-5</v>
      </c>
      <c r="W18" s="7">
        <f t="shared" si="4"/>
        <v>-2.2598613538092927E-10</v>
      </c>
      <c r="X18" s="7">
        <f t="shared" si="5"/>
        <v>1.2340069265308508E-9</v>
      </c>
      <c r="Y18" s="7">
        <f t="shared" si="6"/>
        <v>6.103515625E-5</v>
      </c>
    </row>
    <row r="19" spans="2:25" x14ac:dyDescent="0.2">
      <c r="J19" t="s">
        <v>53</v>
      </c>
      <c r="K19">
        <f xml:space="preserve"> $C$17 * COS(K17) / ($C$18 * $C$16)</f>
        <v>82.353623891463599</v>
      </c>
      <c r="L19" t="s">
        <v>54</v>
      </c>
      <c r="P19" s="7">
        <v>15</v>
      </c>
      <c r="Q19" s="7">
        <f t="shared" si="7"/>
        <v>0.1080322265625</v>
      </c>
      <c r="R19" s="7">
        <f t="shared" si="0"/>
        <v>1.0066160195082441E-5</v>
      </c>
      <c r="S19" s="7">
        <f t="shared" si="8"/>
        <v>0.108062744140625</v>
      </c>
      <c r="T19" s="7">
        <f t="shared" si="1"/>
        <v>-2.2450083348696248E-5</v>
      </c>
      <c r="U19" s="7">
        <f t="shared" si="2"/>
        <v>0.1080474853515625</v>
      </c>
      <c r="V19" s="7">
        <f t="shared" si="3"/>
        <v>-6.1919153190731491E-6</v>
      </c>
      <c r="W19" s="7">
        <f t="shared" si="4"/>
        <v>-6.2328811516175318E-11</v>
      </c>
      <c r="X19" s="7">
        <f t="shared" si="5"/>
        <v>1.3900901500126132E-10</v>
      </c>
      <c r="Y19" s="7">
        <f t="shared" si="6"/>
        <v>3.0517578125E-5</v>
      </c>
    </row>
    <row r="20" spans="2:25" x14ac:dyDescent="0.2">
      <c r="B20" s="12" t="s">
        <v>23</v>
      </c>
      <c r="C20" s="12"/>
      <c r="D20" s="12"/>
      <c r="J20" t="s">
        <v>56</v>
      </c>
      <c r="K20">
        <f xml:space="preserve"> K18 / ($C$25 * PI() * $C$16^2 * K19^2 * $C$16^2)</f>
        <v>3.9302655159222433E-2</v>
      </c>
      <c r="P20" s="7">
        <v>16</v>
      </c>
      <c r="Q20" s="7">
        <f t="shared" si="7"/>
        <v>0.1080322265625</v>
      </c>
      <c r="R20" s="7">
        <f t="shared" si="0"/>
        <v>1.0066160195082441E-5</v>
      </c>
      <c r="S20" s="7">
        <f t="shared" si="8"/>
        <v>0.1080474853515625</v>
      </c>
      <c r="T20" s="7">
        <f t="shared" si="1"/>
        <v>-6.1919153190731491E-6</v>
      </c>
      <c r="U20" s="7">
        <f t="shared" si="2"/>
        <v>0.10803985595703125</v>
      </c>
      <c r="V20" s="7">
        <f t="shared" si="3"/>
        <v>1.9371340034685103E-6</v>
      </c>
      <c r="W20" s="7">
        <f t="shared" si="4"/>
        <v>1.9499501198255408E-11</v>
      </c>
      <c r="X20" s="7">
        <f t="shared" si="5"/>
        <v>-1.1994569711174168E-11</v>
      </c>
      <c r="Y20" s="7">
        <f t="shared" si="6"/>
        <v>1.52587890625E-5</v>
      </c>
    </row>
    <row r="21" spans="2:25" x14ac:dyDescent="0.2">
      <c r="B21" t="s">
        <v>24</v>
      </c>
      <c r="C21" s="1">
        <v>5000</v>
      </c>
      <c r="D21" t="s">
        <v>16</v>
      </c>
      <c r="J21" t="s">
        <v>6</v>
      </c>
      <c r="K21" s="1">
        <v>1.2E-2</v>
      </c>
      <c r="P21" s="7">
        <v>17</v>
      </c>
      <c r="Q21" s="7">
        <f t="shared" si="7"/>
        <v>0.10803985595703125</v>
      </c>
      <c r="R21" s="7">
        <f t="shared" si="0"/>
        <v>1.9371340034685103E-6</v>
      </c>
      <c r="S21" s="7">
        <f t="shared" si="8"/>
        <v>0.1080474853515625</v>
      </c>
      <c r="T21" s="7">
        <f t="shared" si="1"/>
        <v>-6.1919153190731491E-6</v>
      </c>
      <c r="U21" s="7">
        <f t="shared" si="2"/>
        <v>0.10804367065429688</v>
      </c>
      <c r="V21" s="7">
        <f t="shared" si="3"/>
        <v>-2.1273877665595187E-6</v>
      </c>
      <c r="W21" s="7">
        <f t="shared" si="4"/>
        <v>-4.1210351811653729E-12</v>
      </c>
      <c r="X21" s="7">
        <f t="shared" si="5"/>
        <v>1.3172604901368696E-11</v>
      </c>
      <c r="Y21" s="7">
        <f t="shared" si="6"/>
        <v>7.62939453125E-6</v>
      </c>
    </row>
    <row r="22" spans="2:25" x14ac:dyDescent="0.2">
      <c r="B22" t="s">
        <v>25</v>
      </c>
      <c r="C22" s="1">
        <v>240</v>
      </c>
      <c r="D22" t="s">
        <v>26</v>
      </c>
      <c r="J22" t="s">
        <v>57</v>
      </c>
      <c r="K22">
        <f xml:space="preserve"> ($C$6 * K21 / 8) * (1 + 4.65 *$C$18^ 2) * ( PI() * $C$25 * K19^3 *$C$16^ 5)</f>
        <v>1479.463608760032</v>
      </c>
      <c r="L22" t="s">
        <v>35</v>
      </c>
      <c r="P22" s="7">
        <v>18</v>
      </c>
      <c r="Q22" s="7">
        <f t="shared" si="7"/>
        <v>0.10803985595703125</v>
      </c>
      <c r="R22" s="7">
        <f t="shared" si="0"/>
        <v>1.9371340034685103E-6</v>
      </c>
      <c r="S22" s="7">
        <f t="shared" si="8"/>
        <v>0.10804367065429688</v>
      </c>
      <c r="T22" s="7">
        <f t="shared" si="1"/>
        <v>-2.1273877665595187E-6</v>
      </c>
      <c r="U22" s="7">
        <f t="shared" si="2"/>
        <v>0.10804176330566406</v>
      </c>
      <c r="V22" s="7">
        <f t="shared" si="3"/>
        <v>-9.512615871398733E-8</v>
      </c>
      <c r="W22" s="7">
        <f t="shared" si="4"/>
        <v>-1.8427211666420718E-13</v>
      </c>
      <c r="X22" s="7">
        <f t="shared" si="5"/>
        <v>2.0237022632793581E-13</v>
      </c>
      <c r="Y22" s="7">
        <f t="shared" si="6"/>
        <v>3.814697265625E-6</v>
      </c>
    </row>
    <row r="23" spans="2:25" x14ac:dyDescent="0.2">
      <c r="J23" t="s">
        <v>58</v>
      </c>
      <c r="K23" s="4">
        <f>U34</f>
        <v>0.10804167436435819</v>
      </c>
      <c r="P23" s="7">
        <v>19</v>
      </c>
      <c r="Q23" s="7">
        <f t="shared" si="7"/>
        <v>0.10803985595703125</v>
      </c>
      <c r="R23" s="7">
        <f t="shared" si="0"/>
        <v>1.9371340034685103E-6</v>
      </c>
      <c r="S23" s="7">
        <f t="shared" si="8"/>
        <v>0.10804176330566406</v>
      </c>
      <c r="T23" s="7">
        <f t="shared" si="1"/>
        <v>-9.512615871398733E-8</v>
      </c>
      <c r="U23" s="7">
        <f t="shared" si="2"/>
        <v>0.10804080963134766</v>
      </c>
      <c r="V23" s="7">
        <f t="shared" si="3"/>
        <v>9.2100410309381431E-7</v>
      </c>
      <c r="W23" s="7">
        <f t="shared" si="4"/>
        <v>1.7841083654370451E-12</v>
      </c>
      <c r="X23" s="7">
        <f t="shared" si="5"/>
        <v>-8.761158248713573E-14</v>
      </c>
      <c r="Y23" s="7">
        <f t="shared" si="6"/>
        <v>1.9073486328125E-6</v>
      </c>
    </row>
    <row r="24" spans="2:25" x14ac:dyDescent="0.2">
      <c r="B24" s="12" t="s">
        <v>73</v>
      </c>
      <c r="C24" s="12"/>
      <c r="D24" s="12"/>
      <c r="J24" t="s">
        <v>59</v>
      </c>
      <c r="K24">
        <f xml:space="preserve"> K19 * $C$16 * K23 - $C$17 * SIN(K17)</f>
        <v>6.0905011857570672</v>
      </c>
      <c r="L24" t="s">
        <v>19</v>
      </c>
      <c r="P24" s="7">
        <v>20</v>
      </c>
      <c r="Q24" s="7">
        <f t="shared" si="7"/>
        <v>0.10804080963134766</v>
      </c>
      <c r="R24" s="7">
        <f t="shared" si="0"/>
        <v>9.2100410309381431E-7</v>
      </c>
      <c r="S24" s="7">
        <f t="shared" si="8"/>
        <v>0.10804176330566406</v>
      </c>
      <c r="T24" s="7">
        <f t="shared" si="1"/>
        <v>-9.512615871398733E-8</v>
      </c>
      <c r="U24" s="7">
        <f t="shared" si="2"/>
        <v>0.10804128646850586</v>
      </c>
      <c r="V24" s="7">
        <f t="shared" si="3"/>
        <v>4.129390173690517E-7</v>
      </c>
      <c r="W24" s="7">
        <f t="shared" si="4"/>
        <v>3.8031852932442446E-13</v>
      </c>
      <c r="X24" s="7">
        <f t="shared" si="5"/>
        <v>-3.9281302505446384E-14</v>
      </c>
      <c r="Y24" s="7">
        <f t="shared" si="6"/>
        <v>9.5367431640625E-7</v>
      </c>
    </row>
    <row r="25" spans="2:25" x14ac:dyDescent="0.2">
      <c r="B25" t="s">
        <v>27</v>
      </c>
      <c r="C25" s="1">
        <v>1.2250000000000001</v>
      </c>
      <c r="D25" t="s">
        <v>28</v>
      </c>
      <c r="J25" t="s">
        <v>60</v>
      </c>
      <c r="K25">
        <f xml:space="preserve"> 1/$C$7 - K22 * SQRT( (2*$C$25*PI()*$C$16^2) / K18^3 )</f>
        <v>1.2831284325671568</v>
      </c>
      <c r="P25" s="7">
        <v>21</v>
      </c>
      <c r="Q25" s="7">
        <f t="shared" si="7"/>
        <v>0.10804128646850586</v>
      </c>
      <c r="R25" s="7">
        <f t="shared" si="0"/>
        <v>4.129390173690517E-7</v>
      </c>
      <c r="S25" s="7">
        <f t="shared" si="8"/>
        <v>0.10804176330566406</v>
      </c>
      <c r="T25" s="7">
        <f t="shared" si="1"/>
        <v>-9.512615871398733E-8</v>
      </c>
      <c r="U25" s="7">
        <f t="shared" si="2"/>
        <v>0.10804152488708496</v>
      </c>
      <c r="V25" s="7">
        <f t="shared" si="3"/>
        <v>1.5890644061711257E-7</v>
      </c>
      <c r="W25" s="7">
        <f t="shared" si="4"/>
        <v>6.5618669442044022E-14</v>
      </c>
      <c r="X25" s="7">
        <f t="shared" si="5"/>
        <v>-1.5116159290818252E-14</v>
      </c>
      <c r="Y25" s="7">
        <f t="shared" si="6"/>
        <v>4.76837158203125E-7</v>
      </c>
    </row>
    <row r="26" spans="2:25" x14ac:dyDescent="0.2">
      <c r="B26" t="s">
        <v>29</v>
      </c>
      <c r="C26" s="1">
        <v>9.81</v>
      </c>
      <c r="D26" t="s">
        <v>30</v>
      </c>
      <c r="J26" t="s">
        <v>61</v>
      </c>
      <c r="K26" s="1">
        <v>1.1499999999999999</v>
      </c>
      <c r="P26" s="7">
        <v>22</v>
      </c>
      <c r="Q26" s="7">
        <f t="shared" si="7"/>
        <v>0.10804152488708496</v>
      </c>
      <c r="R26" s="7">
        <f t="shared" si="0"/>
        <v>1.5890644061711257E-7</v>
      </c>
      <c r="S26" s="7">
        <f t="shared" si="8"/>
        <v>0.10804176330566406</v>
      </c>
      <c r="T26" s="7">
        <f t="shared" si="1"/>
        <v>-9.512615871398733E-8</v>
      </c>
      <c r="U26" s="7">
        <f t="shared" si="2"/>
        <v>0.10804164409637451</v>
      </c>
      <c r="V26" s="7">
        <f t="shared" si="3"/>
        <v>3.1890143775692437E-8</v>
      </c>
      <c r="W26" s="7">
        <f t="shared" si="4"/>
        <v>5.067549238163252E-15</v>
      </c>
      <c r="X26" s="7">
        <f t="shared" si="5"/>
        <v>-3.0335868782183938E-15</v>
      </c>
      <c r="Y26" s="7">
        <f t="shared" si="6"/>
        <v>2.384185791015625E-7</v>
      </c>
    </row>
    <row r="27" spans="2:25" x14ac:dyDescent="0.2">
      <c r="J27" t="s">
        <v>62</v>
      </c>
      <c r="K27">
        <f xml:space="preserve"> 1/$C$29 * LN( EXP($C$29 * K25) + EXP($C$29 * K26) )</f>
        <v>1.283737126697974</v>
      </c>
      <c r="P27" s="7">
        <v>23</v>
      </c>
      <c r="Q27" s="7">
        <f t="shared" si="7"/>
        <v>0.10804164409637451</v>
      </c>
      <c r="R27" s="7">
        <f t="shared" si="0"/>
        <v>3.1890143775692437E-8</v>
      </c>
      <c r="S27" s="7">
        <f t="shared" si="8"/>
        <v>0.10804176330566406</v>
      </c>
      <c r="T27" s="7">
        <f t="shared" si="1"/>
        <v>-9.512615871398733E-8</v>
      </c>
      <c r="U27" s="7">
        <f t="shared" si="2"/>
        <v>0.10804170370101929</v>
      </c>
      <c r="V27" s="7">
        <f t="shared" si="3"/>
        <v>-3.1618006768319162E-8</v>
      </c>
      <c r="W27" s="7">
        <f t="shared" si="4"/>
        <v>-1.0083027817425146E-15</v>
      </c>
      <c r="X27" s="7">
        <f t="shared" si="5"/>
        <v>3.0076995300630541E-15</v>
      </c>
      <c r="Y27" s="7">
        <f t="shared" si="6"/>
        <v>1.1920928955078125E-7</v>
      </c>
    </row>
    <row r="28" spans="2:25" x14ac:dyDescent="0.2">
      <c r="B28" s="12" t="s">
        <v>31</v>
      </c>
      <c r="C28" s="12"/>
      <c r="D28" s="12"/>
      <c r="P28" s="7">
        <v>24</v>
      </c>
      <c r="Q28" s="7">
        <f t="shared" si="7"/>
        <v>0.10804164409637451</v>
      </c>
      <c r="R28" s="7">
        <f t="shared" si="0"/>
        <v>3.1890143775692437E-8</v>
      </c>
      <c r="S28" s="7">
        <f t="shared" si="8"/>
        <v>0.10804170370101929</v>
      </c>
      <c r="T28" s="7">
        <f t="shared" si="1"/>
        <v>-3.1618006768319162E-8</v>
      </c>
      <c r="U28" s="7">
        <f t="shared" si="2"/>
        <v>0.1080416738986969</v>
      </c>
      <c r="V28" s="7">
        <f t="shared" si="3"/>
        <v>1.3606868409787864E-10</v>
      </c>
      <c r="W28" s="7">
        <f t="shared" si="4"/>
        <v>4.3392498992506251E-18</v>
      </c>
      <c r="X28" s="7">
        <f t="shared" si="5"/>
        <v>-4.302220574763009E-18</v>
      </c>
      <c r="Y28" s="7">
        <f t="shared" si="6"/>
        <v>5.9604644775390625E-8</v>
      </c>
    </row>
    <row r="29" spans="2:25" x14ac:dyDescent="0.2">
      <c r="B29" t="s">
        <v>32</v>
      </c>
      <c r="C29" s="1">
        <v>30</v>
      </c>
      <c r="P29" s="7">
        <v>25</v>
      </c>
      <c r="Q29" s="7">
        <f t="shared" si="7"/>
        <v>0.1080416738986969</v>
      </c>
      <c r="R29" s="7">
        <f t="shared" si="0"/>
        <v>1.3606868409787864E-10</v>
      </c>
      <c r="S29" s="7">
        <f t="shared" si="8"/>
        <v>0.10804170370101929</v>
      </c>
      <c r="T29" s="7">
        <f t="shared" si="1"/>
        <v>-3.1618006768319162E-8</v>
      </c>
      <c r="U29" s="7">
        <f t="shared" si="2"/>
        <v>0.10804168879985809</v>
      </c>
      <c r="V29" s="7">
        <f t="shared" si="3"/>
        <v>-1.5740969000477278E-8</v>
      </c>
      <c r="W29" s="7">
        <f t="shared" si="4"/>
        <v>-2.1418529383204434E-18</v>
      </c>
      <c r="X29" s="7">
        <f t="shared" si="5"/>
        <v>4.9769806439699269E-16</v>
      </c>
      <c r="Y29" s="7">
        <f t="shared" si="6"/>
        <v>2.9802322387695312E-8</v>
      </c>
    </row>
    <row r="30" spans="2:25" x14ac:dyDescent="0.2">
      <c r="P30" s="7">
        <v>26</v>
      </c>
      <c r="Q30" s="7">
        <f t="shared" si="7"/>
        <v>0.1080416738986969</v>
      </c>
      <c r="R30" s="7">
        <f t="shared" si="0"/>
        <v>1.3606868409787864E-10</v>
      </c>
      <c r="S30" s="7">
        <f t="shared" si="8"/>
        <v>0.10804168879985809</v>
      </c>
      <c r="T30" s="7">
        <f t="shared" si="1"/>
        <v>-1.5740969000477278E-8</v>
      </c>
      <c r="U30" s="7">
        <f t="shared" si="2"/>
        <v>0.1080416813492775</v>
      </c>
      <c r="V30" s="7">
        <f t="shared" si="3"/>
        <v>-7.8024501443119121E-9</v>
      </c>
      <c r="W30" s="7">
        <f t="shared" si="4"/>
        <v>-1.0616691238758252E-18</v>
      </c>
      <c r="X30" s="7">
        <f t="shared" si="5"/>
        <v>1.2281812584938328E-16</v>
      </c>
      <c r="Y30" s="7">
        <f t="shared" si="6"/>
        <v>1.4901161193847656E-8</v>
      </c>
    </row>
    <row r="31" spans="2:25" x14ac:dyDescent="0.2">
      <c r="P31" s="7">
        <v>27</v>
      </c>
      <c r="Q31" s="7">
        <f t="shared" si="7"/>
        <v>0.1080416738986969</v>
      </c>
      <c r="R31" s="7">
        <f t="shared" si="0"/>
        <v>1.3606868409787864E-10</v>
      </c>
      <c r="S31" s="7">
        <f t="shared" si="8"/>
        <v>0.1080416813492775</v>
      </c>
      <c r="T31" s="7">
        <f t="shared" si="1"/>
        <v>-7.8024501443119121E-9</v>
      </c>
      <c r="U31" s="7">
        <f t="shared" si="2"/>
        <v>0.1080416776239872</v>
      </c>
      <c r="V31" s="7">
        <f t="shared" si="3"/>
        <v>-3.8331907370459106E-9</v>
      </c>
      <c r="W31" s="7">
        <f t="shared" si="4"/>
        <v>-5.2157721948601462E-19</v>
      </c>
      <c r="X31" s="7">
        <f t="shared" si="5"/>
        <v>2.9908279619438952E-17</v>
      </c>
      <c r="Y31" s="7">
        <f t="shared" si="6"/>
        <v>7.4505805969238281E-9</v>
      </c>
    </row>
    <row r="32" spans="2:25" x14ac:dyDescent="0.2">
      <c r="P32" s="7">
        <v>28</v>
      </c>
      <c r="Q32" s="7">
        <f t="shared" si="7"/>
        <v>0.1080416738986969</v>
      </c>
      <c r="R32" s="7">
        <f t="shared" si="0"/>
        <v>1.3606868409787864E-10</v>
      </c>
      <c r="S32" s="7">
        <f t="shared" si="8"/>
        <v>0.1080416776239872</v>
      </c>
      <c r="T32" s="7">
        <f t="shared" si="1"/>
        <v>-3.8331907370459106E-9</v>
      </c>
      <c r="U32" s="7">
        <f t="shared" si="2"/>
        <v>0.10804167576134205</v>
      </c>
      <c r="V32" s="7">
        <f t="shared" si="3"/>
        <v>-1.848561026474016E-9</v>
      </c>
      <c r="W32" s="7">
        <f t="shared" si="4"/>
        <v>-2.5153126634694316E-19</v>
      </c>
      <c r="X32" s="7">
        <f t="shared" si="5"/>
        <v>7.0858870035442784E-18</v>
      </c>
      <c r="Y32" s="7">
        <f t="shared" si="6"/>
        <v>3.7252902984619141E-9</v>
      </c>
    </row>
    <row r="33" spans="16:25" x14ac:dyDescent="0.2">
      <c r="P33" s="7">
        <v>29</v>
      </c>
      <c r="Q33" s="7">
        <f t="shared" si="7"/>
        <v>0.1080416738986969</v>
      </c>
      <c r="R33" s="7">
        <f t="shared" si="0"/>
        <v>1.3606868409787864E-10</v>
      </c>
      <c r="S33" s="7">
        <f t="shared" si="8"/>
        <v>0.10804167576134205</v>
      </c>
      <c r="T33" s="7">
        <f t="shared" si="1"/>
        <v>-1.848561026474016E-9</v>
      </c>
      <c r="U33" s="7">
        <f t="shared" si="2"/>
        <v>0.10804167483001947</v>
      </c>
      <c r="V33" s="7">
        <f t="shared" si="3"/>
        <v>-8.5624617118806867E-10</v>
      </c>
      <c r="W33" s="7">
        <f t="shared" si="4"/>
        <v>-1.1650828977740744E-19</v>
      </c>
      <c r="X33" s="7">
        <f t="shared" si="5"/>
        <v>1.5828233011258622E-18</v>
      </c>
      <c r="Y33" s="7">
        <f t="shared" si="6"/>
        <v>1.862645149230957E-9</v>
      </c>
    </row>
    <row r="34" spans="16:25" x14ac:dyDescent="0.2">
      <c r="P34" s="7">
        <v>30</v>
      </c>
      <c r="Q34" s="7">
        <f t="shared" si="7"/>
        <v>0.1080416738986969</v>
      </c>
      <c r="R34" s="7">
        <f t="shared" si="0"/>
        <v>1.3606868409787864E-10</v>
      </c>
      <c r="S34" s="7">
        <f t="shared" si="8"/>
        <v>0.10804167483001947</v>
      </c>
      <c r="T34" s="7">
        <f t="shared" si="1"/>
        <v>-8.5624617118806867E-10</v>
      </c>
      <c r="U34" s="7">
        <f t="shared" si="2"/>
        <v>0.10804167436435819</v>
      </c>
      <c r="V34" s="7">
        <f t="shared" si="3"/>
        <v>-3.6008873660620111E-10</v>
      </c>
      <c r="W34" s="7">
        <f t="shared" si="4"/>
        <v>-4.8996800548473409E-20</v>
      </c>
      <c r="X34" s="7">
        <f t="shared" si="5"/>
        <v>3.0832460200700865E-19</v>
      </c>
      <c r="Y34" s="7">
        <f t="shared" si="6"/>
        <v>9.3132257461547852E-10</v>
      </c>
    </row>
  </sheetData>
  <mergeCells count="13">
    <mergeCell ref="B28:D28"/>
    <mergeCell ref="J11:L11"/>
    <mergeCell ref="B1:D1"/>
    <mergeCell ref="B3:D3"/>
    <mergeCell ref="F3:H3"/>
    <mergeCell ref="J3:L3"/>
    <mergeCell ref="F7:H7"/>
    <mergeCell ref="F11:H11"/>
    <mergeCell ref="B9:D9"/>
    <mergeCell ref="J16:L16"/>
    <mergeCell ref="B14:D14"/>
    <mergeCell ref="B20:D20"/>
    <mergeCell ref="B24:D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46306-B19A-E840-A2A2-9C88BDE95F01}">
  <dimension ref="B1:Y37"/>
  <sheetViews>
    <sheetView workbookViewId="0">
      <selection activeCell="G17" sqref="G17"/>
    </sheetView>
  </sheetViews>
  <sheetFormatPr baseColWidth="10" defaultRowHeight="16" x14ac:dyDescent="0.2"/>
  <cols>
    <col min="1" max="1" width="4.1640625" customWidth="1"/>
    <col min="2" max="2" width="20.5" customWidth="1"/>
    <col min="4" max="4" width="7.1640625" customWidth="1"/>
    <col min="5" max="5" width="3.5" customWidth="1"/>
    <col min="6" max="6" width="14.6640625" customWidth="1"/>
    <col min="7" max="7" width="12.33203125" customWidth="1"/>
    <col min="9" max="9" width="3.6640625" customWidth="1"/>
    <col min="10" max="10" width="12" customWidth="1"/>
    <col min="12" max="12" width="6.33203125" customWidth="1"/>
    <col min="13" max="13" width="4" customWidth="1"/>
    <col min="14" max="15" width="3.83203125" customWidth="1"/>
    <col min="16" max="16" width="5.5" customWidth="1"/>
    <col min="17" max="18" width="6.1640625" customWidth="1"/>
    <col min="19" max="19" width="6.6640625" customWidth="1"/>
    <col min="20" max="20" width="7" customWidth="1"/>
    <col min="21" max="21" width="14.6640625" customWidth="1"/>
    <col min="22" max="22" width="7.83203125" customWidth="1"/>
    <col min="23" max="23" width="10" customWidth="1"/>
    <col min="24" max="24" width="9.5" customWidth="1"/>
    <col min="25" max="25" width="13.6640625" customWidth="1"/>
  </cols>
  <sheetData>
    <row r="1" spans="2:25" x14ac:dyDescent="0.2">
      <c r="B1" s="13" t="s">
        <v>0</v>
      </c>
      <c r="C1" s="13"/>
      <c r="D1" s="13"/>
    </row>
    <row r="2" spans="2:25" x14ac:dyDescent="0.2">
      <c r="P2" s="5" t="s">
        <v>76</v>
      </c>
    </row>
    <row r="3" spans="2:25" x14ac:dyDescent="0.2">
      <c r="B3" s="9" t="s">
        <v>87</v>
      </c>
      <c r="C3" s="10"/>
      <c r="D3" s="10"/>
      <c r="F3" s="9" t="s">
        <v>33</v>
      </c>
      <c r="G3" s="10"/>
      <c r="H3" s="10"/>
      <c r="J3" s="12" t="s">
        <v>45</v>
      </c>
      <c r="K3" s="12"/>
      <c r="L3" s="12"/>
      <c r="P3" s="6" t="s">
        <v>77</v>
      </c>
      <c r="Q3" s="6" t="s">
        <v>78</v>
      </c>
      <c r="R3" s="6" t="s">
        <v>79</v>
      </c>
      <c r="S3" s="6" t="s">
        <v>80</v>
      </c>
      <c r="T3" s="6" t="s">
        <v>81</v>
      </c>
      <c r="U3" s="6" t="s">
        <v>82</v>
      </c>
      <c r="V3" s="6" t="s">
        <v>83</v>
      </c>
      <c r="W3" s="6" t="s">
        <v>84</v>
      </c>
      <c r="X3" s="6" t="s">
        <v>85</v>
      </c>
      <c r="Y3" s="6" t="s">
        <v>86</v>
      </c>
    </row>
    <row r="4" spans="2:25" x14ac:dyDescent="0.2">
      <c r="B4" t="s">
        <v>65</v>
      </c>
      <c r="C4" s="1" t="s">
        <v>1</v>
      </c>
      <c r="F4" t="s">
        <v>34</v>
      </c>
      <c r="G4">
        <f xml:space="preserve"> 1/$C$9 * SQRT( ($C$20*$C$33)^3 / (2 * $C$32 * PI() * $C$21^2* $C$5) )</f>
        <v>291853.08376473968</v>
      </c>
      <c r="H4" t="s">
        <v>35</v>
      </c>
      <c r="J4" t="s">
        <v>46</v>
      </c>
      <c r="K4">
        <f xml:space="preserve"> $C$20 * $C$33</f>
        <v>14715</v>
      </c>
      <c r="L4" t="s">
        <v>37</v>
      </c>
      <c r="P4" s="7">
        <v>0</v>
      </c>
      <c r="Q4" s="8">
        <v>0</v>
      </c>
      <c r="R4" s="7">
        <f t="shared" ref="R4:R34" si="0" xml:space="preserve"> $K$19 * TAN($K$16) + $K$20 / (2 * SQRT($K$19^2 + Q4^2)) - Q4</f>
        <v>0.58425088338188247</v>
      </c>
      <c r="S4" s="8">
        <v>1</v>
      </c>
      <c r="T4" s="7">
        <f t="shared" ref="T4:T34" si="1" xml:space="preserve"> $K$19 * TAN($K$16) + $K$20 / (2 * SQRT($K$19^2 + S4^2)) - S4</f>
        <v>-0.6754927486334632</v>
      </c>
      <c r="U4" s="7">
        <f xml:space="preserve"> (Q4 + S4)/2</f>
        <v>0.5</v>
      </c>
      <c r="V4" s="7">
        <f t="shared" ref="V4:V34" si="2" xml:space="preserve"> $K$19 * TAN($K$16) + $K$20 / (2 * SQRT($K$19^2 + U4^2)) - U4</f>
        <v>-0.16810118167500365</v>
      </c>
      <c r="W4" s="7">
        <f>R4*V4</f>
        <v>-9.8213263891159197E-2</v>
      </c>
      <c r="X4" s="7">
        <f>T4*V4</f>
        <v>0.11355112925818138</v>
      </c>
      <c r="Y4" s="7">
        <f>S4-Q4</f>
        <v>1</v>
      </c>
    </row>
    <row r="5" spans="2:25" x14ac:dyDescent="0.2">
      <c r="B5" t="s">
        <v>63</v>
      </c>
      <c r="C5" s="1">
        <v>6</v>
      </c>
      <c r="F5" t="s">
        <v>36</v>
      </c>
      <c r="G5">
        <f>$C$20*$C$33/$C$5</f>
        <v>2452.5</v>
      </c>
      <c r="H5" t="s">
        <v>37</v>
      </c>
      <c r="J5" t="s">
        <v>47</v>
      </c>
      <c r="K5">
        <f xml:space="preserve"> 0.5 * $C$32 * $C$23^2</f>
        <v>1852.8125000000002</v>
      </c>
      <c r="L5" t="s">
        <v>48</v>
      </c>
      <c r="P5" s="7">
        <v>1</v>
      </c>
      <c r="Q5" s="7">
        <f>IF(W4&gt;0, U4, Q4)</f>
        <v>0</v>
      </c>
      <c r="R5" s="7">
        <f t="shared" si="0"/>
        <v>0.58425088338188247</v>
      </c>
      <c r="S5" s="7">
        <f>IF(X4&gt;0, U4, S4)</f>
        <v>0.5</v>
      </c>
      <c r="T5" s="7">
        <f t="shared" si="1"/>
        <v>-0.16810118167500365</v>
      </c>
      <c r="U5" s="7">
        <f t="shared" ref="U5:U34" si="3" xml:space="preserve"> (Q5 + S5)/2</f>
        <v>0.25</v>
      </c>
      <c r="V5" s="7">
        <f t="shared" si="2"/>
        <v>9.6563677734210207E-2</v>
      </c>
      <c r="W5" s="7">
        <f t="shared" ref="W5:W34" si="4">R5*V5</f>
        <v>5.6417414018815726E-2</v>
      </c>
      <c r="X5" s="7">
        <f t="shared" ref="X5:X34" si="5">T5*V5</f>
        <v>-1.6232468334004976E-2</v>
      </c>
      <c r="Y5" s="7">
        <f t="shared" ref="Y5:Y34" si="6">S5-Q5</f>
        <v>0.5</v>
      </c>
    </row>
    <row r="6" spans="2:25" x14ac:dyDescent="0.2">
      <c r="B6" t="s">
        <v>64</v>
      </c>
      <c r="C6" s="1">
        <v>1</v>
      </c>
      <c r="J6" t="s">
        <v>67</v>
      </c>
      <c r="K6">
        <f xml:space="preserve"> 1.6 * ($C$20*2.20462/1000)^(2/3) * 0.3048^2</f>
        <v>0.32993868766973189</v>
      </c>
      <c r="L6" t="s">
        <v>21</v>
      </c>
      <c r="P6" s="7">
        <v>2</v>
      </c>
      <c r="Q6" s="7">
        <f t="shared" ref="Q6:Q34" si="7">IF(W5&gt;0, U5, Q5)</f>
        <v>0.25</v>
      </c>
      <c r="R6" s="7">
        <f t="shared" si="0"/>
        <v>9.6563677734210207E-2</v>
      </c>
      <c r="S6" s="7">
        <f t="shared" ref="S6:S34" si="8">IF(X5&gt;0, U5, S5)</f>
        <v>0.5</v>
      </c>
      <c r="T6" s="7">
        <f t="shared" si="1"/>
        <v>-0.16810118167500365</v>
      </c>
      <c r="U6" s="7">
        <f t="shared" si="3"/>
        <v>0.375</v>
      </c>
      <c r="V6" s="7">
        <f t="shared" si="2"/>
        <v>-3.8191293625573275E-2</v>
      </c>
      <c r="W6" s="7">
        <f t="shared" si="4"/>
        <v>-3.6878917699124541E-3</v>
      </c>
      <c r="X6" s="7">
        <f t="shared" si="5"/>
        <v>6.4200015881559023E-3</v>
      </c>
      <c r="Y6" s="7">
        <f t="shared" si="6"/>
        <v>0.25</v>
      </c>
    </row>
    <row r="7" spans="2:25" x14ac:dyDescent="0.2">
      <c r="B7" t="s">
        <v>2</v>
      </c>
      <c r="C7" s="1">
        <v>0.13</v>
      </c>
      <c r="F7" s="9" t="s">
        <v>38</v>
      </c>
      <c r="G7" s="10"/>
      <c r="H7" s="10"/>
      <c r="J7" t="s">
        <v>68</v>
      </c>
      <c r="K7">
        <f xml:space="preserve"> K6 / $C$24</f>
        <v>5.1552919948395608E-2</v>
      </c>
      <c r="P7" s="7">
        <v>3</v>
      </c>
      <c r="Q7" s="7">
        <f t="shared" si="7"/>
        <v>0.25</v>
      </c>
      <c r="R7" s="7">
        <f t="shared" si="0"/>
        <v>9.6563677734210207E-2</v>
      </c>
      <c r="S7" s="7">
        <f t="shared" si="8"/>
        <v>0.375</v>
      </c>
      <c r="T7" s="7">
        <f t="shared" si="1"/>
        <v>-3.8191293625573275E-2</v>
      </c>
      <c r="U7" s="7">
        <f t="shared" si="3"/>
        <v>0.3125</v>
      </c>
      <c r="V7" s="7">
        <f t="shared" si="2"/>
        <v>2.8222450418169509E-2</v>
      </c>
      <c r="W7" s="7">
        <f t="shared" si="4"/>
        <v>2.7252636070498465E-3</v>
      </c>
      <c r="X7" s="7">
        <f t="shared" si="5"/>
        <v>-1.0778518907534949E-3</v>
      </c>
      <c r="Y7" s="7">
        <f t="shared" si="6"/>
        <v>0.125</v>
      </c>
    </row>
    <row r="8" spans="2:25" x14ac:dyDescent="0.2">
      <c r="B8" t="s">
        <v>3</v>
      </c>
      <c r="C8" s="1">
        <v>0.13</v>
      </c>
      <c r="F8" s="3" t="s">
        <v>39</v>
      </c>
      <c r="G8">
        <f xml:space="preserve"> K22 + K17 * (K27 * K24 + $C$23 * SIN(K16))</f>
        <v>84922.171492537891</v>
      </c>
      <c r="H8" t="s">
        <v>35</v>
      </c>
      <c r="J8" t="s">
        <v>69</v>
      </c>
      <c r="K8">
        <f xml:space="preserve"> K5 * $C$24 * K7</f>
        <v>611.3145247480752</v>
      </c>
      <c r="L8" t="s">
        <v>37</v>
      </c>
      <c r="P8" s="7">
        <v>4</v>
      </c>
      <c r="Q8" s="7">
        <f t="shared" si="7"/>
        <v>0.3125</v>
      </c>
      <c r="R8" s="7">
        <f t="shared" si="0"/>
        <v>2.8222450418169509E-2</v>
      </c>
      <c r="S8" s="7">
        <f t="shared" si="8"/>
        <v>0.375</v>
      </c>
      <c r="T8" s="7">
        <f t="shared" si="1"/>
        <v>-3.8191293625573275E-2</v>
      </c>
      <c r="U8" s="7">
        <f t="shared" si="3"/>
        <v>0.34375</v>
      </c>
      <c r="V8" s="7">
        <f t="shared" si="2"/>
        <v>-5.1605827437828378E-3</v>
      </c>
      <c r="W8" s="7">
        <f t="shared" si="4"/>
        <v>-1.456442906152723E-4</v>
      </c>
      <c r="X8" s="7">
        <f t="shared" si="5"/>
        <v>1.9708933084687692E-4</v>
      </c>
      <c r="Y8" s="7">
        <f t="shared" si="6"/>
        <v>6.25E-2</v>
      </c>
    </row>
    <row r="9" spans="2:25" x14ac:dyDescent="0.2">
      <c r="B9" t="s">
        <v>4</v>
      </c>
      <c r="C9" s="1">
        <v>0.75</v>
      </c>
      <c r="F9" s="3" t="s">
        <v>40</v>
      </c>
      <c r="G9">
        <f xml:space="preserve"> $C$6 * G8</f>
        <v>84922.171492537891</v>
      </c>
      <c r="H9" t="s">
        <v>35</v>
      </c>
      <c r="J9" t="s">
        <v>70</v>
      </c>
      <c r="K9">
        <f xml:space="preserve"> 1.78 * (1 - 0.045 * $C$12^0.68) - 0.64</f>
        <v>0.75661729604956662</v>
      </c>
      <c r="P9" s="7">
        <v>5</v>
      </c>
      <c r="Q9" s="7">
        <f t="shared" si="7"/>
        <v>0.3125</v>
      </c>
      <c r="R9" s="7">
        <f t="shared" si="0"/>
        <v>2.8222450418169509E-2</v>
      </c>
      <c r="S9" s="7">
        <f t="shared" si="8"/>
        <v>0.34375</v>
      </c>
      <c r="T9" s="7">
        <f t="shared" si="1"/>
        <v>-5.1605827437828378E-3</v>
      </c>
      <c r="U9" s="7">
        <f t="shared" si="3"/>
        <v>0.328125</v>
      </c>
      <c r="V9" s="7">
        <f t="shared" si="2"/>
        <v>1.1480688847282594E-2</v>
      </c>
      <c r="W9" s="7">
        <f t="shared" si="4"/>
        <v>3.2401317175886468E-4</v>
      </c>
      <c r="X9" s="7">
        <f t="shared" si="5"/>
        <v>-5.9247044752026633E-5</v>
      </c>
      <c r="Y9" s="7">
        <f t="shared" si="6"/>
        <v>3.125E-2</v>
      </c>
    </row>
    <row r="10" spans="2:25" x14ac:dyDescent="0.2">
      <c r="J10" t="s">
        <v>49</v>
      </c>
      <c r="K10">
        <f xml:space="preserve"> K4 / (K5 * $C$24)</f>
        <v>1.2409343902850394</v>
      </c>
      <c r="P10" s="7">
        <v>6</v>
      </c>
      <c r="Q10" s="7">
        <f t="shared" si="7"/>
        <v>0.328125</v>
      </c>
      <c r="R10" s="7">
        <f t="shared" si="0"/>
        <v>1.1480688847282594E-2</v>
      </c>
      <c r="S10" s="7">
        <f t="shared" si="8"/>
        <v>0.34375</v>
      </c>
      <c r="T10" s="7">
        <f t="shared" si="1"/>
        <v>-5.1605827437828378E-3</v>
      </c>
      <c r="U10" s="7">
        <f t="shared" si="3"/>
        <v>0.3359375</v>
      </c>
      <c r="V10" s="7">
        <f t="shared" si="2"/>
        <v>3.148356050744705E-3</v>
      </c>
      <c r="W10" s="7">
        <f t="shared" si="4"/>
        <v>3.6145296199059407E-5</v>
      </c>
      <c r="X10" s="7">
        <f t="shared" si="5"/>
        <v>-1.6247351906757409E-5</v>
      </c>
      <c r="Y10" s="7">
        <f t="shared" si="6"/>
        <v>1.5625E-2</v>
      </c>
    </row>
    <row r="11" spans="2:25" x14ac:dyDescent="0.2">
      <c r="B11" s="9" t="s">
        <v>5</v>
      </c>
      <c r="C11" s="10"/>
      <c r="D11" s="10"/>
      <c r="F11" s="9" t="s">
        <v>41</v>
      </c>
      <c r="G11" s="10"/>
      <c r="H11" s="10"/>
      <c r="J11" t="s">
        <v>71</v>
      </c>
      <c r="K11">
        <f xml:space="preserve"> K7 + K10^2 / ( PI() * K9 * $C$12 )</f>
        <v>0.11633747841897502</v>
      </c>
      <c r="P11" s="7">
        <v>7</v>
      </c>
      <c r="Q11" s="7">
        <f t="shared" si="7"/>
        <v>0.3359375</v>
      </c>
      <c r="R11" s="7">
        <f t="shared" si="0"/>
        <v>3.148356050744705E-3</v>
      </c>
      <c r="S11" s="7">
        <f t="shared" si="8"/>
        <v>0.34375</v>
      </c>
      <c r="T11" s="7">
        <f t="shared" si="1"/>
        <v>-5.1605827437828378E-3</v>
      </c>
      <c r="U11" s="7">
        <f t="shared" si="3"/>
        <v>0.33984375</v>
      </c>
      <c r="V11" s="7">
        <f t="shared" si="2"/>
        <v>-1.0089381098975503E-3</v>
      </c>
      <c r="W11" s="7">
        <f t="shared" si="4"/>
        <v>-3.1764964031228784E-6</v>
      </c>
      <c r="X11" s="7">
        <f t="shared" si="5"/>
        <v>5.2067085994821701E-6</v>
      </c>
      <c r="Y11" s="7">
        <f t="shared" si="6"/>
        <v>7.8125E-3</v>
      </c>
    </row>
    <row r="12" spans="2:25" x14ac:dyDescent="0.2">
      <c r="B12" t="s">
        <v>7</v>
      </c>
      <c r="C12" s="1">
        <v>10</v>
      </c>
      <c r="F12" t="s">
        <v>42</v>
      </c>
      <c r="G12">
        <f xml:space="preserve"> (G4*$C$29 + G9*G13)/3600</f>
        <v>21601.37153109724</v>
      </c>
      <c r="H12" t="s">
        <v>43</v>
      </c>
      <c r="J12" t="s">
        <v>90</v>
      </c>
      <c r="K12">
        <f>K10/K11</f>
        <v>10.666677730593127</v>
      </c>
      <c r="P12" s="7">
        <v>8</v>
      </c>
      <c r="Q12" s="7">
        <f t="shared" si="7"/>
        <v>0.3359375</v>
      </c>
      <c r="R12" s="7">
        <f t="shared" si="0"/>
        <v>3.148356050744705E-3</v>
      </c>
      <c r="S12" s="7">
        <f t="shared" si="8"/>
        <v>0.33984375</v>
      </c>
      <c r="T12" s="7">
        <f t="shared" si="1"/>
        <v>-1.0089381098975503E-3</v>
      </c>
      <c r="U12" s="7">
        <f t="shared" si="3"/>
        <v>0.337890625</v>
      </c>
      <c r="V12" s="7">
        <f t="shared" si="2"/>
        <v>1.0689906970746121E-3</v>
      </c>
      <c r="W12" s="7">
        <f t="shared" si="4"/>
        <v>3.3655633293246553E-6</v>
      </c>
      <c r="X12" s="7">
        <f t="shared" si="5"/>
        <v>-1.0785454534045238E-6</v>
      </c>
      <c r="Y12" s="7">
        <f t="shared" si="6"/>
        <v>3.90625E-3</v>
      </c>
    </row>
    <row r="13" spans="2:25" x14ac:dyDescent="0.2">
      <c r="F13" t="s">
        <v>44</v>
      </c>
      <c r="G13">
        <f xml:space="preserve"> $C$28 / $C$23</f>
        <v>90.909090909090907</v>
      </c>
      <c r="H13" t="s">
        <v>26</v>
      </c>
      <c r="J13" t="s">
        <v>72</v>
      </c>
      <c r="K13">
        <f xml:space="preserve"> K5 * K11 * $C$24</f>
        <v>1379.529819092206</v>
      </c>
      <c r="L13" t="s">
        <v>37</v>
      </c>
      <c r="P13" s="7">
        <v>9</v>
      </c>
      <c r="Q13" s="7">
        <f t="shared" si="7"/>
        <v>0.337890625</v>
      </c>
      <c r="R13" s="7">
        <f t="shared" si="0"/>
        <v>1.0689906970746121E-3</v>
      </c>
      <c r="S13" s="7">
        <f t="shared" si="8"/>
        <v>0.33984375</v>
      </c>
      <c r="T13" s="7">
        <f t="shared" si="1"/>
        <v>-1.0089381098975503E-3</v>
      </c>
      <c r="U13" s="7">
        <f t="shared" si="3"/>
        <v>0.3388671875</v>
      </c>
      <c r="V13" s="7">
        <f t="shared" si="2"/>
        <v>2.9848256963116437E-5</v>
      </c>
      <c r="W13" s="7">
        <f t="shared" si="4"/>
        <v>3.1907509017463989E-8</v>
      </c>
      <c r="X13" s="7">
        <f t="shared" si="5"/>
        <v>-3.0115043964103091E-8</v>
      </c>
      <c r="Y13" s="7">
        <f t="shared" si="6"/>
        <v>1.953125E-3</v>
      </c>
    </row>
    <row r="14" spans="2:25" x14ac:dyDescent="0.2">
      <c r="B14" s="9" t="s">
        <v>8</v>
      </c>
      <c r="C14" s="10"/>
      <c r="D14" s="10"/>
      <c r="P14" s="7">
        <v>10</v>
      </c>
      <c r="Q14" s="7">
        <f t="shared" si="7"/>
        <v>0.3388671875</v>
      </c>
      <c r="R14" s="7">
        <f t="shared" si="0"/>
        <v>2.9848256963116437E-5</v>
      </c>
      <c r="S14" s="7">
        <f t="shared" si="8"/>
        <v>0.33984375</v>
      </c>
      <c r="T14" s="7">
        <f t="shared" si="1"/>
        <v>-1.0089381098975503E-3</v>
      </c>
      <c r="U14" s="7">
        <f t="shared" si="3"/>
        <v>0.33935546875</v>
      </c>
      <c r="V14" s="7">
        <f t="shared" si="2"/>
        <v>-4.8958924605574383E-4</v>
      </c>
      <c r="W14" s="7">
        <f t="shared" si="4"/>
        <v>-1.4613385622650283E-8</v>
      </c>
      <c r="X14" s="7">
        <f t="shared" si="5"/>
        <v>4.9396524854164887E-7</v>
      </c>
      <c r="Y14" s="7">
        <f t="shared" si="6"/>
        <v>9.765625E-4</v>
      </c>
    </row>
    <row r="15" spans="2:25" x14ac:dyDescent="0.2">
      <c r="B15" t="s">
        <v>9</v>
      </c>
      <c r="C15" s="1">
        <v>280</v>
      </c>
      <c r="D15" t="s">
        <v>10</v>
      </c>
      <c r="J15" s="9" t="s">
        <v>50</v>
      </c>
      <c r="K15" s="11"/>
      <c r="L15" s="11"/>
      <c r="P15" s="7">
        <v>11</v>
      </c>
      <c r="Q15" s="7">
        <f t="shared" si="7"/>
        <v>0.3388671875</v>
      </c>
      <c r="R15" s="7">
        <f t="shared" si="0"/>
        <v>2.9848256963116437E-5</v>
      </c>
      <c r="S15" s="7">
        <f t="shared" si="8"/>
        <v>0.33935546875</v>
      </c>
      <c r="T15" s="7">
        <f t="shared" si="1"/>
        <v>-4.8958924605574383E-4</v>
      </c>
      <c r="U15" s="7">
        <f t="shared" si="3"/>
        <v>0.339111328125</v>
      </c>
      <c r="V15" s="7">
        <f t="shared" si="2"/>
        <v>-2.2988159805553687E-4</v>
      </c>
      <c r="W15" s="7">
        <f t="shared" si="4"/>
        <v>-6.8615650098535127E-9</v>
      </c>
      <c r="X15" s="7">
        <f t="shared" si="5"/>
        <v>1.1254755827409984E-7</v>
      </c>
      <c r="Y15" s="7">
        <f t="shared" si="6"/>
        <v>4.8828125E-4</v>
      </c>
    </row>
    <row r="16" spans="2:25" x14ac:dyDescent="0.2">
      <c r="B16" t="s">
        <v>11</v>
      </c>
      <c r="C16" s="1">
        <v>0.85</v>
      </c>
      <c r="J16" t="s">
        <v>51</v>
      </c>
      <c r="K16">
        <f xml:space="preserve"> (90 - $C$34) / 180 * PI()</f>
        <v>1.48352986419518</v>
      </c>
      <c r="L16" t="s">
        <v>52</v>
      </c>
      <c r="P16" s="7">
        <v>12</v>
      </c>
      <c r="Q16" s="7">
        <f t="shared" si="7"/>
        <v>0.3388671875</v>
      </c>
      <c r="R16" s="7">
        <f t="shared" si="0"/>
        <v>2.9848256963116437E-5</v>
      </c>
      <c r="S16" s="7">
        <f t="shared" si="8"/>
        <v>0.339111328125</v>
      </c>
      <c r="T16" s="7">
        <f t="shared" si="1"/>
        <v>-2.2988159805553687E-4</v>
      </c>
      <c r="U16" s="7">
        <f t="shared" si="3"/>
        <v>0.3389892578125</v>
      </c>
      <c r="V16" s="7">
        <f t="shared" si="2"/>
        <v>-1.0001944938237139E-4</v>
      </c>
      <c r="W16" s="7">
        <f t="shared" si="4"/>
        <v>-2.9854062264744391E-9</v>
      </c>
      <c r="X16" s="7">
        <f t="shared" si="5"/>
        <v>2.2992630860654416E-8</v>
      </c>
      <c r="Y16" s="7">
        <f t="shared" si="6"/>
        <v>2.44140625E-4</v>
      </c>
    </row>
    <row r="17" spans="2:25" x14ac:dyDescent="0.2">
      <c r="B17" t="s">
        <v>12</v>
      </c>
      <c r="C17" s="1">
        <v>0.8</v>
      </c>
      <c r="J17" t="s">
        <v>36</v>
      </c>
      <c r="K17">
        <f xml:space="preserve"> K13 / $C$6</f>
        <v>1379.529819092206</v>
      </c>
      <c r="L17" t="s">
        <v>37</v>
      </c>
      <c r="P17" s="7">
        <v>13</v>
      </c>
      <c r="Q17" s="7">
        <f t="shared" si="7"/>
        <v>0.3388671875</v>
      </c>
      <c r="R17" s="7">
        <f t="shared" si="0"/>
        <v>2.9848256963116437E-5</v>
      </c>
      <c r="S17" s="7">
        <f t="shared" si="8"/>
        <v>0.3389892578125</v>
      </c>
      <c r="T17" s="7">
        <f t="shared" si="1"/>
        <v>-1.0001944938237139E-4</v>
      </c>
      <c r="U17" s="7">
        <f t="shared" si="3"/>
        <v>0.33892822265625</v>
      </c>
      <c r="V17" s="7">
        <f t="shared" si="2"/>
        <v>-3.5086291288954907E-5</v>
      </c>
      <c r="W17" s="7">
        <f t="shared" si="4"/>
        <v>-1.04726463827548E-9</v>
      </c>
      <c r="X17" s="7">
        <f t="shared" si="5"/>
        <v>3.5093115355907638E-9</v>
      </c>
      <c r="Y17" s="7">
        <f t="shared" si="6"/>
        <v>1.220703125E-4</v>
      </c>
    </row>
    <row r="18" spans="2:25" x14ac:dyDescent="0.2">
      <c r="J18" t="s">
        <v>53</v>
      </c>
      <c r="K18">
        <f xml:space="preserve"> PI() * $C$23 / ($C$22 * $C$25)</f>
        <v>191.98621771937624</v>
      </c>
      <c r="L18" t="s">
        <v>54</v>
      </c>
      <c r="P18" s="7">
        <v>14</v>
      </c>
      <c r="Q18" s="7">
        <f t="shared" si="7"/>
        <v>0.3388671875</v>
      </c>
      <c r="R18" s="7">
        <f t="shared" si="0"/>
        <v>2.9848256963116437E-5</v>
      </c>
      <c r="S18" s="7">
        <f t="shared" si="8"/>
        <v>0.33892822265625</v>
      </c>
      <c r="T18" s="7">
        <f t="shared" si="1"/>
        <v>-3.5086291288954907E-5</v>
      </c>
      <c r="U18" s="7">
        <f t="shared" si="3"/>
        <v>0.338897705078125</v>
      </c>
      <c r="V18" s="7">
        <f t="shared" si="2"/>
        <v>-2.6191909791029033E-6</v>
      </c>
      <c r="W18" s="7">
        <f t="shared" si="4"/>
        <v>-7.8178285379739989E-11</v>
      </c>
      <c r="X18" s="7">
        <f t="shared" si="5"/>
        <v>9.1897697634207475E-11</v>
      </c>
      <c r="Y18" s="7">
        <f t="shared" si="6"/>
        <v>6.103515625E-5</v>
      </c>
    </row>
    <row r="19" spans="2:25" x14ac:dyDescent="0.2">
      <c r="B19" s="12" t="s">
        <v>13</v>
      </c>
      <c r="C19" s="12"/>
      <c r="D19" s="12"/>
      <c r="J19" t="s">
        <v>55</v>
      </c>
      <c r="K19">
        <f xml:space="preserve"> $C$23 * COS(K16) / (K18 * $C$22)</f>
        <v>2.7742534554270872E-2</v>
      </c>
      <c r="P19" s="7">
        <v>15</v>
      </c>
      <c r="Q19" s="7">
        <f t="shared" si="7"/>
        <v>0.3388671875</v>
      </c>
      <c r="R19" s="7">
        <f t="shared" si="0"/>
        <v>2.9848256963116437E-5</v>
      </c>
      <c r="S19" s="7">
        <f t="shared" si="8"/>
        <v>0.338897705078125</v>
      </c>
      <c r="T19" s="7">
        <f t="shared" si="1"/>
        <v>-2.6191909791029033E-6</v>
      </c>
      <c r="U19" s="7">
        <f t="shared" si="3"/>
        <v>0.3388824462890625</v>
      </c>
      <c r="V19" s="7">
        <f t="shared" si="2"/>
        <v>1.361448953218769E-5</v>
      </c>
      <c r="W19" s="7">
        <f t="shared" si="4"/>
        <v>4.0636878197839709E-10</v>
      </c>
      <c r="X19" s="7">
        <f t="shared" si="5"/>
        <v>-3.5658948167796905E-11</v>
      </c>
      <c r="Y19" s="7">
        <f t="shared" si="6"/>
        <v>3.0517578125E-5</v>
      </c>
    </row>
    <row r="20" spans="2:25" x14ac:dyDescent="0.2">
      <c r="B20" s="2" t="s">
        <v>66</v>
      </c>
      <c r="C20" s="2">
        <v>1500</v>
      </c>
      <c r="D20" s="2" t="s">
        <v>14</v>
      </c>
      <c r="J20" t="s">
        <v>56</v>
      </c>
      <c r="K20">
        <f xml:space="preserve"> K17 / ( $C$32 * PI() * $C$22^2 * K18^2 * $C$22^2)</f>
        <v>1.4822961742621928E-2</v>
      </c>
      <c r="P20" s="7">
        <v>16</v>
      </c>
      <c r="Q20" s="7">
        <f t="shared" si="7"/>
        <v>0.3388824462890625</v>
      </c>
      <c r="R20" s="7">
        <f t="shared" si="0"/>
        <v>1.361448953218769E-5</v>
      </c>
      <c r="S20" s="7">
        <f t="shared" si="8"/>
        <v>0.338897705078125</v>
      </c>
      <c r="T20" s="7">
        <f t="shared" si="1"/>
        <v>-2.6191909791029033E-6</v>
      </c>
      <c r="U20" s="7">
        <f t="shared" si="3"/>
        <v>0.33889007568359375</v>
      </c>
      <c r="V20" s="7">
        <f t="shared" si="2"/>
        <v>5.4976384123439637E-6</v>
      </c>
      <c r="W20" s="7">
        <f t="shared" si="4"/>
        <v>7.4847540616609852E-11</v>
      </c>
      <c r="X20" s="7">
        <f t="shared" si="5"/>
        <v>-1.4399364935980917E-11</v>
      </c>
      <c r="Y20" s="7">
        <f t="shared" si="6"/>
        <v>1.52587890625E-5</v>
      </c>
    </row>
    <row r="21" spans="2:25" x14ac:dyDescent="0.2">
      <c r="B21" t="s">
        <v>15</v>
      </c>
      <c r="C21" s="1">
        <v>1.2</v>
      </c>
      <c r="D21" t="s">
        <v>16</v>
      </c>
      <c r="J21" t="s">
        <v>6</v>
      </c>
      <c r="K21" s="1">
        <v>1.2E-2</v>
      </c>
      <c r="P21" s="7">
        <v>17</v>
      </c>
      <c r="Q21" s="7">
        <f t="shared" si="7"/>
        <v>0.33889007568359375</v>
      </c>
      <c r="R21" s="7">
        <f t="shared" si="0"/>
        <v>5.4976384123439637E-6</v>
      </c>
      <c r="S21" s="7">
        <f t="shared" si="8"/>
        <v>0.338897705078125</v>
      </c>
      <c r="T21" s="7">
        <f t="shared" si="1"/>
        <v>-2.6191909791029033E-6</v>
      </c>
      <c r="U21" s="7">
        <f t="shared" si="3"/>
        <v>0.33889389038085938</v>
      </c>
      <c r="V21" s="7">
        <f t="shared" si="2"/>
        <v>1.4392210006541895E-6</v>
      </c>
      <c r="W21" s="7">
        <f t="shared" si="4"/>
        <v>7.9123166570485882E-12</v>
      </c>
      <c r="X21" s="7">
        <f t="shared" si="5"/>
        <v>-3.7695946618489064E-12</v>
      </c>
      <c r="Y21" s="7">
        <f t="shared" si="6"/>
        <v>7.62939453125E-6</v>
      </c>
    </row>
    <row r="22" spans="2:25" x14ac:dyDescent="0.2">
      <c r="B22" t="s">
        <v>17</v>
      </c>
      <c r="C22" s="1">
        <v>0.9</v>
      </c>
      <c r="D22" t="s">
        <v>16</v>
      </c>
      <c r="J22" t="s">
        <v>57</v>
      </c>
      <c r="K22">
        <f xml:space="preserve"> ($C$8 * $K$21 / 8) * (1 + 4.65 * K19^2) * ( PI() * $C$32 * K18^3 * C22^5)</f>
        <v>3146.9858091218234</v>
      </c>
      <c r="L22" t="s">
        <v>35</v>
      </c>
      <c r="P22" s="7">
        <v>18</v>
      </c>
      <c r="Q22" s="7">
        <f t="shared" si="7"/>
        <v>0.33889389038085938</v>
      </c>
      <c r="R22" s="7">
        <f t="shared" si="0"/>
        <v>1.4392210006541895E-6</v>
      </c>
      <c r="S22" s="7">
        <f t="shared" si="8"/>
        <v>0.338897705078125</v>
      </c>
      <c r="T22" s="7">
        <f t="shared" si="1"/>
        <v>-2.6191909791029033E-6</v>
      </c>
      <c r="U22" s="7">
        <f t="shared" si="3"/>
        <v>0.33889579772949219</v>
      </c>
      <c r="V22" s="7">
        <f t="shared" si="2"/>
        <v>-5.8998566820900322E-7</v>
      </c>
      <c r="W22" s="7">
        <f t="shared" si="4"/>
        <v>-8.4911976377139224E-13</v>
      </c>
      <c r="X22" s="7">
        <f t="shared" si="5"/>
        <v>1.5452851399730198E-12</v>
      </c>
      <c r="Y22" s="7">
        <f t="shared" si="6"/>
        <v>3.814697265625E-6</v>
      </c>
    </row>
    <row r="23" spans="2:25" x14ac:dyDescent="0.2">
      <c r="B23" t="s">
        <v>18</v>
      </c>
      <c r="C23" s="1">
        <v>55</v>
      </c>
      <c r="D23" t="s">
        <v>19</v>
      </c>
      <c r="J23" t="s">
        <v>58</v>
      </c>
      <c r="K23" s="4">
        <f>U34</f>
        <v>0.338895243126899</v>
      </c>
      <c r="P23" s="7">
        <v>19</v>
      </c>
      <c r="Q23" s="7">
        <f t="shared" si="7"/>
        <v>0.33889389038085938</v>
      </c>
      <c r="R23" s="7">
        <f t="shared" si="0"/>
        <v>1.4392210006541895E-6</v>
      </c>
      <c r="S23" s="7">
        <f t="shared" si="8"/>
        <v>0.33889579772949219</v>
      </c>
      <c r="T23" s="7">
        <f t="shared" si="1"/>
        <v>-5.8998566820900322E-7</v>
      </c>
      <c r="U23" s="7">
        <f t="shared" si="3"/>
        <v>0.33889484405517578</v>
      </c>
      <c r="V23" s="7">
        <f t="shared" si="2"/>
        <v>4.2461749649724823E-7</v>
      </c>
      <c r="W23" s="7">
        <f t="shared" si="4"/>
        <v>6.1111841820404638E-13</v>
      </c>
      <c r="X23" s="7">
        <f t="shared" si="5"/>
        <v>-2.5051823740416309E-13</v>
      </c>
      <c r="Y23" s="7">
        <f t="shared" si="6"/>
        <v>1.9073486328125E-6</v>
      </c>
    </row>
    <row r="24" spans="2:25" x14ac:dyDescent="0.2">
      <c r="B24" t="s">
        <v>20</v>
      </c>
      <c r="C24" s="1">
        <v>6.4</v>
      </c>
      <c r="D24" t="s">
        <v>21</v>
      </c>
      <c r="J24" t="s">
        <v>59</v>
      </c>
      <c r="K24">
        <f xml:space="preserve"> K18 * $C$22 * K23 - $C$23 * SIN(K16)</f>
        <v>3.766185942873598</v>
      </c>
      <c r="L24" t="s">
        <v>19</v>
      </c>
      <c r="P24" s="7">
        <v>20</v>
      </c>
      <c r="Q24" s="7">
        <f t="shared" si="7"/>
        <v>0.33889484405517578</v>
      </c>
      <c r="R24" s="7">
        <f t="shared" si="0"/>
        <v>4.2461749649724823E-7</v>
      </c>
      <c r="S24" s="7">
        <f t="shared" si="8"/>
        <v>0.33889579772949219</v>
      </c>
      <c r="T24" s="7">
        <f t="shared" si="1"/>
        <v>-5.8998566820900322E-7</v>
      </c>
      <c r="U24" s="7">
        <f t="shared" si="3"/>
        <v>0.33889532089233398</v>
      </c>
      <c r="V24" s="7">
        <f t="shared" si="2"/>
        <v>-8.2684128266397039E-8</v>
      </c>
      <c r="W24" s="7">
        <f t="shared" si="4"/>
        <v>-3.5109127544534869E-14</v>
      </c>
      <c r="X24" s="7">
        <f t="shared" si="5"/>
        <v>4.8782450665529188E-14</v>
      </c>
      <c r="Y24" s="7">
        <f t="shared" si="6"/>
        <v>9.5367431640625E-7</v>
      </c>
    </row>
    <row r="25" spans="2:25" x14ac:dyDescent="0.2">
      <c r="B25" t="s">
        <v>22</v>
      </c>
      <c r="C25" s="1">
        <v>1</v>
      </c>
      <c r="J25" t="s">
        <v>60</v>
      </c>
      <c r="K25">
        <f xml:space="preserve"> 1/$C$9 - K22 * SQRT( (2*$C$32*PI()*$C$22^2) / K17^3 )</f>
        <v>1.1799780884059028</v>
      </c>
      <c r="P25" s="7">
        <v>21</v>
      </c>
      <c r="Q25" s="7">
        <f t="shared" si="7"/>
        <v>0.33889484405517578</v>
      </c>
      <c r="R25" s="7">
        <f t="shared" si="0"/>
        <v>4.2461749649724823E-7</v>
      </c>
      <c r="S25" s="7">
        <f t="shared" si="8"/>
        <v>0.33889532089233398</v>
      </c>
      <c r="T25" s="7">
        <f t="shared" si="1"/>
        <v>-8.2684128266397039E-8</v>
      </c>
      <c r="U25" s="7">
        <f t="shared" si="3"/>
        <v>0.33889508247375488</v>
      </c>
      <c r="V25" s="7">
        <f t="shared" si="2"/>
        <v>1.7096667348504013E-7</v>
      </c>
      <c r="W25" s="7">
        <f t="shared" si="4"/>
        <v>7.2595440879680204E-14</v>
      </c>
      <c r="X25" s="7">
        <f t="shared" si="5"/>
        <v>-1.413623035971628E-14</v>
      </c>
      <c r="Y25" s="7">
        <f t="shared" si="6"/>
        <v>4.76837158203125E-7</v>
      </c>
    </row>
    <row r="26" spans="2:25" x14ac:dyDescent="0.2">
      <c r="J26" t="s">
        <v>61</v>
      </c>
      <c r="K26" s="1">
        <v>1.1499999999999999</v>
      </c>
      <c r="P26" s="7">
        <v>22</v>
      </c>
      <c r="Q26" s="7">
        <f t="shared" si="7"/>
        <v>0.33889508247375488</v>
      </c>
      <c r="R26" s="7">
        <f t="shared" si="0"/>
        <v>1.7096667348504013E-7</v>
      </c>
      <c r="S26" s="7">
        <f t="shared" si="8"/>
        <v>0.33889532089233398</v>
      </c>
      <c r="T26" s="7">
        <f t="shared" si="1"/>
        <v>-8.2684128266397039E-8</v>
      </c>
      <c r="U26" s="7">
        <f t="shared" si="3"/>
        <v>0.33889520168304443</v>
      </c>
      <c r="V26" s="7">
        <f t="shared" si="2"/>
        <v>4.4141269972541863E-8</v>
      </c>
      <c r="W26" s="7">
        <f t="shared" si="4"/>
        <v>7.5466860906105707E-15</v>
      </c>
      <c r="X26" s="7">
        <f t="shared" si="5"/>
        <v>-3.6497824282513118E-15</v>
      </c>
      <c r="Y26" s="7">
        <f t="shared" si="6"/>
        <v>2.384185791015625E-7</v>
      </c>
    </row>
    <row r="27" spans="2:25" x14ac:dyDescent="0.2">
      <c r="B27" s="12" t="s">
        <v>23</v>
      </c>
      <c r="C27" s="12"/>
      <c r="D27" s="12"/>
      <c r="J27" t="s">
        <v>62</v>
      </c>
      <c r="K27">
        <f xml:space="preserve"> 1/$C$37 * LN( EXP($C$37 * K25) + EXP($C$37 * K26) )</f>
        <v>1.1913562192675804</v>
      </c>
      <c r="P27" s="7">
        <v>23</v>
      </c>
      <c r="Q27" s="7">
        <f t="shared" si="7"/>
        <v>0.33889520168304443</v>
      </c>
      <c r="R27" s="7">
        <f t="shared" si="0"/>
        <v>4.4141269972541863E-8</v>
      </c>
      <c r="S27" s="7">
        <f t="shared" si="8"/>
        <v>0.33889532089233398</v>
      </c>
      <c r="T27" s="7">
        <f t="shared" si="1"/>
        <v>-8.2684128266397039E-8</v>
      </c>
      <c r="U27" s="7">
        <f t="shared" si="3"/>
        <v>0.33889526128768921</v>
      </c>
      <c r="V27" s="7">
        <f t="shared" si="2"/>
        <v>-1.9271429840816978E-8</v>
      </c>
      <c r="W27" s="7">
        <f t="shared" si="4"/>
        <v>-8.5066538736040171E-16</v>
      </c>
      <c r="X27" s="7">
        <f t="shared" si="5"/>
        <v>1.5934413768349824E-15</v>
      </c>
      <c r="Y27" s="7">
        <f t="shared" si="6"/>
        <v>1.1920928955078125E-7</v>
      </c>
    </row>
    <row r="28" spans="2:25" x14ac:dyDescent="0.2">
      <c r="B28" t="s">
        <v>24</v>
      </c>
      <c r="C28" s="1">
        <v>5000</v>
      </c>
      <c r="D28" t="s">
        <v>16</v>
      </c>
      <c r="P28" s="7">
        <v>24</v>
      </c>
      <c r="Q28" s="7">
        <f t="shared" si="7"/>
        <v>0.33889520168304443</v>
      </c>
      <c r="R28" s="7">
        <f t="shared" si="0"/>
        <v>4.4141269972541863E-8</v>
      </c>
      <c r="S28" s="7">
        <f t="shared" si="8"/>
        <v>0.33889526128768921</v>
      </c>
      <c r="T28" s="7">
        <f t="shared" si="1"/>
        <v>-1.9271429840816978E-8</v>
      </c>
      <c r="U28" s="7">
        <f t="shared" si="3"/>
        <v>0.33889523148536682</v>
      </c>
      <c r="V28" s="7">
        <f t="shared" si="2"/>
        <v>1.2434919871573413E-8</v>
      </c>
      <c r="W28" s="7">
        <f t="shared" si="4"/>
        <v>5.4889315513804766E-16</v>
      </c>
      <c r="X28" s="7">
        <f t="shared" si="5"/>
        <v>-2.396386858812079E-16</v>
      </c>
      <c r="Y28" s="7">
        <f t="shared" si="6"/>
        <v>5.9604644775390625E-8</v>
      </c>
    </row>
    <row r="29" spans="2:25" x14ac:dyDescent="0.2">
      <c r="B29" t="s">
        <v>25</v>
      </c>
      <c r="C29" s="1">
        <v>240</v>
      </c>
      <c r="D29" t="s">
        <v>26</v>
      </c>
      <c r="P29" s="7">
        <v>25</v>
      </c>
      <c r="Q29" s="7">
        <f t="shared" si="7"/>
        <v>0.33889523148536682</v>
      </c>
      <c r="R29" s="7">
        <f t="shared" si="0"/>
        <v>1.2434919871573413E-8</v>
      </c>
      <c r="S29" s="7">
        <f t="shared" si="8"/>
        <v>0.33889526128768921</v>
      </c>
      <c r="T29" s="7">
        <f t="shared" si="1"/>
        <v>-1.9271429840816978E-8</v>
      </c>
      <c r="U29" s="7">
        <f t="shared" si="3"/>
        <v>0.33889524638652802</v>
      </c>
      <c r="V29" s="7">
        <f t="shared" si="2"/>
        <v>-3.4182550123773581E-9</v>
      </c>
      <c r="W29" s="7">
        <f t="shared" si="4"/>
        <v>-4.2505727179516634E-17</v>
      </c>
      <c r="X29" s="7">
        <f t="shared" si="5"/>
        <v>6.5874661649051227E-17</v>
      </c>
      <c r="Y29" s="7">
        <f t="shared" si="6"/>
        <v>2.9802322387695312E-8</v>
      </c>
    </row>
    <row r="30" spans="2:25" x14ac:dyDescent="0.2">
      <c r="P30" s="7">
        <v>26</v>
      </c>
      <c r="Q30" s="7">
        <f t="shared" si="7"/>
        <v>0.33889523148536682</v>
      </c>
      <c r="R30" s="7">
        <f t="shared" si="0"/>
        <v>1.2434919871573413E-8</v>
      </c>
      <c r="S30" s="7">
        <f t="shared" si="8"/>
        <v>0.33889524638652802</v>
      </c>
      <c r="T30" s="7">
        <f t="shared" si="1"/>
        <v>-3.4182550123773581E-9</v>
      </c>
      <c r="U30" s="7">
        <f t="shared" si="3"/>
        <v>0.33889523893594742</v>
      </c>
      <c r="V30" s="7">
        <f t="shared" si="2"/>
        <v>4.5083324295980276E-9</v>
      </c>
      <c r="W30" s="7">
        <f t="shared" si="4"/>
        <v>5.6060752516467353E-17</v>
      </c>
      <c r="X30" s="7">
        <f t="shared" si="5"/>
        <v>-1.5410629924936851E-17</v>
      </c>
      <c r="Y30" s="7">
        <f t="shared" si="6"/>
        <v>1.4901161193847656E-8</v>
      </c>
    </row>
    <row r="31" spans="2:25" x14ac:dyDescent="0.2">
      <c r="B31" s="12" t="s">
        <v>73</v>
      </c>
      <c r="C31" s="12"/>
      <c r="D31" s="12"/>
      <c r="P31" s="7">
        <v>27</v>
      </c>
      <c r="Q31" s="7">
        <f t="shared" si="7"/>
        <v>0.33889523893594742</v>
      </c>
      <c r="R31" s="7">
        <f t="shared" si="0"/>
        <v>4.5083324295980276E-9</v>
      </c>
      <c r="S31" s="7">
        <f t="shared" si="8"/>
        <v>0.33889524638652802</v>
      </c>
      <c r="T31" s="7">
        <f t="shared" si="1"/>
        <v>-3.4182550123773581E-9</v>
      </c>
      <c r="U31" s="7">
        <f t="shared" si="3"/>
        <v>0.33889524266123772</v>
      </c>
      <c r="V31" s="7">
        <f t="shared" si="2"/>
        <v>5.4503868085475915E-10</v>
      </c>
      <c r="W31" s="7">
        <f t="shared" si="4"/>
        <v>2.4572155602828403E-18</v>
      </c>
      <c r="X31" s="7">
        <f t="shared" si="5"/>
        <v>-1.8630812027713237E-18</v>
      </c>
      <c r="Y31" s="7">
        <f t="shared" si="6"/>
        <v>7.4505805969238281E-9</v>
      </c>
    </row>
    <row r="32" spans="2:25" x14ac:dyDescent="0.2">
      <c r="B32" t="s">
        <v>27</v>
      </c>
      <c r="C32" s="1">
        <v>1.2250000000000001</v>
      </c>
      <c r="D32" t="s">
        <v>28</v>
      </c>
      <c r="P32" s="7">
        <v>28</v>
      </c>
      <c r="Q32" s="7">
        <f t="shared" si="7"/>
        <v>0.33889524266123772</v>
      </c>
      <c r="R32" s="7">
        <f t="shared" si="0"/>
        <v>5.4503868085475915E-10</v>
      </c>
      <c r="S32" s="7">
        <f t="shared" si="8"/>
        <v>0.33889524638652802</v>
      </c>
      <c r="T32" s="7">
        <f t="shared" si="1"/>
        <v>-3.4182550123773581E-9</v>
      </c>
      <c r="U32" s="7">
        <f t="shared" si="3"/>
        <v>0.33889524452388287</v>
      </c>
      <c r="V32" s="7">
        <f t="shared" si="2"/>
        <v>-1.4366081657612995E-9</v>
      </c>
      <c r="W32" s="7">
        <f t="shared" si="4"/>
        <v>-7.8300701957171383E-19</v>
      </c>
      <c r="X32" s="7">
        <f t="shared" si="5"/>
        <v>4.9106930634358044E-18</v>
      </c>
      <c r="Y32" s="7">
        <f t="shared" si="6"/>
        <v>3.7252902984619141E-9</v>
      </c>
    </row>
    <row r="33" spans="2:25" x14ac:dyDescent="0.2">
      <c r="B33" t="s">
        <v>29</v>
      </c>
      <c r="C33" s="1">
        <v>9.81</v>
      </c>
      <c r="D33" t="s">
        <v>30</v>
      </c>
      <c r="P33" s="7">
        <v>29</v>
      </c>
      <c r="Q33" s="7">
        <f t="shared" si="7"/>
        <v>0.33889524266123772</v>
      </c>
      <c r="R33" s="7">
        <f t="shared" si="0"/>
        <v>5.4503868085475915E-10</v>
      </c>
      <c r="S33" s="7">
        <f t="shared" si="8"/>
        <v>0.33889524452388287</v>
      </c>
      <c r="T33" s="7">
        <f t="shared" si="1"/>
        <v>-1.4366081657612995E-9</v>
      </c>
      <c r="U33" s="7">
        <f t="shared" si="3"/>
        <v>0.33889524359256029</v>
      </c>
      <c r="V33" s="7">
        <f t="shared" si="2"/>
        <v>-4.4578474245327016E-10</v>
      </c>
      <c r="W33" s="7">
        <f t="shared" si="4"/>
        <v>-2.4296992797190891E-19</v>
      </c>
      <c r="X33" s="7">
        <f t="shared" si="5"/>
        <v>6.4041800118016572E-19</v>
      </c>
      <c r="Y33" s="7">
        <f t="shared" si="6"/>
        <v>1.862645149230957E-9</v>
      </c>
    </row>
    <row r="34" spans="2:25" x14ac:dyDescent="0.2">
      <c r="B34" t="s">
        <v>74</v>
      </c>
      <c r="C34" s="1">
        <v>5</v>
      </c>
      <c r="D34" t="s">
        <v>75</v>
      </c>
      <c r="P34" s="7">
        <v>30</v>
      </c>
      <c r="Q34" s="7">
        <f t="shared" si="7"/>
        <v>0.33889524266123772</v>
      </c>
      <c r="R34" s="7">
        <f t="shared" si="0"/>
        <v>5.4503868085475915E-10</v>
      </c>
      <c r="S34" s="7">
        <f t="shared" si="8"/>
        <v>0.33889524359256029</v>
      </c>
      <c r="T34" s="7">
        <f t="shared" si="1"/>
        <v>-4.4578474245327016E-10</v>
      </c>
      <c r="U34" s="7">
        <f t="shared" si="3"/>
        <v>0.338895243126899</v>
      </c>
      <c r="V34" s="7">
        <f t="shared" si="2"/>
        <v>4.9626969200744497E-11</v>
      </c>
      <c r="W34" s="7">
        <f t="shared" si="4"/>
        <v>2.7048617827993542E-20</v>
      </c>
      <c r="X34" s="7">
        <f t="shared" si="5"/>
        <v>-2.2122945683890256E-20</v>
      </c>
      <c r="Y34" s="7">
        <f t="shared" si="6"/>
        <v>9.3132257461547852E-10</v>
      </c>
    </row>
    <row r="36" spans="2:25" x14ac:dyDescent="0.2">
      <c r="B36" s="12" t="s">
        <v>31</v>
      </c>
      <c r="C36" s="12"/>
      <c r="D36" s="12"/>
    </row>
    <row r="37" spans="2:25" x14ac:dyDescent="0.2">
      <c r="B37" t="s">
        <v>32</v>
      </c>
      <c r="C37" s="1">
        <v>30</v>
      </c>
    </row>
  </sheetData>
  <mergeCells count="13">
    <mergeCell ref="B31:D31"/>
    <mergeCell ref="B36:D36"/>
    <mergeCell ref="F3:H3"/>
    <mergeCell ref="F7:H7"/>
    <mergeCell ref="F11:H11"/>
    <mergeCell ref="B19:D19"/>
    <mergeCell ref="B27:D27"/>
    <mergeCell ref="J3:L3"/>
    <mergeCell ref="J15:L15"/>
    <mergeCell ref="B1:D1"/>
    <mergeCell ref="B3:D3"/>
    <mergeCell ref="B11:D11"/>
    <mergeCell ref="B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multirotor</vt:lpstr>
      <vt:lpstr>lift+cruise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HARIANSYAH Muhammad Alfiyandy</dc:creator>
  <cp:lastModifiedBy>HARIANSYAH Muhammad Alfiyandy</cp:lastModifiedBy>
  <dcterms:created xsi:type="dcterms:W3CDTF">2024-06-18T08:10:20Z</dcterms:created>
  <dcterms:modified xsi:type="dcterms:W3CDTF">2024-06-20T07:49:33Z</dcterms:modified>
</cp:coreProperties>
</file>