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27332A39-64DA-E942-9B75-D4B23F29DCBD}" xr6:coauthVersionLast="47" xr6:coauthVersionMax="47" xr10:uidLastSave="{00000000-0000-0000-0000-000000000000}"/>
  <bookViews>
    <workbookView xWindow="0" yWindow="760" windowWidth="30240" windowHeight="17180" xr2:uid="{843CD013-835A-1741-B375-CD508AE79BD2}"/>
  </bookViews>
  <sheets>
    <sheet name="multirotor" sheetId="3" r:id="rId1"/>
    <sheet name="lift+crui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/>
  <c r="G9" i="3"/>
  <c r="G8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AB6" i="1" l="1"/>
  <c r="AD6" i="1"/>
  <c r="AJ6" i="1" l="1"/>
  <c r="AF6" i="1"/>
  <c r="AD7" i="1" s="1"/>
  <c r="AB7" i="1" l="1"/>
  <c r="AF7" i="1" s="1"/>
  <c r="AD8" i="1" l="1"/>
  <c r="AB8" i="1"/>
  <c r="AJ7" i="1"/>
  <c r="AF8" i="1" l="1"/>
  <c r="AJ8" i="1"/>
  <c r="AD9" i="1" l="1"/>
  <c r="AB9" i="1"/>
  <c r="AF9" i="1" l="1"/>
  <c r="AJ9" i="1"/>
  <c r="AB10" i="1" l="1"/>
  <c r="AD10" i="1"/>
  <c r="AJ10" i="1" l="1"/>
  <c r="AF10" i="1"/>
  <c r="AB11" i="1" l="1"/>
  <c r="AD11" i="1"/>
  <c r="AJ11" i="1" l="1"/>
  <c r="AF11" i="1"/>
  <c r="AB12" i="1" l="1"/>
  <c r="AD12" i="1"/>
  <c r="AJ12" i="1" l="1"/>
  <c r="AF12" i="1"/>
  <c r="AB13" i="1" l="1"/>
  <c r="AD13" i="1"/>
  <c r="AF13" i="1" l="1"/>
  <c r="AJ13" i="1"/>
  <c r="AB14" i="1" l="1"/>
  <c r="AD14" i="1"/>
  <c r="AJ14" i="1" l="1"/>
  <c r="AF14" i="1"/>
  <c r="AD15" i="1" l="1"/>
  <c r="AB15" i="1"/>
  <c r="AF15" i="1" l="1"/>
  <c r="AJ15" i="1"/>
  <c r="AD16" i="1" l="1"/>
  <c r="AB16" i="1"/>
  <c r="AF16" i="1" l="1"/>
  <c r="AB17" i="1" s="1"/>
  <c r="AJ16" i="1"/>
  <c r="AD17" i="1" l="1"/>
  <c r="AF17" i="1" s="1"/>
  <c r="AD18" i="1" s="1"/>
  <c r="AJ17" i="1" l="1"/>
  <c r="AB18" i="1"/>
  <c r="AJ18" i="1" s="1"/>
  <c r="AF18" i="1" l="1"/>
  <c r="AD19" i="1" s="1"/>
  <c r="AB19" i="1" l="1"/>
  <c r="AF19" i="1" s="1"/>
  <c r="AJ19" i="1" l="1"/>
  <c r="AB20" i="1"/>
  <c r="AD20" i="1"/>
  <c r="AF20" i="1" l="1"/>
  <c r="AD21" i="1" s="1"/>
  <c r="AJ20" i="1"/>
  <c r="AB21" i="1" l="1"/>
  <c r="AF21" i="1" s="1"/>
  <c r="AB22" i="1" s="1"/>
  <c r="AD22" i="1" l="1"/>
  <c r="AF22" i="1" s="1"/>
  <c r="AD23" i="1" s="1"/>
  <c r="AJ21" i="1"/>
  <c r="AB23" i="1" l="1"/>
  <c r="AF23" i="1" s="1"/>
  <c r="AD24" i="1" s="1"/>
  <c r="AJ22" i="1"/>
  <c r="AJ23" i="1" l="1"/>
  <c r="AB24" i="1"/>
  <c r="AJ24" i="1" s="1"/>
  <c r="AF24" i="1" l="1"/>
  <c r="AD25" i="1" s="1"/>
  <c r="AB25" i="1" l="1"/>
  <c r="AF25" i="1" s="1"/>
  <c r="AB26" i="1" s="1"/>
  <c r="AD26" i="1" l="1"/>
  <c r="AF26" i="1" s="1"/>
  <c r="AB27" i="1" s="1"/>
  <c r="AJ25" i="1"/>
  <c r="AD27" i="1" l="1"/>
  <c r="AF27" i="1" s="1"/>
  <c r="AD28" i="1" s="1"/>
  <c r="AJ26" i="1"/>
  <c r="AJ27" i="1" l="1"/>
  <c r="AB28" i="1"/>
  <c r="AJ28" i="1" s="1"/>
  <c r="AF28" i="1" l="1"/>
  <c r="AB29" i="1" s="1"/>
  <c r="AD29" i="1" l="1"/>
  <c r="AF29" i="1" s="1"/>
  <c r="AJ29" i="1" l="1"/>
  <c r="AB30" i="1"/>
  <c r="AD30" i="1"/>
  <c r="AJ30" i="1" l="1"/>
  <c r="AF30" i="1"/>
  <c r="AD31" i="1" l="1"/>
  <c r="AB31" i="1"/>
  <c r="AF31" i="1" l="1"/>
  <c r="AD32" i="1" s="1"/>
  <c r="AJ31" i="1"/>
  <c r="AB32" i="1" l="1"/>
  <c r="AF32" i="1" s="1"/>
  <c r="AB33" i="1" s="1"/>
  <c r="AD33" i="1" l="1"/>
  <c r="AF33" i="1" s="1"/>
  <c r="AB34" i="1" s="1"/>
  <c r="AJ32" i="1"/>
  <c r="AJ33" i="1" l="1"/>
  <c r="AD34" i="1"/>
  <c r="AF34" i="1" s="1"/>
  <c r="AJ34" i="1" l="1"/>
  <c r="AB35" i="1"/>
  <c r="AD35" i="1"/>
  <c r="AF35" i="1" l="1"/>
  <c r="AJ35" i="1"/>
  <c r="AB36" i="1" l="1"/>
  <c r="AD36" i="1"/>
  <c r="AF36" i="1" l="1"/>
  <c r="AJ36" i="1"/>
  <c r="AB37" i="1" l="1"/>
  <c r="AD37" i="1"/>
  <c r="G13" i="1"/>
  <c r="Y4" i="1"/>
  <c r="U4" i="1"/>
  <c r="K19" i="1"/>
  <c r="K17" i="1"/>
  <c r="K9" i="1"/>
  <c r="K5" i="1"/>
  <c r="AF37" i="1" l="1"/>
  <c r="AJ37" i="1"/>
  <c r="K20" i="1"/>
  <c r="K23" i="1" s="1"/>
  <c r="AD38" i="1" l="1"/>
  <c r="AB38" i="1"/>
  <c r="AF38" i="1" l="1"/>
  <c r="AB39" i="1" s="1"/>
  <c r="AJ38" i="1"/>
  <c r="AD39" i="1" l="1"/>
  <c r="AF39" i="1" s="1"/>
  <c r="K5" i="3" l="1"/>
  <c r="AJ39" i="1"/>
  <c r="AB40" i="1"/>
  <c r="AD40" i="1"/>
  <c r="K6" i="3" l="1"/>
  <c r="K7" i="3"/>
  <c r="K8" i="3" s="1"/>
  <c r="G5" i="3"/>
  <c r="G34" i="3"/>
  <c r="G25" i="3"/>
  <c r="G22" i="3"/>
  <c r="G21" i="3"/>
  <c r="G20" i="3"/>
  <c r="G26" i="3"/>
  <c r="G28" i="3"/>
  <c r="G4" i="3"/>
  <c r="G27" i="3"/>
  <c r="AJ40" i="1"/>
  <c r="AF40" i="1"/>
  <c r="K12" i="3" l="1"/>
  <c r="K18" i="3" s="1"/>
  <c r="G37" i="3"/>
  <c r="G38" i="3"/>
  <c r="AD41" i="1"/>
  <c r="AB41" i="1"/>
  <c r="K13" i="3" l="1"/>
  <c r="AF41" i="1"/>
  <c r="AB42" i="1" s="1"/>
  <c r="AJ41" i="1"/>
  <c r="K17" i="3" l="1"/>
  <c r="AD42" i="1"/>
  <c r="AJ42" i="1" s="1"/>
  <c r="K19" i="3" l="1"/>
  <c r="AF42" i="1"/>
  <c r="AD43" i="1" s="1"/>
  <c r="K20" i="3" l="1"/>
  <c r="T4" i="3" s="1"/>
  <c r="K22" i="3"/>
  <c r="AB43" i="1"/>
  <c r="AJ43" i="1" s="1"/>
  <c r="R4" i="3" l="1"/>
  <c r="V4" i="3"/>
  <c r="K25" i="3"/>
  <c r="K27" i="3" s="1"/>
  <c r="X4" i="3"/>
  <c r="S5" i="3" s="1"/>
  <c r="T5" i="3" s="1"/>
  <c r="AF43" i="1"/>
  <c r="AB44" i="1" s="1"/>
  <c r="W4" i="3" l="1"/>
  <c r="Q5" i="3" s="1"/>
  <c r="R5" i="3" s="1"/>
  <c r="Y5" i="3"/>
  <c r="AD44" i="1"/>
  <c r="AJ44" i="1" s="1"/>
  <c r="U5" i="3" l="1"/>
  <c r="V5" i="3"/>
  <c r="X5" i="3" s="1"/>
  <c r="S6" i="3" s="1"/>
  <c r="T6" i="3" s="1"/>
  <c r="AF44" i="1"/>
  <c r="W5" i="3" l="1"/>
  <c r="Q6" i="3" s="1"/>
  <c r="C20" i="1"/>
  <c r="G5" i="1" s="1"/>
  <c r="G21" i="1"/>
  <c r="K6" i="1"/>
  <c r="K7" i="1" s="1"/>
  <c r="K8" i="1" s="1"/>
  <c r="K4" i="1"/>
  <c r="K10" i="1" s="1"/>
  <c r="G22" i="1"/>
  <c r="G26" i="1"/>
  <c r="G27" i="1"/>
  <c r="G28" i="1"/>
  <c r="R6" i="3" l="1"/>
  <c r="U6" i="3"/>
  <c r="V6" i="3" s="1"/>
  <c r="Y6" i="3"/>
  <c r="G34" i="1"/>
  <c r="G25" i="1"/>
  <c r="G38" i="1" s="1"/>
  <c r="G20" i="1"/>
  <c r="G37" i="1" s="1"/>
  <c r="K11" i="1"/>
  <c r="K12" i="1" s="1"/>
  <c r="K18" i="1" s="1"/>
  <c r="K21" i="1" s="1"/>
  <c r="W6" i="3" l="1"/>
  <c r="Q7" i="3" s="1"/>
  <c r="R7" i="3" s="1"/>
  <c r="X6" i="3"/>
  <c r="S7" i="3" s="1"/>
  <c r="K26" i="1"/>
  <c r="K28" i="1" s="1"/>
  <c r="T4" i="1"/>
  <c r="R4" i="1"/>
  <c r="V4" i="1"/>
  <c r="Y7" i="3" l="1"/>
  <c r="U7" i="3"/>
  <c r="V7" i="3" s="1"/>
  <c r="W7" i="3" s="1"/>
  <c r="Q8" i="3" s="1"/>
  <c r="R8" i="3" s="1"/>
  <c r="T7" i="3"/>
  <c r="X7" i="3" s="1"/>
  <c r="S8" i="3" s="1"/>
  <c r="X4" i="1"/>
  <c r="S5" i="1" s="1"/>
  <c r="T5" i="1" s="1"/>
  <c r="W4" i="1"/>
  <c r="Q5" i="1" s="1"/>
  <c r="T8" i="3" l="1"/>
  <c r="Y8" i="3"/>
  <c r="U8" i="3"/>
  <c r="R5" i="1"/>
  <c r="U5" i="1"/>
  <c r="V5" i="1" s="1"/>
  <c r="Y5" i="1"/>
  <c r="V8" i="3" l="1"/>
  <c r="W8" i="3" s="1"/>
  <c r="Q9" i="3" s="1"/>
  <c r="W5" i="1"/>
  <c r="Q6" i="1" s="1"/>
  <c r="R6" i="1" s="1"/>
  <c r="X5" i="1"/>
  <c r="S6" i="1" s="1"/>
  <c r="T6" i="1" s="1"/>
  <c r="R9" i="3" l="1"/>
  <c r="X8" i="3"/>
  <c r="S9" i="3" s="1"/>
  <c r="U6" i="1"/>
  <c r="V6" i="1" s="1"/>
  <c r="W6" i="1" s="1"/>
  <c r="Q7" i="1" s="1"/>
  <c r="Y6" i="1"/>
  <c r="T9" i="3" l="1"/>
  <c r="Y9" i="3"/>
  <c r="U9" i="3"/>
  <c r="X6" i="1"/>
  <c r="S7" i="1" s="1"/>
  <c r="T7" i="1" s="1"/>
  <c r="R7" i="1"/>
  <c r="V9" i="3" l="1"/>
  <c r="W9" i="3" s="1"/>
  <c r="Q10" i="3" s="1"/>
  <c r="U7" i="1"/>
  <c r="V7" i="1" s="1"/>
  <c r="W7" i="1" s="1"/>
  <c r="Q8" i="1" s="1"/>
  <c r="Y7" i="1"/>
  <c r="R10" i="3" l="1"/>
  <c r="X9" i="3"/>
  <c r="S10" i="3" s="1"/>
  <c r="X7" i="1"/>
  <c r="S8" i="1" s="1"/>
  <c r="T8" i="1" s="1"/>
  <c r="R8" i="1"/>
  <c r="T10" i="3" l="1"/>
  <c r="Y10" i="3"/>
  <c r="U10" i="3"/>
  <c r="Y8" i="1"/>
  <c r="U8" i="1"/>
  <c r="V8" i="1" s="1"/>
  <c r="X8" i="1" s="1"/>
  <c r="S9" i="1" s="1"/>
  <c r="T9" i="1" s="1"/>
  <c r="V10" i="3" l="1"/>
  <c r="W10" i="3" s="1"/>
  <c r="Q11" i="3" s="1"/>
  <c r="W8" i="1"/>
  <c r="Q9" i="1" s="1"/>
  <c r="R9" i="1" s="1"/>
  <c r="R11" i="3" l="1"/>
  <c r="X10" i="3"/>
  <c r="S11" i="3" s="1"/>
  <c r="Y9" i="1"/>
  <c r="U9" i="1"/>
  <c r="V9" i="1" s="1"/>
  <c r="T11" i="3" l="1"/>
  <c r="Y11" i="3"/>
  <c r="U11" i="3"/>
  <c r="W9" i="1"/>
  <c r="Q10" i="1" s="1"/>
  <c r="R10" i="1" s="1"/>
  <c r="X9" i="1"/>
  <c r="S10" i="1" s="1"/>
  <c r="V11" i="3" l="1"/>
  <c r="W11" i="3" s="1"/>
  <c r="Q12" i="3" s="1"/>
  <c r="U10" i="1"/>
  <c r="V10" i="1" s="1"/>
  <c r="W10" i="1" s="1"/>
  <c r="Q11" i="1" s="1"/>
  <c r="T10" i="1"/>
  <c r="Y10" i="1"/>
  <c r="R12" i="3" l="1"/>
  <c r="X11" i="3"/>
  <c r="S12" i="3" s="1"/>
  <c r="R11" i="1"/>
  <c r="X10" i="1"/>
  <c r="S11" i="1" s="1"/>
  <c r="T12" i="3" l="1"/>
  <c r="Y12" i="3"/>
  <c r="U12" i="3"/>
  <c r="T11" i="1"/>
  <c r="Y11" i="1"/>
  <c r="U11" i="1"/>
  <c r="V11" i="1" s="1"/>
  <c r="W11" i="1" s="1"/>
  <c r="Q12" i="1" s="1"/>
  <c r="V12" i="3" l="1"/>
  <c r="W12" i="3" s="1"/>
  <c r="Q13" i="3" s="1"/>
  <c r="R12" i="1"/>
  <c r="X11" i="1"/>
  <c r="S12" i="1" s="1"/>
  <c r="T12" i="1" s="1"/>
  <c r="R13" i="3" l="1"/>
  <c r="X12" i="3"/>
  <c r="S13" i="3" s="1"/>
  <c r="U12" i="1"/>
  <c r="V12" i="1" s="1"/>
  <c r="X12" i="1" s="1"/>
  <c r="S13" i="1" s="1"/>
  <c r="Y12" i="1"/>
  <c r="T13" i="3" l="1"/>
  <c r="Y13" i="3"/>
  <c r="U13" i="3"/>
  <c r="T13" i="1"/>
  <c r="W12" i="1"/>
  <c r="Q13" i="1" s="1"/>
  <c r="Y13" i="1" s="1"/>
  <c r="V13" i="3" l="1"/>
  <c r="X13" i="3" s="1"/>
  <c r="S14" i="3" s="1"/>
  <c r="R13" i="1"/>
  <c r="U13" i="1"/>
  <c r="V13" i="1" s="1"/>
  <c r="X13" i="1" s="1"/>
  <c r="S14" i="1" s="1"/>
  <c r="W13" i="3" l="1"/>
  <c r="Q14" i="3" s="1"/>
  <c r="Y14" i="3" s="1"/>
  <c r="T14" i="3"/>
  <c r="T14" i="1"/>
  <c r="W13" i="1"/>
  <c r="Q14" i="1" s="1"/>
  <c r="U14" i="3" l="1"/>
  <c r="V14" i="3" s="1"/>
  <c r="R14" i="3"/>
  <c r="U14" i="1"/>
  <c r="V14" i="1" s="1"/>
  <c r="X14" i="1" s="1"/>
  <c r="S15" i="1" s="1"/>
  <c r="R14" i="1"/>
  <c r="Y14" i="1"/>
  <c r="W14" i="3" l="1"/>
  <c r="Q15" i="3" s="1"/>
  <c r="R15" i="3"/>
  <c r="X14" i="3"/>
  <c r="S15" i="3" s="1"/>
  <c r="W14" i="1"/>
  <c r="Q15" i="1" s="1"/>
  <c r="Y15" i="1" s="1"/>
  <c r="T15" i="1"/>
  <c r="T15" i="3" l="1"/>
  <c r="Y15" i="3"/>
  <c r="U15" i="3"/>
  <c r="U15" i="1"/>
  <c r="V15" i="1" s="1"/>
  <c r="X15" i="1" s="1"/>
  <c r="S16" i="1" s="1"/>
  <c r="R15" i="1"/>
  <c r="V15" i="3" l="1"/>
  <c r="W15" i="3" s="1"/>
  <c r="Q16" i="3" s="1"/>
  <c r="T16" i="1"/>
  <c r="W15" i="1"/>
  <c r="Q16" i="1" s="1"/>
  <c r="R16" i="3" l="1"/>
  <c r="X15" i="3"/>
  <c r="S16" i="3" s="1"/>
  <c r="R16" i="1"/>
  <c r="U16" i="1"/>
  <c r="V16" i="1" s="1"/>
  <c r="X16" i="1" s="1"/>
  <c r="S17" i="1" s="1"/>
  <c r="Y16" i="1"/>
  <c r="T16" i="3" l="1"/>
  <c r="Y16" i="3"/>
  <c r="U16" i="3"/>
  <c r="T17" i="1"/>
  <c r="W16" i="1"/>
  <c r="Q17" i="1" s="1"/>
  <c r="V16" i="3" l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8" i="3"/>
  <c r="Y18" i="3"/>
  <c r="T19" i="1"/>
  <c r="X19" i="1" s="1"/>
  <c r="S20" i="1" s="1"/>
  <c r="T20" i="1" s="1"/>
  <c r="Y19" i="1"/>
  <c r="W19" i="1"/>
  <c r="Q20" i="1" s="1"/>
  <c r="V18" i="3" l="1"/>
  <c r="X18" i="3" s="1"/>
  <c r="S19" i="3" s="1"/>
  <c r="R20" i="1"/>
  <c r="U20" i="1"/>
  <c r="V20" i="1" s="1"/>
  <c r="Y20" i="1"/>
  <c r="T19" i="3" l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R20" i="3"/>
  <c r="V20" i="3"/>
  <c r="W20" i="3" s="1"/>
  <c r="Q21" i="3" s="1"/>
  <c r="X22" i="1"/>
  <c r="S23" i="1" s="1"/>
  <c r="Y23" i="1" s="1"/>
  <c r="X20" i="3" l="1"/>
  <c r="S21" i="3" s="1"/>
  <c r="T21" i="3" s="1"/>
  <c r="R21" i="3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G9" i="1" s="1"/>
  <c r="V34" i="1"/>
  <c r="V29" i="3" l="1"/>
  <c r="X29" i="3" s="1"/>
  <c r="S30" i="3" s="1"/>
  <c r="W34" i="1"/>
  <c r="X34" i="1"/>
  <c r="G12" i="1"/>
  <c r="G17" i="1" s="1"/>
  <c r="G19" i="1"/>
  <c r="G18" i="1"/>
  <c r="T30" i="3" l="1"/>
  <c r="W29" i="3"/>
  <c r="Q30" i="3" s="1"/>
  <c r="G36" i="1"/>
  <c r="G35" i="1"/>
  <c r="G29" i="1"/>
  <c r="R30" i="3" l="1"/>
  <c r="U30" i="3"/>
  <c r="Y30" i="3"/>
  <c r="G39" i="1"/>
  <c r="AG4" i="1"/>
  <c r="AE4" i="1"/>
  <c r="AC4" i="1"/>
  <c r="G30" i="1"/>
  <c r="V30" i="3" l="1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Y34" i="3"/>
  <c r="V34" i="3" l="1"/>
  <c r="X34" i="3" s="1"/>
  <c r="W34" i="3" l="1"/>
  <c r="G12" i="3" l="1"/>
  <c r="G19" i="3"/>
  <c r="G18" i="3"/>
  <c r="G36" i="3" s="1"/>
  <c r="G35" i="3" l="1"/>
  <c r="G39" i="3" s="1"/>
  <c r="G29" i="3"/>
  <c r="G30" i="3" l="1"/>
</calcChain>
</file>

<file path=xl/sharedStrings.xml><?xml version="1.0" encoding="utf-8"?>
<sst xmlns="http://schemas.openxmlformats.org/spreadsheetml/2006/main" count="298" uniqueCount="117">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</sst>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26.67</c:v>
                </c:pt>
                <c:pt idx="1">
                  <c:v>10.61</c:v>
                </c:pt>
                <c:pt idx="2">
                  <c:v>0</c:v>
                </c:pt>
                <c:pt idx="3">
                  <c:v>0</c:v>
                </c:pt>
                <c:pt idx="4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'lift+cruise'!$G$34:$G$38</c:f>
              <c:numCache>
                <c:formatCode>General</c:formatCode>
                <c:ptCount val="5"/>
                <c:pt idx="0">
                  <c:v>22.74</c:v>
                </c:pt>
                <c:pt idx="1">
                  <c:v>35.69</c:v>
                </c:pt>
                <c:pt idx="2">
                  <c:v>13.12</c:v>
                </c:pt>
                <c:pt idx="3">
                  <c:v>22.51</c:v>
                </c:pt>
                <c:pt idx="4">
                  <c:v>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31</xdr:row>
      <xdr:rowOff>127000</xdr:rowOff>
    </xdr:from>
    <xdr:to>
      <xdr:col>3</xdr:col>
      <xdr:colOff>508000</xdr:colOff>
      <xdr:row>43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tabSelected="1" topLeftCell="B1" workbookViewId="0">
      <selection activeCell="G17" sqref="G1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2" t="s">
        <v>0</v>
      </c>
      <c r="C1" s="22"/>
      <c r="D1" s="22"/>
    </row>
    <row r="2" spans="2:36" x14ac:dyDescent="0.2">
      <c r="P2" s="6" t="s">
        <v>75</v>
      </c>
      <c r="AA2" s="6" t="s">
        <v>106</v>
      </c>
    </row>
    <row r="3" spans="2:36" x14ac:dyDescent="0.2">
      <c r="B3" s="20" t="s">
        <v>111</v>
      </c>
      <c r="C3" s="23"/>
      <c r="D3" s="23"/>
      <c r="F3" s="20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270203.45112999814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0.11191653902306264</v>
      </c>
      <c r="S4" s="9">
        <v>1</v>
      </c>
      <c r="T4" s="8">
        <f xml:space="preserve"> $C$18 * TAN($K$17) + $K$20 / (2 * SQRT($C$18^2 + S4^2)) - S4</f>
        <v>-0.93476532814706514</v>
      </c>
      <c r="U4" s="8">
        <f xml:space="preserve"> (Q4 + S4)/2</f>
        <v>0.5</v>
      </c>
      <c r="V4" s="8">
        <f xml:space="preserve"> $C$18 * TAN($K$17) + $K$20 / (2 * SQRT($C$18^2 + U4^2)) - U4</f>
        <v>-0.41988613748155523</v>
      </c>
      <c r="W4" s="8">
        <f>R4*V4</f>
        <v>-4.6992203290697525E-2</v>
      </c>
      <c r="X4" s="8">
        <f>T4*V4</f>
        <v>0.39249500308734969</v>
      </c>
      <c r="Y4" s="8">
        <f>S4-Q4</f>
        <v>1</v>
      </c>
      <c r="AA4" s="8">
        <v>0</v>
      </c>
      <c r="AB4" s="8"/>
      <c r="AC4" s="8"/>
      <c r="AD4" s="8"/>
      <c r="AE4" s="8"/>
      <c r="AF4" s="8"/>
      <c r="AG4" s="8"/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2102.1428571428573</v>
      </c>
      <c r="H5" t="s">
        <v>37</v>
      </c>
      <c r="J5" t="s">
        <v>67</v>
      </c>
      <c r="K5">
        <f xml:space="preserve"> 0.0327 * ($C$15*2.20462)^0.8903 * 0.3048^2</f>
        <v>4.1297309384395309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0.11191653902306264</v>
      </c>
      <c r="S5" s="8">
        <f>IF(X4&gt;0, U4, S4)</f>
        <v>0.5</v>
      </c>
      <c r="T5" s="8">
        <f t="shared" ref="T5:T34" si="1" xml:space="preserve"> $C$18 * TAN($K$17) + $K$20 / (2 * SQRT($C$18^2 + S5^2)) - S5</f>
        <v>-0.41988613748155523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-0.15326599284565431</v>
      </c>
      <c r="W5" s="8">
        <f t="shared" ref="W5:W34" si="4">R5*V5</f>
        <v>-1.715299946921911E-2</v>
      </c>
      <c r="X5" s="8">
        <f t="shared" ref="X5:X34" si="5">T5*V5</f>
        <v>6.4354265743237465E-2</v>
      </c>
      <c r="Y5" s="8">
        <f t="shared" ref="Y5:Y34" si="6">S5-Q5</f>
        <v>0.5</v>
      </c>
      <c r="AA5" s="8">
        <v>1</v>
      </c>
      <c r="AB5" s="9"/>
      <c r="AC5" s="8"/>
      <c r="AD5" s="9"/>
      <c r="AE5" s="8"/>
      <c r="AF5" s="8"/>
      <c r="AG5" s="8"/>
      <c r="AH5" s="8"/>
      <c r="AI5" s="8"/>
      <c r="AJ5" s="8"/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0.13041013739924268</v>
      </c>
      <c r="P6" s="8">
        <v>2</v>
      </c>
      <c r="Q6" s="8">
        <f t="shared" ref="Q6:Q34" si="7">IF(W5&gt;0, U5, Q5)</f>
        <v>0</v>
      </c>
      <c r="R6" s="8">
        <f t="shared" si="0"/>
        <v>0.11191653902306264</v>
      </c>
      <c r="S6" s="8">
        <f t="shared" ref="S6:S34" si="8">IF(X5&gt;0, U5, S5)</f>
        <v>0.25</v>
      </c>
      <c r="T6" s="8">
        <f t="shared" si="1"/>
        <v>-0.15326599284565431</v>
      </c>
      <c r="U6" s="8">
        <f t="shared" si="2"/>
        <v>0.125</v>
      </c>
      <c r="V6" s="8">
        <f t="shared" si="3"/>
        <v>-1.8122262920427429E-2</v>
      </c>
      <c r="W6" s="8">
        <f t="shared" si="4"/>
        <v>-2.0281809453202176E-3</v>
      </c>
      <c r="X6" s="8">
        <f t="shared" si="5"/>
        <v>2.7775266191092966E-3</v>
      </c>
      <c r="Y6" s="8">
        <f t="shared" si="6"/>
        <v>0.25</v>
      </c>
      <c r="AA6" s="8">
        <v>2</v>
      </c>
      <c r="AB6" s="8"/>
      <c r="AC6" s="8"/>
      <c r="AD6" s="8"/>
      <c r="AE6" s="8"/>
      <c r="AF6" s="8"/>
      <c r="AG6" s="8"/>
      <c r="AH6" s="8"/>
      <c r="AI6" s="8"/>
      <c r="AJ6" s="8"/>
    </row>
    <row r="7" spans="2:36" x14ac:dyDescent="0.2">
      <c r="B7" t="s">
        <v>4</v>
      </c>
      <c r="C7" s="1">
        <v>0.75</v>
      </c>
      <c r="F7" s="20" t="s">
        <v>38</v>
      </c>
      <c r="G7" s="23"/>
      <c r="H7" s="23"/>
      <c r="J7" t="s">
        <v>69</v>
      </c>
      <c r="K7">
        <f xml:space="preserve"> K4 * K5</f>
        <v>2276.5141798147915</v>
      </c>
      <c r="L7" t="s">
        <v>37</v>
      </c>
      <c r="P7" s="8">
        <v>3</v>
      </c>
      <c r="Q7" s="8">
        <f t="shared" si="7"/>
        <v>0</v>
      </c>
      <c r="R7" s="8">
        <f t="shared" si="0"/>
        <v>0.11191653902306264</v>
      </c>
      <c r="S7" s="8">
        <f t="shared" si="8"/>
        <v>0.125</v>
      </c>
      <c r="T7" s="8">
        <f t="shared" si="1"/>
        <v>-1.8122262920427429E-2</v>
      </c>
      <c r="U7" s="8">
        <f t="shared" si="2"/>
        <v>6.25E-2</v>
      </c>
      <c r="V7" s="8">
        <f t="shared" si="3"/>
        <v>4.8039663498655127E-2</v>
      </c>
      <c r="W7" s="8">
        <f t="shared" si="4"/>
        <v>5.3764328746020345E-3</v>
      </c>
      <c r="X7" s="8">
        <f t="shared" si="5"/>
        <v>-8.7058741253148882E-4</v>
      </c>
      <c r="Y7" s="8">
        <f t="shared" si="6"/>
        <v>0.125</v>
      </c>
      <c r="AA7" s="8">
        <v>3</v>
      </c>
      <c r="AB7" s="8"/>
      <c r="AC7" s="8"/>
      <c r="AD7" s="8"/>
      <c r="AE7" s="8"/>
      <c r="AF7" s="8"/>
      <c r="AG7" s="8"/>
      <c r="AH7" s="8"/>
      <c r="AI7" s="8"/>
      <c r="AJ7" s="8"/>
    </row>
    <row r="8" spans="2:36" x14ac:dyDescent="0.2">
      <c r="F8" s="4" t="s">
        <v>39</v>
      </c>
      <c r="G8">
        <f xml:space="preserve"> K22 + K18 * (K24 * K27 + $C$17 * SIN(K17))</f>
        <v>27867.298973721139</v>
      </c>
      <c r="H8" t="s">
        <v>35</v>
      </c>
      <c r="J8" t="s">
        <v>72</v>
      </c>
      <c r="K8">
        <f xml:space="preserve"> K7</f>
        <v>2276.5141798147915</v>
      </c>
      <c r="L8" t="s">
        <v>37</v>
      </c>
      <c r="P8" s="8">
        <v>4</v>
      </c>
      <c r="Q8" s="8">
        <f t="shared" si="7"/>
        <v>6.25E-2</v>
      </c>
      <c r="R8" s="8">
        <f t="shared" si="0"/>
        <v>4.8039663498655127E-2</v>
      </c>
      <c r="S8" s="8">
        <f t="shared" si="8"/>
        <v>0.125</v>
      </c>
      <c r="T8" s="8">
        <f t="shared" si="1"/>
        <v>-1.8122262920427429E-2</v>
      </c>
      <c r="U8" s="8">
        <f t="shared" si="2"/>
        <v>9.375E-2</v>
      </c>
      <c r="V8" s="8">
        <f t="shared" si="3"/>
        <v>1.5184776146180218E-2</v>
      </c>
      <c r="W8" s="8">
        <f t="shared" si="4"/>
        <v>7.2947153636490289E-4</v>
      </c>
      <c r="X8" s="8">
        <f t="shared" si="5"/>
        <v>-2.7518250570891269E-4</v>
      </c>
      <c r="Y8" s="8">
        <f t="shared" si="6"/>
        <v>6.25E-2</v>
      </c>
      <c r="AA8" s="8">
        <v>4</v>
      </c>
      <c r="AB8" s="8"/>
      <c r="AC8" s="8"/>
      <c r="AD8" s="8"/>
      <c r="AE8" s="8"/>
      <c r="AF8" s="8"/>
      <c r="AG8" s="8"/>
      <c r="AH8" s="8"/>
      <c r="AI8" s="8"/>
      <c r="AJ8" s="8"/>
    </row>
    <row r="9" spans="2:36" x14ac:dyDescent="0.2">
      <c r="B9" s="20" t="s">
        <v>8</v>
      </c>
      <c r="C9" s="23"/>
      <c r="D9" s="23"/>
      <c r="F9" s="4" t="s">
        <v>40</v>
      </c>
      <c r="G9">
        <f>$C$5 * G8</f>
        <v>195071.09281604798</v>
      </c>
      <c r="H9" t="s">
        <v>35</v>
      </c>
      <c r="P9" s="8">
        <v>5</v>
      </c>
      <c r="Q9" s="8">
        <f t="shared" si="7"/>
        <v>9.375E-2</v>
      </c>
      <c r="R9" s="8">
        <f t="shared" si="0"/>
        <v>1.5184776146180218E-2</v>
      </c>
      <c r="S9" s="8">
        <f t="shared" si="8"/>
        <v>0.125</v>
      </c>
      <c r="T9" s="8">
        <f t="shared" si="1"/>
        <v>-1.8122262920427429E-2</v>
      </c>
      <c r="U9" s="8">
        <f t="shared" si="2"/>
        <v>0.109375</v>
      </c>
      <c r="V9" s="8">
        <f t="shared" si="3"/>
        <v>-1.4209968066048739E-3</v>
      </c>
      <c r="W9" s="8">
        <f t="shared" si="4"/>
        <v>-2.1577518412731952E-5</v>
      </c>
      <c r="X9" s="8">
        <f t="shared" si="5"/>
        <v>2.5751677738381293E-5</v>
      </c>
      <c r="Y9" s="8">
        <f t="shared" si="6"/>
        <v>3.125E-2</v>
      </c>
      <c r="AA9" s="8">
        <v>5</v>
      </c>
      <c r="AB9" s="8"/>
      <c r="AC9" s="8"/>
      <c r="AD9" s="8"/>
      <c r="AE9" s="8"/>
      <c r="AF9" s="8"/>
      <c r="AG9" s="8"/>
      <c r="AH9" s="8"/>
      <c r="AI9" s="8"/>
      <c r="AJ9" s="8"/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9.375E-2</v>
      </c>
      <c r="R10" s="8">
        <f t="shared" si="0"/>
        <v>1.5184776146180218E-2</v>
      </c>
      <c r="S10" s="8">
        <f t="shared" si="8"/>
        <v>0.109375</v>
      </c>
      <c r="T10" s="8">
        <f t="shared" si="1"/>
        <v>-1.4209968066048739E-3</v>
      </c>
      <c r="U10" s="8">
        <f t="shared" si="2"/>
        <v>0.1015625</v>
      </c>
      <c r="V10" s="8">
        <f t="shared" si="3"/>
        <v>6.8949415474898468E-3</v>
      </c>
      <c r="W10" s="8">
        <f t="shared" si="4"/>
        <v>1.0469814393963074E-4</v>
      </c>
      <c r="X10" s="8">
        <f t="shared" si="5"/>
        <v>-9.7976899207103406E-6</v>
      </c>
      <c r="Y10" s="8">
        <f t="shared" si="6"/>
        <v>1.5625E-2</v>
      </c>
      <c r="AA10" s="8">
        <v>6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2:36" x14ac:dyDescent="0.2">
      <c r="B11" t="s">
        <v>11</v>
      </c>
      <c r="C11" s="1">
        <v>0.85</v>
      </c>
      <c r="F11" s="20" t="s">
        <v>41</v>
      </c>
      <c r="G11" s="23"/>
      <c r="H11" s="23"/>
      <c r="J11" s="20" t="s">
        <v>114</v>
      </c>
      <c r="K11" s="21"/>
      <c r="L11" s="21"/>
      <c r="P11" s="8">
        <v>7</v>
      </c>
      <c r="Q11" s="8">
        <f t="shared" si="7"/>
        <v>0.1015625</v>
      </c>
      <c r="R11" s="8">
        <f t="shared" si="0"/>
        <v>6.8949415474898468E-3</v>
      </c>
      <c r="S11" s="8">
        <f t="shared" si="8"/>
        <v>0.109375</v>
      </c>
      <c r="T11" s="8">
        <f t="shared" si="1"/>
        <v>-1.4209968066048739E-3</v>
      </c>
      <c r="U11" s="8">
        <f t="shared" si="2"/>
        <v>0.10546875</v>
      </c>
      <c r="V11" s="8">
        <f t="shared" si="3"/>
        <v>2.740096100800643E-3</v>
      </c>
      <c r="W11" s="8">
        <f t="shared" si="4"/>
        <v>1.889280244952528E-5</v>
      </c>
      <c r="X11" s="8">
        <f t="shared" si="5"/>
        <v>-3.8936678090281809E-6</v>
      </c>
      <c r="Y11" s="8">
        <f t="shared" si="6"/>
        <v>7.8125E-3</v>
      </c>
      <c r="AA11" s="8">
        <v>7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27044.632520520616</v>
      </c>
      <c r="H12" t="s">
        <v>43</v>
      </c>
      <c r="J12" t="s">
        <v>115</v>
      </c>
      <c r="K12">
        <f xml:space="preserve"> SQRT( ($C$15*$C$27)^2 + K8^2)</f>
        <v>14890.055131224257</v>
      </c>
      <c r="L12" t="s">
        <v>37</v>
      </c>
      <c r="P12" s="8">
        <v>8</v>
      </c>
      <c r="Q12" s="8">
        <f t="shared" si="7"/>
        <v>0.10546875</v>
      </c>
      <c r="R12" s="8">
        <f t="shared" si="0"/>
        <v>2.740096100800643E-3</v>
      </c>
      <c r="S12" s="8">
        <f t="shared" si="8"/>
        <v>0.109375</v>
      </c>
      <c r="T12" s="8">
        <f t="shared" si="1"/>
        <v>-1.4209968066048739E-3</v>
      </c>
      <c r="U12" s="8">
        <f t="shared" si="2"/>
        <v>0.107421875</v>
      </c>
      <c r="V12" s="8">
        <f t="shared" si="3"/>
        <v>6.6031312689410204E-4</v>
      </c>
      <c r="W12" s="8">
        <f t="shared" si="4"/>
        <v>1.8093214243100092E-6</v>
      </c>
      <c r="X12" s="8">
        <f t="shared" si="5"/>
        <v>-9.3830284467579785E-7</v>
      </c>
      <c r="Y12" s="8">
        <f t="shared" si="6"/>
        <v>3.90625E-3</v>
      </c>
      <c r="AA12" s="8">
        <v>8</v>
      </c>
      <c r="AB12" s="8"/>
      <c r="AC12" s="8"/>
      <c r="AD12" s="8"/>
      <c r="AE12" s="8"/>
      <c r="AF12" s="8"/>
      <c r="AG12" s="8"/>
      <c r="AH12" s="8"/>
      <c r="AI12" s="8"/>
      <c r="AJ12" s="8"/>
    </row>
    <row r="13" spans="2:36" x14ac:dyDescent="0.2">
      <c r="F13" t="s">
        <v>44</v>
      </c>
      <c r="G13">
        <f xml:space="preserve"> $C$22 / $C$17</f>
        <v>166.66666666666666</v>
      </c>
      <c r="H13" t="s">
        <v>26</v>
      </c>
      <c r="J13" t="s">
        <v>116</v>
      </c>
      <c r="K13">
        <f>$C$15*$C$27/K12</f>
        <v>0.98824348669756312</v>
      </c>
      <c r="P13" s="8">
        <v>9</v>
      </c>
      <c r="Q13" s="8">
        <f t="shared" si="7"/>
        <v>0.107421875</v>
      </c>
      <c r="R13" s="8">
        <f t="shared" si="0"/>
        <v>6.6031312689410204E-4</v>
      </c>
      <c r="S13" s="8">
        <f t="shared" si="8"/>
        <v>0.109375</v>
      </c>
      <c r="T13" s="8">
        <f t="shared" si="1"/>
        <v>-1.4209968066048739E-3</v>
      </c>
      <c r="U13" s="8">
        <f t="shared" si="2"/>
        <v>0.1083984375</v>
      </c>
      <c r="V13" s="8">
        <f t="shared" si="3"/>
        <v>-3.801531527020674E-4</v>
      </c>
      <c r="W13" s="8">
        <f t="shared" si="4"/>
        <v>-2.510201169593532E-7</v>
      </c>
      <c r="X13" s="8">
        <f t="shared" si="5"/>
        <v>5.4019641601041274E-7</v>
      </c>
      <c r="Y13" s="8">
        <f t="shared" si="6"/>
        <v>1.953125E-3</v>
      </c>
      <c r="AA13" s="8">
        <v>9</v>
      </c>
      <c r="AB13" s="8"/>
      <c r="AC13" s="8"/>
      <c r="AD13" s="8"/>
      <c r="AE13" s="8"/>
      <c r="AF13" s="8"/>
      <c r="AG13" s="8"/>
      <c r="AH13" s="8"/>
      <c r="AI13" s="8"/>
      <c r="AJ13" s="8"/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0.107421875</v>
      </c>
      <c r="R14" s="8">
        <f t="shared" si="0"/>
        <v>6.6031312689410204E-4</v>
      </c>
      <c r="S14" s="8">
        <f t="shared" si="8"/>
        <v>0.1083984375</v>
      </c>
      <c r="T14" s="8">
        <f t="shared" si="1"/>
        <v>-3.801531527020674E-4</v>
      </c>
      <c r="U14" s="8">
        <f t="shared" si="2"/>
        <v>0.10791015625</v>
      </c>
      <c r="V14" s="8">
        <f t="shared" si="3"/>
        <v>1.4012743175331743E-4</v>
      </c>
      <c r="W14" s="8">
        <f t="shared" si="4"/>
        <v>9.2527982624672922E-8</v>
      </c>
      <c r="X14" s="8">
        <f t="shared" si="5"/>
        <v>-5.3269884961067407E-8</v>
      </c>
      <c r="Y14" s="8">
        <f t="shared" si="6"/>
        <v>9.765625E-4</v>
      </c>
      <c r="AA14" s="8">
        <v>10</v>
      </c>
      <c r="AB14" s="8"/>
      <c r="AC14" s="8"/>
      <c r="AD14" s="8"/>
      <c r="AE14" s="8"/>
      <c r="AF14" s="8"/>
      <c r="AG14" s="8"/>
      <c r="AH14" s="8"/>
      <c r="AI14" s="8"/>
      <c r="AJ14" s="8"/>
    </row>
    <row r="15" spans="2:36" x14ac:dyDescent="0.2">
      <c r="B15" s="3" t="s">
        <v>66</v>
      </c>
      <c r="C15" s="3">
        <v>1500</v>
      </c>
      <c r="D15" s="3" t="s">
        <v>14</v>
      </c>
      <c r="P15" s="8">
        <v>11</v>
      </c>
      <c r="Q15" s="8">
        <f t="shared" si="7"/>
        <v>0.10791015625</v>
      </c>
      <c r="R15" s="8">
        <f t="shared" si="0"/>
        <v>1.4012743175331743E-4</v>
      </c>
      <c r="S15" s="8">
        <f t="shared" si="8"/>
        <v>0.1083984375</v>
      </c>
      <c r="T15" s="8">
        <f t="shared" si="1"/>
        <v>-3.801531527020674E-4</v>
      </c>
      <c r="U15" s="8">
        <f t="shared" si="2"/>
        <v>0.108154296875</v>
      </c>
      <c r="V15" s="8">
        <f t="shared" si="3"/>
        <v>-1.2000103341833213E-4</v>
      </c>
      <c r="W15" s="8">
        <f t="shared" si="4"/>
        <v>-1.6815436620654901E-8</v>
      </c>
      <c r="X15" s="8">
        <f t="shared" si="5"/>
        <v>4.5618771181485103E-8</v>
      </c>
      <c r="Y15" s="8">
        <f t="shared" si="6"/>
        <v>4.8828125E-4</v>
      </c>
      <c r="AA15" s="8">
        <v>11</v>
      </c>
      <c r="AB15" s="8"/>
      <c r="AC15" s="8"/>
      <c r="AD15" s="8"/>
      <c r="AE15" s="8"/>
      <c r="AF15" s="8"/>
      <c r="AG15" s="8"/>
      <c r="AH15" s="8"/>
      <c r="AI15" s="8"/>
      <c r="AJ15" s="8"/>
    </row>
    <row r="16" spans="2:36" x14ac:dyDescent="0.2">
      <c r="B16" t="s">
        <v>15</v>
      </c>
      <c r="C16" s="1">
        <v>1.2</v>
      </c>
      <c r="D16" t="s">
        <v>16</v>
      </c>
      <c r="F16" s="20" t="s">
        <v>86</v>
      </c>
      <c r="G16" s="20"/>
      <c r="H16" s="20"/>
      <c r="J16" s="25" t="s">
        <v>50</v>
      </c>
      <c r="K16" s="26"/>
      <c r="L16" s="26"/>
      <c r="P16" s="8">
        <v>12</v>
      </c>
      <c r="Q16" s="8">
        <f t="shared" si="7"/>
        <v>0.10791015625</v>
      </c>
      <c r="R16" s="8">
        <f t="shared" si="0"/>
        <v>1.4012743175331743E-4</v>
      </c>
      <c r="S16" s="8">
        <f t="shared" si="8"/>
        <v>0.108154296875</v>
      </c>
      <c r="T16" s="8">
        <f t="shared" si="1"/>
        <v>-1.2000103341833213E-4</v>
      </c>
      <c r="U16" s="8">
        <f t="shared" si="2"/>
        <v>0.1080322265625</v>
      </c>
      <c r="V16" s="8">
        <f t="shared" si="3"/>
        <v>1.0066160195082441E-5</v>
      </c>
      <c r="W16" s="8">
        <f t="shared" si="4"/>
        <v>1.4105451757543752E-9</v>
      </c>
      <c r="X16" s="8">
        <f t="shared" si="5"/>
        <v>-1.2079496259643727E-9</v>
      </c>
      <c r="Y16" s="8">
        <f t="shared" si="6"/>
        <v>2.44140625E-4</v>
      </c>
      <c r="AA16" s="8">
        <v>12</v>
      </c>
      <c r="AB16" s="8"/>
      <c r="AC16" s="8"/>
      <c r="AD16" s="8"/>
      <c r="AE16" s="8"/>
      <c r="AF16" s="8"/>
      <c r="AG16" s="8"/>
      <c r="AH16" s="8"/>
      <c r="AI16" s="8"/>
      <c r="AJ16" s="8"/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159.08607365012128</v>
      </c>
      <c r="H17" t="s">
        <v>14</v>
      </c>
      <c r="J17" t="s">
        <v>51</v>
      </c>
      <c r="K17">
        <f xml:space="preserve"> ACOS(K13)</f>
        <v>0.15349020639723854</v>
      </c>
      <c r="L17" t="s">
        <v>52</v>
      </c>
      <c r="P17" s="8">
        <v>13</v>
      </c>
      <c r="Q17" s="8">
        <f t="shared" si="7"/>
        <v>0.1080322265625</v>
      </c>
      <c r="R17" s="8">
        <f t="shared" si="0"/>
        <v>1.0066160195082441E-5</v>
      </c>
      <c r="S17" s="8">
        <f t="shared" si="8"/>
        <v>0.108154296875</v>
      </c>
      <c r="T17" s="8">
        <f t="shared" si="1"/>
        <v>-1.2000103341833213E-4</v>
      </c>
      <c r="U17" s="8">
        <f t="shared" si="2"/>
        <v>0.10809326171875</v>
      </c>
      <c r="V17" s="8">
        <f t="shared" si="3"/>
        <v>-5.4966696887676081E-5</v>
      </c>
      <c r="W17" s="8">
        <f t="shared" si="4"/>
        <v>-5.5330357626588686E-10</v>
      </c>
      <c r="X17" s="8">
        <f t="shared" si="5"/>
        <v>6.5960604301133499E-9</v>
      </c>
      <c r="Y17" s="8">
        <f t="shared" si="6"/>
        <v>1.220703125E-4</v>
      </c>
      <c r="AA17" s="8">
        <v>13</v>
      </c>
      <c r="AB17" s="8"/>
      <c r="AC17" s="8"/>
      <c r="AD17" s="8"/>
      <c r="AE17" s="8"/>
      <c r="AF17" s="8"/>
      <c r="AG17" s="8"/>
      <c r="AH17" s="8"/>
      <c r="AI17" s="8"/>
      <c r="AJ17" s="8"/>
    </row>
    <row r="18" spans="2:36" x14ac:dyDescent="0.2">
      <c r="B18" t="s">
        <v>113</v>
      </c>
      <c r="C18" s="1">
        <v>0.3</v>
      </c>
      <c r="F18" s="12" t="s">
        <v>88</v>
      </c>
      <c r="G18" t="e">
        <f xml:space="preserve"> $C$5 * 0.144 * (2*$C$16*3.28084 * (G4*0.00134102/$C$5) * 4^0.5)^0.782 * 0.453592 +#REF! *#REF! * 0.144 * (2*#REF!*3.28084 * (G9*0.00134102/#REF!) * 4^0.5)^0.782 * 0.453592</f>
        <v>#REF!</v>
      </c>
      <c r="H18" t="s">
        <v>14</v>
      </c>
      <c r="J18" t="s">
        <v>36</v>
      </c>
      <c r="K18">
        <f xml:space="preserve"> K12 / $C$5</f>
        <v>2127.1507330320369</v>
      </c>
      <c r="L18" t="s">
        <v>37</v>
      </c>
      <c r="P18" s="8">
        <v>14</v>
      </c>
      <c r="Q18" s="8">
        <f t="shared" si="7"/>
        <v>0.1080322265625</v>
      </c>
      <c r="R18" s="8">
        <f t="shared" si="0"/>
        <v>1.0066160195082441E-5</v>
      </c>
      <c r="S18" s="8">
        <f t="shared" si="8"/>
        <v>0.10809326171875</v>
      </c>
      <c r="T18" s="8">
        <f t="shared" si="1"/>
        <v>-5.4966696887676081E-5</v>
      </c>
      <c r="U18" s="8">
        <f t="shared" si="2"/>
        <v>0.108062744140625</v>
      </c>
      <c r="V18" s="8">
        <f t="shared" si="3"/>
        <v>-2.2450083348696248E-5</v>
      </c>
      <c r="W18" s="8">
        <f t="shared" si="4"/>
        <v>-2.2598613538092927E-10</v>
      </c>
      <c r="X18" s="8">
        <f t="shared" si="5"/>
        <v>1.2340069265308508E-9</v>
      </c>
      <c r="Y18" s="8">
        <f t="shared" si="6"/>
        <v>6.103515625E-5</v>
      </c>
      <c r="AA18" s="8">
        <v>14</v>
      </c>
      <c r="AB18" s="8"/>
      <c r="AC18" s="8"/>
      <c r="AD18" s="8"/>
      <c r="AE18" s="8"/>
      <c r="AF18" s="8"/>
      <c r="AG18" s="8"/>
      <c r="AH18" s="8"/>
      <c r="AI18" s="8"/>
      <c r="AJ18" s="8"/>
    </row>
    <row r="19" spans="2:36" x14ac:dyDescent="0.2">
      <c r="F19" s="13" t="s">
        <v>89</v>
      </c>
      <c r="G19">
        <f xml:space="preserve"> 0.188 * (G4/1000) + 5.836 + 0.188 * (G9/1000) + 5.836</f>
        <v>99.143614261856669</v>
      </c>
      <c r="H19" t="s">
        <v>14</v>
      </c>
      <c r="J19" t="s">
        <v>53</v>
      </c>
      <c r="K19">
        <f xml:space="preserve"> $C$17 * COS(K17) / ($C$18 * $C$16)</f>
        <v>82.353623891463599</v>
      </c>
      <c r="L19" t="s">
        <v>54</v>
      </c>
      <c r="P19" s="8">
        <v>15</v>
      </c>
      <c r="Q19" s="8">
        <f t="shared" si="7"/>
        <v>0.1080322265625</v>
      </c>
      <c r="R19" s="8">
        <f t="shared" si="0"/>
        <v>1.0066160195082441E-5</v>
      </c>
      <c r="S19" s="8">
        <f t="shared" si="8"/>
        <v>0.108062744140625</v>
      </c>
      <c r="T19" s="8">
        <f t="shared" si="1"/>
        <v>-2.2450083348696248E-5</v>
      </c>
      <c r="U19" s="8">
        <f t="shared" si="2"/>
        <v>0.1080474853515625</v>
      </c>
      <c r="V19" s="8">
        <f t="shared" si="3"/>
        <v>-6.1919153190731491E-6</v>
      </c>
      <c r="W19" s="8">
        <f t="shared" si="4"/>
        <v>-6.2328811516175318E-11</v>
      </c>
      <c r="X19" s="8">
        <f t="shared" si="5"/>
        <v>1.3900901500126132E-10</v>
      </c>
      <c r="Y19" s="8">
        <f t="shared" si="6"/>
        <v>3.0517578125E-5</v>
      </c>
      <c r="AA19" s="8">
        <v>15</v>
      </c>
      <c r="AB19" s="8"/>
      <c r="AC19" s="8"/>
      <c r="AD19" s="8"/>
      <c r="AE19" s="8"/>
      <c r="AF19" s="8"/>
      <c r="AG19" s="8"/>
      <c r="AH19" s="8"/>
      <c r="AI19" s="8"/>
      <c r="AJ19" s="8"/>
    </row>
    <row r="20" spans="2:36" x14ac:dyDescent="0.2">
      <c r="B20" s="19" t="s">
        <v>23</v>
      </c>
      <c r="C20" s="19"/>
      <c r="D20" s="19"/>
      <c r="F20" s="14" t="s">
        <v>97</v>
      </c>
      <c r="G20">
        <f xml:space="preserve"> 14.86 * ($C$15*2.20462)^0.144 * (6.7/(PI()*1.8))^0.778 * (6.7*3.28084)^0.383 * 4^0.455 * 0.453592</f>
        <v>151.61047300917875</v>
      </c>
      <c r="H20" t="s">
        <v>14</v>
      </c>
      <c r="J20" t="s">
        <v>56</v>
      </c>
      <c r="K20">
        <f xml:space="preserve"> K18 / ($C$26 * PI() * $C$16^2 * K19^2 * $C$16^2)</f>
        <v>3.9302655159222433E-2</v>
      </c>
      <c r="P20" s="8">
        <v>16</v>
      </c>
      <c r="Q20" s="8">
        <f t="shared" si="7"/>
        <v>0.1080322265625</v>
      </c>
      <c r="R20" s="8">
        <f t="shared" si="0"/>
        <v>1.0066160195082441E-5</v>
      </c>
      <c r="S20" s="8">
        <f t="shared" si="8"/>
        <v>0.1080474853515625</v>
      </c>
      <c r="T20" s="8">
        <f t="shared" si="1"/>
        <v>-6.1919153190731491E-6</v>
      </c>
      <c r="U20" s="8">
        <f t="shared" si="2"/>
        <v>0.10803985595703125</v>
      </c>
      <c r="V20" s="8">
        <f t="shared" si="3"/>
        <v>1.9371340034685103E-6</v>
      </c>
      <c r="W20" s="8">
        <f t="shared" si="4"/>
        <v>1.9499501198255408E-11</v>
      </c>
      <c r="X20" s="8">
        <f t="shared" si="5"/>
        <v>-1.1994569711174168E-11</v>
      </c>
      <c r="Y20" s="8">
        <f t="shared" si="6"/>
        <v>1.52587890625E-5</v>
      </c>
      <c r="AA20" s="8">
        <v>16</v>
      </c>
      <c r="AB20" s="8"/>
      <c r="AC20" s="8"/>
      <c r="AD20" s="8"/>
      <c r="AE20" s="8"/>
      <c r="AF20" s="8"/>
      <c r="AG20" s="8"/>
      <c r="AH20" s="8"/>
      <c r="AI20" s="8"/>
      <c r="AJ20" s="8"/>
    </row>
    <row r="21" spans="2:36" x14ac:dyDescent="0.2">
      <c r="B21" t="s">
        <v>105</v>
      </c>
      <c r="C21" s="1">
        <v>400</v>
      </c>
      <c r="D21" t="s">
        <v>14</v>
      </c>
      <c r="F21" s="14" t="s">
        <v>98</v>
      </c>
      <c r="G21">
        <f xml:space="preserve"> 0.054 * (0.7*3.28084)^0.501 * ($C$15*2.20462*5.7)^0.684 * 0.453592</f>
        <v>31.208067561213252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0.10803985595703125</v>
      </c>
      <c r="R21" s="8">
        <f t="shared" si="0"/>
        <v>1.9371340034685103E-6</v>
      </c>
      <c r="S21" s="8">
        <f t="shared" si="8"/>
        <v>0.1080474853515625</v>
      </c>
      <c r="T21" s="8">
        <f t="shared" si="1"/>
        <v>-6.1919153190731491E-6</v>
      </c>
      <c r="U21" s="8">
        <f t="shared" si="2"/>
        <v>0.10804367065429688</v>
      </c>
      <c r="V21" s="8">
        <f t="shared" si="3"/>
        <v>-2.1273877665595187E-6</v>
      </c>
      <c r="W21" s="8">
        <f t="shared" si="4"/>
        <v>-4.1210351811653729E-12</v>
      </c>
      <c r="X21" s="8">
        <f t="shared" si="5"/>
        <v>1.3172604901368696E-11</v>
      </c>
      <c r="Y21" s="8">
        <f t="shared" si="6"/>
        <v>7.62939453125E-6</v>
      </c>
      <c r="AA21" s="8">
        <v>17</v>
      </c>
      <c r="AB21" s="8"/>
      <c r="AC21" s="8"/>
      <c r="AD21" s="8"/>
      <c r="AE21" s="8"/>
      <c r="AF21" s="8"/>
      <c r="AG21" s="8"/>
      <c r="AH21" s="8"/>
      <c r="AI21" s="8"/>
      <c r="AJ21" s="8"/>
    </row>
    <row r="22" spans="2:36" x14ac:dyDescent="0.2">
      <c r="B22" t="s">
        <v>24</v>
      </c>
      <c r="C22" s="1">
        <v>5000</v>
      </c>
      <c r="D22" t="s">
        <v>16</v>
      </c>
      <c r="F22" s="14" t="s">
        <v>90</v>
      </c>
      <c r="G22" t="e">
        <f xml:space="preserve"> 0.04674 * ($C$15*2.20462)^0.397 * (#REF!*3.28084^2)^0.36 * 3^0.397 *#REF!^ 1.712 * 0.453592</f>
        <v>#REF!</v>
      </c>
      <c r="H22" t="s">
        <v>14</v>
      </c>
      <c r="J22" t="s">
        <v>57</v>
      </c>
      <c r="K22">
        <f xml:space="preserve"> ($C$6 * K21 / 8) * (1 + 4.65 *$C$18^ 2) * ( PI() * $C$26 * K19^3 *$C$16^ 5)</f>
        <v>1479.463608760032</v>
      </c>
      <c r="L22" t="s">
        <v>35</v>
      </c>
      <c r="P22" s="8">
        <v>18</v>
      </c>
      <c r="Q22" s="8">
        <f t="shared" si="7"/>
        <v>0.10803985595703125</v>
      </c>
      <c r="R22" s="8">
        <f t="shared" si="0"/>
        <v>1.9371340034685103E-6</v>
      </c>
      <c r="S22" s="8">
        <f t="shared" si="8"/>
        <v>0.10804367065429688</v>
      </c>
      <c r="T22" s="8">
        <f t="shared" si="1"/>
        <v>-2.1273877665595187E-6</v>
      </c>
      <c r="U22" s="8">
        <f t="shared" si="2"/>
        <v>0.10804176330566406</v>
      </c>
      <c r="V22" s="8">
        <f t="shared" si="3"/>
        <v>-9.512615871398733E-8</v>
      </c>
      <c r="W22" s="8">
        <f t="shared" si="4"/>
        <v>-1.8427211666420718E-13</v>
      </c>
      <c r="X22" s="8">
        <f t="shared" si="5"/>
        <v>2.0237022632793581E-13</v>
      </c>
      <c r="Y22" s="8">
        <f t="shared" si="6"/>
        <v>3.814697265625E-6</v>
      </c>
      <c r="AA22" s="8">
        <v>18</v>
      </c>
      <c r="AB22" s="8"/>
      <c r="AC22" s="8"/>
      <c r="AD22" s="8"/>
      <c r="AE22" s="8"/>
      <c r="AF22" s="8"/>
      <c r="AG22" s="8"/>
      <c r="AH22" s="8"/>
      <c r="AI22" s="8"/>
      <c r="AJ22" s="8"/>
    </row>
    <row r="23" spans="2:36" x14ac:dyDescent="0.2">
      <c r="B23" t="s">
        <v>25</v>
      </c>
      <c r="C23" s="1">
        <v>240</v>
      </c>
      <c r="D23" t="s">
        <v>26</v>
      </c>
      <c r="F23" s="14" t="s">
        <v>99</v>
      </c>
      <c r="G23">
        <v>0</v>
      </c>
      <c r="H23" t="s">
        <v>14</v>
      </c>
      <c r="J23" t="s">
        <v>58</v>
      </c>
      <c r="K23" s="5">
        <f>U34</f>
        <v>0.10804167436435819</v>
      </c>
      <c r="P23" s="8">
        <v>19</v>
      </c>
      <c r="Q23" s="8">
        <f t="shared" si="7"/>
        <v>0.10803985595703125</v>
      </c>
      <c r="R23" s="8">
        <f t="shared" si="0"/>
        <v>1.9371340034685103E-6</v>
      </c>
      <c r="S23" s="8">
        <f t="shared" si="8"/>
        <v>0.10804176330566406</v>
      </c>
      <c r="T23" s="8">
        <f t="shared" si="1"/>
        <v>-9.512615871398733E-8</v>
      </c>
      <c r="U23" s="8">
        <f t="shared" si="2"/>
        <v>0.10804080963134766</v>
      </c>
      <c r="V23" s="8">
        <f t="shared" si="3"/>
        <v>9.2100410309381431E-7</v>
      </c>
      <c r="W23" s="8">
        <f t="shared" si="4"/>
        <v>1.7841083654370451E-12</v>
      </c>
      <c r="X23" s="8">
        <f t="shared" si="5"/>
        <v>-8.761158248713573E-14</v>
      </c>
      <c r="Y23" s="8">
        <f t="shared" si="6"/>
        <v>1.9073486328125E-6</v>
      </c>
      <c r="AA23" s="8">
        <v>19</v>
      </c>
      <c r="AB23" s="8"/>
      <c r="AC23" s="8"/>
      <c r="AD23" s="8"/>
      <c r="AE23" s="8"/>
      <c r="AF23" s="8"/>
      <c r="AG23" s="8"/>
      <c r="AH23" s="8"/>
      <c r="AI23" s="8"/>
      <c r="AJ23" s="8"/>
    </row>
    <row r="24" spans="2:36" x14ac:dyDescent="0.2">
      <c r="F24" s="14" t="s">
        <v>100</v>
      </c>
      <c r="G24">
        <v>0</v>
      </c>
      <c r="H24" t="s">
        <v>14</v>
      </c>
      <c r="J24" t="s">
        <v>59</v>
      </c>
      <c r="K24">
        <f xml:space="preserve"> K19 * $C$16 * K23 - $C$17 * SIN(K17)</f>
        <v>6.0905011857570672</v>
      </c>
      <c r="L24" t="s">
        <v>19</v>
      </c>
      <c r="P24" s="8">
        <v>20</v>
      </c>
      <c r="Q24" s="8">
        <f t="shared" si="7"/>
        <v>0.10804080963134766</v>
      </c>
      <c r="R24" s="8">
        <f t="shared" si="0"/>
        <v>9.2100410309381431E-7</v>
      </c>
      <c r="S24" s="8">
        <f t="shared" si="8"/>
        <v>0.10804176330566406</v>
      </c>
      <c r="T24" s="8">
        <f t="shared" si="1"/>
        <v>-9.512615871398733E-8</v>
      </c>
      <c r="U24" s="8">
        <f t="shared" si="2"/>
        <v>0.10804128646850586</v>
      </c>
      <c r="V24" s="8">
        <f t="shared" si="3"/>
        <v>4.129390173690517E-7</v>
      </c>
      <c r="W24" s="8">
        <f t="shared" si="4"/>
        <v>3.8031852932442446E-13</v>
      </c>
      <c r="X24" s="8">
        <f t="shared" si="5"/>
        <v>-3.9281302505446384E-14</v>
      </c>
      <c r="Y24" s="8">
        <f t="shared" si="6"/>
        <v>9.5367431640625E-7</v>
      </c>
      <c r="AA24" s="8">
        <v>20</v>
      </c>
      <c r="AB24" s="8"/>
      <c r="AC24" s="8"/>
      <c r="AD24" s="8"/>
      <c r="AE24" s="8"/>
      <c r="AF24" s="8"/>
      <c r="AG24" s="8"/>
      <c r="AH24" s="8"/>
      <c r="AI24" s="8"/>
      <c r="AJ24" s="8"/>
    </row>
    <row r="25" spans="2:36" x14ac:dyDescent="0.2">
      <c r="B25" s="19" t="s">
        <v>110</v>
      </c>
      <c r="C25" s="24"/>
      <c r="D25" s="24"/>
      <c r="F25" s="15" t="s">
        <v>101</v>
      </c>
      <c r="G25">
        <f xml:space="preserve"> 0.0268 * $C$15</f>
        <v>40.200000000000003</v>
      </c>
      <c r="H25" t="s">
        <v>14</v>
      </c>
      <c r="J25" t="s">
        <v>60</v>
      </c>
      <c r="K25">
        <f xml:space="preserve"> 1/$C$7 - K22 * SQRT( (2*$C$26*PI()*$C$16^2) / K18^3 )</f>
        <v>1.2831284325671568</v>
      </c>
      <c r="P25" s="8">
        <v>21</v>
      </c>
      <c r="Q25" s="8">
        <f t="shared" si="7"/>
        <v>0.10804128646850586</v>
      </c>
      <c r="R25" s="8">
        <f t="shared" si="0"/>
        <v>4.129390173690517E-7</v>
      </c>
      <c r="S25" s="8">
        <f t="shared" si="8"/>
        <v>0.10804176330566406</v>
      </c>
      <c r="T25" s="8">
        <f t="shared" si="1"/>
        <v>-9.512615871398733E-8</v>
      </c>
      <c r="U25" s="8">
        <f t="shared" si="2"/>
        <v>0.10804152488708496</v>
      </c>
      <c r="V25" s="8">
        <f t="shared" si="3"/>
        <v>1.5890644061711257E-7</v>
      </c>
      <c r="W25" s="8">
        <f t="shared" si="4"/>
        <v>6.5618669442044022E-14</v>
      </c>
      <c r="X25" s="8">
        <f t="shared" si="5"/>
        <v>-1.5116159290818252E-14</v>
      </c>
      <c r="Y25" s="8">
        <f t="shared" si="6"/>
        <v>4.76837158203125E-7</v>
      </c>
      <c r="AA25" s="8">
        <v>21</v>
      </c>
      <c r="AB25" s="8"/>
      <c r="AC25" s="8"/>
      <c r="AD25" s="8"/>
      <c r="AE25" s="8"/>
      <c r="AF25" s="8"/>
      <c r="AG25" s="8"/>
      <c r="AH25" s="8"/>
      <c r="AI25" s="8"/>
      <c r="AJ25" s="8"/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102</v>
      </c>
      <c r="G26">
        <f xml:space="preserve"> 11.5 * ($C$15*2.20462/1000)^0.4 * 0.453592</f>
        <v>8.416532939767734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0.10804152488708496</v>
      </c>
      <c r="R26" s="8">
        <f t="shared" si="0"/>
        <v>1.5890644061711257E-7</v>
      </c>
      <c r="S26" s="8">
        <f t="shared" si="8"/>
        <v>0.10804176330566406</v>
      </c>
      <c r="T26" s="8">
        <f t="shared" si="1"/>
        <v>-9.512615871398733E-8</v>
      </c>
      <c r="U26" s="8">
        <f t="shared" si="2"/>
        <v>0.10804164409637451</v>
      </c>
      <c r="V26" s="8">
        <f t="shared" si="3"/>
        <v>3.1890143775692437E-8</v>
      </c>
      <c r="W26" s="8">
        <f t="shared" si="4"/>
        <v>5.067549238163252E-15</v>
      </c>
      <c r="X26" s="8">
        <f t="shared" si="5"/>
        <v>-3.0335868782183938E-15</v>
      </c>
      <c r="Y26" s="8">
        <f t="shared" si="6"/>
        <v>2.384185791015625E-7</v>
      </c>
      <c r="AA26" s="8">
        <v>22</v>
      </c>
      <c r="AB26" s="8"/>
      <c r="AC26" s="8"/>
      <c r="AD26" s="8"/>
      <c r="AE26" s="8"/>
      <c r="AF26" s="8"/>
      <c r="AG26" s="8"/>
      <c r="AH26" s="8"/>
      <c r="AI26" s="8"/>
      <c r="AJ26" s="8"/>
    </row>
    <row r="27" spans="2:36" x14ac:dyDescent="0.2">
      <c r="B27" t="s">
        <v>29</v>
      </c>
      <c r="C27" s="1">
        <v>9.81</v>
      </c>
      <c r="D27" t="s">
        <v>30</v>
      </c>
      <c r="F27" s="15" t="s">
        <v>103</v>
      </c>
      <c r="G27">
        <f xml:space="preserve"> 8 * ($C$15/1000)</f>
        <v>12</v>
      </c>
      <c r="H27" t="s">
        <v>14</v>
      </c>
      <c r="J27" t="s">
        <v>62</v>
      </c>
      <c r="K27">
        <f xml:space="preserve"> 1/$C$30 * LN( EXP($C$30 * K25) + EXP($C$30 * K26) )</f>
        <v>1.283737126697974</v>
      </c>
      <c r="P27" s="8">
        <v>23</v>
      </c>
      <c r="Q27" s="8">
        <f t="shared" si="7"/>
        <v>0.10804164409637451</v>
      </c>
      <c r="R27" s="8">
        <f t="shared" si="0"/>
        <v>3.1890143775692437E-8</v>
      </c>
      <c r="S27" s="8">
        <f t="shared" si="8"/>
        <v>0.10804176330566406</v>
      </c>
      <c r="T27" s="8">
        <f t="shared" si="1"/>
        <v>-9.512615871398733E-8</v>
      </c>
      <c r="U27" s="8">
        <f t="shared" si="2"/>
        <v>0.10804170370101929</v>
      </c>
      <c r="V27" s="8">
        <f t="shared" si="3"/>
        <v>-3.1618006768319162E-8</v>
      </c>
      <c r="W27" s="8">
        <f t="shared" si="4"/>
        <v>-1.0083027817425146E-15</v>
      </c>
      <c r="X27" s="8">
        <f t="shared" si="5"/>
        <v>3.0076995300630541E-15</v>
      </c>
      <c r="Y27" s="8">
        <f t="shared" si="6"/>
        <v>1.1920928955078125E-7</v>
      </c>
      <c r="AA27" s="8">
        <v>23</v>
      </c>
      <c r="AB27" s="8"/>
      <c r="AC27" s="8"/>
      <c r="AD27" s="8"/>
      <c r="AE27" s="8"/>
      <c r="AF27" s="8"/>
      <c r="AG27" s="8"/>
      <c r="AH27" s="8"/>
      <c r="AI27" s="8"/>
      <c r="AJ27" s="8"/>
    </row>
    <row r="28" spans="2:36" x14ac:dyDescent="0.2">
      <c r="F28" s="15" t="s">
        <v>104</v>
      </c>
      <c r="G28">
        <f xml:space="preserve"> 13 * ($C$15*2.20462/1000)^1.3 * 0.453592</f>
        <v>27.916517551222817</v>
      </c>
      <c r="H28" t="s">
        <v>14</v>
      </c>
      <c r="P28" s="8">
        <v>24</v>
      </c>
      <c r="Q28" s="8">
        <f t="shared" si="7"/>
        <v>0.10804164409637451</v>
      </c>
      <c r="R28" s="8">
        <f t="shared" si="0"/>
        <v>3.1890143775692437E-8</v>
      </c>
      <c r="S28" s="8">
        <f t="shared" si="8"/>
        <v>0.10804170370101929</v>
      </c>
      <c r="T28" s="8">
        <f t="shared" si="1"/>
        <v>-3.1618006768319162E-8</v>
      </c>
      <c r="U28" s="8">
        <f t="shared" si="2"/>
        <v>0.1080416738986969</v>
      </c>
      <c r="V28" s="8">
        <f t="shared" si="3"/>
        <v>1.3606868409787864E-10</v>
      </c>
      <c r="W28" s="8">
        <f t="shared" si="4"/>
        <v>4.3392498992506251E-18</v>
      </c>
      <c r="X28" s="8">
        <f t="shared" si="5"/>
        <v>-4.302220574763009E-18</v>
      </c>
      <c r="Y28" s="8">
        <f t="shared" si="6"/>
        <v>5.9604644775390625E-8</v>
      </c>
      <c r="AA28" s="8">
        <v>24</v>
      </c>
      <c r="AB28" s="8"/>
      <c r="AC28" s="8"/>
      <c r="AD28" s="8"/>
      <c r="AE28" s="8"/>
      <c r="AF28" s="8"/>
      <c r="AG28" s="8"/>
      <c r="AH28" s="8"/>
      <c r="AI28" s="8"/>
      <c r="AJ28" s="8"/>
    </row>
    <row r="29" spans="2:36" x14ac:dyDescent="0.2">
      <c r="B29" s="19" t="s">
        <v>31</v>
      </c>
      <c r="C29" s="24"/>
      <c r="D29" s="24"/>
      <c r="F29" s="3" t="s">
        <v>91</v>
      </c>
      <c r="G29" s="3" t="e">
        <f>$C$15 - $C$21 - SUM(G17:G28)</f>
        <v>#REF!</v>
      </c>
      <c r="H29" s="3" t="s">
        <v>14</v>
      </c>
      <c r="P29" s="8">
        <v>25</v>
      </c>
      <c r="Q29" s="8">
        <f t="shared" si="7"/>
        <v>0.1080416738986969</v>
      </c>
      <c r="R29" s="8">
        <f t="shared" si="0"/>
        <v>1.3606868409787864E-10</v>
      </c>
      <c r="S29" s="8">
        <f t="shared" si="8"/>
        <v>0.10804170370101929</v>
      </c>
      <c r="T29" s="8">
        <f t="shared" si="1"/>
        <v>-3.1618006768319162E-8</v>
      </c>
      <c r="U29" s="8">
        <f t="shared" si="2"/>
        <v>0.10804168879985809</v>
      </c>
      <c r="V29" s="8">
        <f t="shared" si="3"/>
        <v>-1.5740969000477278E-8</v>
      </c>
      <c r="W29" s="8">
        <f t="shared" si="4"/>
        <v>-2.1418529383204434E-18</v>
      </c>
      <c r="X29" s="8">
        <f t="shared" si="5"/>
        <v>4.9769806439699269E-16</v>
      </c>
      <c r="Y29" s="8">
        <f t="shared" si="6"/>
        <v>2.9802322387695312E-8</v>
      </c>
      <c r="AA29" s="8">
        <v>25</v>
      </c>
      <c r="AB29" s="8"/>
      <c r="AC29" s="8"/>
      <c r="AD29" s="8"/>
      <c r="AE29" s="8"/>
      <c r="AF29" s="8"/>
      <c r="AG29" s="8"/>
      <c r="AH29" s="8"/>
      <c r="AI29" s="8"/>
      <c r="AJ29" s="8"/>
    </row>
    <row r="30" spans="2:36" x14ac:dyDescent="0.2">
      <c r="B30" t="s">
        <v>32</v>
      </c>
      <c r="C30" s="1">
        <v>30</v>
      </c>
      <c r="F30" t="s">
        <v>92</v>
      </c>
      <c r="G30" s="10" t="e">
        <f>IF(ABS(G29)&lt;0.00001, "TRUE", "FALSE")</f>
        <v>#REF!</v>
      </c>
      <c r="P30" s="8">
        <v>26</v>
      </c>
      <c r="Q30" s="8">
        <f t="shared" si="7"/>
        <v>0.1080416738986969</v>
      </c>
      <c r="R30" s="8">
        <f t="shared" si="0"/>
        <v>1.3606868409787864E-10</v>
      </c>
      <c r="S30" s="8">
        <f t="shared" si="8"/>
        <v>0.10804168879985809</v>
      </c>
      <c r="T30" s="8">
        <f t="shared" si="1"/>
        <v>-1.5740969000477278E-8</v>
      </c>
      <c r="U30" s="8">
        <f t="shared" si="2"/>
        <v>0.1080416813492775</v>
      </c>
      <c r="V30" s="8">
        <f t="shared" si="3"/>
        <v>-7.8024501443119121E-9</v>
      </c>
      <c r="W30" s="8">
        <f t="shared" si="4"/>
        <v>-1.0616691238758252E-18</v>
      </c>
      <c r="X30" s="8">
        <f t="shared" si="5"/>
        <v>1.2281812584938328E-16</v>
      </c>
      <c r="Y30" s="8">
        <f t="shared" si="6"/>
        <v>1.4901161193847656E-8</v>
      </c>
      <c r="AA30" s="8">
        <v>26</v>
      </c>
      <c r="AB30" s="8"/>
      <c r="AC30" s="8"/>
      <c r="AD30" s="8"/>
      <c r="AE30" s="8"/>
      <c r="AF30" s="8"/>
      <c r="AG30" s="8"/>
      <c r="AH30" s="8"/>
      <c r="AI30" s="8"/>
      <c r="AJ30" s="8"/>
    </row>
    <row r="31" spans="2:36" x14ac:dyDescent="0.2">
      <c r="P31" s="8">
        <v>27</v>
      </c>
      <c r="Q31" s="8">
        <f t="shared" si="7"/>
        <v>0.1080416738986969</v>
      </c>
      <c r="R31" s="8">
        <f t="shared" si="0"/>
        <v>1.3606868409787864E-10</v>
      </c>
      <c r="S31" s="8">
        <f t="shared" si="8"/>
        <v>0.1080416813492775</v>
      </c>
      <c r="T31" s="8">
        <f t="shared" si="1"/>
        <v>-7.8024501443119121E-9</v>
      </c>
      <c r="U31" s="8">
        <f t="shared" si="2"/>
        <v>0.1080416776239872</v>
      </c>
      <c r="V31" s="8">
        <f t="shared" si="3"/>
        <v>-3.8331907370459106E-9</v>
      </c>
      <c r="W31" s="8">
        <f t="shared" si="4"/>
        <v>-5.2157721948601462E-19</v>
      </c>
      <c r="X31" s="8">
        <f t="shared" si="5"/>
        <v>2.9908279619438952E-17</v>
      </c>
      <c r="Y31" s="8">
        <f t="shared" si="6"/>
        <v>7.4505805969238281E-9</v>
      </c>
      <c r="AA31" s="8">
        <v>27</v>
      </c>
      <c r="AB31" s="8"/>
      <c r="AC31" s="8"/>
      <c r="AD31" s="8"/>
      <c r="AE31" s="8"/>
      <c r="AF31" s="8"/>
      <c r="AG31" s="8"/>
      <c r="AH31" s="8"/>
      <c r="AI31" s="8"/>
      <c r="AJ31" s="8"/>
    </row>
    <row r="32" spans="2:36" x14ac:dyDescent="0.2">
      <c r="P32" s="8">
        <v>28</v>
      </c>
      <c r="Q32" s="8">
        <f t="shared" si="7"/>
        <v>0.1080416738986969</v>
      </c>
      <c r="R32" s="8">
        <f t="shared" si="0"/>
        <v>1.3606868409787864E-10</v>
      </c>
      <c r="S32" s="8">
        <f t="shared" si="8"/>
        <v>0.1080416776239872</v>
      </c>
      <c r="T32" s="8">
        <f t="shared" si="1"/>
        <v>-3.8331907370459106E-9</v>
      </c>
      <c r="U32" s="8">
        <f t="shared" si="2"/>
        <v>0.10804167576134205</v>
      </c>
      <c r="V32" s="8">
        <f t="shared" si="3"/>
        <v>-1.848561026474016E-9</v>
      </c>
      <c r="W32" s="8">
        <f t="shared" si="4"/>
        <v>-2.5153126634694316E-19</v>
      </c>
      <c r="X32" s="8">
        <f t="shared" si="5"/>
        <v>7.0858870035442784E-18</v>
      </c>
      <c r="Y32" s="8">
        <f t="shared" si="6"/>
        <v>3.7252902984619141E-9</v>
      </c>
      <c r="AA32" s="8">
        <v>28</v>
      </c>
      <c r="AB32" s="8"/>
      <c r="AC32" s="8"/>
      <c r="AD32" s="8"/>
      <c r="AE32" s="8"/>
      <c r="AF32" s="8"/>
      <c r="AG32" s="8"/>
      <c r="AH32" s="8"/>
      <c r="AI32" s="8"/>
      <c r="AJ32" s="8"/>
    </row>
    <row r="33" spans="6:36" x14ac:dyDescent="0.2">
      <c r="F33" s="2" t="s">
        <v>93</v>
      </c>
      <c r="G33" s="2"/>
      <c r="H33" s="2"/>
      <c r="P33" s="8">
        <v>29</v>
      </c>
      <c r="Q33" s="8">
        <f t="shared" si="7"/>
        <v>0.1080416738986969</v>
      </c>
      <c r="R33" s="8">
        <f t="shared" si="0"/>
        <v>1.3606868409787864E-10</v>
      </c>
      <c r="S33" s="8">
        <f t="shared" si="8"/>
        <v>0.10804167576134205</v>
      </c>
      <c r="T33" s="8">
        <f t="shared" si="1"/>
        <v>-1.848561026474016E-9</v>
      </c>
      <c r="U33" s="8">
        <f t="shared" si="2"/>
        <v>0.10804167483001947</v>
      </c>
      <c r="V33" s="8">
        <f t="shared" si="3"/>
        <v>-8.5624617118806867E-10</v>
      </c>
      <c r="W33" s="8">
        <f t="shared" si="4"/>
        <v>-1.1650828977740744E-19</v>
      </c>
      <c r="X33" s="8">
        <f t="shared" si="5"/>
        <v>1.5828233011258622E-18</v>
      </c>
      <c r="Y33" s="8">
        <f t="shared" si="6"/>
        <v>1.862645149230957E-9</v>
      </c>
      <c r="AA33" s="8">
        <v>29</v>
      </c>
      <c r="AB33" s="8"/>
      <c r="AC33" s="8"/>
      <c r="AD33" s="8"/>
      <c r="AE33" s="8"/>
      <c r="AF33" s="8"/>
      <c r="AG33" s="8"/>
      <c r="AH33" s="8"/>
      <c r="AI33" s="8"/>
      <c r="AJ33" s="8"/>
    </row>
    <row r="34" spans="6:36" x14ac:dyDescent="0.2">
      <c r="F34" t="s">
        <v>94</v>
      </c>
      <c r="G34">
        <f>ROUND($C$21/$C$15 * 100, 2)</f>
        <v>26.67</v>
      </c>
      <c r="H34" t="s">
        <v>95</v>
      </c>
      <c r="P34" s="8">
        <v>30</v>
      </c>
      <c r="Q34" s="8">
        <f t="shared" si="7"/>
        <v>0.1080416738986969</v>
      </c>
      <c r="R34" s="8">
        <f t="shared" si="0"/>
        <v>1.3606868409787864E-10</v>
      </c>
      <c r="S34" s="8">
        <f t="shared" si="8"/>
        <v>0.10804167483001947</v>
      </c>
      <c r="T34" s="8">
        <f t="shared" si="1"/>
        <v>-8.5624617118806867E-10</v>
      </c>
      <c r="U34" s="8">
        <f t="shared" si="2"/>
        <v>0.10804167436435819</v>
      </c>
      <c r="V34" s="8">
        <f t="shared" si="3"/>
        <v>-3.6008873660620111E-10</v>
      </c>
      <c r="W34" s="8">
        <f t="shared" si="4"/>
        <v>-4.8996800548473409E-20</v>
      </c>
      <c r="X34" s="8">
        <f t="shared" si="5"/>
        <v>3.0832460200700865E-19</v>
      </c>
      <c r="Y34" s="8">
        <f t="shared" si="6"/>
        <v>9.3132257461547852E-10</v>
      </c>
      <c r="AA34" s="8">
        <v>30</v>
      </c>
      <c r="AB34" s="8"/>
      <c r="AC34" s="8"/>
      <c r="AD34" s="8"/>
      <c r="AE34" s="8"/>
      <c r="AF34" s="8"/>
      <c r="AG34" s="8"/>
      <c r="AH34" s="8"/>
      <c r="AI34" s="8"/>
      <c r="AJ34" s="8"/>
    </row>
    <row r="35" spans="6:36" x14ac:dyDescent="0.2">
      <c r="F35" s="16" t="s">
        <v>87</v>
      </c>
      <c r="G35">
        <f>ROUND(G17/$C$15 * 100, 2)</f>
        <v>10.61</v>
      </c>
      <c r="H35" t="s">
        <v>95</v>
      </c>
      <c r="AA35" s="8">
        <v>31</v>
      </c>
      <c r="AB35" s="8"/>
      <c r="AD35" s="8"/>
      <c r="AF35" s="8"/>
      <c r="AH35" s="8"/>
      <c r="AI35" s="8"/>
      <c r="AJ35" s="8"/>
    </row>
    <row r="36" spans="6:36" x14ac:dyDescent="0.2">
      <c r="F36" s="18" t="s">
        <v>107</v>
      </c>
      <c r="G36" t="e">
        <f>ROUND(SUM(G18:G19)/$C$15 * 100, 2)</f>
        <v>#REF!</v>
      </c>
      <c r="H36" t="s">
        <v>95</v>
      </c>
      <c r="AA36" s="8">
        <v>32</v>
      </c>
      <c r="AB36" s="8"/>
      <c r="AD36" s="8"/>
      <c r="AF36" s="8"/>
      <c r="AH36" s="8"/>
      <c r="AI36" s="8"/>
      <c r="AJ36" s="8"/>
    </row>
    <row r="37" spans="6:36" x14ac:dyDescent="0.2">
      <c r="F37" s="17" t="s">
        <v>108</v>
      </c>
      <c r="G37" t="e">
        <f>ROUND(SUM(G20:G24)/$C$15 * 100, 2)</f>
        <v>#REF!</v>
      </c>
      <c r="H37" t="s">
        <v>95</v>
      </c>
      <c r="AA37" s="8">
        <v>33</v>
      </c>
      <c r="AB37" s="8"/>
      <c r="AD37" s="8"/>
      <c r="AF37" s="8"/>
      <c r="AH37" s="8"/>
      <c r="AI37" s="8"/>
      <c r="AJ37" s="8"/>
    </row>
    <row r="38" spans="6:36" x14ac:dyDescent="0.2">
      <c r="F38" s="15" t="s">
        <v>109</v>
      </c>
      <c r="G38">
        <f>ROUND(SUM(G25:G28)/$C$15*100, 2)</f>
        <v>5.9</v>
      </c>
      <c r="H38" t="s">
        <v>95</v>
      </c>
      <c r="AA38" s="8">
        <v>34</v>
      </c>
      <c r="AB38" s="8"/>
      <c r="AD38" s="8"/>
      <c r="AF38" s="8"/>
      <c r="AH38" s="8"/>
      <c r="AI38" s="8"/>
      <c r="AJ38" s="8"/>
    </row>
    <row r="39" spans="6:36" x14ac:dyDescent="0.2">
      <c r="F39" s="3" t="s">
        <v>96</v>
      </c>
      <c r="G39" s="3" t="e">
        <f>SUM(G34:G38)</f>
        <v>#REF!</v>
      </c>
      <c r="H39" s="3" t="s">
        <v>95</v>
      </c>
      <c r="AA39" s="8">
        <v>35</v>
      </c>
      <c r="AB39" s="8"/>
      <c r="AD39" s="8"/>
      <c r="AF39" s="8"/>
      <c r="AH39" s="8"/>
      <c r="AI39" s="8"/>
      <c r="AJ39" s="8"/>
    </row>
    <row r="40" spans="6:36" x14ac:dyDescent="0.2">
      <c r="AA40" s="8">
        <v>36</v>
      </c>
      <c r="AB40" s="8"/>
      <c r="AD40" s="8"/>
      <c r="AF40" s="8"/>
      <c r="AH40" s="8"/>
      <c r="AI40" s="8"/>
      <c r="AJ40" s="8"/>
    </row>
    <row r="41" spans="6:36" x14ac:dyDescent="0.2">
      <c r="AA41" s="8">
        <v>37</v>
      </c>
      <c r="AB41" s="8"/>
      <c r="AD41" s="8"/>
      <c r="AF41" s="8"/>
      <c r="AH41" s="8"/>
      <c r="AI41" s="8"/>
      <c r="AJ41" s="8"/>
    </row>
    <row r="42" spans="6:36" x14ac:dyDescent="0.2">
      <c r="AA42" s="8">
        <v>38</v>
      </c>
      <c r="AB42" s="8"/>
      <c r="AD42" s="8"/>
      <c r="AF42" s="8"/>
      <c r="AH42" s="8"/>
      <c r="AI42" s="8"/>
      <c r="AJ42" s="8"/>
    </row>
    <row r="43" spans="6:36" x14ac:dyDescent="0.2">
      <c r="AA43" s="8">
        <v>39</v>
      </c>
      <c r="AB43" s="8"/>
      <c r="AD43" s="8"/>
      <c r="AF43" s="8"/>
      <c r="AH43" s="8"/>
      <c r="AI43" s="8"/>
      <c r="AJ43" s="8"/>
    </row>
    <row r="44" spans="6:36" x14ac:dyDescent="0.2">
      <c r="AA44" s="8">
        <v>40</v>
      </c>
      <c r="AB44" s="8"/>
      <c r="AD44" s="8"/>
      <c r="AF44" s="11"/>
      <c r="AH44" s="8"/>
      <c r="AI44" s="8"/>
      <c r="AJ44" s="8"/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29:D29"/>
    <mergeCell ref="J11:L11"/>
    <mergeCell ref="J16:L16"/>
    <mergeCell ref="B9:D9"/>
    <mergeCell ref="F16:H16"/>
    <mergeCell ref="B14:D14"/>
    <mergeCell ref="B20:D20"/>
    <mergeCell ref="B25:D25"/>
    <mergeCell ref="B1:D1"/>
    <mergeCell ref="B3:D3"/>
    <mergeCell ref="F3:H3"/>
    <mergeCell ref="J3:L3"/>
    <mergeCell ref="F7:H7"/>
    <mergeCell ref="F11:H11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workbookViewId="0">
      <selection activeCell="B27" sqref="B27:D2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2" t="s">
        <v>0</v>
      </c>
      <c r="C1" s="22"/>
      <c r="D1" s="22"/>
    </row>
    <row r="2" spans="2:36" x14ac:dyDescent="0.2">
      <c r="P2" s="6" t="s">
        <v>75</v>
      </c>
      <c r="AA2" s="6" t="s">
        <v>106</v>
      </c>
    </row>
    <row r="3" spans="2:36" x14ac:dyDescent="0.2">
      <c r="B3" s="20" t="s">
        <v>111</v>
      </c>
      <c r="C3" s="23"/>
      <c r="D3" s="23"/>
      <c r="F3" s="20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370704.43153783563</v>
      </c>
      <c r="H4" t="s">
        <v>35</v>
      </c>
      <c r="J4" t="s">
        <v>46</v>
      </c>
      <c r="K4">
        <f xml:space="preserve"> $C$20 * $C$34</f>
        <v>17258.482001234643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0.6534009566313479</v>
      </c>
      <c r="S4" s="9">
        <v>1</v>
      </c>
      <c r="T4" s="8">
        <f t="shared" ref="T4:T34" si="1" xml:space="preserve"> $K$20 * TAN($K$17) + $K$21 / (2 * SQRT($K$20^2 + S4^2)) - S4</f>
        <v>-0.67357508815696088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-0.16427027744759859</v>
      </c>
      <c r="W4" s="8">
        <f>R4*V4</f>
        <v>-0.10733435643035785</v>
      </c>
      <c r="X4" s="8">
        <f>T4*V4</f>
        <v>0.11064836661333464</v>
      </c>
      <c r="Y4" s="8">
        <f>S4-Q4</f>
        <v>1</v>
      </c>
      <c r="AA4" s="8">
        <v>0</v>
      </c>
      <c r="AB4" s="8"/>
      <c r="AC4" s="8">
        <f>G29</f>
        <v>1.546140993013978E-10</v>
      </c>
      <c r="AD4" s="8"/>
      <c r="AE4" s="8">
        <f>G29</f>
        <v>1.546140993013978E-10</v>
      </c>
      <c r="AF4" s="8"/>
      <c r="AG4" s="8">
        <f>G29</f>
        <v>1.546140993013978E-10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2876.4136668724404</v>
      </c>
      <c r="H5" t="s">
        <v>37</v>
      </c>
      <c r="J5" t="s">
        <v>47</v>
      </c>
      <c r="K5">
        <f xml:space="preserve"> 0.5 * $C$33 * $C$23^2</f>
        <v>1852.8125000000002</v>
      </c>
      <c r="L5" t="s">
        <v>48</v>
      </c>
      <c r="P5" s="8">
        <v>1</v>
      </c>
      <c r="Q5" s="8">
        <f>IF(W4&gt;0, U4, Q4)</f>
        <v>0</v>
      </c>
      <c r="R5" s="8">
        <f t="shared" si="0"/>
        <v>0.6534009566313479</v>
      </c>
      <c r="S5" s="8">
        <f>IF(X4&gt;0, U4, S4)</f>
        <v>0.5</v>
      </c>
      <c r="T5" s="8">
        <f t="shared" si="1"/>
        <v>-0.16427027744759859</v>
      </c>
      <c r="U5" s="8">
        <f t="shared" ref="U5:U34" si="3" xml:space="preserve"> (Q5 + S5)/2</f>
        <v>0.25</v>
      </c>
      <c r="V5" s="8">
        <f t="shared" si="2"/>
        <v>0.10419045512088293</v>
      </c>
      <c r="W5" s="8">
        <f t="shared" ref="W5:W34" si="4">R5*V5</f>
        <v>6.807814304784042E-2</v>
      </c>
      <c r="X5" s="8">
        <f t="shared" ref="X5:X34" si="5">T5*V5</f>
        <v>-1.7115394970099007E-2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/>
        <v>-387.71074190676364</v>
      </c>
      <c r="AD5" s="9">
        <v>2500</v>
      </c>
      <c r="AE5" s="8">
        <f t="dataTable" ref="AE5:AE44" dt2D="0" dtr="0" r1="C20" ca="1"/>
        <v>17.800327323294368</v>
      </c>
      <c r="AF5" s="8">
        <f>(AB5+AD5)/2</f>
        <v>1500</v>
      </c>
      <c r="AG5" s="8">
        <f t="dataTable" ref="AG5:AG44" dt2D="0" dtr="0" r1="C20" ca="1"/>
        <v>-47.313913459105152</v>
      </c>
      <c r="AH5" s="8">
        <f>AC5*AG5</f>
        <v>18344.112489742067</v>
      </c>
      <c r="AI5" s="8">
        <f>AE5*AG5</f>
        <v>-842.20314651809463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0.36693977839770386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0.10419045512088293</v>
      </c>
      <c r="S6" s="8">
        <f t="shared" ref="S6:S34" si="8">IF(X5&gt;0, U5, S5)</f>
        <v>0.5</v>
      </c>
      <c r="T6" s="8">
        <f t="shared" si="1"/>
        <v>-0.16427027744759859</v>
      </c>
      <c r="U6" s="8">
        <f t="shared" si="3"/>
        <v>0.375</v>
      </c>
      <c r="V6" s="8">
        <f t="shared" si="2"/>
        <v>-3.3089506961332005E-2</v>
      </c>
      <c r="W6" s="8">
        <f t="shared" si="4"/>
        <v>-3.4476107900268055E-3</v>
      </c>
      <c r="X6" s="8">
        <f t="shared" si="5"/>
        <v>5.4356224891422529E-3</v>
      </c>
      <c r="Y6" s="8">
        <f t="shared" si="6"/>
        <v>0.25</v>
      </c>
      <c r="AA6" s="8">
        <v>2</v>
      </c>
      <c r="AB6" s="8">
        <f>IF(AH5&gt;0,AF5,AB5)</f>
        <v>1500</v>
      </c>
      <c r="AC6" s="8">
        <v>-47.313913459105152</v>
      </c>
      <c r="AD6" s="8">
        <f>IF(AI5&gt;0,AF5,AD5)</f>
        <v>2500</v>
      </c>
      <c r="AE6" s="8">
        <v>17.800327323294368</v>
      </c>
      <c r="AF6" s="8">
        <f t="shared" ref="AF6:AF44" si="9">(AB6+AD6)/2</f>
        <v>2000</v>
      </c>
      <c r="AG6" s="8">
        <v>25.674914961811965</v>
      </c>
      <c r="AH6" s="8">
        <f t="shared" ref="AH6:AH44" si="10">AC6*AG6</f>
        <v>-1214.7807045730553</v>
      </c>
      <c r="AI6" s="8">
        <f t="shared" ref="AI6:AI44" si="11">AE6*AG6</f>
        <v>457.02189031800089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0" t="s">
        <v>38</v>
      </c>
      <c r="G7" s="23"/>
      <c r="H7" s="23"/>
      <c r="J7" t="s">
        <v>68</v>
      </c>
      <c r="K7">
        <f xml:space="preserve"> K6 / $C$24</f>
        <v>5.7334340374641225E-2</v>
      </c>
      <c r="P7" s="8">
        <v>3</v>
      </c>
      <c r="Q7" s="8">
        <f t="shared" si="7"/>
        <v>0.25</v>
      </c>
      <c r="R7" s="8">
        <f t="shared" si="0"/>
        <v>0.10419045512088293</v>
      </c>
      <c r="S7" s="8">
        <f t="shared" si="8"/>
        <v>0.375</v>
      </c>
      <c r="T7" s="8">
        <f t="shared" si="1"/>
        <v>-3.3089506961332005E-2</v>
      </c>
      <c r="U7" s="8">
        <f t="shared" si="3"/>
        <v>0.3125</v>
      </c>
      <c r="V7" s="8">
        <f t="shared" si="2"/>
        <v>3.4337276181752696E-2</v>
      </c>
      <c r="W7" s="8">
        <f t="shared" si="4"/>
        <v>3.5776164329882668E-3</v>
      </c>
      <c r="X7" s="8">
        <f t="shared" si="5"/>
        <v>-1.1362035392492855E-3</v>
      </c>
      <c r="Y7" s="8">
        <f t="shared" si="6"/>
        <v>0.125</v>
      </c>
      <c r="AA7" s="8">
        <v>3</v>
      </c>
      <c r="AB7" s="8">
        <f t="shared" ref="AB7:AB44" si="13">IF(AH6&gt;0,AF6,AB6)</f>
        <v>1500</v>
      </c>
      <c r="AC7" s="8">
        <v>-47.313913459105152</v>
      </c>
      <c r="AD7" s="8">
        <f t="shared" ref="AD7:AD44" si="14">IF(AI6&gt;0,AF6,AD6)</f>
        <v>2000</v>
      </c>
      <c r="AE7" s="8">
        <v>25.674914961811965</v>
      </c>
      <c r="AF7" s="8">
        <f t="shared" si="9"/>
        <v>1750</v>
      </c>
      <c r="AG7" s="8">
        <v>-1.3484183383602613</v>
      </c>
      <c r="AH7" s="8">
        <f t="shared" si="10"/>
        <v>63.798948567847766</v>
      </c>
      <c r="AI7" s="8">
        <f t="shared" si="11"/>
        <v>-34.620526170347503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108255.92346359526</v>
      </c>
      <c r="H8" t="s">
        <v>35</v>
      </c>
      <c r="J8" t="s">
        <v>69</v>
      </c>
      <c r="K8">
        <f xml:space="preserve"> K5 * $C$24 * K7</f>
        <v>679.87060816249573</v>
      </c>
      <c r="L8" t="s">
        <v>37</v>
      </c>
      <c r="P8" s="8">
        <v>4</v>
      </c>
      <c r="Q8" s="8">
        <f t="shared" si="7"/>
        <v>0.3125</v>
      </c>
      <c r="R8" s="8">
        <f t="shared" si="0"/>
        <v>3.4337276181752696E-2</v>
      </c>
      <c r="S8" s="8">
        <f t="shared" si="8"/>
        <v>0.375</v>
      </c>
      <c r="T8" s="8">
        <f t="shared" si="1"/>
        <v>-3.3089506961332005E-2</v>
      </c>
      <c r="U8" s="8">
        <f t="shared" si="3"/>
        <v>0.34375</v>
      </c>
      <c r="V8" s="8">
        <f t="shared" si="2"/>
        <v>4.0212566897224189E-4</v>
      </c>
      <c r="W8" s="8">
        <f t="shared" si="4"/>
        <v>1.3807900155271931E-5</v>
      </c>
      <c r="X8" s="8">
        <f t="shared" si="5"/>
        <v>-1.3306140122787288E-5</v>
      </c>
      <c r="Y8" s="8">
        <f t="shared" si="6"/>
        <v>6.25E-2</v>
      </c>
      <c r="AA8" s="8">
        <v>4</v>
      </c>
      <c r="AB8" s="8">
        <f t="shared" si="13"/>
        <v>1750</v>
      </c>
      <c r="AC8" s="8">
        <v>-1.3484183383602613</v>
      </c>
      <c r="AD8" s="8">
        <f t="shared" si="14"/>
        <v>2000</v>
      </c>
      <c r="AE8" s="8">
        <v>25.674914961811965</v>
      </c>
      <c r="AF8" s="8">
        <f t="shared" si="9"/>
        <v>1875</v>
      </c>
      <c r="AG8" s="8">
        <v>14.608622084738727</v>
      </c>
      <c r="AH8" s="8">
        <f t="shared" si="10"/>
        <v>-19.698533917236411</v>
      </c>
      <c r="AI8" s="8">
        <f t="shared" si="11"/>
        <v>375.07512973491504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108255.92346359526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0.34375</v>
      </c>
      <c r="R9" s="8">
        <f t="shared" si="0"/>
        <v>4.0212566897224189E-4</v>
      </c>
      <c r="S9" s="8">
        <f t="shared" si="8"/>
        <v>0.375</v>
      </c>
      <c r="T9" s="8">
        <f t="shared" si="1"/>
        <v>-3.3089506961332005E-2</v>
      </c>
      <c r="U9" s="8">
        <f t="shared" si="3"/>
        <v>0.359375</v>
      </c>
      <c r="V9" s="8">
        <f t="shared" si="2"/>
        <v>-1.6391988222810072E-2</v>
      </c>
      <c r="W9" s="8">
        <f t="shared" si="4"/>
        <v>-6.5916392298826105E-6</v>
      </c>
      <c r="X9" s="8">
        <f t="shared" si="5"/>
        <v>5.4240280840874607E-4</v>
      </c>
      <c r="Y9" s="8">
        <f t="shared" si="6"/>
        <v>3.125E-2</v>
      </c>
      <c r="AA9" s="8">
        <v>5</v>
      </c>
      <c r="AB9" s="8">
        <f t="shared" si="13"/>
        <v>1750</v>
      </c>
      <c r="AC9" s="8">
        <v>-1.3484183383602613</v>
      </c>
      <c r="AD9" s="8">
        <f t="shared" si="14"/>
        <v>1875</v>
      </c>
      <c r="AE9" s="8">
        <v>14.608622084738727</v>
      </c>
      <c r="AF9" s="8">
        <f t="shared" si="9"/>
        <v>1812.5</v>
      </c>
      <c r="AG9" s="8">
        <v>7.2315173400106687</v>
      </c>
      <c r="AH9" s="8">
        <f t="shared" si="10"/>
        <v>-9.7511105954406023</v>
      </c>
      <c r="AI9" s="8">
        <f t="shared" si="11"/>
        <v>105.6425039194509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1.4554294148452218</v>
      </c>
      <c r="P10" s="8">
        <v>6</v>
      </c>
      <c r="Q10" s="8">
        <f t="shared" si="7"/>
        <v>0.34375</v>
      </c>
      <c r="R10" s="8">
        <f t="shared" si="0"/>
        <v>4.0212566897224189E-4</v>
      </c>
      <c r="S10" s="8">
        <f t="shared" si="8"/>
        <v>0.359375</v>
      </c>
      <c r="T10" s="8">
        <f t="shared" si="1"/>
        <v>-1.6391988222810072E-2</v>
      </c>
      <c r="U10" s="8">
        <f t="shared" si="3"/>
        <v>0.3515625</v>
      </c>
      <c r="V10" s="8">
        <f t="shared" si="2"/>
        <v>-8.0078008059947803E-3</v>
      </c>
      <c r="W10" s="8">
        <f t="shared" si="4"/>
        <v>-3.2201422561071089E-6</v>
      </c>
      <c r="X10" s="8">
        <f t="shared" si="5"/>
        <v>1.3126377650247544E-4</v>
      </c>
      <c r="Y10" s="8">
        <f t="shared" si="6"/>
        <v>1.5625E-2</v>
      </c>
      <c r="AA10" s="8">
        <v>6</v>
      </c>
      <c r="AB10" s="8">
        <f t="shared" si="13"/>
        <v>1750</v>
      </c>
      <c r="AC10" s="8">
        <v>-1.3484183383602613</v>
      </c>
      <c r="AD10" s="8">
        <f t="shared" si="14"/>
        <v>1812.5</v>
      </c>
      <c r="AE10" s="8">
        <v>7.2315173400106687</v>
      </c>
      <c r="AF10" s="8">
        <f t="shared" si="9"/>
        <v>1781.25</v>
      </c>
      <c r="AG10" s="8">
        <v>3.0906758263029133</v>
      </c>
      <c r="AH10" s="8">
        <f t="shared" si="10"/>
        <v>-4.1675239621136013</v>
      </c>
      <c r="AI10" s="8">
        <f t="shared" si="11"/>
        <v>22.350275830261317</v>
      </c>
      <c r="AJ10" s="8">
        <f t="shared" si="12"/>
        <v>62.5</v>
      </c>
    </row>
    <row r="11" spans="2:36" x14ac:dyDescent="0.2">
      <c r="B11" s="20" t="s">
        <v>5</v>
      </c>
      <c r="C11" s="23"/>
      <c r="D11" s="23"/>
      <c r="F11" s="20" t="s">
        <v>41</v>
      </c>
      <c r="G11" s="23"/>
      <c r="H11" s="23"/>
      <c r="J11" t="s">
        <v>71</v>
      </c>
      <c r="K11">
        <f xml:space="preserve"> K7 + K10^2 / ( PI() * K9 * $C$12 )</f>
        <v>0.14645043752924147</v>
      </c>
      <c r="P11" s="8">
        <v>7</v>
      </c>
      <c r="Q11" s="8">
        <f t="shared" si="7"/>
        <v>0.34375</v>
      </c>
      <c r="R11" s="8">
        <f t="shared" si="0"/>
        <v>4.0212566897224189E-4</v>
      </c>
      <c r="S11" s="8">
        <f t="shared" si="8"/>
        <v>0.3515625</v>
      </c>
      <c r="T11" s="8">
        <f t="shared" si="1"/>
        <v>-8.0078008059947803E-3</v>
      </c>
      <c r="U11" s="8">
        <f t="shared" si="3"/>
        <v>0.34765625</v>
      </c>
      <c r="V11" s="8">
        <f t="shared" si="2"/>
        <v>-3.8061620383744721E-3</v>
      </c>
      <c r="W11" s="8">
        <f t="shared" si="4"/>
        <v>-1.5305554558980865E-6</v>
      </c>
      <c r="X11" s="8">
        <f t="shared" si="5"/>
        <v>3.0478987438641834E-5</v>
      </c>
      <c r="Y11" s="8">
        <f t="shared" si="6"/>
        <v>7.8125E-3</v>
      </c>
      <c r="AA11" s="8">
        <v>7</v>
      </c>
      <c r="AB11" s="8">
        <f t="shared" si="13"/>
        <v>1750</v>
      </c>
      <c r="AC11" s="8">
        <v>-1.3484183383602613</v>
      </c>
      <c r="AD11" s="8">
        <f t="shared" si="14"/>
        <v>1781.25</v>
      </c>
      <c r="AE11" s="8">
        <v>3.0906758263029133</v>
      </c>
      <c r="AF11" s="8">
        <f t="shared" si="9"/>
        <v>1765.625</v>
      </c>
      <c r="AG11" s="8">
        <v>0.9082583887650344</v>
      </c>
      <c r="AH11" s="8">
        <f t="shared" si="10"/>
        <v>-1.2247122673803159</v>
      </c>
      <c r="AI11" s="8">
        <f t="shared" si="11"/>
        <v>2.8071322461929253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106725.69199918545</v>
      </c>
      <c r="H12" t="s">
        <v>43</v>
      </c>
      <c r="J12" t="s">
        <v>72</v>
      </c>
      <c r="K12">
        <f xml:space="preserve"> K5 * K11 * $C$24</f>
        <v>1736.6092882217458</v>
      </c>
      <c r="L12" t="s">
        <v>37</v>
      </c>
      <c r="P12" s="8">
        <v>8</v>
      </c>
      <c r="Q12" s="8">
        <f t="shared" si="7"/>
        <v>0.34375</v>
      </c>
      <c r="R12" s="8">
        <f t="shared" si="0"/>
        <v>4.0212566897224189E-4</v>
      </c>
      <c r="S12" s="8">
        <f t="shared" si="8"/>
        <v>0.34765625</v>
      </c>
      <c r="T12" s="8">
        <f t="shared" si="1"/>
        <v>-3.8061620383744721E-3</v>
      </c>
      <c r="U12" s="8">
        <f t="shared" si="3"/>
        <v>0.345703125</v>
      </c>
      <c r="V12" s="8">
        <f t="shared" si="2"/>
        <v>-1.7028632090883011E-3</v>
      </c>
      <c r="W12" s="8">
        <f t="shared" si="4"/>
        <v>-6.8476500712285176E-7</v>
      </c>
      <c r="X12" s="8">
        <f t="shared" si="5"/>
        <v>6.4813733029764234E-6</v>
      </c>
      <c r="Y12" s="8">
        <f t="shared" si="6"/>
        <v>3.90625E-3</v>
      </c>
      <c r="AA12" s="8">
        <v>8</v>
      </c>
      <c r="AB12" s="8">
        <f t="shared" si="13"/>
        <v>1750</v>
      </c>
      <c r="AC12" s="8">
        <v>-1.3484183383602613</v>
      </c>
      <c r="AD12" s="8">
        <f t="shared" si="14"/>
        <v>1765.625</v>
      </c>
      <c r="AE12" s="8">
        <v>0.9082583887650344</v>
      </c>
      <c r="AF12" s="8">
        <f t="shared" si="9"/>
        <v>1757.8125</v>
      </c>
      <c r="AG12" s="8">
        <v>-0.21081603648985947</v>
      </c>
      <c r="AH12" s="8">
        <f t="shared" si="10"/>
        <v>0.28426820962335253</v>
      </c>
      <c r="AI12" s="8">
        <f t="shared" si="11"/>
        <v>-0.19147543362811045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2727.2727272727275</v>
      </c>
      <c r="H13" t="s">
        <v>26</v>
      </c>
      <c r="P13" s="8">
        <v>9</v>
      </c>
      <c r="Q13" s="8">
        <f t="shared" si="7"/>
        <v>0.34375</v>
      </c>
      <c r="R13" s="8">
        <f t="shared" si="0"/>
        <v>4.0212566897224189E-4</v>
      </c>
      <c r="S13" s="8">
        <f t="shared" si="8"/>
        <v>0.345703125</v>
      </c>
      <c r="T13" s="8">
        <f t="shared" si="1"/>
        <v>-1.7028632090883011E-3</v>
      </c>
      <c r="U13" s="8">
        <f t="shared" si="3"/>
        <v>0.3447265625</v>
      </c>
      <c r="V13" s="8">
        <f t="shared" si="2"/>
        <v>-6.5058179843768826E-4</v>
      </c>
      <c r="W13" s="8">
        <f t="shared" si="4"/>
        <v>-2.6161564091791965E-7</v>
      </c>
      <c r="X13" s="8">
        <f t="shared" si="5"/>
        <v>1.1078518090620401E-6</v>
      </c>
      <c r="Y13" s="8">
        <f t="shared" si="6"/>
        <v>1.953125E-3</v>
      </c>
      <c r="AA13" s="8">
        <v>9</v>
      </c>
      <c r="AB13" s="8">
        <f t="shared" si="13"/>
        <v>1757.8125</v>
      </c>
      <c r="AC13" s="8">
        <v>-0.21081603648985947</v>
      </c>
      <c r="AD13" s="8">
        <f t="shared" si="14"/>
        <v>1765.625</v>
      </c>
      <c r="AE13" s="8">
        <v>0.9082583887650344</v>
      </c>
      <c r="AF13" s="8">
        <f t="shared" si="9"/>
        <v>1761.71875</v>
      </c>
      <c r="AG13" s="8">
        <v>0.35103858905245033</v>
      </c>
      <c r="AH13" s="8">
        <f t="shared" si="10"/>
        <v>-7.400456399903016E-2</v>
      </c>
      <c r="AI13" s="8">
        <f t="shared" si="11"/>
        <v>0.3188337432871296</v>
      </c>
      <c r="AJ13" s="8">
        <f t="shared" si="12"/>
        <v>7.8125</v>
      </c>
    </row>
    <row r="14" spans="2:36" x14ac:dyDescent="0.2">
      <c r="B14" s="20" t="s">
        <v>8</v>
      </c>
      <c r="C14" s="23"/>
      <c r="D14" s="23"/>
      <c r="P14" s="8">
        <v>10</v>
      </c>
      <c r="Q14" s="8">
        <f t="shared" si="7"/>
        <v>0.34375</v>
      </c>
      <c r="R14" s="8">
        <f t="shared" si="0"/>
        <v>4.0212566897224189E-4</v>
      </c>
      <c r="S14" s="8">
        <f t="shared" si="8"/>
        <v>0.3447265625</v>
      </c>
      <c r="T14" s="8">
        <f t="shared" si="1"/>
        <v>-6.5058179843768826E-4</v>
      </c>
      <c r="U14" s="8">
        <f t="shared" si="3"/>
        <v>0.34423828125</v>
      </c>
      <c r="V14" s="8">
        <f t="shared" si="2"/>
        <v>-1.2428154552712734E-4</v>
      </c>
      <c r="W14" s="8">
        <f t="shared" si="4"/>
        <v>-4.9976799636000218E-8</v>
      </c>
      <c r="X14" s="8">
        <f t="shared" si="5"/>
        <v>8.0855311401653939E-8</v>
      </c>
      <c r="Y14" s="8">
        <f t="shared" si="6"/>
        <v>9.765625E-4</v>
      </c>
      <c r="AA14" s="8">
        <v>10</v>
      </c>
      <c r="AB14" s="8">
        <f t="shared" si="13"/>
        <v>1757.8125</v>
      </c>
      <c r="AC14" s="8">
        <v>-0.21081603648985947</v>
      </c>
      <c r="AD14" s="8">
        <f t="shared" si="14"/>
        <v>1761.71875</v>
      </c>
      <c r="AE14" s="8">
        <v>0.35103858905245033</v>
      </c>
      <c r="AF14" s="8">
        <f t="shared" si="9"/>
        <v>1759.765625</v>
      </c>
      <c r="AG14" s="8">
        <v>7.0689910544615486E-2</v>
      </c>
      <c r="AH14" s="8">
        <f t="shared" si="10"/>
        <v>-1.490256676083856E-2</v>
      </c>
      <c r="AI14" s="8">
        <f t="shared" si="11"/>
        <v>2.4814886457825751E-2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P15" s="8">
        <v>11</v>
      </c>
      <c r="Q15" s="8">
        <f t="shared" si="7"/>
        <v>0.34375</v>
      </c>
      <c r="R15" s="8">
        <f t="shared" si="0"/>
        <v>4.0212566897224189E-4</v>
      </c>
      <c r="S15" s="8">
        <f t="shared" si="8"/>
        <v>0.34423828125</v>
      </c>
      <c r="T15" s="8">
        <f t="shared" si="1"/>
        <v>-1.2428154552712734E-4</v>
      </c>
      <c r="U15" s="8">
        <f t="shared" si="3"/>
        <v>0.343994140625</v>
      </c>
      <c r="V15" s="8">
        <f t="shared" si="2"/>
        <v>1.3890866342486374E-4</v>
      </c>
      <c r="W15" s="8">
        <f t="shared" si="4"/>
        <v>5.5858739205763325E-8</v>
      </c>
      <c r="X15" s="8">
        <f t="shared" si="5"/>
        <v>-1.7263783377549612E-8</v>
      </c>
      <c r="Y15" s="8">
        <f t="shared" si="6"/>
        <v>4.8828125E-4</v>
      </c>
      <c r="AA15" s="8">
        <v>11</v>
      </c>
      <c r="AB15" s="8">
        <f t="shared" si="13"/>
        <v>1757.8125</v>
      </c>
      <c r="AC15" s="8">
        <v>-0.21081603648985947</v>
      </c>
      <c r="AD15" s="8">
        <f t="shared" si="14"/>
        <v>1759.765625</v>
      </c>
      <c r="AE15" s="8">
        <v>7.0689910544615486E-2</v>
      </c>
      <c r="AF15" s="8">
        <f t="shared" si="9"/>
        <v>1758.7890625</v>
      </c>
      <c r="AG15" s="8">
        <v>-6.9918236420789981E-2</v>
      </c>
      <c r="AH15" s="8">
        <f t="shared" si="10"/>
        <v>1.4739885480591882E-2</v>
      </c>
      <c r="AI15" s="8">
        <f t="shared" si="11"/>
        <v>-4.9425138780229199E-3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20" t="s">
        <v>86</v>
      </c>
      <c r="G16" s="20"/>
      <c r="H16" s="20"/>
      <c r="J16" s="20" t="s">
        <v>50</v>
      </c>
      <c r="K16" s="21"/>
      <c r="L16" s="21"/>
      <c r="P16" s="8">
        <v>12</v>
      </c>
      <c r="Q16" s="8">
        <f t="shared" si="7"/>
        <v>0.343994140625</v>
      </c>
      <c r="R16" s="8">
        <f t="shared" si="0"/>
        <v>1.3890866342486374E-4</v>
      </c>
      <c r="S16" s="8">
        <f t="shared" si="8"/>
        <v>0.34423828125</v>
      </c>
      <c r="T16" s="8">
        <f t="shared" si="1"/>
        <v>-1.2428154552712734E-4</v>
      </c>
      <c r="U16" s="8">
        <f t="shared" si="3"/>
        <v>0.3441162109375</v>
      </c>
      <c r="V16" s="8">
        <f t="shared" si="2"/>
        <v>7.3102128929636301E-6</v>
      </c>
      <c r="W16" s="8">
        <f t="shared" si="4"/>
        <v>1.0154519023127844E-9</v>
      </c>
      <c r="X16" s="8">
        <f t="shared" si="5"/>
        <v>-9.085245564698526E-10</v>
      </c>
      <c r="Y16" s="8">
        <f t="shared" si="6"/>
        <v>2.44140625E-4</v>
      </c>
      <c r="AA16" s="8">
        <v>12</v>
      </c>
      <c r="AB16" s="8">
        <f t="shared" si="13"/>
        <v>1758.7890625</v>
      </c>
      <c r="AC16" s="8">
        <v>-6.9918236420789981E-2</v>
      </c>
      <c r="AD16" s="8">
        <f t="shared" si="14"/>
        <v>1759.765625</v>
      </c>
      <c r="AE16" s="8">
        <v>7.0689910544615486E-2</v>
      </c>
      <c r="AF16" s="8">
        <f t="shared" si="9"/>
        <v>1759.27734375</v>
      </c>
      <c r="AG16" s="8">
        <v>4.222546115215664E-4</v>
      </c>
      <c r="AH16" s="8">
        <f t="shared" si="10"/>
        <v>-2.952329775813371E-5</v>
      </c>
      <c r="AI16" s="8">
        <f t="shared" si="11"/>
        <v>2.9849140715510894E-5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627.79818823050266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0.3441162109375</v>
      </c>
      <c r="R17" s="8">
        <f t="shared" si="0"/>
        <v>7.3102128929636301E-6</v>
      </c>
      <c r="S17" s="8">
        <f t="shared" si="8"/>
        <v>0.34423828125</v>
      </c>
      <c r="T17" s="8">
        <f t="shared" si="1"/>
        <v>-1.2428154552712734E-4</v>
      </c>
      <c r="U17" s="8">
        <f t="shared" si="3"/>
        <v>0.34417724609375</v>
      </c>
      <c r="V17" s="8">
        <f t="shared" si="2"/>
        <v>-5.8486502391763562E-5</v>
      </c>
      <c r="W17" s="8">
        <f t="shared" si="4"/>
        <v>-4.275487838486182E-10</v>
      </c>
      <c r="X17" s="8">
        <f t="shared" si="5"/>
        <v>7.2687929097244045E-9</v>
      </c>
      <c r="Y17" s="8">
        <f t="shared" si="6"/>
        <v>1.220703125E-4</v>
      </c>
      <c r="AA17" s="8">
        <v>13</v>
      </c>
      <c r="AB17" s="8">
        <f t="shared" si="13"/>
        <v>1758.7890625</v>
      </c>
      <c r="AC17" s="8">
        <v>-6.9918236420789981E-2</v>
      </c>
      <c r="AD17" s="8">
        <f t="shared" si="14"/>
        <v>1759.27734375</v>
      </c>
      <c r="AE17" s="8">
        <v>4.222546115215664E-4</v>
      </c>
      <c r="AF17" s="8">
        <f t="shared" si="9"/>
        <v>1759.033203125</v>
      </c>
      <c r="AG17" s="8">
        <v>-3.4738475067570107E-2</v>
      </c>
      <c r="AH17" s="8">
        <f t="shared" si="10"/>
        <v>2.4288529126720851E-3</v>
      </c>
      <c r="AI17" s="8">
        <f t="shared" si="11"/>
        <v>-1.4668481294508436E-5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129.12379999708568</v>
      </c>
      <c r="H18" t="s">
        <v>14</v>
      </c>
      <c r="J18" t="s">
        <v>36</v>
      </c>
      <c r="K18">
        <f xml:space="preserve"> K12 / $C$6</f>
        <v>1736.6092882217458</v>
      </c>
      <c r="L18" t="s">
        <v>37</v>
      </c>
      <c r="P18" s="8">
        <v>14</v>
      </c>
      <c r="Q18" s="8">
        <f t="shared" si="7"/>
        <v>0.3441162109375</v>
      </c>
      <c r="R18" s="8">
        <f t="shared" si="0"/>
        <v>7.3102128929636301E-6</v>
      </c>
      <c r="S18" s="8">
        <f t="shared" si="8"/>
        <v>0.34417724609375</v>
      </c>
      <c r="T18" s="8">
        <f t="shared" si="1"/>
        <v>-5.8486502391763562E-5</v>
      </c>
      <c r="U18" s="8">
        <f t="shared" si="3"/>
        <v>0.344146728515625</v>
      </c>
      <c r="V18" s="8">
        <f t="shared" si="2"/>
        <v>-2.5588353822936227E-5</v>
      </c>
      <c r="W18" s="8">
        <f t="shared" si="4"/>
        <v>-1.8705631402614359E-10</v>
      </c>
      <c r="X18" s="8">
        <f t="shared" si="5"/>
        <v>1.496573317066452E-9</v>
      </c>
      <c r="Y18" s="8">
        <f t="shared" si="6"/>
        <v>6.103515625E-5</v>
      </c>
      <c r="AA18" s="8">
        <v>14</v>
      </c>
      <c r="AB18" s="8">
        <f t="shared" si="13"/>
        <v>1759.033203125</v>
      </c>
      <c r="AC18" s="8">
        <v>-3.4738475067570107E-2</v>
      </c>
      <c r="AD18" s="8">
        <f t="shared" si="14"/>
        <v>1759.27734375</v>
      </c>
      <c r="AE18" s="8">
        <v>4.222546115215664E-4</v>
      </c>
      <c r="AF18" s="8">
        <f t="shared" si="9"/>
        <v>1759.1552734375</v>
      </c>
      <c r="AG18" s="8">
        <v>-1.7156761490696226E-2</v>
      </c>
      <c r="AH18" s="8">
        <f t="shared" si="10"/>
        <v>5.9599973128479785E-4</v>
      </c>
      <c r="AI18" s="8">
        <f t="shared" si="11"/>
        <v>-7.2445216582221059E-6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0.188 * (G4/1000) + 5.836 + 0.188 * (G9/1000) + 5.836</f>
        <v>101.71654674026901</v>
      </c>
      <c r="H19" t="s">
        <v>14</v>
      </c>
      <c r="J19" t="s">
        <v>53</v>
      </c>
      <c r="K19">
        <f xml:space="preserve"> PI() * $C$23 / ($C$22 * $C$25)</f>
        <v>191.98621771937624</v>
      </c>
      <c r="L19" t="s">
        <v>54</v>
      </c>
      <c r="P19" s="8">
        <v>15</v>
      </c>
      <c r="Q19" s="8">
        <f t="shared" si="7"/>
        <v>0.3441162109375</v>
      </c>
      <c r="R19" s="8">
        <f t="shared" si="0"/>
        <v>7.3102128929636301E-6</v>
      </c>
      <c r="S19" s="8">
        <f t="shared" si="8"/>
        <v>0.344146728515625</v>
      </c>
      <c r="T19" s="8">
        <f t="shared" si="1"/>
        <v>-2.5588353822936227E-5</v>
      </c>
      <c r="U19" s="8">
        <f t="shared" si="3"/>
        <v>0.3441314697265625</v>
      </c>
      <c r="V19" s="8">
        <f t="shared" si="2"/>
        <v>-9.1391227402537467E-6</v>
      </c>
      <c r="W19" s="8">
        <f t="shared" si="4"/>
        <v>-6.6808932886180036E-11</v>
      </c>
      <c r="X19" s="8">
        <f t="shared" si="5"/>
        <v>2.3385510630885535E-10</v>
      </c>
      <c r="Y19" s="8">
        <f t="shared" si="6"/>
        <v>3.0517578125E-5</v>
      </c>
      <c r="AA19" s="8">
        <v>15</v>
      </c>
      <c r="AB19" s="8">
        <f t="shared" si="13"/>
        <v>1759.1552734375</v>
      </c>
      <c r="AC19" s="8">
        <v>-1.7156761490696226E-2</v>
      </c>
      <c r="AD19" s="8">
        <f t="shared" si="14"/>
        <v>1759.27734375</v>
      </c>
      <c r="AE19" s="8">
        <v>4.222546115215664E-4</v>
      </c>
      <c r="AF19" s="8">
        <f t="shared" si="9"/>
        <v>1759.21630859375</v>
      </c>
      <c r="AG19" s="8">
        <v>-8.3667102057916054E-3</v>
      </c>
      <c r="AH19" s="8">
        <f t="shared" si="10"/>
        <v>1.4354565146254051E-4</v>
      </c>
      <c r="AI19" s="8">
        <f t="shared" si="11"/>
        <v>-3.5328819676600593E-6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1759.2744139892602</v>
      </c>
      <c r="D20" s="3" t="s">
        <v>14</v>
      </c>
      <c r="F20" s="14" t="s">
        <v>97</v>
      </c>
      <c r="G20">
        <f xml:space="preserve"> 14.86 * ($C$20*2.20462)^0.144 * (6.7/(PI()*1.8))^0.778 * (6.7*3.28084)^0.383 * 4^0.455 * 0.453592</f>
        <v>155.13153788682038</v>
      </c>
      <c r="H20" t="s">
        <v>14</v>
      </c>
      <c r="J20" t="s">
        <v>55</v>
      </c>
      <c r="K20">
        <f xml:space="preserve"> $C$23 * COS(K17) / (K19 * $C$22)</f>
        <v>2.7742534554270872E-2</v>
      </c>
      <c r="P20" s="8">
        <v>16</v>
      </c>
      <c r="Q20" s="8">
        <f t="shared" si="7"/>
        <v>0.3441162109375</v>
      </c>
      <c r="R20" s="8">
        <f t="shared" si="0"/>
        <v>7.3102128929636301E-6</v>
      </c>
      <c r="S20" s="8">
        <f t="shared" si="8"/>
        <v>0.3441314697265625</v>
      </c>
      <c r="T20" s="8">
        <f t="shared" si="1"/>
        <v>-9.1391227402537467E-6</v>
      </c>
      <c r="U20" s="8">
        <f t="shared" si="3"/>
        <v>0.34412384033203125</v>
      </c>
      <c r="V20" s="8">
        <f t="shared" si="2"/>
        <v>-9.1446799327377093E-7</v>
      </c>
      <c r="W20" s="8">
        <f t="shared" si="4"/>
        <v>-6.684955714632498E-12</v>
      </c>
      <c r="X20" s="8">
        <f t="shared" si="5"/>
        <v>8.3574352325625303E-12</v>
      </c>
      <c r="Y20" s="8">
        <f t="shared" si="6"/>
        <v>1.52587890625E-5</v>
      </c>
      <c r="AA20" s="8">
        <v>16</v>
      </c>
      <c r="AB20" s="8">
        <f t="shared" si="13"/>
        <v>1759.21630859375</v>
      </c>
      <c r="AC20" s="8">
        <v>-8.3667102057916054E-3</v>
      </c>
      <c r="AD20" s="8">
        <f t="shared" si="14"/>
        <v>1759.27734375</v>
      </c>
      <c r="AE20" s="8">
        <v>4.222546115215664E-4</v>
      </c>
      <c r="AF20" s="8">
        <f t="shared" si="9"/>
        <v>1759.246826171875</v>
      </c>
      <c r="AG20" s="8">
        <v>-3.9720919878618588E-3</v>
      </c>
      <c r="AH20" s="8">
        <f t="shared" si="10"/>
        <v>3.3233342573186878E-5</v>
      </c>
      <c r="AI20" s="8">
        <f t="shared" si="11"/>
        <v>-1.6772341592625357E-6</v>
      </c>
      <c r="AJ20" s="8">
        <f t="shared" si="12"/>
        <v>6.103515625E-2</v>
      </c>
    </row>
    <row r="21" spans="2:36" x14ac:dyDescent="0.2">
      <c r="B21" t="s">
        <v>15</v>
      </c>
      <c r="C21" s="1">
        <v>1.2</v>
      </c>
      <c r="D21" t="s">
        <v>16</v>
      </c>
      <c r="F21" s="14" t="s">
        <v>98</v>
      </c>
      <c r="G21">
        <f xml:space="preserve"> 0.054 * (0.7*3.28084)^0.501 * ($C$20*2.20462*5.7)^0.684 * 0.453592</f>
        <v>34.803957488997163</v>
      </c>
      <c r="H21" t="s">
        <v>14</v>
      </c>
      <c r="J21" t="s">
        <v>56</v>
      </c>
      <c r="K21">
        <f xml:space="preserve"> K18 / ( $C$33 * PI() * $C$22^2 * K19^2 * $C$22^2)</f>
        <v>1.8659758335729235E-2</v>
      </c>
      <c r="P21" s="8">
        <v>17</v>
      </c>
      <c r="Q21" s="8">
        <f t="shared" si="7"/>
        <v>0.3441162109375</v>
      </c>
      <c r="R21" s="8">
        <f t="shared" si="0"/>
        <v>7.3102128929636301E-6</v>
      </c>
      <c r="S21" s="8">
        <f t="shared" si="8"/>
        <v>0.34412384033203125</v>
      </c>
      <c r="T21" s="8">
        <f t="shared" si="1"/>
        <v>-9.1446799327377093E-7</v>
      </c>
      <c r="U21" s="8">
        <f t="shared" si="3"/>
        <v>0.34412002563476562</v>
      </c>
      <c r="V21" s="8">
        <f t="shared" si="2"/>
        <v>3.1978691823475458E-6</v>
      </c>
      <c r="W21" s="8">
        <f t="shared" si="4"/>
        <v>2.337710452680809E-11</v>
      </c>
      <c r="X21" s="8">
        <f t="shared" si="5"/>
        <v>-2.9243490139333949E-12</v>
      </c>
      <c r="Y21" s="8">
        <f t="shared" si="6"/>
        <v>7.62939453125E-6</v>
      </c>
      <c r="AA21" s="8">
        <v>17</v>
      </c>
      <c r="AB21" s="8">
        <f t="shared" si="13"/>
        <v>1759.246826171875</v>
      </c>
      <c r="AC21" s="8">
        <v>-3.9720919878618588E-3</v>
      </c>
      <c r="AD21" s="8">
        <f t="shared" si="14"/>
        <v>1759.27734375</v>
      </c>
      <c r="AE21" s="8">
        <v>4.222546115215664E-4</v>
      </c>
      <c r="AF21" s="8">
        <f t="shared" si="9"/>
        <v>1759.2620849609375</v>
      </c>
      <c r="AG21" s="8">
        <v>-1.774884736050808E-3</v>
      </c>
      <c r="AH21" s="8">
        <f t="shared" si="10"/>
        <v>7.0500054394457242E-6</v>
      </c>
      <c r="AI21" s="8">
        <f t="shared" si="11"/>
        <v>-7.494532647166919E-7</v>
      </c>
      <c r="AJ21" s="8">
        <f t="shared" si="12"/>
        <v>3.0517578125E-2</v>
      </c>
    </row>
    <row r="22" spans="2:36" x14ac:dyDescent="0.2">
      <c r="B22" t="s">
        <v>17</v>
      </c>
      <c r="C22" s="1">
        <v>0.9</v>
      </c>
      <c r="D22" t="s">
        <v>16</v>
      </c>
      <c r="F22" s="14" t="s">
        <v>90</v>
      </c>
      <c r="G22">
        <f xml:space="preserve"> 0.04674 * ($C$20*2.20462)^0.397 * ($C$24*3.28084^2)^0.36 * 3^0.397 * $C$12^1.712 * 0.453592</f>
        <v>206.16084700286123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0.34412002563476562</v>
      </c>
      <c r="R22" s="8">
        <f t="shared" si="0"/>
        <v>3.1978691823475458E-6</v>
      </c>
      <c r="S22" s="8">
        <f t="shared" si="8"/>
        <v>0.34412384033203125</v>
      </c>
      <c r="T22" s="8">
        <f t="shared" si="1"/>
        <v>-9.1446799327377093E-7</v>
      </c>
      <c r="U22" s="8">
        <f t="shared" si="3"/>
        <v>0.34412193298339844</v>
      </c>
      <c r="V22" s="8">
        <f t="shared" si="2"/>
        <v>1.1416997776625415E-6</v>
      </c>
      <c r="W22" s="8">
        <f t="shared" si="4"/>
        <v>3.6510065344800862E-12</v>
      </c>
      <c r="X22" s="8">
        <f t="shared" si="5"/>
        <v>-1.0440479046001747E-12</v>
      </c>
      <c r="Y22" s="8">
        <f t="shared" si="6"/>
        <v>3.814697265625E-6</v>
      </c>
      <c r="AA22" s="8">
        <v>18</v>
      </c>
      <c r="AB22" s="8">
        <f t="shared" si="13"/>
        <v>1759.2620849609375</v>
      </c>
      <c r="AC22" s="8">
        <v>-1.774884736050808E-3</v>
      </c>
      <c r="AD22" s="8">
        <f t="shared" si="14"/>
        <v>1759.27734375</v>
      </c>
      <c r="AE22" s="8">
        <v>4.222546115215664E-4</v>
      </c>
      <c r="AF22" s="8">
        <f t="shared" si="9"/>
        <v>1759.2697143554688</v>
      </c>
      <c r="AG22" s="8">
        <v>-6.7548221659308183E-4</v>
      </c>
      <c r="AH22" s="8">
        <f t="shared" si="10"/>
        <v>1.1989030757048268E-6</v>
      </c>
      <c r="AI22" s="8">
        <f t="shared" si="11"/>
        <v>-2.8522548095723832E-7</v>
      </c>
      <c r="AJ22" s="8">
        <f t="shared" si="12"/>
        <v>1.52587890625E-2</v>
      </c>
    </row>
    <row r="23" spans="2:36" x14ac:dyDescent="0.2">
      <c r="B23" t="s">
        <v>18</v>
      </c>
      <c r="C23" s="1">
        <v>55</v>
      </c>
      <c r="D23" t="s">
        <v>19</v>
      </c>
      <c r="F23" s="14" t="s">
        <v>99</v>
      </c>
      <c r="G23">
        <v>0</v>
      </c>
      <c r="H23" t="s">
        <v>14</v>
      </c>
      <c r="J23" t="s">
        <v>57</v>
      </c>
      <c r="K23">
        <f xml:space="preserve"> ($C$8 * $K$22 / 8) * (1 + 4.65 * K20^2) * ( PI() * $C$33 * K19^3 * C22^5)</f>
        <v>3146.9858091218234</v>
      </c>
      <c r="L23" t="s">
        <v>35</v>
      </c>
      <c r="P23" s="8">
        <v>19</v>
      </c>
      <c r="Q23" s="8">
        <f t="shared" si="7"/>
        <v>0.34412193298339844</v>
      </c>
      <c r="R23" s="8">
        <f t="shared" si="0"/>
        <v>1.1416997776625415E-6</v>
      </c>
      <c r="S23" s="8">
        <f t="shared" si="8"/>
        <v>0.34412384033203125</v>
      </c>
      <c r="T23" s="8">
        <f t="shared" si="1"/>
        <v>-9.1446799327377093E-7</v>
      </c>
      <c r="U23" s="8">
        <f t="shared" si="3"/>
        <v>0.34412288665771484</v>
      </c>
      <c r="V23" s="8">
        <f t="shared" si="2"/>
        <v>1.136156879688599E-7</v>
      </c>
      <c r="W23" s="8">
        <f t="shared" si="4"/>
        <v>1.2971500569302404E-13</v>
      </c>
      <c r="X23" s="8">
        <f t="shared" si="5"/>
        <v>-1.0389791018130224E-13</v>
      </c>
      <c r="Y23" s="8">
        <f t="shared" si="6"/>
        <v>1.9073486328125E-6</v>
      </c>
      <c r="AA23" s="8">
        <v>19</v>
      </c>
      <c r="AB23" s="8">
        <f t="shared" si="13"/>
        <v>1759.2697143554688</v>
      </c>
      <c r="AC23" s="8">
        <v>-6.7548221659308183E-4</v>
      </c>
      <c r="AD23" s="8">
        <f t="shared" si="14"/>
        <v>1759.27734375</v>
      </c>
      <c r="AE23" s="8">
        <v>4.222546115215664E-4</v>
      </c>
      <c r="AF23" s="8">
        <f t="shared" si="9"/>
        <v>1759.2735290527344</v>
      </c>
      <c r="AG23" s="8">
        <v>-1.2743603952003468E-4</v>
      </c>
      <c r="AH23" s="8">
        <f t="shared" si="10"/>
        <v>8.6080778448836608E-8</v>
      </c>
      <c r="AI23" s="8">
        <f t="shared" si="11"/>
        <v>-5.3810455361379228E-8</v>
      </c>
      <c r="AJ23" s="8">
        <f t="shared" si="12"/>
        <v>7.62939453125E-3</v>
      </c>
    </row>
    <row r="24" spans="2:36" x14ac:dyDescent="0.2">
      <c r="B24" t="s">
        <v>20</v>
      </c>
      <c r="C24" s="1">
        <v>6.4</v>
      </c>
      <c r="D24" t="s">
        <v>21</v>
      </c>
      <c r="F24" s="14" t="s">
        <v>100</v>
      </c>
      <c r="G24">
        <v>0</v>
      </c>
      <c r="H24" t="s">
        <v>14</v>
      </c>
      <c r="J24" t="s">
        <v>58</v>
      </c>
      <c r="K24" s="5">
        <f>U34</f>
        <v>0.34412299236282706</v>
      </c>
      <c r="P24" s="8">
        <v>20</v>
      </c>
      <c r="Q24" s="8">
        <f t="shared" si="7"/>
        <v>0.34412288665771484</v>
      </c>
      <c r="R24" s="8">
        <f t="shared" si="0"/>
        <v>1.136156879688599E-7</v>
      </c>
      <c r="S24" s="8">
        <f t="shared" si="8"/>
        <v>0.34412384033203125</v>
      </c>
      <c r="T24" s="8">
        <f t="shared" si="1"/>
        <v>-9.1446799327377093E-7</v>
      </c>
      <c r="U24" s="8">
        <f t="shared" si="3"/>
        <v>0.34412336349487305</v>
      </c>
      <c r="V24" s="8">
        <f t="shared" si="2"/>
        <v>-4.0042620375047022E-7</v>
      </c>
      <c r="W24" s="8">
        <f t="shared" si="4"/>
        <v>-4.5494698619868544E-14</v>
      </c>
      <c r="X24" s="8">
        <f t="shared" si="5"/>
        <v>3.6617694699792661E-13</v>
      </c>
      <c r="Y24" s="8">
        <f t="shared" si="6"/>
        <v>9.5367431640625E-7</v>
      </c>
      <c r="AA24" s="8">
        <v>20</v>
      </c>
      <c r="AB24" s="8">
        <f t="shared" si="13"/>
        <v>1759.2735290527344</v>
      </c>
      <c r="AC24" s="8">
        <v>-1.2743603952003468E-4</v>
      </c>
      <c r="AD24" s="8">
        <f t="shared" si="14"/>
        <v>1759.27734375</v>
      </c>
      <c r="AE24" s="8">
        <v>4.222546115215664E-4</v>
      </c>
      <c r="AF24" s="8">
        <f t="shared" si="9"/>
        <v>1759.2754364013672</v>
      </c>
      <c r="AG24" s="8">
        <v>1.4740981623617699E-4</v>
      </c>
      <c r="AH24" s="8">
        <f t="shared" si="10"/>
        <v>-1.8785323167514503E-8</v>
      </c>
      <c r="AI24" s="8">
        <f t="shared" si="11"/>
        <v>6.2244474689272409E-8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5" t="s">
        <v>101</v>
      </c>
      <c r="G25">
        <f xml:space="preserve"> 0.0268 * $C$20</f>
        <v>47.148554294912174</v>
      </c>
      <c r="H25" t="s">
        <v>14</v>
      </c>
      <c r="J25" t="s">
        <v>59</v>
      </c>
      <c r="K25">
        <f xml:space="preserve"> K19 * $C$22 * K24 - $C$23 * SIN(K17)</f>
        <v>4.6694761655656691</v>
      </c>
      <c r="L25" t="s">
        <v>19</v>
      </c>
      <c r="P25" s="8">
        <v>21</v>
      </c>
      <c r="Q25" s="8">
        <f t="shared" si="7"/>
        <v>0.34412288665771484</v>
      </c>
      <c r="R25" s="8">
        <f t="shared" si="0"/>
        <v>1.136156879688599E-7</v>
      </c>
      <c r="S25" s="8">
        <f t="shared" si="8"/>
        <v>0.34412336349487305</v>
      </c>
      <c r="T25" s="8">
        <f t="shared" si="1"/>
        <v>-4.0042620375047022E-7</v>
      </c>
      <c r="U25" s="8">
        <f t="shared" si="3"/>
        <v>0.34412312507629395</v>
      </c>
      <c r="V25" s="8">
        <f t="shared" si="2"/>
        <v>-1.4340527065836994E-7</v>
      </c>
      <c r="W25" s="8">
        <f t="shared" si="4"/>
        <v>-1.629308848421126E-14</v>
      </c>
      <c r="X25" s="8">
        <f t="shared" si="5"/>
        <v>5.7423228127539771E-14</v>
      </c>
      <c r="Y25" s="8">
        <f t="shared" si="6"/>
        <v>4.76837158203125E-7</v>
      </c>
      <c r="AA25" s="8">
        <v>21</v>
      </c>
      <c r="AB25" s="8">
        <f t="shared" si="13"/>
        <v>1759.2735290527344</v>
      </c>
      <c r="AC25" s="8">
        <v>-1.2743603952003468E-4</v>
      </c>
      <c r="AD25" s="8">
        <f t="shared" si="14"/>
        <v>1759.2754364013672</v>
      </c>
      <c r="AE25" s="8">
        <v>1.4740981623617699E-4</v>
      </c>
      <c r="AF25" s="8">
        <f t="shared" si="9"/>
        <v>1759.2744827270508</v>
      </c>
      <c r="AG25" s="8">
        <v>1.0811382026076899E-5</v>
      </c>
      <c r="AH25" s="8">
        <f t="shared" si="10"/>
        <v>-1.3777597071413283E-9</v>
      </c>
      <c r="AI25" s="8">
        <f t="shared" si="11"/>
        <v>1.5937038377231026E-9</v>
      </c>
      <c r="AJ25" s="8">
        <f t="shared" si="12"/>
        <v>1.9073486328125E-3</v>
      </c>
    </row>
    <row r="26" spans="2:36" x14ac:dyDescent="0.2">
      <c r="F26" s="15" t="s">
        <v>102</v>
      </c>
      <c r="G26">
        <f xml:space="preserve"> 11.5 * ($C$20*2.20462/1000)^0.4 * 0.453592</f>
        <v>8.9707790153142888</v>
      </c>
      <c r="H26" t="s">
        <v>14</v>
      </c>
      <c r="J26" t="s">
        <v>60</v>
      </c>
      <c r="K26">
        <f xml:space="preserve"> 1/$C$9 - K23 * SQRT( (2*$C$33*PI()*$C$22^2) / K18^3 )</f>
        <v>1.2247552694509789</v>
      </c>
      <c r="P26" s="8">
        <v>22</v>
      </c>
      <c r="Q26" s="8">
        <f t="shared" si="7"/>
        <v>0.34412288665771484</v>
      </c>
      <c r="R26" s="8">
        <f t="shared" si="0"/>
        <v>1.136156879688599E-7</v>
      </c>
      <c r="S26" s="8">
        <f t="shared" si="8"/>
        <v>0.34412312507629395</v>
      </c>
      <c r="T26" s="8">
        <f t="shared" si="1"/>
        <v>-1.4340527065836994E-7</v>
      </c>
      <c r="U26" s="8">
        <f t="shared" si="3"/>
        <v>0.34412300586700439</v>
      </c>
      <c r="V26" s="8">
        <f t="shared" si="2"/>
        <v>-1.4894794508890641E-8</v>
      </c>
      <c r="W26" s="8">
        <f t="shared" si="4"/>
        <v>-1.692282325282407E-15</v>
      </c>
      <c r="X26" s="8">
        <f t="shared" si="5"/>
        <v>2.1359920379482649E-15</v>
      </c>
      <c r="Y26" s="8">
        <f t="shared" si="6"/>
        <v>2.384185791015625E-7</v>
      </c>
      <c r="AA26" s="8">
        <v>22</v>
      </c>
      <c r="AB26" s="8">
        <f t="shared" si="13"/>
        <v>1759.2735290527344</v>
      </c>
      <c r="AC26" s="8">
        <v>-1.2743603952003468E-4</v>
      </c>
      <c r="AD26" s="8">
        <f t="shared" si="14"/>
        <v>1759.2744827270508</v>
      </c>
      <c r="AE26" s="8">
        <v>1.0811382026076899E-5</v>
      </c>
      <c r="AF26" s="8">
        <f t="shared" si="9"/>
        <v>1759.2740058898926</v>
      </c>
      <c r="AG26" s="8">
        <v>-5.7487935009703506E-5</v>
      </c>
      <c r="AH26" s="8">
        <f t="shared" si="10"/>
        <v>7.3260347578217612E-9</v>
      </c>
      <c r="AI26" s="8">
        <f t="shared" si="11"/>
        <v>-6.2152402728018538E-10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103</v>
      </c>
      <c r="G27">
        <f xml:space="preserve"> 8 * ($C$20/1000)</f>
        <v>14.074195311914082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0.34412288665771484</v>
      </c>
      <c r="R27" s="8">
        <f t="shared" si="0"/>
        <v>1.136156879688599E-7</v>
      </c>
      <c r="S27" s="8">
        <f t="shared" si="8"/>
        <v>0.34412300586700439</v>
      </c>
      <c r="T27" s="8">
        <f t="shared" si="1"/>
        <v>-1.4894794508890641E-8</v>
      </c>
      <c r="U27" s="8">
        <f t="shared" si="3"/>
        <v>0.34412294626235962</v>
      </c>
      <c r="V27" s="8">
        <f t="shared" si="2"/>
        <v>4.9360445897317362E-8</v>
      </c>
      <c r="W27" s="8">
        <f t="shared" si="4"/>
        <v>5.6081210190734E-15</v>
      </c>
      <c r="X27" s="8">
        <f t="shared" si="5"/>
        <v>-7.3521369850775619E-16</v>
      </c>
      <c r="Y27" s="8">
        <f t="shared" si="6"/>
        <v>1.1920928955078125E-7</v>
      </c>
      <c r="AA27" s="8">
        <v>23</v>
      </c>
      <c r="AB27" s="8">
        <f t="shared" si="13"/>
        <v>1759.2740058898926</v>
      </c>
      <c r="AC27" s="8">
        <v>-5.7487935009703506E-5</v>
      </c>
      <c r="AD27" s="8">
        <f t="shared" si="14"/>
        <v>1759.2744827270508</v>
      </c>
      <c r="AE27" s="8">
        <v>1.0811382026076899E-5</v>
      </c>
      <c r="AF27" s="8">
        <f t="shared" si="9"/>
        <v>1759.2742443084717</v>
      </c>
      <c r="AG27" s="8">
        <v>-2.4162629188140272E-5</v>
      </c>
      <c r="AH27" s="8">
        <f t="shared" si="10"/>
        <v>1.3890596564313729E-9</v>
      </c>
      <c r="AI27" s="8">
        <f t="shared" si="11"/>
        <v>-2.6123141490742079E-10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104</v>
      </c>
      <c r="G28">
        <f xml:space="preserve"> 13 * ($C$20*2.20462/1000)^1.3 * 0.453592</f>
        <v>34.346008020428975</v>
      </c>
      <c r="H28" t="s">
        <v>14</v>
      </c>
      <c r="J28" t="s">
        <v>62</v>
      </c>
      <c r="K28">
        <f xml:space="preserve"> 1/$C$38 * LN( EXP($C$38 * K26) + EXP($C$38 * K27) )</f>
        <v>1.2281189006558431</v>
      </c>
      <c r="P28" s="8">
        <v>24</v>
      </c>
      <c r="Q28" s="8">
        <f t="shared" si="7"/>
        <v>0.34412294626235962</v>
      </c>
      <c r="R28" s="8">
        <f t="shared" si="0"/>
        <v>4.9360445897317362E-8</v>
      </c>
      <c r="S28" s="8">
        <f t="shared" si="8"/>
        <v>0.34412300586700439</v>
      </c>
      <c r="T28" s="8">
        <f t="shared" si="1"/>
        <v>-1.4894794508890641E-8</v>
      </c>
      <c r="U28" s="8">
        <f t="shared" si="3"/>
        <v>0.34412297606468201</v>
      </c>
      <c r="V28" s="8">
        <f t="shared" si="2"/>
        <v>1.7232825499924331E-8</v>
      </c>
      <c r="W28" s="8">
        <f t="shared" si="4"/>
        <v>8.5061995074692596E-16</v>
      </c>
      <c r="X28" s="8">
        <f t="shared" si="5"/>
        <v>-2.5667939462894357E-16</v>
      </c>
      <c r="Y28" s="8">
        <f t="shared" si="6"/>
        <v>5.9604644775390625E-8</v>
      </c>
      <c r="AA28" s="8">
        <v>24</v>
      </c>
      <c r="AB28" s="8">
        <f t="shared" si="13"/>
        <v>1759.2742443084717</v>
      </c>
      <c r="AC28" s="8">
        <v>-2.4162629188140272E-5</v>
      </c>
      <c r="AD28" s="8">
        <f t="shared" si="14"/>
        <v>1759.2744827270508</v>
      </c>
      <c r="AE28" s="8">
        <v>1.0811382026076899E-5</v>
      </c>
      <c r="AF28" s="8">
        <f t="shared" si="9"/>
        <v>1759.2743635177612</v>
      </c>
      <c r="AG28" s="8">
        <v>-7.49998253013473E-6</v>
      </c>
      <c r="AH28" s="8">
        <f t="shared" si="10"/>
        <v>1.8121929679317556E-10</v>
      </c>
      <c r="AI28" s="8">
        <f t="shared" si="11"/>
        <v>-8.1085176322189364E-11</v>
      </c>
      <c r="AJ28" s="8">
        <f t="shared" si="12"/>
        <v>2.384185791015625E-4</v>
      </c>
    </row>
    <row r="29" spans="2:36" x14ac:dyDescent="0.2">
      <c r="B29" t="s">
        <v>24</v>
      </c>
      <c r="C29" s="1">
        <v>150000</v>
      </c>
      <c r="D29" t="s">
        <v>16</v>
      </c>
      <c r="F29" s="3" t="s">
        <v>91</v>
      </c>
      <c r="G29" s="3">
        <f>$C$20 - $C$28 - SUM(G17:G28)</f>
        <v>1.546140993013978E-10</v>
      </c>
      <c r="H29" s="3" t="s">
        <v>14</v>
      </c>
      <c r="P29" s="8">
        <v>25</v>
      </c>
      <c r="Q29" s="8">
        <f t="shared" si="7"/>
        <v>0.34412297606468201</v>
      </c>
      <c r="R29" s="8">
        <f t="shared" si="0"/>
        <v>1.7232825499924331E-8</v>
      </c>
      <c r="S29" s="8">
        <f t="shared" si="8"/>
        <v>0.34412300586700439</v>
      </c>
      <c r="T29" s="8">
        <f t="shared" si="1"/>
        <v>-1.4894794508890641E-8</v>
      </c>
      <c r="U29" s="8">
        <f t="shared" si="3"/>
        <v>0.3441229909658432</v>
      </c>
      <c r="V29" s="8">
        <f t="shared" si="2"/>
        <v>1.169015440005694E-9</v>
      </c>
      <c r="W29" s="8">
        <f t="shared" si="4"/>
        <v>2.0145439084335386E-17</v>
      </c>
      <c r="X29" s="8">
        <f t="shared" si="5"/>
        <v>-1.7412244756605188E-17</v>
      </c>
      <c r="Y29" s="8">
        <f t="shared" si="6"/>
        <v>2.9802322387695312E-8</v>
      </c>
      <c r="AA29" s="8">
        <v>25</v>
      </c>
      <c r="AB29" s="8">
        <f t="shared" si="13"/>
        <v>1759.2743635177612</v>
      </c>
      <c r="AC29" s="8">
        <v>-7.49998253013473E-6</v>
      </c>
      <c r="AD29" s="8">
        <f t="shared" si="14"/>
        <v>1759.2744827270508</v>
      </c>
      <c r="AE29" s="8">
        <v>1.0811382026076899E-5</v>
      </c>
      <c r="AF29" s="8">
        <f t="shared" si="9"/>
        <v>1759.274423122406</v>
      </c>
      <c r="AG29" s="8">
        <v>1.655700316405273E-6</v>
      </c>
      <c r="AH29" s="8">
        <f t="shared" si="10"/>
        <v>-1.2417723448178093E-11</v>
      </c>
      <c r="AI29" s="8">
        <f t="shared" si="11"/>
        <v>1.7900408641353803E-11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0.3441229909658432</v>
      </c>
      <c r="R30" s="8">
        <f t="shared" si="0"/>
        <v>1.169015440005694E-9</v>
      </c>
      <c r="S30" s="8">
        <f t="shared" si="8"/>
        <v>0.34412300586700439</v>
      </c>
      <c r="T30" s="8">
        <f t="shared" si="1"/>
        <v>-1.4894794508890641E-8</v>
      </c>
      <c r="U30" s="8">
        <f t="shared" si="3"/>
        <v>0.3441229984164238</v>
      </c>
      <c r="V30" s="8">
        <f t="shared" si="2"/>
        <v>-6.8628895899536246E-9</v>
      </c>
      <c r="W30" s="8">
        <f t="shared" si="4"/>
        <v>-8.0228238937101335E-18</v>
      </c>
      <c r="X30" s="8">
        <f t="shared" si="5"/>
        <v>1.0222133017956399E-16</v>
      </c>
      <c r="Y30" s="8">
        <f t="shared" si="6"/>
        <v>1.4901161193847656E-8</v>
      </c>
      <c r="AA30" s="8">
        <v>26</v>
      </c>
      <c r="AB30" s="8">
        <f t="shared" si="13"/>
        <v>1759.2743635177612</v>
      </c>
      <c r="AC30" s="8">
        <v>-7.49998253013473E-6</v>
      </c>
      <c r="AD30" s="8">
        <f t="shared" si="14"/>
        <v>1759.274423122406</v>
      </c>
      <c r="AE30" s="8">
        <v>1.655700316405273E-6</v>
      </c>
      <c r="AF30" s="8">
        <f t="shared" si="9"/>
        <v>1759.2743933200836</v>
      </c>
      <c r="AG30" s="8">
        <v>-2.0977797703380929E-6</v>
      </c>
      <c r="AH30" s="8">
        <f t="shared" si="10"/>
        <v>1.5733311629605743E-11</v>
      </c>
      <c r="AI30" s="8">
        <f t="shared" si="11"/>
        <v>-3.4732946294973615E-12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0.3441229909658432</v>
      </c>
      <c r="R31" s="8">
        <f t="shared" si="0"/>
        <v>1.169015440005694E-9</v>
      </c>
      <c r="S31" s="8">
        <f t="shared" si="8"/>
        <v>0.3441229984164238</v>
      </c>
      <c r="T31" s="8">
        <f t="shared" si="1"/>
        <v>-6.8628895899536246E-9</v>
      </c>
      <c r="U31" s="8">
        <f t="shared" si="3"/>
        <v>0.3441229946911335</v>
      </c>
      <c r="V31" s="8">
        <f t="shared" si="2"/>
        <v>-2.8469370749739653E-9</v>
      </c>
      <c r="W31" s="8">
        <f t="shared" si="4"/>
        <v>-3.3281133973692136E-18</v>
      </c>
      <c r="X31" s="8">
        <f t="shared" si="5"/>
        <v>1.9538214815091848E-17</v>
      </c>
      <c r="Y31" s="8">
        <f t="shared" si="6"/>
        <v>7.4505805969238281E-9</v>
      </c>
      <c r="AA31" s="8">
        <v>27</v>
      </c>
      <c r="AB31" s="8">
        <f t="shared" si="13"/>
        <v>1759.2743933200836</v>
      </c>
      <c r="AC31" s="8">
        <v>-2.0977797703380929E-6</v>
      </c>
      <c r="AD31" s="8">
        <f t="shared" si="14"/>
        <v>1759.274423122406</v>
      </c>
      <c r="AE31" s="8">
        <v>1.655700316405273E-6</v>
      </c>
      <c r="AF31" s="8">
        <f t="shared" si="9"/>
        <v>1759.2744082212448</v>
      </c>
      <c r="AG31" s="8">
        <v>-1.0454011771798832E-6</v>
      </c>
      <c r="AH31" s="8">
        <f t="shared" si="10"/>
        <v>2.1930214413755874E-12</v>
      </c>
      <c r="AI31" s="8">
        <f t="shared" si="11"/>
        <v>-1.7308710598271776E-12</v>
      </c>
      <c r="AJ31" s="8">
        <f t="shared" si="12"/>
        <v>2.9802322387695312E-5</v>
      </c>
    </row>
    <row r="32" spans="2:36" x14ac:dyDescent="0.2">
      <c r="B32" s="19" t="s">
        <v>110</v>
      </c>
      <c r="C32" s="24"/>
      <c r="D32" s="24"/>
      <c r="P32" s="8">
        <v>28</v>
      </c>
      <c r="Q32" s="8">
        <f t="shared" si="7"/>
        <v>0.3441229909658432</v>
      </c>
      <c r="R32" s="8">
        <f t="shared" si="0"/>
        <v>1.169015440005694E-9</v>
      </c>
      <c r="S32" s="8">
        <f t="shared" si="8"/>
        <v>0.3441229946911335</v>
      </c>
      <c r="T32" s="8">
        <f t="shared" si="1"/>
        <v>-2.8469370749739653E-9</v>
      </c>
      <c r="U32" s="8">
        <f t="shared" si="3"/>
        <v>0.34412299282848835</v>
      </c>
      <c r="V32" s="8">
        <f t="shared" si="2"/>
        <v>-8.3896084523971126E-10</v>
      </c>
      <c r="W32" s="8">
        <f t="shared" si="4"/>
        <v>-9.8075818164545002E-19</v>
      </c>
      <c r="X32" s="8">
        <f t="shared" si="5"/>
        <v>2.3884687347644292E-18</v>
      </c>
      <c r="Y32" s="8">
        <f t="shared" si="6"/>
        <v>3.7252902984619141E-9</v>
      </c>
      <c r="AA32" s="8">
        <v>28</v>
      </c>
      <c r="AB32" s="8">
        <f t="shared" si="13"/>
        <v>1759.2744082212448</v>
      </c>
      <c r="AC32" s="8">
        <v>-1.0454011771798832E-6</v>
      </c>
      <c r="AD32" s="8">
        <f t="shared" si="14"/>
        <v>1759.274423122406</v>
      </c>
      <c r="AE32" s="8">
        <v>1.655700316405273E-6</v>
      </c>
      <c r="AF32" s="8">
        <f t="shared" si="9"/>
        <v>1759.2744156718254</v>
      </c>
      <c r="AG32" s="8">
        <v>3.0514979698637035E-7</v>
      </c>
      <c r="AH32" s="8">
        <f t="shared" si="10"/>
        <v>-3.1900395698575395E-13</v>
      </c>
      <c r="AI32" s="8">
        <f t="shared" si="11"/>
        <v>5.0523661542133822E-13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F33" s="2" t="s">
        <v>93</v>
      </c>
      <c r="G33" s="2"/>
      <c r="H33" s="2"/>
      <c r="P33" s="8">
        <v>29</v>
      </c>
      <c r="Q33" s="8">
        <f t="shared" si="7"/>
        <v>0.3441229909658432</v>
      </c>
      <c r="R33" s="8">
        <f t="shared" si="0"/>
        <v>1.169015440005694E-9</v>
      </c>
      <c r="S33" s="8">
        <f t="shared" si="8"/>
        <v>0.34412299282848835</v>
      </c>
      <c r="T33" s="8">
        <f t="shared" si="1"/>
        <v>-8.3896084523971126E-10</v>
      </c>
      <c r="U33" s="8">
        <f t="shared" si="3"/>
        <v>0.34412299189716578</v>
      </c>
      <c r="V33" s="8">
        <f t="shared" si="2"/>
        <v>1.6502732513856699E-10</v>
      </c>
      <c r="W33" s="8">
        <f t="shared" si="4"/>
        <v>1.9291949110982462E-19</v>
      </c>
      <c r="X33" s="8">
        <f t="shared" si="5"/>
        <v>-1.3845146418590082E-19</v>
      </c>
      <c r="Y33" s="8">
        <f t="shared" si="6"/>
        <v>1.862645149230957E-9</v>
      </c>
      <c r="AA33" s="8">
        <v>29</v>
      </c>
      <c r="AB33" s="8">
        <f t="shared" si="13"/>
        <v>1759.2744082212448</v>
      </c>
      <c r="AC33" s="8">
        <v>-1.0454011771798832E-6</v>
      </c>
      <c r="AD33" s="8">
        <f t="shared" si="14"/>
        <v>1759.2744156718254</v>
      </c>
      <c r="AE33" s="8">
        <v>3.0514979698637035E-7</v>
      </c>
      <c r="AF33" s="8">
        <f t="shared" si="9"/>
        <v>1759.2744119465351</v>
      </c>
      <c r="AG33" s="8">
        <v>-3.7012591747043189E-7</v>
      </c>
      <c r="AH33" s="8">
        <f t="shared" si="10"/>
        <v>3.869300698283738E-13</v>
      </c>
      <c r="AI33" s="8">
        <f t="shared" si="11"/>
        <v>-1.1294384857549636E-13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t="s">
        <v>94</v>
      </c>
      <c r="G34">
        <f>ROUND($C$28/$C$20 * 100, 2)</f>
        <v>22.74</v>
      </c>
      <c r="H34" t="s">
        <v>95</v>
      </c>
      <c r="P34" s="8">
        <v>30</v>
      </c>
      <c r="Q34" s="8">
        <f t="shared" si="7"/>
        <v>0.34412299189716578</v>
      </c>
      <c r="R34" s="8">
        <f t="shared" si="0"/>
        <v>1.6502732513856699E-10</v>
      </c>
      <c r="S34" s="8">
        <f t="shared" si="8"/>
        <v>0.34412299282848835</v>
      </c>
      <c r="T34" s="8">
        <f t="shared" si="1"/>
        <v>-8.3896084523971126E-10</v>
      </c>
      <c r="U34" s="8">
        <f t="shared" si="3"/>
        <v>0.34412299236282706</v>
      </c>
      <c r="V34" s="8">
        <f t="shared" si="2"/>
        <v>-3.3696678780614775E-10</v>
      </c>
      <c r="W34" s="8">
        <f t="shared" si="4"/>
        <v>-5.5608727652183656E-20</v>
      </c>
      <c r="X34" s="8">
        <f t="shared" si="5"/>
        <v>2.8270194111555615E-19</v>
      </c>
      <c r="Y34" s="8">
        <f t="shared" si="6"/>
        <v>9.3132257461547852E-10</v>
      </c>
      <c r="AA34" s="8">
        <v>30</v>
      </c>
      <c r="AB34" s="8">
        <f t="shared" si="13"/>
        <v>1759.2744119465351</v>
      </c>
      <c r="AC34" s="8">
        <v>-3.7012591747043189E-7</v>
      </c>
      <c r="AD34" s="8">
        <f t="shared" si="14"/>
        <v>1759.2744156718254</v>
      </c>
      <c r="AE34" s="8">
        <v>3.0514979698637035E-7</v>
      </c>
      <c r="AF34" s="8">
        <f t="shared" si="9"/>
        <v>1759.2744138091803</v>
      </c>
      <c r="AG34" s="8">
        <v>-3.248806024203077E-8</v>
      </c>
      <c r="AH34" s="8">
        <f t="shared" si="10"/>
        <v>1.20246731039163E-14</v>
      </c>
      <c r="AI34" s="8">
        <f t="shared" si="11"/>
        <v>-9.9137249873366592E-15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s="16" t="s">
        <v>87</v>
      </c>
      <c r="G35">
        <f>ROUND(G17/$C$20 * 100, 2)</f>
        <v>35.69</v>
      </c>
      <c r="H35" t="s">
        <v>95</v>
      </c>
      <c r="AA35" s="8">
        <v>31</v>
      </c>
      <c r="AB35" s="8">
        <f t="shared" si="13"/>
        <v>1759.2744138091803</v>
      </c>
      <c r="AC35">
        <v>-3.248806024203077E-8</v>
      </c>
      <c r="AD35" s="8">
        <f t="shared" si="14"/>
        <v>1759.2744156718254</v>
      </c>
      <c r="AE35">
        <v>3.0514979698637035E-7</v>
      </c>
      <c r="AF35" s="8">
        <f t="shared" si="9"/>
        <v>1759.2744147405028</v>
      </c>
      <c r="AG35">
        <v>1.3633098205900751E-7</v>
      </c>
      <c r="AH35" s="8">
        <f t="shared" si="10"/>
        <v>-4.429129157988252E-15</v>
      </c>
      <c r="AI35" s="8">
        <f t="shared" si="11"/>
        <v>4.160137149825864E-14</v>
      </c>
      <c r="AJ35" s="8">
        <f t="shared" si="12"/>
        <v>1.862645149230957E-6</v>
      </c>
    </row>
    <row r="36" spans="2:36" x14ac:dyDescent="0.2">
      <c r="F36" s="18" t="s">
        <v>107</v>
      </c>
      <c r="G36">
        <f>ROUND(SUM(G18:G19)/$C$20 * 100, 2)</f>
        <v>13.12</v>
      </c>
      <c r="H36" t="s">
        <v>95</v>
      </c>
      <c r="AA36" s="8">
        <v>32</v>
      </c>
      <c r="AB36" s="8">
        <f t="shared" si="13"/>
        <v>1759.2744138091803</v>
      </c>
      <c r="AC36">
        <v>-3.248806024203077E-8</v>
      </c>
      <c r="AD36" s="8">
        <f t="shared" si="14"/>
        <v>1759.2744147405028</v>
      </c>
      <c r="AE36">
        <v>1.3633098205900751E-7</v>
      </c>
      <c r="AF36" s="8">
        <f t="shared" si="9"/>
        <v>1759.2744142748415</v>
      </c>
      <c r="AG36">
        <v>5.1921006161137484E-8</v>
      </c>
      <c r="AH36" s="8">
        <f t="shared" si="10"/>
        <v>-1.6868127759898853E-15</v>
      </c>
      <c r="AI36" s="8">
        <f t="shared" si="11"/>
        <v>7.0784417594396528E-15</v>
      </c>
      <c r="AJ36" s="8">
        <f t="shared" si="12"/>
        <v>9.3132257461547852E-7</v>
      </c>
    </row>
    <row r="37" spans="2:36" x14ac:dyDescent="0.2">
      <c r="B37" s="19" t="s">
        <v>31</v>
      </c>
      <c r="C37" s="24"/>
      <c r="D37" s="24"/>
      <c r="F37" s="17" t="s">
        <v>108</v>
      </c>
      <c r="G37">
        <f>ROUND(SUM(G20:G24)/$C$20 * 100, 2)</f>
        <v>22.51</v>
      </c>
      <c r="H37" t="s">
        <v>95</v>
      </c>
      <c r="AA37" s="8">
        <v>33</v>
      </c>
      <c r="AB37" s="8">
        <f t="shared" si="13"/>
        <v>1759.2744138091803</v>
      </c>
      <c r="AC37">
        <v>-3.248806024203077E-8</v>
      </c>
      <c r="AD37" s="8">
        <f t="shared" si="14"/>
        <v>1759.2744142748415</v>
      </c>
      <c r="AE37">
        <v>5.1921006161137484E-8</v>
      </c>
      <c r="AF37" s="8">
        <f t="shared" si="9"/>
        <v>1759.2744140420109</v>
      </c>
      <c r="AG37">
        <v>9.7161318990401924E-9</v>
      </c>
      <c r="AH37" s="8">
        <f t="shared" si="10"/>
        <v>-3.1565827845553459E-16</v>
      </c>
      <c r="AI37" s="8">
        <f t="shared" si="11"/>
        <v>5.0447134419249027E-16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5" t="s">
        <v>109</v>
      </c>
      <c r="G38">
        <f>ROUND(SUM(G25:G28)/$C$20*100, 2)</f>
        <v>5.94</v>
      </c>
      <c r="H38" t="s">
        <v>95</v>
      </c>
      <c r="AA38" s="8">
        <v>34</v>
      </c>
      <c r="AB38" s="8">
        <f t="shared" si="13"/>
        <v>1759.2744138091803</v>
      </c>
      <c r="AC38">
        <v>-3.248806024203077E-8</v>
      </c>
      <c r="AD38" s="8">
        <f t="shared" si="14"/>
        <v>1759.2744140420109</v>
      </c>
      <c r="AE38">
        <v>9.7161318990401924E-9</v>
      </c>
      <c r="AF38" s="8">
        <f t="shared" si="9"/>
        <v>1759.2744139255956</v>
      </c>
      <c r="AG38">
        <v>-1.1385736797819845E-8</v>
      </c>
      <c r="AH38" s="8">
        <f t="shared" si="10"/>
        <v>3.6990050298747765E-16</v>
      </c>
      <c r="AI38" s="8">
        <f t="shared" si="11"/>
        <v>-1.1062532049537313E-16</v>
      </c>
      <c r="AJ38" s="8">
        <f t="shared" si="12"/>
        <v>2.3283064365386963E-7</v>
      </c>
    </row>
    <row r="39" spans="2:36" x14ac:dyDescent="0.2">
      <c r="F39" s="3" t="s">
        <v>96</v>
      </c>
      <c r="G39" s="3">
        <f>SUM(G34:G38)</f>
        <v>100</v>
      </c>
      <c r="H39" s="3" t="s">
        <v>95</v>
      </c>
      <c r="AA39" s="8">
        <v>35</v>
      </c>
      <c r="AB39" s="8">
        <f t="shared" si="13"/>
        <v>1759.2744139255956</v>
      </c>
      <c r="AC39">
        <v>-1.1385736797819845E-8</v>
      </c>
      <c r="AD39" s="8">
        <f t="shared" si="14"/>
        <v>1759.2744140420109</v>
      </c>
      <c r="AE39">
        <v>9.7161318990401924E-9</v>
      </c>
      <c r="AF39" s="8">
        <f t="shared" si="9"/>
        <v>1759.2744139838032</v>
      </c>
      <c r="AG39">
        <v>-8.3491613622754812E-10</v>
      </c>
      <c r="AH39" s="8">
        <f t="shared" si="10"/>
        <v>9.5061353753395616E-18</v>
      </c>
      <c r="AI39" s="8">
        <f t="shared" si="11"/>
        <v>-8.1121553042238671E-18</v>
      </c>
      <c r="AJ39" s="8">
        <f t="shared" si="12"/>
        <v>1.1641532182693481E-7</v>
      </c>
    </row>
    <row r="40" spans="2:36" x14ac:dyDescent="0.2">
      <c r="AA40" s="8">
        <v>36</v>
      </c>
      <c r="AB40" s="8">
        <f t="shared" si="13"/>
        <v>1759.2744139838032</v>
      </c>
      <c r="AC40">
        <v>-8.3491613622754812E-10</v>
      </c>
      <c r="AD40" s="8">
        <f t="shared" si="14"/>
        <v>1759.2744140420109</v>
      </c>
      <c r="AE40">
        <v>9.7161318990401924E-9</v>
      </c>
      <c r="AF40" s="8">
        <f t="shared" si="9"/>
        <v>1759.2744140129071</v>
      </c>
      <c r="AG40">
        <v>4.4410626287572086E-9</v>
      </c>
      <c r="AH40" s="8">
        <f t="shared" si="10"/>
        <v>-3.7079148507465265E-18</v>
      </c>
      <c r="AI40" s="8">
        <f t="shared" si="11"/>
        <v>4.3149950272903206E-17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1759.2744139838032</v>
      </c>
      <c r="AC41">
        <v>-8.3491613622754812E-10</v>
      </c>
      <c r="AD41" s="8">
        <f t="shared" si="14"/>
        <v>1759.2744140129071</v>
      </c>
      <c r="AE41">
        <v>4.4410626287572086E-9</v>
      </c>
      <c r="AF41" s="8">
        <f t="shared" si="9"/>
        <v>1759.2744139983552</v>
      </c>
      <c r="AG41">
        <v>1.8030732462648302E-9</v>
      </c>
      <c r="AH41" s="8">
        <f t="shared" si="10"/>
        <v>-1.5054149481066944E-18</v>
      </c>
      <c r="AI41" s="8">
        <f t="shared" si="11"/>
        <v>8.0075612108986807E-18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1759.2744139838032</v>
      </c>
      <c r="AC42">
        <v>-8.3491613622754812E-10</v>
      </c>
      <c r="AD42" s="8">
        <f t="shared" si="14"/>
        <v>1759.2744139983552</v>
      </c>
      <c r="AE42">
        <v>1.8030732462648302E-9</v>
      </c>
      <c r="AF42" s="8">
        <f t="shared" si="9"/>
        <v>1759.2744139910792</v>
      </c>
      <c r="AG42">
        <v>4.8430592869408429E-10</v>
      </c>
      <c r="AH42" s="8">
        <f t="shared" si="10"/>
        <v>-4.0435483473735928E-19</v>
      </c>
      <c r="AI42" s="8">
        <f t="shared" si="11"/>
        <v>8.7323906303574595E-19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1759.2744139838032</v>
      </c>
      <c r="AC43">
        <v>-8.3491613622754812E-10</v>
      </c>
      <c r="AD43" s="8">
        <f t="shared" si="14"/>
        <v>1759.2744139910792</v>
      </c>
      <c r="AE43">
        <v>4.8430592869408429E-10</v>
      </c>
      <c r="AF43" s="8">
        <f t="shared" si="9"/>
        <v>1759.2744139874412</v>
      </c>
      <c r="AG43">
        <v>-1.7530510376673192E-10</v>
      </c>
      <c r="AH43" s="8">
        <f t="shared" si="10"/>
        <v>1.4636505989788921E-19</v>
      </c>
      <c r="AI43" s="8">
        <f t="shared" si="11"/>
        <v>-8.4901301084559915E-20</v>
      </c>
      <c r="AJ43" s="8">
        <f t="shared" si="12"/>
        <v>7.2759576141834259E-9</v>
      </c>
    </row>
    <row r="44" spans="2:36" x14ac:dyDescent="0.2">
      <c r="AA44" s="8">
        <v>40</v>
      </c>
      <c r="AB44" s="8">
        <f t="shared" si="13"/>
        <v>1759.2744139874412</v>
      </c>
      <c r="AC44">
        <v>-1.7530510376673192E-10</v>
      </c>
      <c r="AD44" s="8">
        <f t="shared" si="14"/>
        <v>1759.2744139910792</v>
      </c>
      <c r="AE44">
        <v>4.8430592869408429E-10</v>
      </c>
      <c r="AF44" s="11">
        <f t="shared" si="9"/>
        <v>1759.2744139892602</v>
      </c>
      <c r="AG44">
        <v>1.546140993013978E-10</v>
      </c>
      <c r="AH44" s="8">
        <f t="shared" si="10"/>
        <v>-2.7104640721831334E-20</v>
      </c>
      <c r="AI44" s="8">
        <f t="shared" si="11"/>
        <v>7.488052495136283E-20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37:D37"/>
    <mergeCell ref="F3:H3"/>
    <mergeCell ref="F7:H7"/>
    <mergeCell ref="F11:H11"/>
    <mergeCell ref="B19:D19"/>
    <mergeCell ref="B27:D27"/>
    <mergeCell ref="F16:H16"/>
    <mergeCell ref="B32:D32"/>
    <mergeCell ref="J3:L3"/>
    <mergeCell ref="J16:L16"/>
    <mergeCell ref="B1:D1"/>
    <mergeCell ref="B3:D3"/>
    <mergeCell ref="B11:D11"/>
    <mergeCell ref="B14:D14"/>
  </mergeCells>
  <conditionalFormatting sqref="G30">
    <cfRule type="containsText" dxfId="5" priority="1" operator="containsText" text="FALSE">
      <formula>NOT(ISERROR(SEARCH("FALSE",G30)))</formula>
    </cfRule>
    <cfRule type="containsText" dxfId="4" priority="2" operator="containsText" text="TRUE">
      <formula>NOT(ISERROR(SEARCH("TRUE",G30)))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NOT(ISERROR(SEARCH("YES",G30)))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multirotor</vt:lpstr>
      <vt:lpstr>lift+cruise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2024-06-20T07:49:38Z</dcterms:modified>
</cp:coreProperties>
</file>