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fiyandyhr/Github_Repos/MCEVS/sheets/"/>
    </mc:Choice>
  </mc:AlternateContent>
  <xr:revisionPtr revIDLastSave="0" documentId="13_ncr:1_{32F9526D-1CF9-A44C-899D-A8FFBA139D83}" xr6:coauthVersionLast="47" xr6:coauthVersionMax="47" xr10:uidLastSave="{00000000-0000-0000-0000-000000000000}"/>
  <bookViews>
    <workbookView xWindow="0" yWindow="740" windowWidth="15080" windowHeight="18900" activeTab="1" xr2:uid="{843CD013-835A-1741-B375-CD508AE79BD2}"/>
  </bookViews>
  <sheets>
    <sheet name="multirotor" sheetId="3" r:id="rId1"/>
    <sheet name="lift+cruise" sheetId="1" r:id="rId2"/>
    <sheet name="Sheet1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6" i="4" l="1"/>
  <c r="D16" i="4"/>
  <c r="F16" i="4"/>
  <c r="E16" i="4"/>
  <c r="C16" i="4"/>
  <c r="G11" i="4"/>
  <c r="G10" i="4"/>
  <c r="F11" i="4"/>
  <c r="F10" i="4"/>
  <c r="E11" i="4"/>
  <c r="E10" i="4"/>
  <c r="D11" i="4"/>
  <c r="D10" i="4"/>
  <c r="C11" i="4"/>
  <c r="C10" i="4"/>
  <c r="X46" i="1"/>
  <c r="W46" i="1"/>
  <c r="V46" i="1"/>
  <c r="U46" i="1"/>
  <c r="D6" i="4"/>
  <c r="G6" i="4"/>
  <c r="F6" i="4"/>
  <c r="E6" i="4"/>
  <c r="C6" i="4"/>
  <c r="C7" i="4"/>
  <c r="E7" i="4"/>
  <c r="F7" i="4"/>
  <c r="G7" i="4"/>
  <c r="AI6" i="3"/>
  <c r="AI7" i="3"/>
  <c r="AI8" i="3"/>
  <c r="AI9" i="3"/>
  <c r="AI10" i="3"/>
  <c r="AI11" i="3"/>
  <c r="AI12" i="3"/>
  <c r="AI13" i="3"/>
  <c r="AI14" i="3"/>
  <c r="AI15" i="3"/>
  <c r="AI16" i="3"/>
  <c r="AI17" i="3"/>
  <c r="AI18" i="3"/>
  <c r="AI19" i="3"/>
  <c r="AI20" i="3"/>
  <c r="AI21" i="3"/>
  <c r="AI22" i="3"/>
  <c r="AI23" i="3"/>
  <c r="AI24" i="3"/>
  <c r="AI25" i="3"/>
  <c r="AI26" i="3"/>
  <c r="AI27" i="3"/>
  <c r="AI28" i="3"/>
  <c r="AI29" i="3"/>
  <c r="AI30" i="3"/>
  <c r="AI31" i="3"/>
  <c r="AI32" i="3"/>
  <c r="AI33" i="3"/>
  <c r="AI34" i="3"/>
  <c r="AI35" i="3"/>
  <c r="AI36" i="3"/>
  <c r="AI37" i="3"/>
  <c r="AI38" i="3"/>
  <c r="AI39" i="3"/>
  <c r="AI40" i="3"/>
  <c r="AI41" i="3"/>
  <c r="AI42" i="3"/>
  <c r="AI43" i="3"/>
  <c r="AI44" i="3"/>
  <c r="AI5" i="3"/>
  <c r="AH6" i="3"/>
  <c r="AH7" i="3"/>
  <c r="AH8" i="3"/>
  <c r="AH9" i="3"/>
  <c r="AH10" i="3"/>
  <c r="AH11" i="3"/>
  <c r="AH12" i="3"/>
  <c r="AH13" i="3"/>
  <c r="AH14" i="3"/>
  <c r="AH15" i="3"/>
  <c r="AH16" i="3"/>
  <c r="AH17" i="3"/>
  <c r="AH18" i="3"/>
  <c r="AH19" i="3"/>
  <c r="AH20" i="3"/>
  <c r="AH21" i="3"/>
  <c r="AH22" i="3"/>
  <c r="AH23" i="3"/>
  <c r="AH24" i="3"/>
  <c r="AH25" i="3"/>
  <c r="AH26" i="3"/>
  <c r="AH27" i="3"/>
  <c r="AH28" i="3"/>
  <c r="AH29" i="3"/>
  <c r="AH30" i="3"/>
  <c r="AH31" i="3"/>
  <c r="AH32" i="3"/>
  <c r="AH33" i="3"/>
  <c r="AH34" i="3"/>
  <c r="AH35" i="3"/>
  <c r="AH36" i="3"/>
  <c r="AH37" i="3"/>
  <c r="AH38" i="3"/>
  <c r="AH39" i="3"/>
  <c r="AH40" i="3"/>
  <c r="AH41" i="3"/>
  <c r="AH42" i="3"/>
  <c r="AH43" i="3"/>
  <c r="AH44" i="3"/>
  <c r="AH5" i="3"/>
  <c r="AJ5" i="3"/>
  <c r="AF5" i="3"/>
  <c r="G13" i="3"/>
  <c r="K4" i="3"/>
  <c r="Y4" i="3"/>
  <c r="U4" i="3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F5" i="1"/>
  <c r="AJ5" i="1"/>
  <c r="AI5" i="1"/>
  <c r="AH5" i="1"/>
  <c r="AD6" i="3" l="1"/>
  <c r="AB6" i="3"/>
  <c r="AB6" i="1"/>
  <c r="AD6" i="1"/>
  <c r="AJ6" i="3" l="1"/>
  <c r="AF6" i="3"/>
  <c r="AD7" i="3" s="1"/>
  <c r="AJ6" i="1"/>
  <c r="AF6" i="1"/>
  <c r="AD7" i="1" s="1"/>
  <c r="AB7" i="3" l="1"/>
  <c r="AB7" i="1"/>
  <c r="AF7" i="1" s="1"/>
  <c r="AF7" i="3" l="1"/>
  <c r="AJ7" i="3"/>
  <c r="AD8" i="1"/>
  <c r="AB8" i="1"/>
  <c r="AJ7" i="1"/>
  <c r="AD8" i="3" l="1"/>
  <c r="AB8" i="3"/>
  <c r="AF8" i="1"/>
  <c r="AJ8" i="1"/>
  <c r="AJ8" i="3" l="1"/>
  <c r="AF8" i="3"/>
  <c r="AD9" i="1"/>
  <c r="AB9" i="1"/>
  <c r="AB9" i="3" l="1"/>
  <c r="AD9" i="3"/>
  <c r="AF9" i="1"/>
  <c r="AJ9" i="1"/>
  <c r="AJ9" i="3" l="1"/>
  <c r="AF9" i="3"/>
  <c r="AB10" i="1"/>
  <c r="AD10" i="1"/>
  <c r="AB10" i="3" l="1"/>
  <c r="AD10" i="3"/>
  <c r="AJ10" i="1"/>
  <c r="AF10" i="1"/>
  <c r="AJ10" i="3" l="1"/>
  <c r="AF10" i="3"/>
  <c r="AB11" i="1"/>
  <c r="AD11" i="1"/>
  <c r="AD11" i="3" l="1"/>
  <c r="AB11" i="3"/>
  <c r="AJ11" i="1"/>
  <c r="AF11" i="1"/>
  <c r="AJ11" i="3" l="1"/>
  <c r="AF11" i="3"/>
  <c r="AB12" i="1"/>
  <c r="AD12" i="1"/>
  <c r="AB12" i="3" l="1"/>
  <c r="AD12" i="3"/>
  <c r="AJ12" i="1"/>
  <c r="AF12" i="1"/>
  <c r="AF12" i="3" l="1"/>
  <c r="AB13" i="3" s="1"/>
  <c r="AJ12" i="3"/>
  <c r="AB13" i="1"/>
  <c r="AD13" i="1"/>
  <c r="AD13" i="3" l="1"/>
  <c r="AF13" i="3" s="1"/>
  <c r="AB14" i="3" s="1"/>
  <c r="AF13" i="1"/>
  <c r="AJ13" i="1"/>
  <c r="AJ13" i="3" l="1"/>
  <c r="AD14" i="3"/>
  <c r="AJ14" i="3" s="1"/>
  <c r="AB14" i="1"/>
  <c r="AD14" i="1"/>
  <c r="AF14" i="3" l="1"/>
  <c r="AD15" i="3" s="1"/>
  <c r="AJ14" i="1"/>
  <c r="AF14" i="1"/>
  <c r="AB15" i="3" l="1"/>
  <c r="AJ15" i="3" s="1"/>
  <c r="AD15" i="1"/>
  <c r="AB15" i="1"/>
  <c r="AF15" i="3" l="1"/>
  <c r="AD16" i="3" s="1"/>
  <c r="AF15" i="1"/>
  <c r="AJ15" i="1"/>
  <c r="AB16" i="3" l="1"/>
  <c r="AF16" i="3" s="1"/>
  <c r="AD17" i="3" s="1"/>
  <c r="AD16" i="1"/>
  <c r="AB16" i="1"/>
  <c r="AJ16" i="3" l="1"/>
  <c r="AB17" i="3"/>
  <c r="AJ17" i="3" s="1"/>
  <c r="AF16" i="1"/>
  <c r="AB17" i="1" s="1"/>
  <c r="AJ16" i="1"/>
  <c r="AF17" i="3" l="1"/>
  <c r="AB18" i="3" s="1"/>
  <c r="AD17" i="1"/>
  <c r="AF17" i="1" s="1"/>
  <c r="AD18" i="1" s="1"/>
  <c r="AD18" i="3" l="1"/>
  <c r="AJ18" i="3" s="1"/>
  <c r="AJ17" i="1"/>
  <c r="AB18" i="1"/>
  <c r="AJ18" i="1" s="1"/>
  <c r="AF18" i="3" l="1"/>
  <c r="AB19" i="3" s="1"/>
  <c r="AF18" i="1"/>
  <c r="AD19" i="1" s="1"/>
  <c r="AD19" i="3" l="1"/>
  <c r="AF19" i="3" s="1"/>
  <c r="AB19" i="1"/>
  <c r="AF19" i="1" s="1"/>
  <c r="AB20" i="3" l="1"/>
  <c r="AD20" i="3"/>
  <c r="AJ19" i="3"/>
  <c r="AJ19" i="1"/>
  <c r="AB20" i="1"/>
  <c r="AD20" i="1"/>
  <c r="AJ20" i="3" l="1"/>
  <c r="AF20" i="3"/>
  <c r="AB21" i="3" s="1"/>
  <c r="AF20" i="1"/>
  <c r="AD21" i="1" s="1"/>
  <c r="AJ20" i="1"/>
  <c r="AD21" i="3" l="1"/>
  <c r="AJ21" i="3" s="1"/>
  <c r="AB21" i="1"/>
  <c r="AF21" i="1" s="1"/>
  <c r="AB22" i="1" s="1"/>
  <c r="AF21" i="3" l="1"/>
  <c r="AD22" i="3" s="1"/>
  <c r="AD22" i="1"/>
  <c r="AF22" i="1" s="1"/>
  <c r="AD23" i="1" s="1"/>
  <c r="AJ21" i="1"/>
  <c r="AB22" i="3" l="1"/>
  <c r="AJ22" i="3" s="1"/>
  <c r="AB23" i="1"/>
  <c r="AF23" i="1" s="1"/>
  <c r="AD24" i="1" s="1"/>
  <c r="AJ22" i="1"/>
  <c r="AF22" i="3" l="1"/>
  <c r="AD23" i="3" s="1"/>
  <c r="AJ23" i="1"/>
  <c r="AB24" i="1"/>
  <c r="AJ24" i="1" s="1"/>
  <c r="AB23" i="3" l="1"/>
  <c r="AJ23" i="3" s="1"/>
  <c r="AF24" i="1"/>
  <c r="AD25" i="1" s="1"/>
  <c r="AF23" i="3" l="1"/>
  <c r="AD24" i="3" s="1"/>
  <c r="AB25" i="1"/>
  <c r="AF25" i="1" s="1"/>
  <c r="AB26" i="1" s="1"/>
  <c r="AB24" i="3" l="1"/>
  <c r="AF24" i="3" s="1"/>
  <c r="AD25" i="3" s="1"/>
  <c r="AD26" i="1"/>
  <c r="AF26" i="1" s="1"/>
  <c r="AB27" i="1" s="1"/>
  <c r="AJ25" i="1"/>
  <c r="AJ24" i="3" l="1"/>
  <c r="AB25" i="3"/>
  <c r="AJ25" i="3" s="1"/>
  <c r="AD27" i="1"/>
  <c r="AF27" i="1" s="1"/>
  <c r="AD28" i="1" s="1"/>
  <c r="AJ26" i="1"/>
  <c r="AF25" i="3" l="1"/>
  <c r="AB26" i="3" s="1"/>
  <c r="AJ27" i="1"/>
  <c r="AB28" i="1"/>
  <c r="AJ28" i="1" s="1"/>
  <c r="AD26" i="3" l="1"/>
  <c r="AJ26" i="3" s="1"/>
  <c r="AF28" i="1"/>
  <c r="AB29" i="1" s="1"/>
  <c r="AF26" i="3" l="1"/>
  <c r="AB27" i="3" s="1"/>
  <c r="AD29" i="1"/>
  <c r="AF29" i="1" s="1"/>
  <c r="AD27" i="3" l="1"/>
  <c r="AF27" i="3" s="1"/>
  <c r="AB28" i="3" s="1"/>
  <c r="AJ29" i="1"/>
  <c r="AB30" i="1"/>
  <c r="AD30" i="1"/>
  <c r="AD28" i="3" l="1"/>
  <c r="AF28" i="3" s="1"/>
  <c r="AB29" i="3" s="1"/>
  <c r="AJ27" i="3"/>
  <c r="AJ30" i="1"/>
  <c r="AF30" i="1"/>
  <c r="AJ28" i="3" l="1"/>
  <c r="AD29" i="3"/>
  <c r="AJ29" i="3" s="1"/>
  <c r="AD31" i="1"/>
  <c r="AB31" i="1"/>
  <c r="AF29" i="3" l="1"/>
  <c r="AB30" i="3" s="1"/>
  <c r="AF31" i="1"/>
  <c r="AD32" i="1" s="1"/>
  <c r="AJ31" i="1"/>
  <c r="AD30" i="3" l="1"/>
  <c r="AF30" i="3" s="1"/>
  <c r="AB32" i="1"/>
  <c r="AF32" i="1" s="1"/>
  <c r="AB33" i="1" s="1"/>
  <c r="AJ30" i="3" l="1"/>
  <c r="AD31" i="3"/>
  <c r="AB31" i="3"/>
  <c r="AD33" i="1"/>
  <c r="AF33" i="1" s="1"/>
  <c r="AB34" i="1" s="1"/>
  <c r="AJ32" i="1"/>
  <c r="AF31" i="3" l="1"/>
  <c r="AD32" i="3" s="1"/>
  <c r="AJ31" i="3"/>
  <c r="AJ33" i="1"/>
  <c r="AD34" i="1"/>
  <c r="AF34" i="1" s="1"/>
  <c r="AB32" i="3" l="1"/>
  <c r="AF32" i="3" s="1"/>
  <c r="AB33" i="3" s="1"/>
  <c r="AJ34" i="1"/>
  <c r="AB35" i="1"/>
  <c r="AD35" i="1"/>
  <c r="AJ32" i="3" l="1"/>
  <c r="AD33" i="3"/>
  <c r="AJ33" i="3" s="1"/>
  <c r="AF35" i="1"/>
  <c r="AJ35" i="1"/>
  <c r="AF33" i="3" l="1"/>
  <c r="AB34" i="3" s="1"/>
  <c r="AB36" i="1"/>
  <c r="AD36" i="1"/>
  <c r="AD34" i="3" l="1"/>
  <c r="AF34" i="3" s="1"/>
  <c r="AF36" i="1"/>
  <c r="AJ36" i="1"/>
  <c r="AJ34" i="3" l="1"/>
  <c r="AB35" i="3"/>
  <c r="AD35" i="3"/>
  <c r="AB37" i="1"/>
  <c r="AD37" i="1"/>
  <c r="G13" i="1"/>
  <c r="Y4" i="1"/>
  <c r="U4" i="1"/>
  <c r="K19" i="1"/>
  <c r="K17" i="1"/>
  <c r="K9" i="1"/>
  <c r="K5" i="1"/>
  <c r="AJ35" i="3" l="1"/>
  <c r="AF35" i="3"/>
  <c r="AD36" i="3" s="1"/>
  <c r="AF37" i="1"/>
  <c r="AJ37" i="1"/>
  <c r="K20" i="1"/>
  <c r="K23" i="1" s="1"/>
  <c r="AB36" i="3" l="1"/>
  <c r="AF36" i="3" s="1"/>
  <c r="AD38" i="1"/>
  <c r="AB38" i="1"/>
  <c r="AD37" i="3" l="1"/>
  <c r="AB37" i="3"/>
  <c r="AJ36" i="3"/>
  <c r="AF38" i="1"/>
  <c r="AB39" i="1" s="1"/>
  <c r="AJ38" i="1"/>
  <c r="AJ37" i="3" l="1"/>
  <c r="AF37" i="3"/>
  <c r="AD39" i="1"/>
  <c r="AF39" i="1" s="1"/>
  <c r="AB38" i="3" l="1"/>
  <c r="AD38" i="3"/>
  <c r="AJ39" i="1"/>
  <c r="AB40" i="1"/>
  <c r="AD40" i="1"/>
  <c r="AF38" i="3" l="1"/>
  <c r="AJ38" i="3"/>
  <c r="AJ40" i="1"/>
  <c r="AF40" i="1"/>
  <c r="AB39" i="3" l="1"/>
  <c r="AD39" i="3"/>
  <c r="AD41" i="1"/>
  <c r="AB41" i="1"/>
  <c r="AJ39" i="3" l="1"/>
  <c r="AF39" i="3"/>
  <c r="AD40" i="3" s="1"/>
  <c r="AF41" i="1"/>
  <c r="AB42" i="1" s="1"/>
  <c r="AJ41" i="1"/>
  <c r="AB40" i="3" l="1"/>
  <c r="AF40" i="3" s="1"/>
  <c r="AB41" i="3" s="1"/>
  <c r="AD42" i="1"/>
  <c r="AJ42" i="1" s="1"/>
  <c r="AD41" i="3" l="1"/>
  <c r="AF41" i="3" s="1"/>
  <c r="AJ40" i="3"/>
  <c r="AF42" i="1"/>
  <c r="AD43" i="1" s="1"/>
  <c r="AJ41" i="3" l="1"/>
  <c r="AB42" i="3"/>
  <c r="AD42" i="3"/>
  <c r="AB43" i="1"/>
  <c r="AJ43" i="1" s="1"/>
  <c r="AJ42" i="3" l="1"/>
  <c r="AF42" i="3"/>
  <c r="AF43" i="1"/>
  <c r="AB44" i="1" s="1"/>
  <c r="AB43" i="3" l="1"/>
  <c r="AD43" i="3"/>
  <c r="AD44" i="1"/>
  <c r="AJ44" i="1" s="1"/>
  <c r="AF43" i="3" l="1"/>
  <c r="AJ43" i="3"/>
  <c r="AF44" i="1"/>
  <c r="AD44" i="3" l="1"/>
  <c r="AB44" i="3"/>
  <c r="C20" i="1"/>
  <c r="K6" i="1" s="1"/>
  <c r="AF44" i="3" l="1"/>
  <c r="C15" i="3" s="1"/>
  <c r="K5" i="3" s="1"/>
  <c r="AJ44" i="3"/>
  <c r="G5" i="1"/>
  <c r="G29" i="1"/>
  <c r="G27" i="1"/>
  <c r="G28" i="1"/>
  <c r="G23" i="1"/>
  <c r="K4" i="1"/>
  <c r="K10" i="1" s="1"/>
  <c r="G22" i="1"/>
  <c r="G35" i="1"/>
  <c r="G26" i="1"/>
  <c r="G21" i="1"/>
  <c r="G21" i="3" l="1"/>
  <c r="G26" i="3"/>
  <c r="G24" i="3"/>
  <c r="G23" i="3"/>
  <c r="G4" i="3"/>
  <c r="G20" i="3" s="1"/>
  <c r="G32" i="3"/>
  <c r="G22" i="3"/>
  <c r="G5" i="3"/>
  <c r="G25" i="3"/>
  <c r="K6" i="3"/>
  <c r="K7" i="3"/>
  <c r="K8" i="3" s="1"/>
  <c r="K12" i="3" s="1"/>
  <c r="K7" i="1"/>
  <c r="K8" i="1" s="1"/>
  <c r="G39" i="1"/>
  <c r="G38" i="1"/>
  <c r="G36" i="3" l="1"/>
  <c r="G18" i="3"/>
  <c r="G19" i="3"/>
  <c r="G35" i="3"/>
  <c r="K18" i="3"/>
  <c r="K13" i="3"/>
  <c r="K17" i="3" s="1"/>
  <c r="K11" i="1"/>
  <c r="G34" i="3" l="1"/>
  <c r="K19" i="3"/>
  <c r="K22" i="3" s="1"/>
  <c r="K25" i="3" s="1"/>
  <c r="K27" i="3" s="1"/>
  <c r="K12" i="1"/>
  <c r="K18" i="1" s="1"/>
  <c r="K21" i="1" s="1"/>
  <c r="T4" i="1" s="1"/>
  <c r="K13" i="1"/>
  <c r="K20" i="3" l="1"/>
  <c r="T4" i="3" s="1"/>
  <c r="V4" i="1"/>
  <c r="X4" i="1" s="1"/>
  <c r="S5" i="1" s="1"/>
  <c r="T5" i="1" s="1"/>
  <c r="R4" i="1"/>
  <c r="K26" i="1"/>
  <c r="K28" i="1" s="1"/>
  <c r="V4" i="3" l="1"/>
  <c r="X4" i="3" s="1"/>
  <c r="S5" i="3" s="1"/>
  <c r="R4" i="3"/>
  <c r="W4" i="1"/>
  <c r="Q5" i="1" s="1"/>
  <c r="U5" i="1" s="1"/>
  <c r="V5" i="1" s="1"/>
  <c r="X5" i="1" s="1"/>
  <c r="S6" i="1" s="1"/>
  <c r="T6" i="1" s="1"/>
  <c r="W4" i="3" l="1"/>
  <c r="Q5" i="3" s="1"/>
  <c r="R5" i="3" s="1"/>
  <c r="T5" i="3"/>
  <c r="R5" i="1"/>
  <c r="W5" i="1" s="1"/>
  <c r="Q6" i="1" s="1"/>
  <c r="Y5" i="1"/>
  <c r="Y5" i="3" l="1"/>
  <c r="U5" i="3"/>
  <c r="V5" i="3" s="1"/>
  <c r="W5" i="3" s="1"/>
  <c r="Q6" i="3" s="1"/>
  <c r="R6" i="3" s="1"/>
  <c r="R6" i="1"/>
  <c r="Y6" i="1"/>
  <c r="U6" i="1"/>
  <c r="V6" i="1" s="1"/>
  <c r="X5" i="3" l="1"/>
  <c r="S6" i="3" s="1"/>
  <c r="U6" i="3" s="1"/>
  <c r="V6" i="3" s="1"/>
  <c r="W6" i="3" s="1"/>
  <c r="Q7" i="3" s="1"/>
  <c r="R7" i="3" s="1"/>
  <c r="W6" i="1"/>
  <c r="Q7" i="1" s="1"/>
  <c r="R7" i="1" s="1"/>
  <c r="X6" i="1"/>
  <c r="S7" i="1" s="1"/>
  <c r="T7" i="1" s="1"/>
  <c r="T6" i="3" l="1"/>
  <c r="X6" i="3" s="1"/>
  <c r="S7" i="3" s="1"/>
  <c r="Y6" i="3"/>
  <c r="U7" i="1"/>
  <c r="V7" i="1" s="1"/>
  <c r="W7" i="1" s="1"/>
  <c r="Q8" i="1" s="1"/>
  <c r="R8" i="1" s="1"/>
  <c r="Y7" i="1"/>
  <c r="U7" i="3" l="1"/>
  <c r="V7" i="3" s="1"/>
  <c r="W7" i="3" s="1"/>
  <c r="Q8" i="3" s="1"/>
  <c r="R8" i="3" s="1"/>
  <c r="Y7" i="3"/>
  <c r="T7" i="3"/>
  <c r="X7" i="1"/>
  <c r="S8" i="1" s="1"/>
  <c r="T8" i="1" s="1"/>
  <c r="X7" i="3" l="1"/>
  <c r="S8" i="3" s="1"/>
  <c r="Y8" i="3" s="1"/>
  <c r="Y8" i="1"/>
  <c r="U8" i="1"/>
  <c r="V8" i="1" s="1"/>
  <c r="X8" i="1" s="1"/>
  <c r="S9" i="1" s="1"/>
  <c r="T9" i="1" s="1"/>
  <c r="U8" i="3" l="1"/>
  <c r="V8" i="3" s="1"/>
  <c r="W8" i="3" s="1"/>
  <c r="Q9" i="3" s="1"/>
  <c r="R9" i="3" s="1"/>
  <c r="T8" i="3"/>
  <c r="W8" i="1"/>
  <c r="Q9" i="1" s="1"/>
  <c r="R9" i="1" s="1"/>
  <c r="X8" i="3" l="1"/>
  <c r="S9" i="3" s="1"/>
  <c r="U9" i="3" s="1"/>
  <c r="V9" i="3" s="1"/>
  <c r="W9" i="3" s="1"/>
  <c r="Q10" i="3" s="1"/>
  <c r="R10" i="3" s="1"/>
  <c r="Y9" i="1"/>
  <c r="U9" i="1"/>
  <c r="V9" i="1" s="1"/>
  <c r="W9" i="1" s="1"/>
  <c r="Q10" i="1" s="1"/>
  <c r="R10" i="1" s="1"/>
  <c r="Y9" i="3" l="1"/>
  <c r="T9" i="3"/>
  <c r="X9" i="3" s="1"/>
  <c r="S10" i="3" s="1"/>
  <c r="T10" i="3" s="1"/>
  <c r="X9" i="1"/>
  <c r="S10" i="1" s="1"/>
  <c r="U10" i="1" s="1"/>
  <c r="V10" i="1" s="1"/>
  <c r="W10" i="1" s="1"/>
  <c r="Q11" i="1" s="1"/>
  <c r="R11" i="1" s="1"/>
  <c r="Y10" i="3" l="1"/>
  <c r="U10" i="3"/>
  <c r="V10" i="3" s="1"/>
  <c r="W10" i="3" s="1"/>
  <c r="Q11" i="3" s="1"/>
  <c r="R11" i="3" s="1"/>
  <c r="T10" i="1"/>
  <c r="X10" i="1" s="1"/>
  <c r="S11" i="1" s="1"/>
  <c r="U11" i="1" s="1"/>
  <c r="V11" i="1" s="1"/>
  <c r="W11" i="1" s="1"/>
  <c r="Q12" i="1" s="1"/>
  <c r="Y10" i="1"/>
  <c r="X10" i="3" l="1"/>
  <c r="S11" i="3" s="1"/>
  <c r="T11" i="3" s="1"/>
  <c r="T11" i="1"/>
  <c r="X11" i="1" s="1"/>
  <c r="S12" i="1" s="1"/>
  <c r="T12" i="1" s="1"/>
  <c r="Y11" i="1"/>
  <c r="R12" i="1"/>
  <c r="Y11" i="3" l="1"/>
  <c r="U11" i="3"/>
  <c r="V11" i="3" s="1"/>
  <c r="W11" i="3" s="1"/>
  <c r="Q12" i="3" s="1"/>
  <c r="R12" i="3" s="1"/>
  <c r="U12" i="1"/>
  <c r="V12" i="1" s="1"/>
  <c r="X12" i="1" s="1"/>
  <c r="S13" i="1" s="1"/>
  <c r="Y12" i="1"/>
  <c r="X11" i="3" l="1"/>
  <c r="S12" i="3" s="1"/>
  <c r="T12" i="3" s="1"/>
  <c r="T13" i="1"/>
  <c r="W12" i="1"/>
  <c r="Q13" i="1" s="1"/>
  <c r="Y13" i="1" s="1"/>
  <c r="U12" i="3" l="1"/>
  <c r="V12" i="3" s="1"/>
  <c r="W12" i="3" s="1"/>
  <c r="Q13" i="3" s="1"/>
  <c r="R13" i="3" s="1"/>
  <c r="Y12" i="3"/>
  <c r="R13" i="1"/>
  <c r="U13" i="1"/>
  <c r="V13" i="1" s="1"/>
  <c r="X13" i="1" s="1"/>
  <c r="S14" i="1" s="1"/>
  <c r="X12" i="3" l="1"/>
  <c r="S13" i="3" s="1"/>
  <c r="T13" i="3" s="1"/>
  <c r="T14" i="1"/>
  <c r="W13" i="1"/>
  <c r="Q14" i="1" s="1"/>
  <c r="U13" i="3" l="1"/>
  <c r="V13" i="3" s="1"/>
  <c r="X13" i="3" s="1"/>
  <c r="S14" i="3" s="1"/>
  <c r="T14" i="3" s="1"/>
  <c r="Y13" i="3"/>
  <c r="U14" i="1"/>
  <c r="V14" i="1" s="1"/>
  <c r="X14" i="1" s="1"/>
  <c r="S15" i="1" s="1"/>
  <c r="R14" i="1"/>
  <c r="Y14" i="1"/>
  <c r="W13" i="3" l="1"/>
  <c r="Q14" i="3" s="1"/>
  <c r="Y14" i="3" s="1"/>
  <c r="W14" i="1"/>
  <c r="Q15" i="1" s="1"/>
  <c r="Y15" i="1" s="1"/>
  <c r="T15" i="1"/>
  <c r="U14" i="3" l="1"/>
  <c r="V14" i="3" s="1"/>
  <c r="X14" i="3" s="1"/>
  <c r="S15" i="3" s="1"/>
  <c r="T15" i="3" s="1"/>
  <c r="R14" i="3"/>
  <c r="U15" i="1"/>
  <c r="V15" i="1" s="1"/>
  <c r="X15" i="1" s="1"/>
  <c r="S16" i="1" s="1"/>
  <c r="R15" i="1"/>
  <c r="W14" i="3" l="1"/>
  <c r="Q15" i="3" s="1"/>
  <c r="R15" i="3" s="1"/>
  <c r="T16" i="1"/>
  <c r="W15" i="1"/>
  <c r="Q16" i="1" s="1"/>
  <c r="Y15" i="3" l="1"/>
  <c r="U15" i="3"/>
  <c r="V15" i="3" s="1"/>
  <c r="W15" i="3" s="1"/>
  <c r="Q16" i="3" s="1"/>
  <c r="R16" i="3" s="1"/>
  <c r="R16" i="1"/>
  <c r="U16" i="1"/>
  <c r="V16" i="1" s="1"/>
  <c r="X16" i="1" s="1"/>
  <c r="S17" i="1" s="1"/>
  <c r="Y16" i="1"/>
  <c r="X15" i="3" l="1"/>
  <c r="S16" i="3" s="1"/>
  <c r="Y16" i="3" s="1"/>
  <c r="T17" i="1"/>
  <c r="W16" i="1"/>
  <c r="Q17" i="1" s="1"/>
  <c r="T16" i="3" l="1"/>
  <c r="U16" i="3"/>
  <c r="V16" i="3" s="1"/>
  <c r="W16" i="3" s="1"/>
  <c r="Q17" i="3" s="1"/>
  <c r="R17" i="1"/>
  <c r="U17" i="1"/>
  <c r="V17" i="1" s="1"/>
  <c r="Y17" i="1"/>
  <c r="R17" i="3" l="1"/>
  <c r="X16" i="3"/>
  <c r="S17" i="3" s="1"/>
  <c r="W17" i="1"/>
  <c r="Q18" i="1" s="1"/>
  <c r="R18" i="1" s="1"/>
  <c r="X17" i="1"/>
  <c r="S18" i="1" s="1"/>
  <c r="T17" i="3" l="1"/>
  <c r="Y17" i="3"/>
  <c r="U17" i="3"/>
  <c r="T18" i="1"/>
  <c r="Y18" i="1"/>
  <c r="U18" i="1"/>
  <c r="V18" i="1" s="1"/>
  <c r="W18" i="1" s="1"/>
  <c r="Q19" i="1" s="1"/>
  <c r="V17" i="3" l="1"/>
  <c r="W17" i="3" s="1"/>
  <c r="Q18" i="3" s="1"/>
  <c r="X18" i="1"/>
  <c r="S19" i="1" s="1"/>
  <c r="U19" i="1" s="1"/>
  <c r="V19" i="1" s="1"/>
  <c r="R19" i="1"/>
  <c r="X17" i="3" l="1"/>
  <c r="S18" i="3" s="1"/>
  <c r="U18" i="3" s="1"/>
  <c r="R18" i="3"/>
  <c r="T19" i="1"/>
  <c r="X19" i="1" s="1"/>
  <c r="S20" i="1" s="1"/>
  <c r="T20" i="1" s="1"/>
  <c r="Y19" i="1"/>
  <c r="W19" i="1"/>
  <c r="Q20" i="1" s="1"/>
  <c r="Y18" i="3" l="1"/>
  <c r="T18" i="3"/>
  <c r="V18" i="3"/>
  <c r="R20" i="1"/>
  <c r="U20" i="1"/>
  <c r="V20" i="1" s="1"/>
  <c r="Y20" i="1"/>
  <c r="X18" i="3" l="1"/>
  <c r="S19" i="3" s="1"/>
  <c r="T19" i="3" s="1"/>
  <c r="W18" i="3"/>
  <c r="Q19" i="3" s="1"/>
  <c r="W20" i="1"/>
  <c r="Q21" i="1" s="1"/>
  <c r="R21" i="1" s="1"/>
  <c r="X20" i="1"/>
  <c r="S21" i="1" s="1"/>
  <c r="R19" i="3" l="1"/>
  <c r="U19" i="3"/>
  <c r="Y19" i="3"/>
  <c r="U21" i="1"/>
  <c r="V21" i="1" s="1"/>
  <c r="W21" i="1" s="1"/>
  <c r="Q22" i="1" s="1"/>
  <c r="R22" i="1" s="1"/>
  <c r="T21" i="1"/>
  <c r="Y21" i="1"/>
  <c r="V19" i="3" l="1"/>
  <c r="X19" i="3" s="1"/>
  <c r="S20" i="3" s="1"/>
  <c r="X21" i="1"/>
  <c r="S22" i="1" s="1"/>
  <c r="Y22" i="1" s="1"/>
  <c r="G4" i="1"/>
  <c r="W19" i="3" l="1"/>
  <c r="Q20" i="3" s="1"/>
  <c r="Y20" i="3" s="1"/>
  <c r="T20" i="3"/>
  <c r="U22" i="1"/>
  <c r="V22" i="1" s="1"/>
  <c r="W22" i="1" s="1"/>
  <c r="Q23" i="1" s="1"/>
  <c r="R23" i="1" s="1"/>
  <c r="T22" i="1"/>
  <c r="U20" i="3" l="1"/>
  <c r="V20" i="3" s="1"/>
  <c r="R20" i="3"/>
  <c r="X22" i="1"/>
  <c r="S23" i="1" s="1"/>
  <c r="Y23" i="1" s="1"/>
  <c r="W20" i="3" l="1"/>
  <c r="Q21" i="3" s="1"/>
  <c r="R21" i="3" s="1"/>
  <c r="X20" i="3"/>
  <c r="S21" i="3" s="1"/>
  <c r="T21" i="3" s="1"/>
  <c r="U23" i="1"/>
  <c r="V23" i="1" s="1"/>
  <c r="W23" i="1" s="1"/>
  <c r="Q24" i="1" s="1"/>
  <c r="R24" i="1" s="1"/>
  <c r="T23" i="1"/>
  <c r="U21" i="3" l="1"/>
  <c r="V21" i="3" s="1"/>
  <c r="W21" i="3" s="1"/>
  <c r="Q22" i="3" s="1"/>
  <c r="Y21" i="3"/>
  <c r="X23" i="1"/>
  <c r="S24" i="1" s="1"/>
  <c r="Y24" i="1" s="1"/>
  <c r="R22" i="3" l="1"/>
  <c r="X21" i="3"/>
  <c r="S22" i="3" s="1"/>
  <c r="U22" i="3" s="1"/>
  <c r="V22" i="3" s="1"/>
  <c r="U24" i="1"/>
  <c r="V24" i="1" s="1"/>
  <c r="W24" i="1" s="1"/>
  <c r="Q25" i="1" s="1"/>
  <c r="R25" i="1" s="1"/>
  <c r="T24" i="1"/>
  <c r="T22" i="3" l="1"/>
  <c r="X22" i="3" s="1"/>
  <c r="S23" i="3" s="1"/>
  <c r="Y22" i="3"/>
  <c r="W22" i="3"/>
  <c r="Q23" i="3" s="1"/>
  <c r="X24" i="1"/>
  <c r="S25" i="1" s="1"/>
  <c r="T25" i="1" s="1"/>
  <c r="R23" i="3" l="1"/>
  <c r="U23" i="3"/>
  <c r="T23" i="3"/>
  <c r="Y23" i="3"/>
  <c r="U25" i="1"/>
  <c r="V25" i="1" s="1"/>
  <c r="W25" i="1" s="1"/>
  <c r="Q26" i="1" s="1"/>
  <c r="R26" i="1" s="1"/>
  <c r="Y25" i="1"/>
  <c r="V23" i="3" l="1"/>
  <c r="X23" i="3" s="1"/>
  <c r="S24" i="3" s="1"/>
  <c r="X25" i="1"/>
  <c r="S26" i="1" s="1"/>
  <c r="U26" i="1" s="1"/>
  <c r="V26" i="1" s="1"/>
  <c r="W26" i="1" s="1"/>
  <c r="Q27" i="1" s="1"/>
  <c r="T24" i="3" l="1"/>
  <c r="W23" i="3"/>
  <c r="Q24" i="3" s="1"/>
  <c r="Y24" i="3" s="1"/>
  <c r="T26" i="1"/>
  <c r="X26" i="1" s="1"/>
  <c r="S27" i="1" s="1"/>
  <c r="U27" i="1" s="1"/>
  <c r="V27" i="1" s="1"/>
  <c r="Y26" i="1"/>
  <c r="R27" i="1"/>
  <c r="R24" i="3" l="1"/>
  <c r="U24" i="3"/>
  <c r="W27" i="1"/>
  <c r="Q28" i="1" s="1"/>
  <c r="R28" i="1" s="1"/>
  <c r="T27" i="1"/>
  <c r="X27" i="1" s="1"/>
  <c r="S28" i="1" s="1"/>
  <c r="Y27" i="1"/>
  <c r="V24" i="3" l="1"/>
  <c r="X24" i="3" s="1"/>
  <c r="S25" i="3" s="1"/>
  <c r="T28" i="1"/>
  <c r="Y28" i="1"/>
  <c r="U28" i="1"/>
  <c r="V28" i="1" s="1"/>
  <c r="W28" i="1" s="1"/>
  <c r="Q29" i="1" s="1"/>
  <c r="R29" i="1" s="1"/>
  <c r="T25" i="3" l="1"/>
  <c r="W24" i="3"/>
  <c r="Q25" i="3" s="1"/>
  <c r="X28" i="1"/>
  <c r="S29" i="1" s="1"/>
  <c r="R25" i="3" l="1"/>
  <c r="U25" i="3"/>
  <c r="Y25" i="3"/>
  <c r="Y29" i="1"/>
  <c r="T29" i="1"/>
  <c r="U29" i="1"/>
  <c r="V29" i="1" s="1"/>
  <c r="W29" i="1" s="1"/>
  <c r="Q30" i="1" s="1"/>
  <c r="R30" i="1" s="1"/>
  <c r="V25" i="3" l="1"/>
  <c r="X25" i="3" s="1"/>
  <c r="S26" i="3" s="1"/>
  <c r="X29" i="1"/>
  <c r="S30" i="1" s="1"/>
  <c r="T26" i="3" l="1"/>
  <c r="W25" i="3"/>
  <c r="Q26" i="3" s="1"/>
  <c r="T30" i="1"/>
  <c r="Y30" i="1"/>
  <c r="U30" i="1"/>
  <c r="V30" i="1" s="1"/>
  <c r="R26" i="3" l="1"/>
  <c r="U26" i="3"/>
  <c r="V26" i="3" s="1"/>
  <c r="X26" i="3" s="1"/>
  <c r="S27" i="3" s="1"/>
  <c r="Y26" i="3"/>
  <c r="X30" i="1"/>
  <c r="S31" i="1" s="1"/>
  <c r="W30" i="1"/>
  <c r="Q31" i="1" s="1"/>
  <c r="T27" i="3" l="1"/>
  <c r="W26" i="3"/>
  <c r="Q27" i="3" s="1"/>
  <c r="R31" i="1"/>
  <c r="U31" i="1"/>
  <c r="V31" i="1" s="1"/>
  <c r="T31" i="1"/>
  <c r="Y31" i="1"/>
  <c r="R27" i="3" l="1"/>
  <c r="U27" i="3"/>
  <c r="Y27" i="3"/>
  <c r="X31" i="1"/>
  <c r="S32" i="1" s="1"/>
  <c r="T32" i="1" s="1"/>
  <c r="W31" i="1"/>
  <c r="Q32" i="1" s="1"/>
  <c r="V27" i="3" l="1"/>
  <c r="X27" i="3" s="1"/>
  <c r="S28" i="3" s="1"/>
  <c r="R32" i="1"/>
  <c r="U32" i="1"/>
  <c r="V32" i="1" s="1"/>
  <c r="X32" i="1" s="1"/>
  <c r="S33" i="1" s="1"/>
  <c r="T33" i="1" s="1"/>
  <c r="Y32" i="1"/>
  <c r="T28" i="3" l="1"/>
  <c r="W27" i="3"/>
  <c r="Q28" i="3" s="1"/>
  <c r="Y28" i="3" s="1"/>
  <c r="W32" i="1"/>
  <c r="Q33" i="1" s="1"/>
  <c r="R28" i="3" l="1"/>
  <c r="U28" i="3"/>
  <c r="R33" i="1"/>
  <c r="U33" i="1"/>
  <c r="V33" i="1" s="1"/>
  <c r="X33" i="1" s="1"/>
  <c r="S34" i="1" s="1"/>
  <c r="T34" i="1" s="1"/>
  <c r="Y33" i="1"/>
  <c r="V28" i="3" l="1"/>
  <c r="X28" i="3" s="1"/>
  <c r="S29" i="3" s="1"/>
  <c r="W33" i="1"/>
  <c r="Q34" i="1" s="1"/>
  <c r="T29" i="3" l="1"/>
  <c r="W28" i="3"/>
  <c r="Q29" i="3" s="1"/>
  <c r="Y29" i="3" s="1"/>
  <c r="R34" i="1"/>
  <c r="U34" i="1"/>
  <c r="Y34" i="1"/>
  <c r="R29" i="3" l="1"/>
  <c r="U29" i="3"/>
  <c r="K24" i="1"/>
  <c r="K25" i="1" s="1"/>
  <c r="G8" i="1" s="1"/>
  <c r="V34" i="1"/>
  <c r="G9" i="1" l="1"/>
  <c r="G12" i="1" s="1"/>
  <c r="G17" i="1" s="1"/>
  <c r="G20" i="1"/>
  <c r="V29" i="3"/>
  <c r="X29" i="3" s="1"/>
  <c r="S30" i="3" s="1"/>
  <c r="W34" i="1"/>
  <c r="X34" i="1"/>
  <c r="G19" i="1" l="1"/>
  <c r="G18" i="1"/>
  <c r="T30" i="3"/>
  <c r="W29" i="3"/>
  <c r="Q30" i="3" s="1"/>
  <c r="G36" i="1"/>
  <c r="G37" i="1" l="1"/>
  <c r="G40" i="1" s="1"/>
  <c r="G30" i="1"/>
  <c r="AG4" i="1" s="1"/>
  <c r="R30" i="3"/>
  <c r="U30" i="3"/>
  <c r="Y30" i="3"/>
  <c r="G31" i="1" l="1"/>
  <c r="AC4" i="1"/>
  <c r="AE4" i="1"/>
  <c r="V30" i="3"/>
  <c r="X30" i="3" s="1"/>
  <c r="S31" i="3" s="1"/>
  <c r="T31" i="3" l="1"/>
  <c r="W30" i="3"/>
  <c r="Q31" i="3" s="1"/>
  <c r="R31" i="3" l="1"/>
  <c r="U31" i="3"/>
  <c r="Y31" i="3"/>
  <c r="V31" i="3" l="1"/>
  <c r="X31" i="3" s="1"/>
  <c r="S32" i="3" s="1"/>
  <c r="T32" i="3" l="1"/>
  <c r="W31" i="3"/>
  <c r="Q32" i="3" s="1"/>
  <c r="R32" i="3" l="1"/>
  <c r="U32" i="3"/>
  <c r="Y32" i="3"/>
  <c r="V32" i="3" l="1"/>
  <c r="X32" i="3" s="1"/>
  <c r="S33" i="3" s="1"/>
  <c r="T33" i="3" l="1"/>
  <c r="W32" i="3"/>
  <c r="Q33" i="3" s="1"/>
  <c r="R33" i="3" l="1"/>
  <c r="U33" i="3"/>
  <c r="Y33" i="3"/>
  <c r="V33" i="3" l="1"/>
  <c r="X33" i="3" s="1"/>
  <c r="S34" i="3" s="1"/>
  <c r="T34" i="3" l="1"/>
  <c r="W33" i="3"/>
  <c r="Q34" i="3" s="1"/>
  <c r="R34" i="3" l="1"/>
  <c r="U34" i="3"/>
  <c r="K23" i="3" s="1"/>
  <c r="K24" i="3" s="1"/>
  <c r="G8" i="3" s="1"/>
  <c r="G9" i="3" s="1"/>
  <c r="Y34" i="3"/>
  <c r="V34" i="3" l="1"/>
  <c r="X34" i="3" s="1"/>
  <c r="W34" i="3" l="1"/>
  <c r="G12" i="3" l="1"/>
  <c r="G17" i="3" s="1"/>
  <c r="G33" i="3" l="1"/>
  <c r="G37" i="3" s="1"/>
  <c r="G27" i="3"/>
  <c r="AG4" i="3" l="1"/>
  <c r="AE4" i="3"/>
  <c r="AC4" i="3"/>
  <c r="G28" i="3"/>
</calcChain>
</file>

<file path=xl/sharedStrings.xml><?xml version="1.0" encoding="utf-8"?>
<sst xmlns="http://schemas.openxmlformats.org/spreadsheetml/2006/main" count="332" uniqueCount="146">
  <si>
    <t>!!! Press F9 to recalculate !!!</t>
  </si>
  <si>
    <t>lift+cruise</t>
  </si>
  <si>
    <t>rotor_lift_solidity</t>
  </si>
  <si>
    <t>rotor_cruise_solidity</t>
  </si>
  <si>
    <t>hover_FM</t>
  </si>
  <si>
    <t>Wing parameters</t>
  </si>
  <si>
    <t>Cd0</t>
  </si>
  <si>
    <t>wing_AR</t>
  </si>
  <si>
    <t>Battery parameters</t>
  </si>
  <si>
    <t>battery_rho</t>
  </si>
  <si>
    <t>Wh/kg</t>
  </si>
  <si>
    <t>battery_eff</t>
  </si>
  <si>
    <t>battery_max_discharge</t>
  </si>
  <si>
    <t>Design parameters</t>
  </si>
  <si>
    <t>kg</t>
  </si>
  <si>
    <t>r_rotor_lift</t>
  </si>
  <si>
    <t>m</t>
  </si>
  <si>
    <t>r_rotor_cruise</t>
  </si>
  <si>
    <t>cruise_speed</t>
  </si>
  <si>
    <t>m/s</t>
  </si>
  <si>
    <t>wing_area</t>
  </si>
  <si>
    <t>m^2</t>
  </si>
  <si>
    <t>Rotor|J</t>
  </si>
  <si>
    <t>Mission requirements</t>
  </si>
  <si>
    <t>flight_range</t>
  </si>
  <si>
    <t>hover_time</t>
  </si>
  <si>
    <t>s</t>
  </si>
  <si>
    <t>rho_air</t>
  </si>
  <si>
    <t>kg/m^3</t>
  </si>
  <si>
    <t>gravitational_accel</t>
  </si>
  <si>
    <t>m/s^2</t>
  </si>
  <si>
    <t>Softmax</t>
  </si>
  <si>
    <t>rho</t>
  </si>
  <si>
    <t>Hover segment modeling</t>
  </si>
  <si>
    <t>power_hover</t>
  </si>
  <si>
    <t>W</t>
  </si>
  <si>
    <t>thrust_each</t>
  </si>
  <si>
    <t>N</t>
  </si>
  <si>
    <t>Cruise segment modeling</t>
  </si>
  <si>
    <t>power_fwd_each</t>
  </si>
  <si>
    <t>power_forward</t>
  </si>
  <si>
    <t>Energy and time</t>
  </si>
  <si>
    <t>energy_cnsmp</t>
  </si>
  <si>
    <t>Wh</t>
  </si>
  <si>
    <t>flight_time</t>
  </si>
  <si>
    <t>Aerodynamics</t>
  </si>
  <si>
    <t>lift</t>
  </si>
  <si>
    <t>dyn_pressure</t>
  </si>
  <si>
    <t>N/m^2</t>
  </si>
  <si>
    <t>CL_cruise</t>
  </si>
  <si>
    <t>Rotor performance</t>
  </si>
  <si>
    <t>alpha</t>
  </si>
  <si>
    <t>rad</t>
  </si>
  <si>
    <t>omega</t>
  </si>
  <si>
    <t>rad/s</t>
  </si>
  <si>
    <t>mu</t>
  </si>
  <si>
    <t>Ct</t>
  </si>
  <si>
    <t>Profile_power</t>
  </si>
  <si>
    <t>lambda</t>
  </si>
  <si>
    <t>v_induced</t>
  </si>
  <si>
    <t>kappa_raw</t>
  </si>
  <si>
    <t>kappa_min</t>
  </si>
  <si>
    <t>kappa</t>
  </si>
  <si>
    <t>N_rotors_lift</t>
  </si>
  <si>
    <t>N_rotors_cruise</t>
  </si>
  <si>
    <t>evtol_config</t>
  </si>
  <si>
    <t>W_total_takeoff</t>
  </si>
  <si>
    <t>f</t>
  </si>
  <si>
    <t>CD0</t>
  </si>
  <si>
    <t>Parasite_drag</t>
  </si>
  <si>
    <t>Oswald_e</t>
  </si>
  <si>
    <t>CD_cruise</t>
  </si>
  <si>
    <t>Total_drag</t>
  </si>
  <si>
    <t>AoA</t>
  </si>
  <si>
    <t>deg</t>
  </si>
  <si>
    <t>Bisection method for solving RotorInflow lambda</t>
  </si>
  <si>
    <t>Iter</t>
  </si>
  <si>
    <t>a</t>
  </si>
  <si>
    <t>f(a)</t>
  </si>
  <si>
    <t>b</t>
  </si>
  <si>
    <t>f(b)</t>
  </si>
  <si>
    <t>c</t>
  </si>
  <si>
    <t>f(c)</t>
  </si>
  <si>
    <t>f(a)*f(c)</t>
  </si>
  <si>
    <t>f(b)*f(c)</t>
  </si>
  <si>
    <t>Error (b-a)</t>
  </si>
  <si>
    <t>Weights modeling</t>
  </si>
  <si>
    <t>W_battery</t>
  </si>
  <si>
    <t>W_rotors</t>
  </si>
  <si>
    <t>W_motors</t>
  </si>
  <si>
    <t>W_wing</t>
  </si>
  <si>
    <t>W_residual</t>
  </si>
  <si>
    <t>Acceptable?</t>
  </si>
  <si>
    <t>Weight percentages</t>
  </si>
  <si>
    <t>W_payload</t>
  </si>
  <si>
    <t>%</t>
  </si>
  <si>
    <t>Total</t>
  </si>
  <si>
    <t>W_fuselage</t>
  </si>
  <si>
    <t>W_landing_gear</t>
  </si>
  <si>
    <t>W_htail</t>
  </si>
  <si>
    <t>W_vtail</t>
  </si>
  <si>
    <t>W_avionics</t>
  </si>
  <si>
    <t>W_flight_control</t>
  </si>
  <si>
    <t>W_anti_icing</t>
  </si>
  <si>
    <t>W_furnishings</t>
  </si>
  <si>
    <t>payload_weight</t>
  </si>
  <si>
    <t>Bisection method for solving W_total</t>
  </si>
  <si>
    <t>W_powerplant</t>
  </si>
  <si>
    <t>W_structure</t>
  </si>
  <si>
    <t>W_equipment</t>
  </si>
  <si>
    <t>Constants</t>
  </si>
  <si>
    <t>eVTOL general parameters</t>
  </si>
  <si>
    <t>multirotor</t>
  </si>
  <si>
    <t>Rotor|mu</t>
  </si>
  <si>
    <t>Stability (trim)</t>
  </si>
  <si>
    <t>Thrust_all</t>
  </si>
  <si>
    <t>sin_beta</t>
  </si>
  <si>
    <t>Bisection method for solving W_total_takeoff</t>
  </si>
  <si>
    <t>torque</t>
  </si>
  <si>
    <t>Nm</t>
  </si>
  <si>
    <t>thrust</t>
  </si>
  <si>
    <t>n_rotor</t>
  </si>
  <si>
    <t>kW</t>
  </si>
  <si>
    <t>W_rotor+hubs</t>
  </si>
  <si>
    <t>W_motor</t>
  </si>
  <si>
    <t>W_motor_controller</t>
  </si>
  <si>
    <t>lb</t>
  </si>
  <si>
    <t>technology_factor</t>
  </si>
  <si>
    <t>RPM</t>
  </si>
  <si>
    <t>helicopter</t>
  </si>
  <si>
    <t>tiltrotor</t>
  </si>
  <si>
    <t>tiltwing</t>
  </si>
  <si>
    <t>Gross weight</t>
  </si>
  <si>
    <t>ft2</t>
  </si>
  <si>
    <t>Eqv flat plat area (f)</t>
  </si>
  <si>
    <t>K_eqv</t>
  </si>
  <si>
    <t>Eqv_flat_plat_calc</t>
  </si>
  <si>
    <t>L/D</t>
  </si>
  <si>
    <t>S</t>
  </si>
  <si>
    <t>AR</t>
  </si>
  <si>
    <t>P_hover</t>
  </si>
  <si>
    <t>P_cruise</t>
  </si>
  <si>
    <t>hp-to-kW</t>
  </si>
  <si>
    <t>W_controllers</t>
  </si>
  <si>
    <t>W_propulsion</t>
  </si>
  <si>
    <t>Init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</si>
</sst>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name val="Aptos Narrow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4" borderId="0" xfId="0" applyFill="1"/>
    <xf numFmtId="0" fontId="2" fillId="3" borderId="0" xfId="0" applyFont="1" applyFill="1" applyAlignment="1">
      <alignment horizontal="left"/>
    </xf>
    <xf numFmtId="0" fontId="0" fillId="5" borderId="0" xfId="0" applyFill="1"/>
    <xf numFmtId="0" fontId="3" fillId="0" borderId="0" xfId="0" applyFont="1"/>
    <xf numFmtId="0" fontId="4" fillId="0" borderId="0" xfId="0" applyFont="1"/>
    <xf numFmtId="0" fontId="2" fillId="0" borderId="0" xfId="0" applyFont="1"/>
    <xf numFmtId="0" fontId="2" fillId="3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6" borderId="0" xfId="0" applyFont="1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3" fillId="7" borderId="0" xfId="0" applyFont="1" applyFill="1"/>
    <xf numFmtId="0" fontId="3" fillId="10" borderId="0" xfId="0" applyFont="1" applyFill="1"/>
    <xf numFmtId="0" fontId="2" fillId="3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3" borderId="0" xfId="0" applyFont="1" applyFill="1"/>
    <xf numFmtId="0" fontId="0" fillId="0" borderId="0" xfId="0"/>
    <xf numFmtId="0" fontId="0" fillId="3" borderId="0" xfId="0" applyFill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12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0E65-E84A-B883-6FDC7CEE418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0E65-E84A-B883-6FDC7CEE418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0E65-E84A-B883-6FDC7CEE418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0E65-E84A-B883-6FDC7CEE4187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0E65-E84A-B883-6FDC7CEE418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multirotor!$F$32:$F$36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W_powerplant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multirotor!$G$32:$G$36</c:f>
              <c:numCache>
                <c:formatCode>General</c:formatCode>
                <c:ptCount val="5"/>
                <c:pt idx="0">
                  <c:v>44.64</c:v>
                </c:pt>
                <c:pt idx="1">
                  <c:v>22.06</c:v>
                </c:pt>
                <c:pt idx="2">
                  <c:v>8.02</c:v>
                </c:pt>
                <c:pt idx="3">
                  <c:v>18.16</c:v>
                </c:pt>
                <c:pt idx="4">
                  <c:v>5.84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5-E84A-B883-6FDC7CEE4187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Weight Percentages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1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1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1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CBBE-1C49-AF66-55E3903E226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2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2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2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CBBE-1C49-AF66-55E3903E226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3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3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3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CBBE-1C49-AF66-55E3903E226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4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4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4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7-CBBE-1C49-AF66-55E3903E2265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lumMod val="110000"/>
                      <a:satMod val="105000"/>
                      <a:tint val="67000"/>
                    </a:schemeClr>
                  </a:gs>
                  <a:gs pos="50000">
                    <a:schemeClr val="accent5">
                      <a:lumMod val="105000"/>
                      <a:satMod val="103000"/>
                      <a:tint val="73000"/>
                    </a:schemeClr>
                  </a:gs>
                  <a:gs pos="100000">
                    <a:schemeClr val="accent5">
                      <a:lumMod val="105000"/>
                      <a:satMod val="109000"/>
                      <a:tint val="81000"/>
                    </a:schemeClr>
                  </a:gs>
                </a:gsLst>
                <a:lin ang="5400000" scaled="0"/>
              </a:gradFill>
              <a:ln w="9525" cap="flat" cmpd="sng" algn="ctr">
                <a:solidFill>
                  <a:schemeClr val="accent5">
                    <a:shade val="95000"/>
                  </a:schemeClr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9-CBBE-1C49-AF66-55E3903E226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'lift+cruise'!$F$35:$F$39</c:f>
              <c:strCache>
                <c:ptCount val="5"/>
                <c:pt idx="0">
                  <c:v>W_payload</c:v>
                </c:pt>
                <c:pt idx="1">
                  <c:v>W_battery</c:v>
                </c:pt>
                <c:pt idx="2">
                  <c:v>W_propulsion</c:v>
                </c:pt>
                <c:pt idx="3">
                  <c:v>W_structure</c:v>
                </c:pt>
                <c:pt idx="4">
                  <c:v>W_equipment</c:v>
                </c:pt>
              </c:strCache>
            </c:strRef>
          </c:cat>
          <c:val>
            <c:numRef>
              <c:f>'lift+cruise'!$G$35:$G$39</c:f>
              <c:numCache>
                <c:formatCode>General</c:formatCode>
                <c:ptCount val="5"/>
                <c:pt idx="0">
                  <c:v>37.15</c:v>
                </c:pt>
                <c:pt idx="1">
                  <c:v>10.15</c:v>
                </c:pt>
                <c:pt idx="2">
                  <c:v>12.95</c:v>
                </c:pt>
                <c:pt idx="3">
                  <c:v>33.9</c:v>
                </c:pt>
                <c:pt idx="4">
                  <c:v>5.85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45-D548-80A9-F0A77DB7226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4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/>
    <cs:fillRef idx="2">
      <cs:styleClr val="auto"/>
    </cs:fillRef>
    <cs:effectRef idx="1"/>
    <cs:fontRef idx="minor">
      <a:schemeClr val="dk1"/>
    </cs:fontRef>
    <cs:spPr/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355600</xdr:colOff>
      <xdr:row>28</xdr:row>
      <xdr:rowOff>165100</xdr:rowOff>
    </xdr:from>
    <xdr:to>
      <xdr:col>14</xdr:col>
      <xdr:colOff>165100</xdr:colOff>
      <xdr:row>40</xdr:row>
      <xdr:rowOff>139700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819D55D-791F-714A-8E56-8D10C7171E6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190500</xdr:colOff>
      <xdr:row>29</xdr:row>
      <xdr:rowOff>114300</xdr:rowOff>
    </xdr:from>
    <xdr:to>
      <xdr:col>14</xdr:col>
      <xdr:colOff>0</xdr:colOff>
      <xdr:row>41</xdr:row>
      <xdr:rowOff>88900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F547BA0-5BDD-EFD7-530F-6F79C8E174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671EB-89B6-F54E-A7EC-520F7563A407}">
  <dimension ref="B1:AJ57"/>
  <sheetViews>
    <sheetView workbookViewId="0">
      <selection activeCell="B41" sqref="B41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117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112</v>
      </c>
      <c r="F4" t="s">
        <v>34</v>
      </c>
      <c r="G4">
        <f xml:space="preserve"> 1/$C$7 * SQRT( ($C$15*$C$27)^3 / (2 * $C$26 * PI() * $C$16^2* $C$5) )</f>
        <v>99790.888637145195</v>
      </c>
      <c r="H4" t="s">
        <v>35</v>
      </c>
      <c r="J4" t="s">
        <v>47</v>
      </c>
      <c r="K4">
        <f xml:space="preserve"> 0.5 * $C$26 * $C$17^2</f>
        <v>416.26522840146413</v>
      </c>
      <c r="L4" t="s">
        <v>48</v>
      </c>
      <c r="P4" s="8">
        <v>0</v>
      </c>
      <c r="Q4" s="9">
        <v>0</v>
      </c>
      <c r="R4" s="8">
        <f xml:space="preserve"> $C$18 * TAN($K$17) + $K$20 / (2 * SQRT($C$18^2 + Q4^2)) - Q4</f>
        <v>0.11637926768186785</v>
      </c>
      <c r="S4" s="9">
        <v>1</v>
      </c>
      <c r="T4" s="8">
        <f xml:space="preserve"> $C$18 * TAN($K$17) + $K$20 / (2 * SQRT($C$18^2 + S4^2)) - S4</f>
        <v>-0.91378643136971804</v>
      </c>
      <c r="U4" s="8">
        <f xml:space="preserve"> (Q4 + S4)/2</f>
        <v>0.5</v>
      </c>
      <c r="V4" s="8">
        <f xml:space="preserve"> $C$18 * TAN($K$17) + $K$20 / (2 * SQRT($C$18^2 + U4^2)) - U4</f>
        <v>-0.39960399210411679</v>
      </c>
      <c r="W4" s="8">
        <f>R4*V4</f>
        <v>-4.6505619963828015E-2</v>
      </c>
      <c r="X4" s="8">
        <f>T4*V4</f>
        <v>0.36515270590591387</v>
      </c>
      <c r="Y4" s="8">
        <f>S4-Q4</f>
        <v>1</v>
      </c>
      <c r="AA4" s="8">
        <v>0</v>
      </c>
      <c r="AB4" s="8"/>
      <c r="AC4" s="8">
        <f>G27</f>
        <v>-7.9376150097232312E-10</v>
      </c>
      <c r="AD4" s="8"/>
      <c r="AE4" s="8">
        <f>G27</f>
        <v>-7.9376150097232312E-10</v>
      </c>
      <c r="AF4" s="8"/>
      <c r="AG4" s="8">
        <f>G27</f>
        <v>-7.9376150097232312E-10</v>
      </c>
      <c r="AH4" s="8"/>
      <c r="AI4" s="8"/>
      <c r="AJ4" s="8"/>
    </row>
    <row r="5" spans="2:36" x14ac:dyDescent="0.2">
      <c r="B5" t="s">
        <v>63</v>
      </c>
      <c r="C5" s="1">
        <v>7</v>
      </c>
      <c r="F5" t="s">
        <v>36</v>
      </c>
      <c r="G5">
        <f xml:space="preserve"> $C$15 * $C$27 / $C$5</f>
        <v>1255.6508664176649</v>
      </c>
      <c r="H5" t="s">
        <v>37</v>
      </c>
      <c r="J5" t="s">
        <v>67</v>
      </c>
      <c r="K5">
        <f xml:space="preserve"> 0.0327 * ($C$15*2.20462)^0.8903 * 0.3048^2</f>
        <v>2.6102286930071386</v>
      </c>
      <c r="L5" t="s">
        <v>21</v>
      </c>
      <c r="P5" s="8">
        <v>1</v>
      </c>
      <c r="Q5" s="8">
        <f>IF(W4&gt;0, U4, Q4)</f>
        <v>0</v>
      </c>
      <c r="R5" s="8">
        <f t="shared" ref="R5:R34" si="0" xml:space="preserve"> $C$18 * TAN($K$17) + $K$20 / (2 * SQRT($C$18^2 + Q5^2)) - Q5</f>
        <v>0.11637926768186785</v>
      </c>
      <c r="S5" s="8">
        <f>IF(X4&gt;0, U4, S4)</f>
        <v>0.5</v>
      </c>
      <c r="T5" s="8">
        <f t="shared" ref="T5:T34" si="1" xml:space="preserve"> $C$18 * TAN($K$17) + $K$20 / (2 * SQRT($C$18^2 + S5^2)) - S5</f>
        <v>-0.39960399210411679</v>
      </c>
      <c r="U5" s="8">
        <f t="shared" ref="U5:U34" si="2" xml:space="preserve"> (Q5 + S5)/2</f>
        <v>0.25</v>
      </c>
      <c r="V5" s="8">
        <f t="shared" ref="V5:V34" si="3" xml:space="preserve"> $C$18 * TAN($K$17) + $K$20 / (2 * SQRT($C$18^2 + U5^2)) - U5</f>
        <v>-0.13938186820967358</v>
      </c>
      <c r="W5" s="8">
        <f t="shared" ref="W5:W34" si="4">R5*V5</f>
        <v>-1.6221159750372426E-2</v>
      </c>
      <c r="X5" s="8">
        <f t="shared" ref="X5:X34" si="5">T5*V5</f>
        <v>5.5697550963515446E-2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15" ca="1"/>
        <v>-206.29091780149838</v>
      </c>
      <c r="AD5" s="9">
        <v>2500</v>
      </c>
      <c r="AE5" s="8">
        <f t="dataTable" ref="AE5:AE44" dt2D="0" dtr="0" r1="C15" ca="1"/>
        <v>466.12282266038596</v>
      </c>
      <c r="AF5" s="8">
        <f>(AB5+AD5)/2</f>
        <v>1500</v>
      </c>
      <c r="AG5" s="8">
        <f t="dataTable" ref="AG5:AG44" dt2D="0" dtr="0" r1="C15"/>
        <v>242.87729795899588</v>
      </c>
      <c r="AH5" s="8">
        <f>AC5*AG5</f>
        <v>-50103.380709109253</v>
      </c>
      <c r="AI5" s="8">
        <f>AE5*AG5</f>
        <v>113210.65168477476</v>
      </c>
      <c r="AJ5" s="8">
        <f>AD5-AB5</f>
        <v>2000</v>
      </c>
    </row>
    <row r="6" spans="2:36" x14ac:dyDescent="0.2">
      <c r="B6" t="s">
        <v>2</v>
      </c>
      <c r="C6" s="1">
        <v>0.13</v>
      </c>
      <c r="J6" t="s">
        <v>68</v>
      </c>
      <c r="K6">
        <f xml:space="preserve"> K5 / ($C$5 * PI() * $C$16^2)</f>
        <v>5.2753117348345813E-2</v>
      </c>
      <c r="P6" s="8">
        <v>2</v>
      </c>
      <c r="Q6" s="8">
        <f t="shared" ref="Q6:Q34" si="7">IF(W5&gt;0, U5, Q5)</f>
        <v>0</v>
      </c>
      <c r="R6" s="8">
        <f t="shared" si="0"/>
        <v>0.11637926768186785</v>
      </c>
      <c r="S6" s="8">
        <f t="shared" ref="S6:S34" si="8">IF(X5&gt;0, U5, S5)</f>
        <v>0.25</v>
      </c>
      <c r="T6" s="8">
        <f t="shared" si="1"/>
        <v>-0.13938186820967358</v>
      </c>
      <c r="U6" s="8">
        <f t="shared" si="2"/>
        <v>0.125</v>
      </c>
      <c r="V6" s="8">
        <f t="shared" si="3"/>
        <v>-1.0250063921568742E-2</v>
      </c>
      <c r="W6" s="8">
        <f t="shared" si="4"/>
        <v>-1.1928949328845048E-3</v>
      </c>
      <c r="X6" s="8">
        <f t="shared" si="5"/>
        <v>1.4286730586568243E-3</v>
      </c>
      <c r="Y6" s="8">
        <f t="shared" si="6"/>
        <v>0.25</v>
      </c>
      <c r="AA6" s="8">
        <v>2</v>
      </c>
      <c r="AB6" s="8">
        <f>IF(AH5&gt;0, AF5, AB5)</f>
        <v>500</v>
      </c>
      <c r="AC6" s="8">
        <v>-206.29091780149838</v>
      </c>
      <c r="AD6" s="8">
        <f>IF(AI5&gt;0, AF5, AD5)</f>
        <v>1500</v>
      </c>
      <c r="AE6" s="8">
        <v>242.87729795899588</v>
      </c>
      <c r="AF6" s="8">
        <f t="shared" ref="AF6:AF44" si="9">(AB6+AD6)/2</f>
        <v>1000</v>
      </c>
      <c r="AG6" s="8">
        <v>47.971367681479023</v>
      </c>
      <c r="AH6" s="8">
        <f t="shared" ref="AH6:AH44" si="10">AC6*AG6</f>
        <v>-9896.0574672054445</v>
      </c>
      <c r="AI6" s="8">
        <f t="shared" ref="AI6:AI44" si="11">AE6*AG6</f>
        <v>11651.156161875126</v>
      </c>
      <c r="AJ6" s="8">
        <f t="shared" ref="AJ6:AJ44" si="12">AD6-AB6</f>
        <v>1000</v>
      </c>
    </row>
    <row r="7" spans="2:36" x14ac:dyDescent="0.2">
      <c r="B7" t="s">
        <v>4</v>
      </c>
      <c r="C7" s="1">
        <v>0.75</v>
      </c>
      <c r="F7" s="21" t="s">
        <v>38</v>
      </c>
      <c r="G7" s="23"/>
      <c r="H7" s="23"/>
      <c r="J7" t="s">
        <v>69</v>
      </c>
      <c r="K7">
        <f xml:space="preserve"> K4 * K5</f>
        <v>1086.5474430746717</v>
      </c>
      <c r="L7" t="s">
        <v>37</v>
      </c>
      <c r="P7" s="8">
        <v>3</v>
      </c>
      <c r="Q7" s="8">
        <f t="shared" si="7"/>
        <v>0</v>
      </c>
      <c r="R7" s="8">
        <f t="shared" si="0"/>
        <v>0.11637926768186785</v>
      </c>
      <c r="S7" s="8">
        <f t="shared" si="8"/>
        <v>0.125</v>
      </c>
      <c r="T7" s="8">
        <f t="shared" si="1"/>
        <v>-1.0250063921568742E-2</v>
      </c>
      <c r="U7" s="8">
        <f t="shared" si="2"/>
        <v>6.25E-2</v>
      </c>
      <c r="V7" s="8">
        <f t="shared" si="3"/>
        <v>5.3457869387301404E-2</v>
      </c>
      <c r="W7" s="8">
        <f t="shared" si="4"/>
        <v>6.2213876911270793E-3</v>
      </c>
      <c r="X7" s="8">
        <f t="shared" si="5"/>
        <v>-5.4794657833071221E-4</v>
      </c>
      <c r="Y7" s="8">
        <f t="shared" si="6"/>
        <v>0.125</v>
      </c>
      <c r="AA7" s="8">
        <v>3</v>
      </c>
      <c r="AB7" s="8">
        <f t="shared" ref="AB7:AB44" si="13">IF(AH6&gt;0, AF6, AB6)</f>
        <v>500</v>
      </c>
      <c r="AC7" s="8">
        <v>-206.29091780149838</v>
      </c>
      <c r="AD7" s="8">
        <f t="shared" ref="AD7:AD44" si="14">IF(AI6&gt;0, AF6, AD6)</f>
        <v>1000</v>
      </c>
      <c r="AE7" s="8">
        <v>47.971367681479023</v>
      </c>
      <c r="AF7" s="8">
        <f t="shared" si="9"/>
        <v>750</v>
      </c>
      <c r="AG7" s="8">
        <v>-71.703698875837517</v>
      </c>
      <c r="AH7" s="8">
        <f t="shared" si="10"/>
        <v>14791.821850858789</v>
      </c>
      <c r="AI7" s="8">
        <f t="shared" si="11"/>
        <v>-3439.7245028948555</v>
      </c>
      <c r="AJ7" s="8">
        <f t="shared" si="12"/>
        <v>500</v>
      </c>
    </row>
    <row r="8" spans="2:36" x14ac:dyDescent="0.2">
      <c r="F8" s="4" t="s">
        <v>39</v>
      </c>
      <c r="G8">
        <f xml:space="preserve"> K22 + K18 * (K24 * K27 + $C$17 * SIN(K17))</f>
        <v>9033.7716991443322</v>
      </c>
      <c r="H8" t="s">
        <v>35</v>
      </c>
      <c r="J8" t="s">
        <v>72</v>
      </c>
      <c r="K8">
        <f xml:space="preserve"> K7</f>
        <v>1086.5474430746717</v>
      </c>
      <c r="L8" t="s">
        <v>37</v>
      </c>
      <c r="P8" s="8">
        <v>4</v>
      </c>
      <c r="Q8" s="8">
        <f t="shared" si="7"/>
        <v>6.25E-2</v>
      </c>
      <c r="R8" s="8">
        <f t="shared" si="0"/>
        <v>5.3457869387301404E-2</v>
      </c>
      <c r="S8" s="8">
        <f t="shared" si="8"/>
        <v>0.125</v>
      </c>
      <c r="T8" s="8">
        <f t="shared" si="1"/>
        <v>-1.0250063921568742E-2</v>
      </c>
      <c r="U8" s="8">
        <f t="shared" si="2"/>
        <v>9.375E-2</v>
      </c>
      <c r="V8" s="8">
        <f t="shared" si="3"/>
        <v>2.1694598427410533E-2</v>
      </c>
      <c r="W8" s="8">
        <f t="shared" si="4"/>
        <v>1.1597470091424668E-3</v>
      </c>
      <c r="X8" s="8">
        <f t="shared" si="5"/>
        <v>-2.2237102063372267E-4</v>
      </c>
      <c r="Y8" s="8">
        <f t="shared" si="6"/>
        <v>6.25E-2</v>
      </c>
      <c r="AA8" s="8">
        <v>4</v>
      </c>
      <c r="AB8" s="8">
        <f t="shared" si="13"/>
        <v>750</v>
      </c>
      <c r="AC8" s="8">
        <v>-71.703698875837517</v>
      </c>
      <c r="AD8" s="8">
        <f t="shared" si="14"/>
        <v>1000</v>
      </c>
      <c r="AE8" s="8">
        <v>47.971367681479023</v>
      </c>
      <c r="AF8" s="8">
        <f t="shared" si="9"/>
        <v>875</v>
      </c>
      <c r="AG8" s="8">
        <v>-9.9896599430754236</v>
      </c>
      <c r="AH8" s="8">
        <f t="shared" si="10"/>
        <v>716.29556843029638</v>
      </c>
      <c r="AI8" s="8">
        <f t="shared" si="11"/>
        <v>-479.21765014221398</v>
      </c>
      <c r="AJ8" s="8">
        <f t="shared" si="12"/>
        <v>250</v>
      </c>
    </row>
    <row r="9" spans="2:36" x14ac:dyDescent="0.2">
      <c r="B9" s="21" t="s">
        <v>8</v>
      </c>
      <c r="C9" s="23"/>
      <c r="D9" s="23"/>
      <c r="F9" s="4" t="s">
        <v>40</v>
      </c>
      <c r="G9">
        <f>$C$5 * G8</f>
        <v>63236.401894010327</v>
      </c>
      <c r="H9" t="s">
        <v>35</v>
      </c>
      <c r="P9" s="8">
        <v>5</v>
      </c>
      <c r="Q9" s="8">
        <f t="shared" si="7"/>
        <v>9.375E-2</v>
      </c>
      <c r="R9" s="8">
        <f t="shared" si="0"/>
        <v>2.1694598427410533E-2</v>
      </c>
      <c r="S9" s="8">
        <f t="shared" si="8"/>
        <v>0.125</v>
      </c>
      <c r="T9" s="8">
        <f t="shared" si="1"/>
        <v>-1.0250063921568742E-2</v>
      </c>
      <c r="U9" s="8">
        <f t="shared" si="2"/>
        <v>0.109375</v>
      </c>
      <c r="V9" s="8">
        <f t="shared" si="3"/>
        <v>5.7436955683024538E-3</v>
      </c>
      <c r="W9" s="8">
        <f t="shared" si="4"/>
        <v>1.2460716884361926E-4</v>
      </c>
      <c r="X9" s="8">
        <f t="shared" si="5"/>
        <v>-5.8873246721131254E-5</v>
      </c>
      <c r="Y9" s="8">
        <f t="shared" si="6"/>
        <v>3.125E-2</v>
      </c>
      <c r="AA9" s="8">
        <v>5</v>
      </c>
      <c r="AB9" s="8">
        <f t="shared" si="13"/>
        <v>875</v>
      </c>
      <c r="AC9" s="8">
        <v>-9.9896599430754236</v>
      </c>
      <c r="AD9" s="8">
        <f t="shared" si="14"/>
        <v>1000</v>
      </c>
      <c r="AE9" s="8">
        <v>47.971367681479023</v>
      </c>
      <c r="AF9" s="8">
        <f t="shared" si="9"/>
        <v>937.5</v>
      </c>
      <c r="AG9" s="8">
        <v>19.459299576775265</v>
      </c>
      <c r="AH9" s="8">
        <f t="shared" si="10"/>
        <v>-194.39178550241641</v>
      </c>
      <c r="AI9" s="8">
        <f t="shared" si="11"/>
        <v>933.48921482153537</v>
      </c>
      <c r="AJ9" s="8">
        <f t="shared" si="12"/>
        <v>125</v>
      </c>
    </row>
    <row r="10" spans="2:36" x14ac:dyDescent="0.2">
      <c r="B10" t="s">
        <v>9</v>
      </c>
      <c r="C10" s="1">
        <v>250</v>
      </c>
      <c r="D10" t="s">
        <v>10</v>
      </c>
      <c r="P10" s="8">
        <v>6</v>
      </c>
      <c r="Q10" s="8">
        <f t="shared" si="7"/>
        <v>0.109375</v>
      </c>
      <c r="R10" s="8">
        <f t="shared" si="0"/>
        <v>5.7436955683024538E-3</v>
      </c>
      <c r="S10" s="8">
        <f t="shared" si="8"/>
        <v>0.125</v>
      </c>
      <c r="T10" s="8">
        <f t="shared" si="1"/>
        <v>-1.0250063921568742E-2</v>
      </c>
      <c r="U10" s="8">
        <f t="shared" si="2"/>
        <v>0.1171875</v>
      </c>
      <c r="V10" s="8">
        <f t="shared" si="3"/>
        <v>-2.2479971751305783E-3</v>
      </c>
      <c r="W10" s="8">
        <f t="shared" si="4"/>
        <v>-1.2911811412353937E-5</v>
      </c>
      <c r="X10" s="8">
        <f t="shared" si="5"/>
        <v>2.304211474059439E-5</v>
      </c>
      <c r="Y10" s="8">
        <f t="shared" si="6"/>
        <v>1.5625E-2</v>
      </c>
      <c r="AA10" s="8">
        <v>6</v>
      </c>
      <c r="AB10" s="8">
        <f t="shared" si="13"/>
        <v>875</v>
      </c>
      <c r="AC10" s="8">
        <v>-9.9896599430754236</v>
      </c>
      <c r="AD10" s="8">
        <f t="shared" si="14"/>
        <v>937.5</v>
      </c>
      <c r="AE10" s="8">
        <v>19.459299576775265</v>
      </c>
      <c r="AF10" s="8">
        <f t="shared" si="9"/>
        <v>906.25</v>
      </c>
      <c r="AG10" s="8">
        <v>4.8520806006823705</v>
      </c>
      <c r="AH10" s="8">
        <f t="shared" si="10"/>
        <v>-48.470635217210017</v>
      </c>
      <c r="AI10" s="8">
        <f t="shared" si="11"/>
        <v>94.418089979337921</v>
      </c>
      <c r="AJ10" s="8">
        <f t="shared" si="12"/>
        <v>62.5</v>
      </c>
    </row>
    <row r="11" spans="2:36" x14ac:dyDescent="0.2">
      <c r="B11" t="s">
        <v>11</v>
      </c>
      <c r="C11" s="1">
        <v>0.85</v>
      </c>
      <c r="F11" s="21" t="s">
        <v>41</v>
      </c>
      <c r="G11" s="23"/>
      <c r="H11" s="23"/>
      <c r="J11" s="21" t="s">
        <v>114</v>
      </c>
      <c r="K11" s="22"/>
      <c r="L11" s="22"/>
      <c r="P11" s="8">
        <v>7</v>
      </c>
      <c r="Q11" s="8">
        <f t="shared" si="7"/>
        <v>0.109375</v>
      </c>
      <c r="R11" s="8">
        <f t="shared" si="0"/>
        <v>5.7436955683024538E-3</v>
      </c>
      <c r="S11" s="8">
        <f t="shared" si="8"/>
        <v>0.1171875</v>
      </c>
      <c r="T11" s="8">
        <f t="shared" si="1"/>
        <v>-2.2479971751305783E-3</v>
      </c>
      <c r="U11" s="8">
        <f t="shared" si="2"/>
        <v>0.11328125</v>
      </c>
      <c r="V11" s="8">
        <f t="shared" si="3"/>
        <v>1.7491677641976872E-3</v>
      </c>
      <c r="W11" s="8">
        <f t="shared" si="4"/>
        <v>1.0046687135439768E-5</v>
      </c>
      <c r="X11" s="8">
        <f t="shared" si="5"/>
        <v>-3.9321241927458698E-6</v>
      </c>
      <c r="Y11" s="8">
        <f t="shared" si="6"/>
        <v>7.8125E-3</v>
      </c>
      <c r="AA11" s="8">
        <v>7</v>
      </c>
      <c r="AB11" s="8">
        <f t="shared" si="13"/>
        <v>875</v>
      </c>
      <c r="AC11" s="8">
        <v>-9.9896599430754236</v>
      </c>
      <c r="AD11" s="8">
        <f t="shared" si="14"/>
        <v>906.25</v>
      </c>
      <c r="AE11" s="8">
        <v>4.8520806006823705</v>
      </c>
      <c r="AF11" s="8">
        <f t="shared" si="9"/>
        <v>890.625</v>
      </c>
      <c r="AG11" s="8">
        <v>-2.5394602632337637</v>
      </c>
      <c r="AH11" s="8">
        <f t="shared" si="10"/>
        <v>25.368344468658101</v>
      </c>
      <c r="AI11" s="8">
        <f t="shared" si="11"/>
        <v>-12.321665879440291</v>
      </c>
      <c r="AJ11" s="8">
        <f t="shared" si="12"/>
        <v>31.25</v>
      </c>
    </row>
    <row r="12" spans="2:36" x14ac:dyDescent="0.2">
      <c r="B12" t="s">
        <v>12</v>
      </c>
      <c r="C12" s="1">
        <v>0.8</v>
      </c>
      <c r="F12" t="s">
        <v>42</v>
      </c>
      <c r="G12">
        <f xml:space="preserve"> (G4*$C$23 + G9*G13)/3600</f>
        <v>33604.826608879259</v>
      </c>
      <c r="H12" t="s">
        <v>43</v>
      </c>
      <c r="J12" t="s">
        <v>115</v>
      </c>
      <c r="K12">
        <f xml:space="preserve"> SQRT( ($C$15*$C$27)^2 + K8^2)</f>
        <v>8856.459855071229</v>
      </c>
      <c r="L12" t="s">
        <v>37</v>
      </c>
      <c r="P12" s="8">
        <v>8</v>
      </c>
      <c r="Q12" s="8">
        <f t="shared" si="7"/>
        <v>0.11328125</v>
      </c>
      <c r="R12" s="8">
        <f t="shared" si="0"/>
        <v>1.7491677641976872E-3</v>
      </c>
      <c r="S12" s="8">
        <f t="shared" si="8"/>
        <v>0.1171875</v>
      </c>
      <c r="T12" s="8">
        <f t="shared" si="1"/>
        <v>-2.2479971751305783E-3</v>
      </c>
      <c r="U12" s="8">
        <f t="shared" si="2"/>
        <v>0.115234375</v>
      </c>
      <c r="V12" s="8">
        <f t="shared" si="3"/>
        <v>-2.4908775814838635E-4</v>
      </c>
      <c r="W12" s="8">
        <f t="shared" si="4"/>
        <v>-4.3569627700942717E-7</v>
      </c>
      <c r="X12" s="8">
        <f t="shared" si="5"/>
        <v>5.5994857667718119E-7</v>
      </c>
      <c r="Y12" s="8">
        <f t="shared" si="6"/>
        <v>3.90625E-3</v>
      </c>
      <c r="AA12" s="8">
        <v>8</v>
      </c>
      <c r="AB12" s="8">
        <f t="shared" si="13"/>
        <v>890.625</v>
      </c>
      <c r="AC12" s="8">
        <v>-2.5394602632337637</v>
      </c>
      <c r="AD12" s="8">
        <f t="shared" si="14"/>
        <v>906.25</v>
      </c>
      <c r="AE12" s="8">
        <v>4.8520806006823705</v>
      </c>
      <c r="AF12" s="8">
        <f t="shared" si="9"/>
        <v>898.4375</v>
      </c>
      <c r="AG12" s="8">
        <v>1.1636408549138082</v>
      </c>
      <c r="AH12" s="8">
        <f t="shared" si="10"/>
        <v>-2.9550197117289811</v>
      </c>
      <c r="AI12" s="8">
        <f t="shared" si="11"/>
        <v>5.6460792182887376</v>
      </c>
      <c r="AJ12" s="8">
        <f t="shared" si="12"/>
        <v>15.625</v>
      </c>
    </row>
    <row r="13" spans="2:36" x14ac:dyDescent="0.2">
      <c r="F13" t="s">
        <v>44</v>
      </c>
      <c r="G13">
        <f xml:space="preserve"> $C$22 / $C$17</f>
        <v>1534.3624813074764</v>
      </c>
      <c r="H13" t="s">
        <v>26</v>
      </c>
      <c r="J13" t="s">
        <v>116</v>
      </c>
      <c r="K13">
        <f>$C$15*$C$27/K12</f>
        <v>0.99244576374280458</v>
      </c>
      <c r="P13" s="8">
        <v>9</v>
      </c>
      <c r="Q13" s="8">
        <f t="shared" si="7"/>
        <v>0.11328125</v>
      </c>
      <c r="R13" s="8">
        <f t="shared" si="0"/>
        <v>1.7491677641976872E-3</v>
      </c>
      <c r="S13" s="8">
        <f t="shared" si="8"/>
        <v>0.115234375</v>
      </c>
      <c r="T13" s="8">
        <f t="shared" si="1"/>
        <v>-2.4908775814838635E-4</v>
      </c>
      <c r="U13" s="8">
        <f t="shared" si="2"/>
        <v>0.1142578125</v>
      </c>
      <c r="V13" s="8">
        <f t="shared" si="3"/>
        <v>7.5012207878442927E-4</v>
      </c>
      <c r="W13" s="8">
        <f t="shared" si="4"/>
        <v>1.3120893594226815E-6</v>
      </c>
      <c r="X13" s="8">
        <f t="shared" si="5"/>
        <v>-1.8684622694202073E-7</v>
      </c>
      <c r="Y13" s="8">
        <f t="shared" si="6"/>
        <v>1.953125E-3</v>
      </c>
      <c r="AA13" s="8">
        <v>9</v>
      </c>
      <c r="AB13" s="8">
        <f t="shared" si="13"/>
        <v>890.625</v>
      </c>
      <c r="AC13" s="8">
        <v>-2.5394602632337637</v>
      </c>
      <c r="AD13" s="8">
        <f t="shared" si="14"/>
        <v>898.4375</v>
      </c>
      <c r="AE13" s="8">
        <v>1.1636408549138082</v>
      </c>
      <c r="AF13" s="8">
        <f t="shared" si="9"/>
        <v>894.53125</v>
      </c>
      <c r="AG13" s="8">
        <v>-0.68607750060164108</v>
      </c>
      <c r="AH13" s="8">
        <f t="shared" si="10"/>
        <v>1.7422665502766062</v>
      </c>
      <c r="AI13" s="8">
        <f t="shared" si="11"/>
        <v>-0.79834780933722238</v>
      </c>
      <c r="AJ13" s="8">
        <f t="shared" si="12"/>
        <v>7.8125</v>
      </c>
    </row>
    <row r="14" spans="2:36" x14ac:dyDescent="0.2">
      <c r="B14" s="19" t="s">
        <v>13</v>
      </c>
      <c r="C14" s="19"/>
      <c r="D14" s="19"/>
      <c r="P14" s="8">
        <v>10</v>
      </c>
      <c r="Q14" s="8">
        <f t="shared" si="7"/>
        <v>0.1142578125</v>
      </c>
      <c r="R14" s="8">
        <f t="shared" si="0"/>
        <v>7.5012207878442927E-4</v>
      </c>
      <c r="S14" s="8">
        <f t="shared" si="8"/>
        <v>0.115234375</v>
      </c>
      <c r="T14" s="8">
        <f t="shared" si="1"/>
        <v>-2.4908775814838635E-4</v>
      </c>
      <c r="U14" s="8">
        <f t="shared" si="2"/>
        <v>0.11474609375</v>
      </c>
      <c r="V14" s="8">
        <f t="shared" si="3"/>
        <v>2.5053763702115317E-4</v>
      </c>
      <c r="W14" s="8">
        <f t="shared" si="4"/>
        <v>1.8793381309604621E-7</v>
      </c>
      <c r="X14" s="8">
        <f t="shared" si="5"/>
        <v>-6.2405858337393205E-8</v>
      </c>
      <c r="Y14" s="8">
        <f t="shared" si="6"/>
        <v>9.765625E-4</v>
      </c>
      <c r="AA14" s="8">
        <v>10</v>
      </c>
      <c r="AB14" s="8">
        <f t="shared" si="13"/>
        <v>894.53125</v>
      </c>
      <c r="AC14" s="8">
        <v>-0.68607750060164108</v>
      </c>
      <c r="AD14" s="8">
        <f t="shared" si="14"/>
        <v>898.4375</v>
      </c>
      <c r="AE14" s="8">
        <v>1.1636408549138082</v>
      </c>
      <c r="AF14" s="8">
        <f t="shared" si="9"/>
        <v>896.484375</v>
      </c>
      <c r="AG14" s="8">
        <v>0.23923965836166872</v>
      </c>
      <c r="AH14" s="8">
        <f t="shared" si="10"/>
        <v>-0.16413694685356417</v>
      </c>
      <c r="AI14" s="8">
        <f t="shared" si="11"/>
        <v>0.2783890405852596</v>
      </c>
      <c r="AJ14" s="8">
        <f t="shared" si="12"/>
        <v>3.90625</v>
      </c>
    </row>
    <row r="15" spans="2:36" x14ac:dyDescent="0.2">
      <c r="B15" s="3" t="s">
        <v>66</v>
      </c>
      <c r="C15" s="3">
        <f>AF44</f>
        <v>895.97921151107585</v>
      </c>
      <c r="D15" s="3" t="s">
        <v>14</v>
      </c>
      <c r="P15" s="8">
        <v>11</v>
      </c>
      <c r="Q15" s="8">
        <f t="shared" si="7"/>
        <v>0.11474609375</v>
      </c>
      <c r="R15" s="8">
        <f t="shared" si="0"/>
        <v>2.5053763702115317E-4</v>
      </c>
      <c r="S15" s="8">
        <f t="shared" si="8"/>
        <v>0.115234375</v>
      </c>
      <c r="T15" s="8">
        <f t="shared" si="1"/>
        <v>-2.4908775814838635E-4</v>
      </c>
      <c r="U15" s="8">
        <f t="shared" si="2"/>
        <v>0.114990234375</v>
      </c>
      <c r="V15" s="8">
        <f t="shared" si="3"/>
        <v>7.3005332115738675E-7</v>
      </c>
      <c r="W15" s="8">
        <f t="shared" si="4"/>
        <v>1.8290583398221673E-10</v>
      </c>
      <c r="X15" s="8">
        <f t="shared" si="5"/>
        <v>-1.8184734509587738E-10</v>
      </c>
      <c r="Y15" s="8">
        <f t="shared" si="6"/>
        <v>4.8828125E-4</v>
      </c>
      <c r="AA15" s="8">
        <v>11</v>
      </c>
      <c r="AB15" s="8">
        <f t="shared" si="13"/>
        <v>894.53125</v>
      </c>
      <c r="AC15" s="8">
        <v>-0.68607750060164108</v>
      </c>
      <c r="AD15" s="8">
        <f t="shared" si="14"/>
        <v>896.484375</v>
      </c>
      <c r="AE15" s="8">
        <v>0.23923965836166872</v>
      </c>
      <c r="AF15" s="8">
        <f t="shared" si="9"/>
        <v>895.5078125</v>
      </c>
      <c r="AG15" s="8">
        <v>-0.22330443845953596</v>
      </c>
      <c r="AH15" s="8">
        <f t="shared" si="10"/>
        <v>0.15320415101157139</v>
      </c>
      <c r="AI15" s="8">
        <f t="shared" si="11"/>
        <v>-5.342327756770366E-2</v>
      </c>
      <c r="AJ15" s="8">
        <f t="shared" si="12"/>
        <v>1.953125</v>
      </c>
    </row>
    <row r="16" spans="2:36" x14ac:dyDescent="0.2">
      <c r="B16" t="s">
        <v>15</v>
      </c>
      <c r="C16" s="1">
        <v>1.49999999995335</v>
      </c>
      <c r="D16" t="s">
        <v>16</v>
      </c>
      <c r="F16" s="21" t="s">
        <v>86</v>
      </c>
      <c r="G16" s="21"/>
      <c r="H16" s="21"/>
      <c r="J16" s="21" t="s">
        <v>50</v>
      </c>
      <c r="K16" s="22"/>
      <c r="L16" s="22"/>
      <c r="P16" s="8">
        <v>12</v>
      </c>
      <c r="Q16" s="8">
        <f t="shared" si="7"/>
        <v>0.114990234375</v>
      </c>
      <c r="R16" s="8">
        <f t="shared" si="0"/>
        <v>7.3005332115738675E-7</v>
      </c>
      <c r="S16" s="8">
        <f t="shared" si="8"/>
        <v>0.115234375</v>
      </c>
      <c r="T16" s="8">
        <f t="shared" si="1"/>
        <v>-2.4908775814838635E-4</v>
      </c>
      <c r="U16" s="8">
        <f t="shared" si="2"/>
        <v>0.1151123046875</v>
      </c>
      <c r="V16" s="8">
        <f t="shared" si="3"/>
        <v>-1.2417757460450596E-4</v>
      </c>
      <c r="W16" s="8">
        <f t="shared" si="4"/>
        <v>-9.0656250753288743E-11</v>
      </c>
      <c r="X16" s="8">
        <f t="shared" si="5"/>
        <v>3.0931113670540385E-8</v>
      </c>
      <c r="Y16" s="8">
        <f t="shared" si="6"/>
        <v>2.44140625E-4</v>
      </c>
      <c r="AA16" s="8">
        <v>12</v>
      </c>
      <c r="AB16" s="8">
        <f t="shared" si="13"/>
        <v>895.5078125</v>
      </c>
      <c r="AC16" s="8">
        <v>-0.22330443845953596</v>
      </c>
      <c r="AD16" s="8">
        <f t="shared" si="14"/>
        <v>896.484375</v>
      </c>
      <c r="AE16" s="8">
        <v>0.23923965836166872</v>
      </c>
      <c r="AF16" s="8">
        <f t="shared" si="9"/>
        <v>895.99609375</v>
      </c>
      <c r="AG16" s="8">
        <v>7.9965765220890717E-3</v>
      </c>
      <c r="AH16" s="8">
        <f t="shared" si="10"/>
        <v>-1.7856710298638091E-3</v>
      </c>
      <c r="AI16" s="8">
        <f t="shared" si="11"/>
        <v>1.9130982352075305E-3</v>
      </c>
      <c r="AJ16" s="8">
        <f t="shared" si="12"/>
        <v>0.9765625</v>
      </c>
    </row>
    <row r="17" spans="2:36" x14ac:dyDescent="0.2">
      <c r="B17" t="s">
        <v>18</v>
      </c>
      <c r="C17" s="1">
        <v>26.069459131922201</v>
      </c>
      <c r="D17" t="s">
        <v>19</v>
      </c>
      <c r="F17" s="16" t="s">
        <v>87</v>
      </c>
      <c r="G17">
        <f xml:space="preserve"> G12 / ($C$10 * $C$11 * $C$12)</f>
        <v>197.67545064046624</v>
      </c>
      <c r="H17" t="s">
        <v>14</v>
      </c>
      <c r="J17" t="s">
        <v>51</v>
      </c>
      <c r="K17">
        <f xml:space="preserve"> ACOS(K13)</f>
        <v>0.12299403680234966</v>
      </c>
      <c r="L17" t="s">
        <v>52</v>
      </c>
      <c r="P17" s="8">
        <v>13</v>
      </c>
      <c r="Q17" s="8">
        <f t="shared" si="7"/>
        <v>0.114990234375</v>
      </c>
      <c r="R17" s="8">
        <f t="shared" si="0"/>
        <v>7.3005332115738675E-7</v>
      </c>
      <c r="S17" s="8">
        <f t="shared" si="8"/>
        <v>0.1151123046875</v>
      </c>
      <c r="T17" s="8">
        <f t="shared" si="1"/>
        <v>-1.2417757460450596E-4</v>
      </c>
      <c r="U17" s="8">
        <f t="shared" si="2"/>
        <v>0.11505126953125</v>
      </c>
      <c r="V17" s="8">
        <f t="shared" si="3"/>
        <v>-6.1723441106609211E-5</v>
      </c>
      <c r="W17" s="8">
        <f t="shared" si="4"/>
        <v>-4.5061403173142421E-11</v>
      </c>
      <c r="X17" s="8">
        <f t="shared" si="5"/>
        <v>7.6646672128627951E-9</v>
      </c>
      <c r="Y17" s="8">
        <f t="shared" si="6"/>
        <v>1.220703125E-4</v>
      </c>
      <c r="AA17" s="8">
        <v>13</v>
      </c>
      <c r="AB17" s="8">
        <f t="shared" si="13"/>
        <v>895.5078125</v>
      </c>
      <c r="AC17" s="8">
        <v>-0.22330443845953596</v>
      </c>
      <c r="AD17" s="8">
        <f t="shared" si="14"/>
        <v>895.99609375</v>
      </c>
      <c r="AE17" s="8">
        <v>7.9965765220890717E-3</v>
      </c>
      <c r="AF17" s="8">
        <f t="shared" si="9"/>
        <v>895.751953125</v>
      </c>
      <c r="AG17" s="8">
        <v>-0.1076470338227864</v>
      </c>
      <c r="AH17" s="8">
        <f t="shared" si="10"/>
        <v>2.4038060439631991E-2</v>
      </c>
      <c r="AI17" s="8">
        <f t="shared" si="11"/>
        <v>-8.6080774333982188E-4</v>
      </c>
      <c r="AJ17" s="8">
        <f t="shared" si="12"/>
        <v>0.48828125</v>
      </c>
    </row>
    <row r="18" spans="2:36" x14ac:dyDescent="0.2">
      <c r="B18" t="s">
        <v>113</v>
      </c>
      <c r="C18" s="1">
        <v>0.499999998351708</v>
      </c>
      <c r="F18" s="12" t="s">
        <v>88</v>
      </c>
      <c r="G18">
        <f xml:space="preserve"> $C$5 * 0.144 * (2*$C$16*3.28084 * (G4*0.00134102/$C$5) * 4^0.5)^0.782 * 0.453592</f>
        <v>47.229928093029223</v>
      </c>
      <c r="H18" t="s">
        <v>14</v>
      </c>
      <c r="J18" t="s">
        <v>36</v>
      </c>
      <c r="K18">
        <f xml:space="preserve"> K12 / $C$5</f>
        <v>1265.2085507244612</v>
      </c>
      <c r="L18" t="s">
        <v>37</v>
      </c>
      <c r="P18" s="8">
        <v>14</v>
      </c>
      <c r="Q18" s="8">
        <f t="shared" si="7"/>
        <v>0.114990234375</v>
      </c>
      <c r="R18" s="8">
        <f t="shared" si="0"/>
        <v>7.3005332115738675E-7</v>
      </c>
      <c r="S18" s="8">
        <f t="shared" si="8"/>
        <v>0.11505126953125</v>
      </c>
      <c r="T18" s="8">
        <f t="shared" si="1"/>
        <v>-6.1723441106609211E-5</v>
      </c>
      <c r="U18" s="8">
        <f t="shared" si="2"/>
        <v>0.115020751953125</v>
      </c>
      <c r="V18" s="8">
        <f t="shared" si="3"/>
        <v>-3.0496613998620692E-5</v>
      </c>
      <c r="W18" s="8">
        <f t="shared" si="4"/>
        <v>-2.226415433374789E-11</v>
      </c>
      <c r="X18" s="8">
        <f t="shared" si="5"/>
        <v>1.8823559580948582E-9</v>
      </c>
      <c r="Y18" s="8">
        <f t="shared" si="6"/>
        <v>6.103515625E-5</v>
      </c>
      <c r="AA18" s="8">
        <v>14</v>
      </c>
      <c r="AB18" s="8">
        <f t="shared" si="13"/>
        <v>895.751953125</v>
      </c>
      <c r="AC18" s="8">
        <v>-0.1076470338227864</v>
      </c>
      <c r="AD18" s="8">
        <f t="shared" si="14"/>
        <v>895.99609375</v>
      </c>
      <c r="AE18" s="8">
        <v>7.9965765220890717E-3</v>
      </c>
      <c r="AF18" s="8">
        <f t="shared" si="9"/>
        <v>895.8740234375</v>
      </c>
      <c r="AG18" s="8">
        <v>-4.9823504366941052E-2</v>
      </c>
      <c r="AH18" s="8">
        <f t="shared" si="10"/>
        <v>5.363352459757849E-3</v>
      </c>
      <c r="AI18" s="8">
        <f t="shared" si="11"/>
        <v>-3.9841746526888313E-4</v>
      </c>
      <c r="AJ18" s="8">
        <f t="shared" si="12"/>
        <v>0.244140625</v>
      </c>
    </row>
    <row r="19" spans="2:36" x14ac:dyDescent="0.2">
      <c r="F19" s="13" t="s">
        <v>89</v>
      </c>
      <c r="G19">
        <f xml:space="preserve"> 0.188 * (G4/1000) + 5.836</f>
        <v>24.5966870637833</v>
      </c>
      <c r="H19" t="s">
        <v>14</v>
      </c>
      <c r="J19" t="s">
        <v>53</v>
      </c>
      <c r="K19">
        <f xml:space="preserve"> $C$17 * COS(K17) / ($C$18 * $C$16)</f>
        <v>34.496699152850596</v>
      </c>
      <c r="L19" t="s">
        <v>54</v>
      </c>
      <c r="P19" s="8">
        <v>15</v>
      </c>
      <c r="Q19" s="8">
        <f t="shared" si="7"/>
        <v>0.114990234375</v>
      </c>
      <c r="R19" s="8">
        <f t="shared" si="0"/>
        <v>7.3005332115738675E-7</v>
      </c>
      <c r="S19" s="8">
        <f t="shared" si="8"/>
        <v>0.115020751953125</v>
      </c>
      <c r="T19" s="8">
        <f t="shared" si="1"/>
        <v>-3.0496613998620692E-5</v>
      </c>
      <c r="U19" s="8">
        <f t="shared" si="2"/>
        <v>0.1150054931640625</v>
      </c>
      <c r="V19" s="8">
        <f t="shared" si="3"/>
        <v>-1.4883260363918183E-5</v>
      </c>
      <c r="W19" s="8">
        <f t="shared" si="4"/>
        <v>-1.0865573658328566E-11</v>
      </c>
      <c r="X19" s="8">
        <f t="shared" si="5"/>
        <v>4.5388904635938377E-10</v>
      </c>
      <c r="Y19" s="8">
        <f t="shared" si="6"/>
        <v>3.0517578125E-5</v>
      </c>
      <c r="AA19" s="8">
        <v>15</v>
      </c>
      <c r="AB19" s="8">
        <f t="shared" si="13"/>
        <v>895.8740234375</v>
      </c>
      <c r="AC19" s="8">
        <v>-4.9823504366941052E-2</v>
      </c>
      <c r="AD19" s="8">
        <f t="shared" si="14"/>
        <v>895.99609375</v>
      </c>
      <c r="AE19" s="8">
        <v>7.9965765220890717E-3</v>
      </c>
      <c r="AF19" s="8">
        <f t="shared" si="9"/>
        <v>895.93505859375</v>
      </c>
      <c r="AG19" s="8">
        <v>-2.0913032851979096E-2</v>
      </c>
      <c r="AH19" s="8">
        <f t="shared" si="10"/>
        <v>1.0419605836265622E-3</v>
      </c>
      <c r="AI19" s="8">
        <f t="shared" si="11"/>
        <v>-1.672326675098135E-4</v>
      </c>
      <c r="AJ19" s="8">
        <f t="shared" si="12"/>
        <v>0.1220703125</v>
      </c>
    </row>
    <row r="20" spans="2:36" x14ac:dyDescent="0.2">
      <c r="B20" s="19" t="s">
        <v>23</v>
      </c>
      <c r="C20" s="19"/>
      <c r="D20" s="19"/>
      <c r="F20" s="13" t="s">
        <v>143</v>
      </c>
      <c r="G20">
        <f xml:space="preserve"> 2.20462 * (49.9/398 * (G4/$C$5/1000 - 2) + 0.1) * 0.453592 * $C$5</f>
        <v>11.45617135991813</v>
      </c>
      <c r="H20" t="s">
        <v>14</v>
      </c>
      <c r="J20" t="s">
        <v>56</v>
      </c>
      <c r="K20">
        <f xml:space="preserve"> K18 / ($C$26 * PI() * $C$16^2 * K19^2 * $C$16^2)</f>
        <v>5.4570261935192849E-2</v>
      </c>
      <c r="P20" s="8">
        <v>16</v>
      </c>
      <c r="Q20" s="8">
        <f t="shared" si="7"/>
        <v>0.114990234375</v>
      </c>
      <c r="R20" s="8">
        <f t="shared" si="0"/>
        <v>7.3005332115738675E-7</v>
      </c>
      <c r="S20" s="8">
        <f t="shared" si="8"/>
        <v>0.1150054931640625</v>
      </c>
      <c r="T20" s="8">
        <f t="shared" si="1"/>
        <v>-1.4883260363918183E-5</v>
      </c>
      <c r="U20" s="8">
        <f t="shared" si="2"/>
        <v>0.11499786376953125</v>
      </c>
      <c r="V20" s="8">
        <f t="shared" si="3"/>
        <v>-7.0765985275139665E-6</v>
      </c>
      <c r="W20" s="8">
        <f t="shared" si="4"/>
        <v>-5.1662942575090436E-12</v>
      </c>
      <c r="X20" s="8">
        <f t="shared" si="5"/>
        <v>1.0532285837591039E-10</v>
      </c>
      <c r="Y20" s="8">
        <f t="shared" si="6"/>
        <v>1.52587890625E-5</v>
      </c>
      <c r="AA20" s="8">
        <v>16</v>
      </c>
      <c r="AB20" s="8">
        <f t="shared" si="13"/>
        <v>895.93505859375</v>
      </c>
      <c r="AC20" s="8">
        <v>-2.0913032851979096E-2</v>
      </c>
      <c r="AD20" s="8">
        <f t="shared" si="14"/>
        <v>895.99609375</v>
      </c>
      <c r="AE20" s="8">
        <v>7.9965765220890717E-3</v>
      </c>
      <c r="AF20" s="8">
        <f t="shared" si="9"/>
        <v>895.965576171875</v>
      </c>
      <c r="AG20" s="8">
        <v>-6.4581203970419665E-3</v>
      </c>
      <c r="AH20" s="8">
        <f t="shared" si="10"/>
        <v>1.3505888402537492E-4</v>
      </c>
      <c r="AI20" s="8">
        <f t="shared" si="11"/>
        <v>-5.1642853943810342E-5</v>
      </c>
      <c r="AJ20" s="8">
        <f t="shared" si="12"/>
        <v>6.103515625E-2</v>
      </c>
    </row>
    <row r="21" spans="2:36" x14ac:dyDescent="0.2">
      <c r="B21" t="s">
        <v>105</v>
      </c>
      <c r="C21" s="1">
        <v>400</v>
      </c>
      <c r="D21" t="s">
        <v>14</v>
      </c>
      <c r="F21" s="14" t="s">
        <v>97</v>
      </c>
      <c r="G21">
        <f xml:space="preserve"> 14.86 * ($C$15*2.20462)^0.144 * (6.7/(PI()*1.8))^0.778 * (6.7*3.28084)^0.383 * 4^0.455 * 0.453592</f>
        <v>140.76768348510012</v>
      </c>
      <c r="H21" t="s">
        <v>14</v>
      </c>
      <c r="J21" t="s">
        <v>6</v>
      </c>
      <c r="K21" s="1">
        <v>1.2E-2</v>
      </c>
      <c r="P21" s="8">
        <v>17</v>
      </c>
      <c r="Q21" s="8">
        <f t="shared" si="7"/>
        <v>0.114990234375</v>
      </c>
      <c r="R21" s="8">
        <f t="shared" si="0"/>
        <v>7.3005332115738675E-7</v>
      </c>
      <c r="S21" s="8">
        <f t="shared" si="8"/>
        <v>0.11499786376953125</v>
      </c>
      <c r="T21" s="8">
        <f t="shared" si="1"/>
        <v>-7.0765985275139665E-6</v>
      </c>
      <c r="U21" s="8">
        <f t="shared" si="2"/>
        <v>0.11499404907226562</v>
      </c>
      <c r="V21" s="8">
        <f t="shared" si="3"/>
        <v>-3.1732713546978042E-6</v>
      </c>
      <c r="W21" s="8">
        <f t="shared" si="4"/>
        <v>-2.3166572914307316E-12</v>
      </c>
      <c r="X21" s="8">
        <f t="shared" si="5"/>
        <v>2.2455967396056731E-11</v>
      </c>
      <c r="Y21" s="8">
        <f t="shared" si="6"/>
        <v>7.62939453125E-6</v>
      </c>
      <c r="AA21" s="8">
        <v>17</v>
      </c>
      <c r="AB21" s="8">
        <f t="shared" si="13"/>
        <v>895.965576171875</v>
      </c>
      <c r="AC21" s="8">
        <v>-6.4581203970419665E-3</v>
      </c>
      <c r="AD21" s="8">
        <f t="shared" si="14"/>
        <v>895.99609375</v>
      </c>
      <c r="AE21" s="8">
        <v>7.9965765220890717E-3</v>
      </c>
      <c r="AF21" s="8">
        <f t="shared" si="9"/>
        <v>895.9808349609375</v>
      </c>
      <c r="AG21" s="8">
        <v>7.6994363956828238E-4</v>
      </c>
      <c r="AH21" s="8">
        <f t="shared" si="10"/>
        <v>-4.9723887232686525E-6</v>
      </c>
      <c r="AI21" s="8">
        <f t="shared" si="11"/>
        <v>6.1569132315035371E-6</v>
      </c>
      <c r="AJ21" s="8">
        <f t="shared" si="12"/>
        <v>3.0517578125E-2</v>
      </c>
    </row>
    <row r="22" spans="2:36" x14ac:dyDescent="0.2">
      <c r="B22" t="s">
        <v>24</v>
      </c>
      <c r="C22" s="1">
        <v>40000</v>
      </c>
      <c r="D22" t="s">
        <v>16</v>
      </c>
      <c r="F22" s="14" t="s">
        <v>98</v>
      </c>
      <c r="G22">
        <f xml:space="preserve"> 0.054 * (0.7*3.28084)^0.501 * ($C$15*2.20462*5.7)^0.684 * 0.453592</f>
        <v>21.937758065083997</v>
      </c>
      <c r="H22" t="s">
        <v>14</v>
      </c>
      <c r="J22" t="s">
        <v>57</v>
      </c>
      <c r="K22">
        <f xml:space="preserve"> ($C$6 * K21 / 8) * (1 + 4.65 *$C$18^ 2) * ( PI() * $C$26 * K19^3 *$C$16^ 5)</f>
        <v>505.90107959463302</v>
      </c>
      <c r="L22" t="s">
        <v>35</v>
      </c>
      <c r="P22" s="8">
        <v>18</v>
      </c>
      <c r="Q22" s="8">
        <f t="shared" si="7"/>
        <v>0.114990234375</v>
      </c>
      <c r="R22" s="8">
        <f t="shared" si="0"/>
        <v>7.3005332115738675E-7</v>
      </c>
      <c r="S22" s="8">
        <f t="shared" si="8"/>
        <v>0.11499404907226562</v>
      </c>
      <c r="T22" s="8">
        <f t="shared" si="1"/>
        <v>-3.1732713546978042E-6</v>
      </c>
      <c r="U22" s="8">
        <f t="shared" si="2"/>
        <v>0.11499214172363281</v>
      </c>
      <c r="V22" s="8">
        <f t="shared" si="3"/>
        <v>-1.221608704651822E-6</v>
      </c>
      <c r="W22" s="8">
        <f t="shared" si="4"/>
        <v>-8.9183949198583588E-13</v>
      </c>
      <c r="X22" s="8">
        <f t="shared" si="5"/>
        <v>3.8764959091211174E-12</v>
      </c>
      <c r="Y22" s="8">
        <f t="shared" si="6"/>
        <v>3.814697265625E-6</v>
      </c>
      <c r="AA22" s="8">
        <v>18</v>
      </c>
      <c r="AB22" s="8">
        <f t="shared" si="13"/>
        <v>895.965576171875</v>
      </c>
      <c r="AC22" s="8">
        <v>-6.4581203970419665E-3</v>
      </c>
      <c r="AD22" s="8">
        <f t="shared" si="14"/>
        <v>895.9808349609375</v>
      </c>
      <c r="AE22" s="8">
        <v>7.6994363956828238E-4</v>
      </c>
      <c r="AF22" s="8">
        <f t="shared" si="9"/>
        <v>895.97320556640625</v>
      </c>
      <c r="AG22" s="8">
        <v>-2.8440816462307339E-3</v>
      </c>
      <c r="AH22" s="8">
        <f t="shared" si="10"/>
        <v>1.8367421690375397E-5</v>
      </c>
      <c r="AI22" s="8">
        <f t="shared" si="11"/>
        <v>-2.1897825739282435E-6</v>
      </c>
      <c r="AJ22" s="8">
        <f t="shared" si="12"/>
        <v>1.52587890625E-2</v>
      </c>
    </row>
    <row r="23" spans="2:36" x14ac:dyDescent="0.2">
      <c r="B23" t="s">
        <v>25</v>
      </c>
      <c r="C23" s="1">
        <v>240</v>
      </c>
      <c r="D23" t="s">
        <v>26</v>
      </c>
      <c r="F23" s="15" t="s">
        <v>101</v>
      </c>
      <c r="G23">
        <f xml:space="preserve"> 0.0268 * $C$15</f>
        <v>24.012242868496834</v>
      </c>
      <c r="H23" t="s">
        <v>14</v>
      </c>
      <c r="J23" t="s">
        <v>58</v>
      </c>
      <c r="K23" s="5">
        <f>U34</f>
        <v>0.11499094823375344</v>
      </c>
      <c r="P23" s="8">
        <v>19</v>
      </c>
      <c r="Q23" s="8">
        <f t="shared" si="7"/>
        <v>0.114990234375</v>
      </c>
      <c r="R23" s="8">
        <f t="shared" si="0"/>
        <v>7.3005332115738675E-7</v>
      </c>
      <c r="S23" s="8">
        <f t="shared" si="8"/>
        <v>0.11499214172363281</v>
      </c>
      <c r="T23" s="8">
        <f t="shared" si="1"/>
        <v>-1.221608704651822E-6</v>
      </c>
      <c r="U23" s="8">
        <f t="shared" si="2"/>
        <v>0.11499118804931641</v>
      </c>
      <c r="V23" s="8">
        <f t="shared" si="3"/>
        <v>-2.4577761373323348E-7</v>
      </c>
      <c r="W23" s="8">
        <f t="shared" si="4"/>
        <v>-1.7943076317208446E-13</v>
      </c>
      <c r="X23" s="8">
        <f t="shared" si="5"/>
        <v>3.002440723450712E-13</v>
      </c>
      <c r="Y23" s="8">
        <f t="shared" si="6"/>
        <v>1.9073486328125E-6</v>
      </c>
      <c r="AA23" s="8">
        <v>19</v>
      </c>
      <c r="AB23" s="8">
        <f t="shared" si="13"/>
        <v>895.97320556640625</v>
      </c>
      <c r="AC23" s="8">
        <v>-2.8440816462307339E-3</v>
      </c>
      <c r="AD23" s="8">
        <f t="shared" si="14"/>
        <v>895.9808349609375</v>
      </c>
      <c r="AE23" s="8">
        <v>7.6994363956828238E-4</v>
      </c>
      <c r="AF23" s="8">
        <f t="shared" si="9"/>
        <v>895.97702026367188</v>
      </c>
      <c r="AG23" s="8">
        <v>-1.0370673202828584E-3</v>
      </c>
      <c r="AH23" s="8">
        <f t="shared" si="10"/>
        <v>2.9495041315221676E-6</v>
      </c>
      <c r="AI23" s="8">
        <f t="shared" si="11"/>
        <v>-7.9848338705590962E-7</v>
      </c>
      <c r="AJ23" s="8">
        <f t="shared" si="12"/>
        <v>7.62939453125E-3</v>
      </c>
    </row>
    <row r="24" spans="2:36" x14ac:dyDescent="0.2">
      <c r="F24" s="15" t="s">
        <v>102</v>
      </c>
      <c r="G24">
        <f xml:space="preserve"> 11.5 * ($C$15*2.20462/1000)^0.4 * 0.453592</f>
        <v>6.848822284711332</v>
      </c>
      <c r="H24" t="s">
        <v>14</v>
      </c>
      <c r="J24" t="s">
        <v>59</v>
      </c>
      <c r="K24">
        <f xml:space="preserve"> K19 * $C$16 * K23 - $C$17 * SIN(K17)</f>
        <v>2.7519022147345376</v>
      </c>
      <c r="L24" t="s">
        <v>19</v>
      </c>
      <c r="P24" s="8">
        <v>20</v>
      </c>
      <c r="Q24" s="8">
        <f t="shared" si="7"/>
        <v>0.114990234375</v>
      </c>
      <c r="R24" s="8">
        <f t="shared" si="0"/>
        <v>7.3005332115738675E-7</v>
      </c>
      <c r="S24" s="8">
        <f t="shared" si="8"/>
        <v>0.11499118804931641</v>
      </c>
      <c r="T24" s="8">
        <f t="shared" si="1"/>
        <v>-2.4577761373323348E-7</v>
      </c>
      <c r="U24" s="8">
        <f t="shared" si="2"/>
        <v>0.1149907112121582</v>
      </c>
      <c r="V24" s="8">
        <f t="shared" si="3"/>
        <v>2.4213787322424629E-7</v>
      </c>
      <c r="W24" s="8">
        <f t="shared" si="4"/>
        <v>1.7677355852534728E-13</v>
      </c>
      <c r="X24" s="8">
        <f t="shared" si="5"/>
        <v>-5.9512068675495469E-14</v>
      </c>
      <c r="Y24" s="8">
        <f t="shared" si="6"/>
        <v>9.5367431640625E-7</v>
      </c>
      <c r="AA24" s="8">
        <v>20</v>
      </c>
      <c r="AB24" s="8">
        <f t="shared" si="13"/>
        <v>895.97702026367188</v>
      </c>
      <c r="AC24" s="8">
        <v>-1.0370673202828584E-3</v>
      </c>
      <c r="AD24" s="8">
        <f t="shared" si="14"/>
        <v>895.9808349609375</v>
      </c>
      <c r="AE24" s="8">
        <v>7.6994363956828238E-4</v>
      </c>
      <c r="AF24" s="8">
        <f t="shared" si="9"/>
        <v>895.97892761230469</v>
      </c>
      <c r="AG24" s="8">
        <v>-1.3356141965914503E-4</v>
      </c>
      <c r="AH24" s="8">
        <f t="shared" si="10"/>
        <v>1.3851218357908383E-7</v>
      </c>
      <c r="AI24" s="8">
        <f t="shared" si="11"/>
        <v>-1.0283476555826887E-7</v>
      </c>
      <c r="AJ24" s="8">
        <f t="shared" si="12"/>
        <v>3.814697265625E-3</v>
      </c>
    </row>
    <row r="25" spans="2:36" x14ac:dyDescent="0.2">
      <c r="B25" s="19" t="s">
        <v>110</v>
      </c>
      <c r="C25" s="20"/>
      <c r="D25" s="20"/>
      <c r="F25" s="15" t="s">
        <v>103</v>
      </c>
      <c r="G25">
        <f xml:space="preserve"> 8 * ($C$15/1000)</f>
        <v>7.1678336920886068</v>
      </c>
      <c r="H25" t="s">
        <v>14</v>
      </c>
      <c r="J25" t="s">
        <v>60</v>
      </c>
      <c r="K25">
        <f xml:space="preserve"> 1/$C$7 - K22 * SQRT( (2*$C$26*PI()*$C$16^2) / K18^3 )</f>
        <v>1.2865521001167242</v>
      </c>
      <c r="P25" s="8">
        <v>21</v>
      </c>
      <c r="Q25" s="8">
        <f t="shared" si="7"/>
        <v>0.1149907112121582</v>
      </c>
      <c r="R25" s="8">
        <f t="shared" si="0"/>
        <v>2.4213787322424629E-7</v>
      </c>
      <c r="S25" s="8">
        <f t="shared" si="8"/>
        <v>0.11499118804931641</v>
      </c>
      <c r="T25" s="8">
        <f t="shared" si="1"/>
        <v>-2.4577761373323348E-7</v>
      </c>
      <c r="U25" s="8">
        <f t="shared" si="2"/>
        <v>0.1149909496307373</v>
      </c>
      <c r="V25" s="8">
        <f t="shared" si="3"/>
        <v>-1.8198653695122857E-9</v>
      </c>
      <c r="W25" s="8">
        <f t="shared" si="4"/>
        <v>-4.4065833012816199E-16</v>
      </c>
      <c r="X25" s="8">
        <f t="shared" si="5"/>
        <v>4.4728216783447875E-16</v>
      </c>
      <c r="Y25" s="8">
        <f t="shared" si="6"/>
        <v>4.76837158203125E-7</v>
      </c>
      <c r="AA25" s="8">
        <v>21</v>
      </c>
      <c r="AB25" s="8">
        <f t="shared" si="13"/>
        <v>895.97892761230469</v>
      </c>
      <c r="AC25" s="8">
        <v>-1.3356141965914503E-4</v>
      </c>
      <c r="AD25" s="8">
        <f t="shared" si="14"/>
        <v>895.9808349609375</v>
      </c>
      <c r="AE25" s="8">
        <v>7.6994363956828238E-4</v>
      </c>
      <c r="AF25" s="8">
        <f t="shared" si="9"/>
        <v>895.97988128662109</v>
      </c>
      <c r="AG25" s="8">
        <v>3.1750258040119661E-4</v>
      </c>
      <c r="AH25" s="8">
        <f t="shared" si="10"/>
        <v>-4.2406095383825658E-8</v>
      </c>
      <c r="AI25" s="8">
        <f t="shared" si="11"/>
        <v>2.4445909232641854E-7</v>
      </c>
      <c r="AJ25" s="8">
        <f t="shared" si="12"/>
        <v>1.9073486328125E-3</v>
      </c>
    </row>
    <row r="26" spans="2:36" x14ac:dyDescent="0.2">
      <c r="B26" t="s">
        <v>27</v>
      </c>
      <c r="C26" s="1">
        <v>1.2250000000000001</v>
      </c>
      <c r="D26" t="s">
        <v>28</v>
      </c>
      <c r="F26" s="15" t="s">
        <v>104</v>
      </c>
      <c r="G26">
        <f xml:space="preserve"> 13 * ($C$15*2.20462/1000)^1.3 * 0.453592</f>
        <v>14.286633959191837</v>
      </c>
      <c r="H26" t="s">
        <v>14</v>
      </c>
      <c r="J26" t="s">
        <v>61</v>
      </c>
      <c r="K26" s="1">
        <v>1.1499999999999999</v>
      </c>
      <c r="P26" s="8">
        <v>22</v>
      </c>
      <c r="Q26" s="8">
        <f t="shared" si="7"/>
        <v>0.1149907112121582</v>
      </c>
      <c r="R26" s="8">
        <f t="shared" si="0"/>
        <v>2.4213787322424629E-7</v>
      </c>
      <c r="S26" s="8">
        <f t="shared" si="8"/>
        <v>0.1149909496307373</v>
      </c>
      <c r="T26" s="8">
        <f t="shared" si="1"/>
        <v>-1.8198653695122857E-9</v>
      </c>
      <c r="U26" s="8">
        <f t="shared" si="2"/>
        <v>0.11499083042144775</v>
      </c>
      <c r="V26" s="8">
        <f t="shared" si="3"/>
        <v>1.2015900514861233E-7</v>
      </c>
      <c r="W26" s="8">
        <f t="shared" si="4"/>
        <v>2.9095045955426247E-14</v>
      </c>
      <c r="X26" s="8">
        <f t="shared" si="5"/>
        <v>-2.1867321230500803E-16</v>
      </c>
      <c r="Y26" s="8">
        <f t="shared" si="6"/>
        <v>2.384185791015625E-7</v>
      </c>
      <c r="AA26" s="8">
        <v>22</v>
      </c>
      <c r="AB26" s="8">
        <f t="shared" si="13"/>
        <v>895.97892761230469</v>
      </c>
      <c r="AC26" s="8">
        <v>-1.3356141965914503E-4</v>
      </c>
      <c r="AD26" s="8">
        <f t="shared" si="14"/>
        <v>895.97988128662109</v>
      </c>
      <c r="AE26" s="8">
        <v>3.1750258040119661E-4</v>
      </c>
      <c r="AF26" s="8">
        <f t="shared" si="9"/>
        <v>895.97940444946289</v>
      </c>
      <c r="AG26" s="8">
        <v>9.1970606831637269E-5</v>
      </c>
      <c r="AH26" s="8">
        <f t="shared" si="10"/>
        <v>-1.2283724815346536E-8</v>
      </c>
      <c r="AI26" s="8">
        <f t="shared" si="11"/>
        <v>2.9200904990108754E-8</v>
      </c>
      <c r="AJ26" s="8">
        <f t="shared" si="12"/>
        <v>9.5367431640625E-4</v>
      </c>
    </row>
    <row r="27" spans="2:36" x14ac:dyDescent="0.2">
      <c r="B27" t="s">
        <v>29</v>
      </c>
      <c r="C27" s="1">
        <v>9.81</v>
      </c>
      <c r="D27" t="s">
        <v>30</v>
      </c>
      <c r="F27" s="3" t="s">
        <v>91</v>
      </c>
      <c r="G27" s="3">
        <f>$C$15 - $C$21 - SUM(G17:G26)</f>
        <v>-7.9376150097232312E-10</v>
      </c>
      <c r="H27" s="3" t="s">
        <v>14</v>
      </c>
      <c r="J27" t="s">
        <v>62</v>
      </c>
      <c r="K27">
        <f xml:space="preserve"> 1/$C$30 * LN( EXP($C$30 * K25) + EXP($C$30 * K26) )</f>
        <v>1.287101865907115</v>
      </c>
      <c r="P27" s="8">
        <v>23</v>
      </c>
      <c r="Q27" s="8">
        <f t="shared" si="7"/>
        <v>0.11499083042144775</v>
      </c>
      <c r="R27" s="8">
        <f t="shared" si="0"/>
        <v>1.2015900514861233E-7</v>
      </c>
      <c r="S27" s="8">
        <f t="shared" si="8"/>
        <v>0.1149909496307373</v>
      </c>
      <c r="T27" s="8">
        <f t="shared" si="1"/>
        <v>-1.8198653695122857E-9</v>
      </c>
      <c r="U27" s="8">
        <f t="shared" si="2"/>
        <v>0.11499089002609253</v>
      </c>
      <c r="V27" s="8">
        <f t="shared" si="3"/>
        <v>5.916957018792246E-8</v>
      </c>
      <c r="W27" s="8">
        <f t="shared" si="4"/>
        <v>7.1097566888517534E-15</v>
      </c>
      <c r="X27" s="8">
        <f t="shared" si="5"/>
        <v>-1.0768065171392663E-16</v>
      </c>
      <c r="Y27" s="8">
        <f t="shared" si="6"/>
        <v>1.1920928955078125E-7</v>
      </c>
      <c r="AA27" s="8">
        <v>23</v>
      </c>
      <c r="AB27" s="8">
        <f t="shared" si="13"/>
        <v>895.97892761230469</v>
      </c>
      <c r="AC27" s="8">
        <v>-1.3356141965914503E-4</v>
      </c>
      <c r="AD27" s="8">
        <f t="shared" si="14"/>
        <v>895.97940444946289</v>
      </c>
      <c r="AE27" s="8">
        <v>9.1970606831637269E-5</v>
      </c>
      <c r="AF27" s="8">
        <f t="shared" si="9"/>
        <v>895.97916603088379</v>
      </c>
      <c r="AG27" s="8">
        <v>-2.0795399393591651E-5</v>
      </c>
      <c r="AH27" s="8">
        <f t="shared" si="10"/>
        <v>2.7774630653870245E-9</v>
      </c>
      <c r="AI27" s="8">
        <f t="shared" si="11"/>
        <v>-1.9125655015348857E-9</v>
      </c>
      <c r="AJ27" s="8">
        <f t="shared" si="12"/>
        <v>4.76837158203125E-4</v>
      </c>
    </row>
    <row r="28" spans="2:36" x14ac:dyDescent="0.2">
      <c r="F28" t="s">
        <v>92</v>
      </c>
      <c r="G28" s="10" t="str">
        <f>IF(ABS(G27)&lt;0.00001, "TRUE", "FALSE")</f>
        <v>TRUE</v>
      </c>
      <c r="P28" s="8">
        <v>24</v>
      </c>
      <c r="Q28" s="8">
        <f t="shared" si="7"/>
        <v>0.11499089002609253</v>
      </c>
      <c r="R28" s="8">
        <f t="shared" si="0"/>
        <v>5.916957018792246E-8</v>
      </c>
      <c r="S28" s="8">
        <f t="shared" si="8"/>
        <v>0.1149909496307373</v>
      </c>
      <c r="T28" s="8">
        <f t="shared" si="1"/>
        <v>-1.8198653695122857E-9</v>
      </c>
      <c r="U28" s="8">
        <f t="shared" si="2"/>
        <v>0.11499091982841492</v>
      </c>
      <c r="V28" s="8">
        <f t="shared" si="3"/>
        <v>2.8674852492471814E-8</v>
      </c>
      <c r="W28" s="8">
        <f t="shared" si="4"/>
        <v>1.6966786971816343E-15</v>
      </c>
      <c r="X28" s="8">
        <f t="shared" si="5"/>
        <v>-5.2184371026922505E-17</v>
      </c>
      <c r="Y28" s="8">
        <f t="shared" si="6"/>
        <v>5.9604644775390625E-8</v>
      </c>
      <c r="AA28" s="8">
        <v>24</v>
      </c>
      <c r="AB28" s="8">
        <f t="shared" si="13"/>
        <v>895.97916603088379</v>
      </c>
      <c r="AC28" s="8">
        <v>-2.0795399393591651E-5</v>
      </c>
      <c r="AD28" s="8">
        <f t="shared" si="14"/>
        <v>895.97940444946289</v>
      </c>
      <c r="AE28" s="8">
        <v>9.1970606831637269E-5</v>
      </c>
      <c r="AF28" s="8">
        <f t="shared" si="9"/>
        <v>895.97928524017334</v>
      </c>
      <c r="AG28" s="8">
        <v>3.4898971080110641E-5</v>
      </c>
      <c r="AH28" s="8">
        <f t="shared" si="10"/>
        <v>-7.2573804203630544E-10</v>
      </c>
      <c r="AI28" s="8">
        <f t="shared" si="11"/>
        <v>3.2096795480375354E-9</v>
      </c>
      <c r="AJ28" s="8">
        <f t="shared" si="12"/>
        <v>2.384185791015625E-4</v>
      </c>
    </row>
    <row r="29" spans="2:36" x14ac:dyDescent="0.2">
      <c r="B29" s="19" t="s">
        <v>31</v>
      </c>
      <c r="C29" s="20"/>
      <c r="D29" s="20"/>
      <c r="P29" s="8">
        <v>25</v>
      </c>
      <c r="Q29" s="8">
        <f t="shared" si="7"/>
        <v>0.11499091982841492</v>
      </c>
      <c r="R29" s="8">
        <f t="shared" si="0"/>
        <v>2.8674852492471814E-8</v>
      </c>
      <c r="S29" s="8">
        <f t="shared" si="8"/>
        <v>0.1149909496307373</v>
      </c>
      <c r="T29" s="8">
        <f t="shared" si="1"/>
        <v>-1.8198653695122857E-9</v>
      </c>
      <c r="U29" s="8">
        <f t="shared" si="2"/>
        <v>0.11499093472957611</v>
      </c>
      <c r="V29" s="8">
        <f t="shared" si="3"/>
        <v>1.342749358923534E-8</v>
      </c>
      <c r="W29" s="8">
        <f t="shared" si="4"/>
        <v>3.8503139801493429E-16</v>
      </c>
      <c r="X29" s="8">
        <f t="shared" si="5"/>
        <v>-2.4436230582397619E-17</v>
      </c>
      <c r="Y29" s="8">
        <f t="shared" si="6"/>
        <v>2.9802322387695312E-8</v>
      </c>
      <c r="AA29" s="8">
        <v>25</v>
      </c>
      <c r="AB29" s="8">
        <f t="shared" si="13"/>
        <v>895.97916603088379</v>
      </c>
      <c r="AC29" s="8">
        <v>-2.0795399393591651E-5</v>
      </c>
      <c r="AD29" s="8">
        <f t="shared" si="14"/>
        <v>895.97928524017334</v>
      </c>
      <c r="AE29" s="8">
        <v>3.4898971080110641E-5</v>
      </c>
      <c r="AF29" s="8">
        <f t="shared" si="9"/>
        <v>895.97922563552856</v>
      </c>
      <c r="AG29" s="8">
        <v>7.7404206990649982E-6</v>
      </c>
      <c r="AH29" s="8">
        <f t="shared" si="10"/>
        <v>-1.6096513991148053E-10</v>
      </c>
      <c r="AI29" s="8">
        <f t="shared" si="11"/>
        <v>2.7013271812455914E-10</v>
      </c>
      <c r="AJ29" s="8">
        <f t="shared" si="12"/>
        <v>1.1920928955078125E-4</v>
      </c>
    </row>
    <row r="30" spans="2:36" x14ac:dyDescent="0.2">
      <c r="B30" t="s">
        <v>32</v>
      </c>
      <c r="C30" s="1">
        <v>30</v>
      </c>
      <c r="P30" s="8">
        <v>26</v>
      </c>
      <c r="Q30" s="8">
        <f t="shared" si="7"/>
        <v>0.11499093472957611</v>
      </c>
      <c r="R30" s="8">
        <f t="shared" si="0"/>
        <v>1.342749358923534E-8</v>
      </c>
      <c r="S30" s="8">
        <f t="shared" si="8"/>
        <v>0.1149909496307373</v>
      </c>
      <c r="T30" s="8">
        <f t="shared" si="1"/>
        <v>-1.8198653695122857E-9</v>
      </c>
      <c r="U30" s="8">
        <f t="shared" si="2"/>
        <v>0.11499094218015671</v>
      </c>
      <c r="V30" s="8">
        <f t="shared" si="3"/>
        <v>5.8038140959837392E-9</v>
      </c>
      <c r="W30" s="8">
        <f t="shared" si="4"/>
        <v>7.7930676566935363E-17</v>
      </c>
      <c r="X30" s="8">
        <f t="shared" si="5"/>
        <v>-1.056216028436806E-17</v>
      </c>
      <c r="Y30" s="8">
        <f t="shared" si="6"/>
        <v>1.4901161193847656E-8</v>
      </c>
      <c r="AA30" s="8">
        <v>26</v>
      </c>
      <c r="AB30" s="8">
        <f t="shared" si="13"/>
        <v>895.97916603088379</v>
      </c>
      <c r="AC30" s="8">
        <v>-2.0795399393591651E-5</v>
      </c>
      <c r="AD30" s="8">
        <f t="shared" si="14"/>
        <v>895.97922563552856</v>
      </c>
      <c r="AE30" s="8">
        <v>7.7404206990649982E-6</v>
      </c>
      <c r="AF30" s="8">
        <f t="shared" si="9"/>
        <v>895.97919583320618</v>
      </c>
      <c r="AG30" s="8">
        <v>-7.2161234925260942E-6</v>
      </c>
      <c r="AH30" s="8">
        <f t="shared" si="10"/>
        <v>1.5006217010055962E-10</v>
      </c>
      <c r="AI30" s="8">
        <f t="shared" si="11"/>
        <v>-5.585583164855819E-11</v>
      </c>
      <c r="AJ30" s="8">
        <f t="shared" si="12"/>
        <v>5.9604644775390625E-5</v>
      </c>
    </row>
    <row r="31" spans="2:36" x14ac:dyDescent="0.2">
      <c r="F31" s="2" t="s">
        <v>93</v>
      </c>
      <c r="G31" s="2"/>
      <c r="H31" s="2"/>
      <c r="P31" s="8">
        <v>27</v>
      </c>
      <c r="Q31" s="8">
        <f t="shared" si="7"/>
        <v>0.11499094218015671</v>
      </c>
      <c r="R31" s="8">
        <f t="shared" si="0"/>
        <v>5.8038140959837392E-9</v>
      </c>
      <c r="S31" s="8">
        <f t="shared" si="8"/>
        <v>0.1149909496307373</v>
      </c>
      <c r="T31" s="8">
        <f t="shared" si="1"/>
        <v>-1.8198653695122857E-9</v>
      </c>
      <c r="U31" s="8">
        <f t="shared" si="2"/>
        <v>0.11499094590544701</v>
      </c>
      <c r="V31" s="8">
        <f t="shared" si="3"/>
        <v>1.9919743632357267E-9</v>
      </c>
      <c r="W31" s="8">
        <f t="shared" si="4"/>
        <v>1.1561048888185744E-17</v>
      </c>
      <c r="X31" s="8">
        <f t="shared" si="5"/>
        <v>-3.6251251606089859E-18</v>
      </c>
      <c r="Y31" s="8">
        <f t="shared" si="6"/>
        <v>7.4505805969238281E-9</v>
      </c>
      <c r="AA31" s="8">
        <v>27</v>
      </c>
      <c r="AB31" s="8">
        <f t="shared" si="13"/>
        <v>895.97919583320618</v>
      </c>
      <c r="AC31" s="8">
        <v>-7.2161234925260942E-6</v>
      </c>
      <c r="AD31" s="8">
        <f t="shared" si="14"/>
        <v>895.97922563552856</v>
      </c>
      <c r="AE31" s="8">
        <v>7.7404206990649982E-6</v>
      </c>
      <c r="AF31" s="8">
        <f t="shared" si="9"/>
        <v>895.97921073436737</v>
      </c>
      <c r="AG31" s="8">
        <v>-4.2648582621040987E-7</v>
      </c>
      <c r="AH31" s="8">
        <f t="shared" si="10"/>
        <v>3.0775743897463397E-12</v>
      </c>
      <c r="AI31" s="8">
        <f t="shared" si="11"/>
        <v>-3.3011797170568941E-12</v>
      </c>
      <c r="AJ31" s="8">
        <f t="shared" si="12"/>
        <v>2.9802322387695312E-5</v>
      </c>
    </row>
    <row r="32" spans="2:36" x14ac:dyDescent="0.2">
      <c r="F32" t="s">
        <v>94</v>
      </c>
      <c r="G32">
        <f>ROUND($C$21/$C$15 * 100, 2)</f>
        <v>44.64</v>
      </c>
      <c r="H32" t="s">
        <v>95</v>
      </c>
      <c r="P32" s="8">
        <v>28</v>
      </c>
      <c r="Q32" s="8">
        <f t="shared" si="7"/>
        <v>0.11499094590544701</v>
      </c>
      <c r="R32" s="8">
        <f t="shared" si="0"/>
        <v>1.9919743632357267E-9</v>
      </c>
      <c r="S32" s="8">
        <f t="shared" si="8"/>
        <v>0.1149909496307373</v>
      </c>
      <c r="T32" s="8">
        <f t="shared" si="1"/>
        <v>-1.8198653695122857E-9</v>
      </c>
      <c r="U32" s="8">
        <f t="shared" si="2"/>
        <v>0.11499094776809216</v>
      </c>
      <c r="V32" s="8">
        <f t="shared" si="3"/>
        <v>8.6054496861720509E-11</v>
      </c>
      <c r="W32" s="8">
        <f t="shared" si="4"/>
        <v>1.7141835158969656E-19</v>
      </c>
      <c r="X32" s="8">
        <f t="shared" si="5"/>
        <v>-1.5660759872944883E-19</v>
      </c>
      <c r="Y32" s="8">
        <f t="shared" si="6"/>
        <v>3.7252902984619141E-9</v>
      </c>
      <c r="AA32" s="8">
        <v>28</v>
      </c>
      <c r="AB32" s="8">
        <f t="shared" si="13"/>
        <v>895.97921073436737</v>
      </c>
      <c r="AC32" s="8">
        <v>-4.2648582621040987E-7</v>
      </c>
      <c r="AD32" s="8">
        <f t="shared" si="14"/>
        <v>895.97922563552856</v>
      </c>
      <c r="AE32" s="8">
        <v>7.7404206990649982E-6</v>
      </c>
      <c r="AF32" s="8">
        <f t="shared" si="9"/>
        <v>895.97921818494797</v>
      </c>
      <c r="AG32" s="8">
        <v>3.6569674080055847E-6</v>
      </c>
      <c r="AH32" s="8">
        <f t="shared" si="10"/>
        <v>-1.5596447664278028E-12</v>
      </c>
      <c r="AI32" s="8">
        <f t="shared" si="11"/>
        <v>2.8306466220732503E-11</v>
      </c>
      <c r="AJ32" s="8">
        <f t="shared" si="12"/>
        <v>1.4901161193847656E-5</v>
      </c>
    </row>
    <row r="33" spans="2:36" x14ac:dyDescent="0.2">
      <c r="F33" s="16" t="s">
        <v>87</v>
      </c>
      <c r="G33">
        <f>ROUND(G17/$C$15 * 100, 2)</f>
        <v>22.06</v>
      </c>
      <c r="H33" t="s">
        <v>95</v>
      </c>
      <c r="P33" s="8">
        <v>29</v>
      </c>
      <c r="Q33" s="8">
        <f t="shared" si="7"/>
        <v>0.11499094776809216</v>
      </c>
      <c r="R33" s="8">
        <f t="shared" si="0"/>
        <v>8.6054496861720509E-11</v>
      </c>
      <c r="S33" s="8">
        <f t="shared" si="8"/>
        <v>0.1149909496307373</v>
      </c>
      <c r="T33" s="8">
        <f t="shared" si="1"/>
        <v>-1.8198653695122857E-9</v>
      </c>
      <c r="U33" s="8">
        <f t="shared" si="2"/>
        <v>0.11499094869941473</v>
      </c>
      <c r="V33" s="8">
        <f t="shared" si="3"/>
        <v>-8.6690543632528261E-10</v>
      </c>
      <c r="W33" s="8">
        <f t="shared" si="4"/>
        <v>-7.460111114966248E-20</v>
      </c>
      <c r="X33" s="8">
        <f t="shared" si="5"/>
        <v>1.5776511822103197E-18</v>
      </c>
      <c r="Y33" s="8">
        <f t="shared" si="6"/>
        <v>1.862645149230957E-9</v>
      </c>
      <c r="AA33" s="8">
        <v>29</v>
      </c>
      <c r="AB33" s="8">
        <f t="shared" si="13"/>
        <v>895.97921073436737</v>
      </c>
      <c r="AC33" s="8">
        <v>-4.2648582621040987E-7</v>
      </c>
      <c r="AD33" s="8">
        <f t="shared" si="14"/>
        <v>895.97921818494797</v>
      </c>
      <c r="AE33" s="8">
        <v>3.6569674080055847E-6</v>
      </c>
      <c r="AF33" s="8">
        <f t="shared" si="9"/>
        <v>895.97921445965767</v>
      </c>
      <c r="AG33" s="8">
        <v>1.6152409898495534E-6</v>
      </c>
      <c r="AH33" s="8">
        <f t="shared" si="10"/>
        <v>-6.8887738808490706E-13</v>
      </c>
      <c r="AI33" s="8">
        <f t="shared" si="11"/>
        <v>5.9068836559544965E-12</v>
      </c>
      <c r="AJ33" s="8">
        <f t="shared" si="12"/>
        <v>7.4505805969238281E-6</v>
      </c>
    </row>
    <row r="34" spans="2:36" x14ac:dyDescent="0.2">
      <c r="B34" t="s">
        <v>145</v>
      </c>
      <c r="C34" s="1">
        <v>1.2</v>
      </c>
      <c r="F34" s="18" t="s">
        <v>107</v>
      </c>
      <c r="G34">
        <f>ROUND(SUM(G18:G19)/$C$15 * 100, 2)</f>
        <v>8.02</v>
      </c>
      <c r="H34" t="s">
        <v>95</v>
      </c>
      <c r="P34" s="8">
        <v>30</v>
      </c>
      <c r="Q34" s="8">
        <f t="shared" si="7"/>
        <v>0.11499094776809216</v>
      </c>
      <c r="R34" s="8">
        <f t="shared" si="0"/>
        <v>8.6054496861720509E-11</v>
      </c>
      <c r="S34" s="8">
        <f t="shared" si="8"/>
        <v>0.11499094869941473</v>
      </c>
      <c r="T34" s="8">
        <f t="shared" si="1"/>
        <v>-8.6690543632528261E-10</v>
      </c>
      <c r="U34" s="8">
        <f t="shared" si="2"/>
        <v>0.11499094823375344</v>
      </c>
      <c r="V34" s="8">
        <f t="shared" si="3"/>
        <v>-3.9042546973178105E-10</v>
      </c>
      <c r="W34" s="8">
        <f t="shared" si="4"/>
        <v>-3.3597867359769308E-20</v>
      </c>
      <c r="X34" s="8">
        <f t="shared" si="5"/>
        <v>3.3846196219033307E-19</v>
      </c>
      <c r="Y34" s="8">
        <f t="shared" si="6"/>
        <v>9.3132257461547852E-10</v>
      </c>
      <c r="AA34" s="8">
        <v>30</v>
      </c>
      <c r="AB34" s="8">
        <f t="shared" si="13"/>
        <v>895.97921073436737</v>
      </c>
      <c r="AC34" s="8">
        <v>-4.2648582621040987E-7</v>
      </c>
      <c r="AD34" s="8">
        <f t="shared" si="14"/>
        <v>895.97921445965767</v>
      </c>
      <c r="AE34" s="8">
        <v>1.6152409898495534E-6</v>
      </c>
      <c r="AF34" s="8">
        <f t="shared" si="9"/>
        <v>895.97921259701252</v>
      </c>
      <c r="AG34" s="8">
        <v>5.9437758181957179E-7</v>
      </c>
      <c r="AH34" s="8">
        <f t="shared" si="10"/>
        <v>-2.5349361406326557E-13</v>
      </c>
      <c r="AI34" s="8">
        <f t="shared" si="11"/>
        <v>9.6006303360262907E-13</v>
      </c>
      <c r="AJ34" s="8">
        <f t="shared" si="12"/>
        <v>3.7252902984619141E-6</v>
      </c>
    </row>
    <row r="35" spans="2:36" x14ac:dyDescent="0.2">
      <c r="C35" s="1">
        <v>50</v>
      </c>
      <c r="F35" s="17" t="s">
        <v>108</v>
      </c>
      <c r="G35">
        <f>ROUND(SUM(G21:G22)/$C$15 * 100, 2)</f>
        <v>18.16</v>
      </c>
      <c r="H35" t="s">
        <v>95</v>
      </c>
      <c r="AA35" s="8">
        <v>31</v>
      </c>
      <c r="AB35" s="8">
        <f t="shared" si="13"/>
        <v>895.97921073436737</v>
      </c>
      <c r="AC35">
        <v>-4.2648582621040987E-7</v>
      </c>
      <c r="AD35" s="8">
        <f t="shared" si="14"/>
        <v>895.97921259701252</v>
      </c>
      <c r="AE35">
        <v>5.9437758181957179E-7</v>
      </c>
      <c r="AF35" s="8">
        <f t="shared" si="9"/>
        <v>895.97921166568995</v>
      </c>
      <c r="AG35">
        <v>8.3946019913128112E-8</v>
      </c>
      <c r="AH35" s="8">
        <f t="shared" si="10"/>
        <v>-3.5801787659725962E-14</v>
      </c>
      <c r="AI35" s="8">
        <f t="shared" si="11"/>
        <v>4.9895632319342707E-14</v>
      </c>
      <c r="AJ35" s="8">
        <f t="shared" si="12"/>
        <v>1.862645149230957E-6</v>
      </c>
    </row>
    <row r="36" spans="2:36" x14ac:dyDescent="0.2">
      <c r="C36" s="1">
        <v>0.3</v>
      </c>
      <c r="F36" s="15" t="s">
        <v>109</v>
      </c>
      <c r="G36">
        <f>ROUND(SUM(G23:G26)/$C$15*100, 2)</f>
        <v>5.84</v>
      </c>
      <c r="H36" t="s">
        <v>95</v>
      </c>
      <c r="AA36" s="8">
        <v>32</v>
      </c>
      <c r="AB36" s="8">
        <f t="shared" si="13"/>
        <v>895.97921073436737</v>
      </c>
      <c r="AC36">
        <v>-4.2648582621040987E-7</v>
      </c>
      <c r="AD36" s="8">
        <f t="shared" si="14"/>
        <v>895.97921166568995</v>
      </c>
      <c r="AE36">
        <v>8.3946019913128112E-8</v>
      </c>
      <c r="AF36" s="8">
        <f t="shared" si="9"/>
        <v>895.97921120002866</v>
      </c>
      <c r="AG36">
        <v>-1.7126995999205974E-7</v>
      </c>
      <c r="AH36" s="8">
        <f t="shared" si="10"/>
        <v>7.3044210392237441E-14</v>
      </c>
      <c r="AI36" s="8">
        <f t="shared" si="11"/>
        <v>-1.4377431472014102E-14</v>
      </c>
      <c r="AJ36" s="8">
        <f t="shared" si="12"/>
        <v>9.3132257461547852E-7</v>
      </c>
    </row>
    <row r="37" spans="2:36" x14ac:dyDescent="0.2">
      <c r="F37" s="3" t="s">
        <v>96</v>
      </c>
      <c r="G37" s="3">
        <f>SUM(G32:G36)</f>
        <v>98.72</v>
      </c>
      <c r="H37" s="3" t="s">
        <v>95</v>
      </c>
      <c r="AA37" s="8">
        <v>33</v>
      </c>
      <c r="AB37" s="8">
        <f t="shared" si="13"/>
        <v>895.97921120002866</v>
      </c>
      <c r="AC37">
        <v>-1.7126995999205974E-7</v>
      </c>
      <c r="AD37" s="8">
        <f t="shared" si="14"/>
        <v>895.97921166568995</v>
      </c>
      <c r="AE37">
        <v>8.3946019913128112E-8</v>
      </c>
      <c r="AF37" s="8">
        <f t="shared" si="9"/>
        <v>895.9792114328593</v>
      </c>
      <c r="AG37">
        <v>-4.3661884774337523E-8</v>
      </c>
      <c r="AH37" s="8">
        <f t="shared" si="10"/>
        <v>7.4779692584787098E-15</v>
      </c>
      <c r="AI37" s="8">
        <f t="shared" si="11"/>
        <v>-3.6652414487112428E-15</v>
      </c>
      <c r="AJ37" s="8">
        <f t="shared" si="12"/>
        <v>4.6566128730773926E-7</v>
      </c>
    </row>
    <row r="38" spans="2:36" x14ac:dyDescent="0.2">
      <c r="AA38" s="8">
        <v>34</v>
      </c>
      <c r="AB38" s="8">
        <f t="shared" si="13"/>
        <v>895.9792114328593</v>
      </c>
      <c r="AC38">
        <v>-4.3661884774337523E-8</v>
      </c>
      <c r="AD38" s="8">
        <f t="shared" si="14"/>
        <v>895.97921166568995</v>
      </c>
      <c r="AE38">
        <v>8.3946019913128112E-8</v>
      </c>
      <c r="AF38" s="8">
        <f t="shared" si="9"/>
        <v>895.97921154927462</v>
      </c>
      <c r="AG38">
        <v>2.0141840195719851E-8</v>
      </c>
      <c r="AH38" s="8">
        <f t="shared" si="10"/>
        <v>-8.7943070576864008E-16</v>
      </c>
      <c r="AI38" s="8">
        <f t="shared" si="11"/>
        <v>1.6908273181569428E-15</v>
      </c>
      <c r="AJ38" s="8">
        <f t="shared" si="12"/>
        <v>2.3283064365386963E-7</v>
      </c>
    </row>
    <row r="39" spans="2:36" x14ac:dyDescent="0.2">
      <c r="AA39" s="8">
        <v>35</v>
      </c>
      <c r="AB39" s="8">
        <f t="shared" si="13"/>
        <v>895.9792114328593</v>
      </c>
      <c r="AC39">
        <v>-4.3661884774337523E-8</v>
      </c>
      <c r="AD39" s="8">
        <f t="shared" si="14"/>
        <v>895.97921154927462</v>
      </c>
      <c r="AE39">
        <v>2.0141840195719851E-8</v>
      </c>
      <c r="AF39" s="8">
        <f t="shared" si="9"/>
        <v>895.97921149106696</v>
      </c>
      <c r="AG39">
        <v>-1.1760164397855988E-8</v>
      </c>
      <c r="AH39" s="8">
        <f t="shared" si="10"/>
        <v>5.1347094286645455E-16</v>
      </c>
      <c r="AI39" s="8">
        <f t="shared" si="11"/>
        <v>-2.3687135197700927E-16</v>
      </c>
      <c r="AJ39" s="8">
        <f t="shared" si="12"/>
        <v>1.1641532182693481E-7</v>
      </c>
    </row>
    <row r="40" spans="2:36" x14ac:dyDescent="0.2">
      <c r="AA40" s="8">
        <v>36</v>
      </c>
      <c r="AB40" s="8">
        <f t="shared" si="13"/>
        <v>895.97921149106696</v>
      </c>
      <c r="AC40">
        <v>-1.1760164397855988E-8</v>
      </c>
      <c r="AD40" s="8">
        <f t="shared" si="14"/>
        <v>895.97921154927462</v>
      </c>
      <c r="AE40">
        <v>2.0141840195719851E-8</v>
      </c>
      <c r="AF40" s="8">
        <f t="shared" si="9"/>
        <v>895.97921152017079</v>
      </c>
      <c r="AG40">
        <v>4.1911221160262357E-9</v>
      </c>
      <c r="AH40" s="8">
        <f t="shared" si="10"/>
        <v>-4.928828509595859E-17</v>
      </c>
      <c r="AI40" s="8">
        <f t="shared" si="11"/>
        <v>8.4416911901747673E-17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895.97921149106696</v>
      </c>
      <c r="AC41">
        <v>-1.1760164397855988E-8</v>
      </c>
      <c r="AD41" s="8">
        <f t="shared" si="14"/>
        <v>895.97921152017079</v>
      </c>
      <c r="AE41">
        <v>4.1911221160262357E-9</v>
      </c>
      <c r="AF41" s="8">
        <f t="shared" si="9"/>
        <v>895.97921150561888</v>
      </c>
      <c r="AG41">
        <v>-3.7844074540771544E-9</v>
      </c>
      <c r="AH41" s="8">
        <f t="shared" si="10"/>
        <v>4.450525380841897E-17</v>
      </c>
      <c r="AI41" s="8">
        <f t="shared" si="11"/>
        <v>-1.5860913776837303E-17</v>
      </c>
      <c r="AJ41" s="8">
        <f t="shared" si="12"/>
        <v>2.9103830456733704E-8</v>
      </c>
    </row>
    <row r="42" spans="2:36" x14ac:dyDescent="0.2">
      <c r="AA42" s="8">
        <v>38</v>
      </c>
      <c r="AB42" s="8">
        <f t="shared" si="13"/>
        <v>895.97921150561888</v>
      </c>
      <c r="AC42">
        <v>-3.7844074540771544E-9</v>
      </c>
      <c r="AD42" s="8">
        <f t="shared" si="14"/>
        <v>895.97921152017079</v>
      </c>
      <c r="AE42">
        <v>4.1911221160262357E-9</v>
      </c>
      <c r="AF42" s="8">
        <f t="shared" si="9"/>
        <v>895.97921151289484</v>
      </c>
      <c r="AG42">
        <v>2.0304469217080623E-10</v>
      </c>
      <c r="AH42" s="8">
        <f t="shared" si="10"/>
        <v>-7.6840384656200033E-19</v>
      </c>
      <c r="AI42" s="8">
        <f t="shared" si="11"/>
        <v>8.5098509989880507E-19</v>
      </c>
      <c r="AJ42" s="8">
        <f t="shared" si="12"/>
        <v>1.4551915228366852E-8</v>
      </c>
    </row>
    <row r="43" spans="2:36" x14ac:dyDescent="0.2">
      <c r="AA43" s="8">
        <v>39</v>
      </c>
      <c r="AB43" s="8">
        <f t="shared" si="13"/>
        <v>895.97921150561888</v>
      </c>
      <c r="AC43">
        <v>-3.7844074540771544E-9</v>
      </c>
      <c r="AD43" s="8">
        <f t="shared" si="14"/>
        <v>895.97921151289484</v>
      </c>
      <c r="AE43">
        <v>2.0304469217080623E-10</v>
      </c>
      <c r="AF43" s="8">
        <f t="shared" si="9"/>
        <v>895.97921150925686</v>
      </c>
      <c r="AG43">
        <v>-1.7905108506965917E-9</v>
      </c>
      <c r="AH43" s="8">
        <f t="shared" si="10"/>
        <v>6.7760226099822084E-18</v>
      </c>
      <c r="AI43" s="8">
        <f t="shared" si="11"/>
        <v>-3.6355372450817785E-19</v>
      </c>
      <c r="AJ43" s="8">
        <f t="shared" si="12"/>
        <v>7.2759576141834259E-9</v>
      </c>
    </row>
    <row r="44" spans="2:36" x14ac:dyDescent="0.2">
      <c r="AA44" s="8">
        <v>40</v>
      </c>
      <c r="AB44" s="8">
        <f t="shared" si="13"/>
        <v>895.97921150925686</v>
      </c>
      <c r="AC44">
        <v>-1.7905108506965917E-9</v>
      </c>
      <c r="AD44" s="8">
        <f t="shared" si="14"/>
        <v>895.97921151289484</v>
      </c>
      <c r="AE44">
        <v>2.0304469217080623E-10</v>
      </c>
      <c r="AF44" s="11">
        <f t="shared" si="9"/>
        <v>895.97921151107585</v>
      </c>
      <c r="AG44">
        <v>-7.9376150097232312E-10</v>
      </c>
      <c r="AH44" s="8">
        <f t="shared" si="10"/>
        <v>1.4212385803561577E-18</v>
      </c>
      <c r="AI44" s="8">
        <f t="shared" si="11"/>
        <v>-1.6116905962196246E-19</v>
      </c>
      <c r="AJ44" s="8">
        <f t="shared" si="12"/>
        <v>3.637978807091713E-9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B1:D1"/>
    <mergeCell ref="B3:D3"/>
    <mergeCell ref="F3:H3"/>
    <mergeCell ref="J3:L3"/>
    <mergeCell ref="F7:H7"/>
    <mergeCell ref="B29:D29"/>
    <mergeCell ref="J11:L11"/>
    <mergeCell ref="J16:L16"/>
    <mergeCell ref="B9:D9"/>
    <mergeCell ref="F16:H16"/>
    <mergeCell ref="B14:D14"/>
    <mergeCell ref="B20:D20"/>
    <mergeCell ref="B25:D25"/>
    <mergeCell ref="F11:H11"/>
  </mergeCells>
  <conditionalFormatting sqref="G28">
    <cfRule type="containsText" dxfId="11" priority="1" operator="containsText" text="FALSE">
      <formula>NOT(ISERROR(SEARCH("FALSE",G28)))</formula>
    </cfRule>
    <cfRule type="containsText" dxfId="10" priority="2" operator="containsText" text="TRUE">
      <formula>NOT(ISERROR(SEARCH("TRUE",G28)))</formula>
    </cfRule>
    <cfRule type="cellIs" dxfId="9" priority="3" operator="equal">
      <formula>1</formula>
    </cfRule>
    <cfRule type="cellIs" dxfId="8" priority="4" operator="equal">
      <formula>TRUE</formula>
    </cfRule>
    <cfRule type="containsText" dxfId="7" priority="5" operator="containsText" text="YES">
      <formula>NOT(ISERROR(SEARCH("YES",G28)))</formula>
    </cfRule>
    <cfRule type="cellIs" dxfId="6" priority="6" operator="equal">
      <formula>"""YES"""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46306-B19A-E840-A2A2-9C88BDE95F01}">
  <dimension ref="B1:AJ57"/>
  <sheetViews>
    <sheetView tabSelected="1" topLeftCell="A5" workbookViewId="0">
      <selection activeCell="F46" sqref="F46"/>
    </sheetView>
  </sheetViews>
  <sheetFormatPr baseColWidth="10" defaultRowHeight="16" x14ac:dyDescent="0.2"/>
  <cols>
    <col min="1" max="1" width="4.1640625" customWidth="1"/>
    <col min="2" max="2" width="20.5" customWidth="1"/>
    <col min="4" max="4" width="7.1640625" customWidth="1"/>
    <col min="5" max="5" width="5.6640625" customWidth="1"/>
    <col min="6" max="6" width="14.6640625" customWidth="1"/>
    <col min="7" max="7" width="13.1640625" customWidth="1"/>
    <col min="8" max="8" width="4.1640625" customWidth="1"/>
    <col min="9" max="9" width="6" customWidth="1"/>
    <col min="10" max="10" width="12" customWidth="1"/>
    <col min="12" max="12" width="6.33203125" customWidth="1"/>
    <col min="13" max="13" width="4" customWidth="1"/>
    <col min="14" max="15" width="3.83203125" customWidth="1"/>
    <col min="16" max="16" width="5.5" customWidth="1"/>
    <col min="17" max="18" width="6.1640625" customWidth="1"/>
    <col min="19" max="19" width="6.6640625" customWidth="1"/>
    <col min="20" max="20" width="7" customWidth="1"/>
    <col min="21" max="21" width="14.6640625" customWidth="1"/>
    <col min="22" max="22" width="7.83203125" customWidth="1"/>
    <col min="23" max="23" width="10" customWidth="1"/>
    <col min="24" max="24" width="9.5" customWidth="1"/>
    <col min="25" max="25" width="13.6640625" customWidth="1"/>
    <col min="27" max="27" width="5.1640625" customWidth="1"/>
    <col min="32" max="32" width="18.33203125" customWidth="1"/>
  </cols>
  <sheetData>
    <row r="1" spans="2:36" x14ac:dyDescent="0.2">
      <c r="B1" s="24" t="s">
        <v>0</v>
      </c>
      <c r="C1" s="24"/>
      <c r="D1" s="24"/>
    </row>
    <row r="2" spans="2:36" x14ac:dyDescent="0.2">
      <c r="P2" s="6" t="s">
        <v>75</v>
      </c>
      <c r="AA2" s="6" t="s">
        <v>106</v>
      </c>
    </row>
    <row r="3" spans="2:36" x14ac:dyDescent="0.2">
      <c r="B3" s="21" t="s">
        <v>111</v>
      </c>
      <c r="C3" s="23"/>
      <c r="D3" s="23"/>
      <c r="F3" s="21" t="s">
        <v>33</v>
      </c>
      <c r="G3" s="23"/>
      <c r="H3" s="23"/>
      <c r="J3" s="19" t="s">
        <v>45</v>
      </c>
      <c r="K3" s="19"/>
      <c r="L3" s="19"/>
      <c r="P3" s="7" t="s">
        <v>76</v>
      </c>
      <c r="Q3" s="7" t="s">
        <v>77</v>
      </c>
      <c r="R3" s="7" t="s">
        <v>78</v>
      </c>
      <c r="S3" s="7" t="s">
        <v>79</v>
      </c>
      <c r="T3" s="7" t="s">
        <v>80</v>
      </c>
      <c r="U3" s="7" t="s">
        <v>81</v>
      </c>
      <c r="V3" s="7" t="s">
        <v>82</v>
      </c>
      <c r="W3" s="7" t="s">
        <v>83</v>
      </c>
      <c r="X3" s="7" t="s">
        <v>84</v>
      </c>
      <c r="Y3" s="7" t="s">
        <v>85</v>
      </c>
      <c r="AA3" s="7" t="s">
        <v>76</v>
      </c>
      <c r="AB3" s="7" t="s">
        <v>77</v>
      </c>
      <c r="AC3" s="7" t="s">
        <v>78</v>
      </c>
      <c r="AD3" s="7" t="s">
        <v>79</v>
      </c>
      <c r="AE3" s="7" t="s">
        <v>80</v>
      </c>
      <c r="AF3" s="7" t="s">
        <v>81</v>
      </c>
      <c r="AG3" s="7" t="s">
        <v>82</v>
      </c>
      <c r="AH3" s="7" t="s">
        <v>83</v>
      </c>
      <c r="AI3" s="7" t="s">
        <v>84</v>
      </c>
      <c r="AJ3" s="7" t="s">
        <v>85</v>
      </c>
    </row>
    <row r="4" spans="2:36" x14ac:dyDescent="0.2">
      <c r="B4" t="s">
        <v>65</v>
      </c>
      <c r="C4" s="1" t="s">
        <v>1</v>
      </c>
      <c r="F4" t="s">
        <v>34</v>
      </c>
      <c r="G4">
        <f xml:space="preserve"> 1/$C$9 * SQRT( ($C$20*$C$34)^3 / (2 * $C$33 * PI() * $C$21^2* $C$5) )</f>
        <v>141987.14029808619</v>
      </c>
      <c r="H4" t="s">
        <v>35</v>
      </c>
      <c r="J4" t="s">
        <v>46</v>
      </c>
      <c r="K4">
        <f xml:space="preserve"> $C$20 * $C$34</f>
        <v>10562.257693231786</v>
      </c>
      <c r="L4" t="s">
        <v>37</v>
      </c>
      <c r="P4" s="8">
        <v>0</v>
      </c>
      <c r="Q4" s="9">
        <v>0</v>
      </c>
      <c r="R4" s="8">
        <f t="shared" ref="R4:R34" si="0" xml:space="preserve"> $K$20 * TAN($K$17) + $K$21 / (2 * SQRT($K$20^2 + Q4^2)) - Q4</f>
        <v>0.66454833981730577</v>
      </c>
      <c r="S4" s="9">
        <v>1</v>
      </c>
      <c r="T4" s="8">
        <f t="shared" ref="T4:T34" si="1" xml:space="preserve"> $K$20 * TAN($K$17) + $K$21 / (2 * SQRT($K$20^2 + S4^2)) - S4</f>
        <v>-0.57867770519125505</v>
      </c>
      <c r="U4" s="8">
        <f xml:space="preserve"> (Q4 + S4)/2</f>
        <v>0.5</v>
      </c>
      <c r="V4" s="8">
        <f t="shared" ref="V4:V34" si="2" xml:space="preserve"> $K$20 * TAN($K$17) + $K$21 / (2 * SQRT($K$20^2 + U4^2)) - U4</f>
        <v>-6.9618954482291495E-2</v>
      </c>
      <c r="W4" s="8">
        <f>R4*V4</f>
        <v>-4.6265160621023392E-2</v>
      </c>
      <c r="X4" s="8">
        <f>T4*V4</f>
        <v>4.0286936817626885E-2</v>
      </c>
      <c r="Y4" s="8">
        <f>S4-Q4</f>
        <v>1</v>
      </c>
      <c r="AA4" s="8">
        <v>0</v>
      </c>
      <c r="AB4" s="8"/>
      <c r="AC4" s="8">
        <f>G30</f>
        <v>-4.5190517994342372E-10</v>
      </c>
      <c r="AD4" s="8"/>
      <c r="AE4" s="8">
        <f>G30</f>
        <v>-4.5190517994342372E-10</v>
      </c>
      <c r="AF4" s="8"/>
      <c r="AG4" s="8">
        <f>G30</f>
        <v>-4.5190517994342372E-10</v>
      </c>
      <c r="AH4" s="8"/>
      <c r="AI4" s="8"/>
      <c r="AJ4" s="8"/>
    </row>
    <row r="5" spans="2:36" x14ac:dyDescent="0.2">
      <c r="B5" t="s">
        <v>63</v>
      </c>
      <c r="C5" s="1">
        <v>6</v>
      </c>
      <c r="F5" t="s">
        <v>36</v>
      </c>
      <c r="G5">
        <f xml:space="preserve"> $C$20 * $C$34 / $C$5</f>
        <v>1760.3762822052977</v>
      </c>
      <c r="H5" t="s">
        <v>37</v>
      </c>
      <c r="J5" t="s">
        <v>47</v>
      </c>
      <c r="K5">
        <f xml:space="preserve"> 0.5 * $C$33 * $C$23^2</f>
        <v>1852.8125000000002</v>
      </c>
      <c r="L5" t="s">
        <v>48</v>
      </c>
      <c r="P5" s="8">
        <v>1</v>
      </c>
      <c r="Q5" s="8">
        <f>IF(W4&gt;0, U4, Q4)</f>
        <v>0</v>
      </c>
      <c r="R5" s="8">
        <f t="shared" si="0"/>
        <v>0.66454833981730577</v>
      </c>
      <c r="S5" s="8">
        <f>IF(X4&gt;0, U4, S4)</f>
        <v>0.5</v>
      </c>
      <c r="T5" s="8">
        <f t="shared" si="1"/>
        <v>-6.9618954482291495E-2</v>
      </c>
      <c r="U5" s="8">
        <f t="shared" ref="U5:U34" si="3" xml:space="preserve"> (Q5 + S5)/2</f>
        <v>0.25</v>
      </c>
      <c r="V5" s="8">
        <f t="shared" si="2"/>
        <v>0.19825525304734853</v>
      </c>
      <c r="W5" s="8">
        <f t="shared" ref="W5:W34" si="4">R5*V5</f>
        <v>0.13175019927267531</v>
      </c>
      <c r="X5" s="8">
        <f t="shared" ref="X5:X34" si="5">T5*V5</f>
        <v>-1.3802323437778539E-2</v>
      </c>
      <c r="Y5" s="8">
        <f t="shared" ref="Y5:Y34" si="6">S5-Q5</f>
        <v>0.5</v>
      </c>
      <c r="AA5" s="8">
        <v>1</v>
      </c>
      <c r="AB5" s="9">
        <v>500</v>
      </c>
      <c r="AC5" s="8">
        <f t="dataTable" ref="AC5:AC44" dt2D="0" dtr="0" r1="C20" ca="1"/>
        <v>-321.49628360127792</v>
      </c>
      <c r="AD5" s="9">
        <v>2500</v>
      </c>
      <c r="AE5" s="8">
        <f t="dataTable" ref="AE5:AE44" dt2D="0" dtr="0" r1="C20" ca="1"/>
        <v>689.66264278427252</v>
      </c>
      <c r="AF5" s="8">
        <f>(AB5+AD5)/2</f>
        <v>1500</v>
      </c>
      <c r="AG5" s="8">
        <f t="dataTable" ref="AG5:AG44" dt2D="0" dtr="0" r1="C20"/>
        <v>224.28639848926287</v>
      </c>
      <c r="AH5" s="8">
        <f>AC5*AG5</f>
        <v>-72107.243576613284</v>
      </c>
      <c r="AI5" s="8">
        <f>AE5*AG5</f>
        <v>154681.9503226715</v>
      </c>
      <c r="AJ5" s="8">
        <f>AD5-AB5</f>
        <v>2000</v>
      </c>
    </row>
    <row r="6" spans="2:36" x14ac:dyDescent="0.2">
      <c r="B6" t="s">
        <v>64</v>
      </c>
      <c r="C6" s="1">
        <v>1</v>
      </c>
      <c r="J6" t="s">
        <v>67</v>
      </c>
      <c r="K6">
        <f xml:space="preserve"> 1.6 * ($C$20*2.20462/1000)^(2/3) * 0.3048^2</f>
        <v>0.26450318405057344</v>
      </c>
      <c r="L6" t="s">
        <v>21</v>
      </c>
      <c r="P6" s="8">
        <v>2</v>
      </c>
      <c r="Q6" s="8">
        <f t="shared" ref="Q6:Q34" si="7">IF(W5&gt;0, U5, Q5)</f>
        <v>0.25</v>
      </c>
      <c r="R6" s="8">
        <f t="shared" si="0"/>
        <v>0.19825525304734853</v>
      </c>
      <c r="S6" s="8">
        <f t="shared" ref="S6:S34" si="8">IF(X5&gt;0, U5, S5)</f>
        <v>0.5</v>
      </c>
      <c r="T6" s="8">
        <f t="shared" si="1"/>
        <v>-6.9618954482291495E-2</v>
      </c>
      <c r="U6" s="8">
        <f t="shared" si="3"/>
        <v>0.375</v>
      </c>
      <c r="V6" s="8">
        <f t="shared" si="2"/>
        <v>6.1383419688461283E-2</v>
      </c>
      <c r="W6" s="8">
        <f t="shared" si="4"/>
        <v>1.2169585403247488E-2</v>
      </c>
      <c r="X6" s="8">
        <f t="shared" si="5"/>
        <v>-4.2734495012583815E-3</v>
      </c>
      <c r="Y6" s="8">
        <f t="shared" si="6"/>
        <v>0.25</v>
      </c>
      <c r="AA6" s="8">
        <v>2</v>
      </c>
      <c r="AB6" s="8">
        <f>IF(AH5&gt;0,AF5,AB5)</f>
        <v>500</v>
      </c>
      <c r="AC6" s="8">
        <v>-321.49628360127792</v>
      </c>
      <c r="AD6" s="8">
        <f>IF(AI5&gt;0,AF5,AD5)</f>
        <v>1500</v>
      </c>
      <c r="AE6" s="8">
        <v>224.28639848926287</v>
      </c>
      <c r="AF6" s="8">
        <f t="shared" ref="AF6:AF44" si="9">(AB6+AD6)/2</f>
        <v>1000</v>
      </c>
      <c r="AG6" s="8">
        <v>-42.011887035075233</v>
      </c>
      <c r="AH6" s="8">
        <f t="shared" ref="AH6:AH44" si="10">AC6*AG6</f>
        <v>13506.665548853398</v>
      </c>
      <c r="AI6" s="8">
        <f t="shared" ref="AI6:AI44" si="11">AE6*AG6</f>
        <v>-9422.6948368347803</v>
      </c>
      <c r="AJ6" s="8">
        <f t="shared" ref="AJ6:AJ44" si="12">AD6-AB6</f>
        <v>1000</v>
      </c>
    </row>
    <row r="7" spans="2:36" x14ac:dyDescent="0.2">
      <c r="B7" t="s">
        <v>2</v>
      </c>
      <c r="C7" s="1">
        <v>0.13</v>
      </c>
      <c r="F7" s="21" t="s">
        <v>38</v>
      </c>
      <c r="G7" s="23"/>
      <c r="H7" s="23"/>
      <c r="J7" t="s">
        <v>68</v>
      </c>
      <c r="K7">
        <f xml:space="preserve"> K6 / $C$24</f>
        <v>2.7839207480286919E-2</v>
      </c>
      <c r="P7" s="8">
        <v>3</v>
      </c>
      <c r="Q7" s="8">
        <f t="shared" si="7"/>
        <v>0.375</v>
      </c>
      <c r="R7" s="8">
        <f t="shared" si="0"/>
        <v>6.1383419688461283E-2</v>
      </c>
      <c r="S7" s="8">
        <f t="shared" si="8"/>
        <v>0.5</v>
      </c>
      <c r="T7" s="8">
        <f t="shared" si="1"/>
        <v>-6.9618954482291495E-2</v>
      </c>
      <c r="U7" s="8">
        <f t="shared" si="3"/>
        <v>0.4375</v>
      </c>
      <c r="V7" s="8">
        <f t="shared" si="2"/>
        <v>-4.5421080200794828E-3</v>
      </c>
      <c r="W7" s="8">
        <f t="shared" si="4"/>
        <v>-2.7881012286686484E-4</v>
      </c>
      <c r="X7" s="8">
        <f t="shared" si="5"/>
        <v>3.1621681150356467E-4</v>
      </c>
      <c r="Y7" s="8">
        <f t="shared" si="6"/>
        <v>0.125</v>
      </c>
      <c r="AA7" s="8">
        <v>3</v>
      </c>
      <c r="AB7" s="8">
        <f t="shared" ref="AB7:AB44" si="13">IF(AH6&gt;0,AF6,AB6)</f>
        <v>1000</v>
      </c>
      <c r="AC7" s="8">
        <v>-42.011887035075233</v>
      </c>
      <c r="AD7" s="8">
        <f t="shared" ref="AD7:AD44" si="14">IF(AI6&gt;0,AF6,AD6)</f>
        <v>1500</v>
      </c>
      <c r="AE7" s="8">
        <v>224.28639848926287</v>
      </c>
      <c r="AF7" s="8">
        <f t="shared" si="9"/>
        <v>1250</v>
      </c>
      <c r="AG7" s="8">
        <v>93.493878552962769</v>
      </c>
      <c r="AH7" s="8">
        <f t="shared" si="10"/>
        <v>-3927.8542642381149</v>
      </c>
      <c r="AI7" s="8">
        <f t="shared" si="11"/>
        <v>20969.405301436556</v>
      </c>
      <c r="AJ7" s="8">
        <f t="shared" si="12"/>
        <v>500</v>
      </c>
    </row>
    <row r="8" spans="2:36" x14ac:dyDescent="0.2">
      <c r="B8" t="s">
        <v>3</v>
      </c>
      <c r="C8" s="1">
        <v>0.13</v>
      </c>
      <c r="F8" s="4" t="s">
        <v>39</v>
      </c>
      <c r="G8">
        <f xml:space="preserve"> K23 + K18 * (K28 * K25 + $C$23 * SIN(K17))</f>
        <v>45121.145656732791</v>
      </c>
      <c r="H8" t="s">
        <v>35</v>
      </c>
      <c r="J8" t="s">
        <v>69</v>
      </c>
      <c r="K8">
        <f xml:space="preserve"> K5 * $C$24 * K7</f>
        <v>490.07480569870324</v>
      </c>
      <c r="L8" t="s">
        <v>37</v>
      </c>
      <c r="P8" s="8">
        <v>4</v>
      </c>
      <c r="Q8" s="8">
        <f t="shared" si="7"/>
        <v>0.375</v>
      </c>
      <c r="R8" s="8">
        <f t="shared" si="0"/>
        <v>6.1383419688461283E-2</v>
      </c>
      <c r="S8" s="8">
        <f t="shared" si="8"/>
        <v>0.4375</v>
      </c>
      <c r="T8" s="8">
        <f t="shared" si="1"/>
        <v>-4.5421080200794828E-3</v>
      </c>
      <c r="U8" s="8">
        <f t="shared" si="3"/>
        <v>0.40625</v>
      </c>
      <c r="V8" s="8">
        <f t="shared" si="2"/>
        <v>2.8290456177514911E-2</v>
      </c>
      <c r="W8" s="8">
        <f t="shared" si="4"/>
        <v>1.73656494472242E-3</v>
      </c>
      <c r="X8" s="8">
        <f t="shared" si="5"/>
        <v>-1.2849830789559764E-4</v>
      </c>
      <c r="Y8" s="8">
        <f t="shared" si="6"/>
        <v>6.25E-2</v>
      </c>
      <c r="AA8" s="8">
        <v>4</v>
      </c>
      <c r="AB8" s="8">
        <f t="shared" si="13"/>
        <v>1000</v>
      </c>
      <c r="AC8" s="8">
        <v>-42.011887035075233</v>
      </c>
      <c r="AD8" s="8">
        <f t="shared" si="14"/>
        <v>1250</v>
      </c>
      <c r="AE8" s="8">
        <v>93.493878552962769</v>
      </c>
      <c r="AF8" s="8">
        <f t="shared" si="9"/>
        <v>1125</v>
      </c>
      <c r="AG8" s="8">
        <v>26.276369949083232</v>
      </c>
      <c r="AH8" s="8">
        <f t="shared" si="10"/>
        <v>-1103.9198859927303</v>
      </c>
      <c r="AI8" s="8">
        <f t="shared" si="11"/>
        <v>2456.6797408323082</v>
      </c>
      <c r="AJ8" s="8">
        <f t="shared" si="12"/>
        <v>250</v>
      </c>
    </row>
    <row r="9" spans="2:36" x14ac:dyDescent="0.2">
      <c r="B9" t="s">
        <v>4</v>
      </c>
      <c r="C9" s="1">
        <v>0.75</v>
      </c>
      <c r="F9" s="4" t="s">
        <v>40</v>
      </c>
      <c r="G9">
        <f xml:space="preserve"> $C$6 * G8</f>
        <v>45121.145656732791</v>
      </c>
      <c r="H9" t="s">
        <v>35</v>
      </c>
      <c r="J9" t="s">
        <v>70</v>
      </c>
      <c r="K9">
        <f xml:space="preserve"> 1.78 * (1 - 0.045 * $C$12^0.68) - 0.64</f>
        <v>0.75661729604956662</v>
      </c>
      <c r="P9" s="8">
        <v>5</v>
      </c>
      <c r="Q9" s="8">
        <f t="shared" si="7"/>
        <v>0.40625</v>
      </c>
      <c r="R9" s="8">
        <f t="shared" si="0"/>
        <v>2.8290456177514911E-2</v>
      </c>
      <c r="S9" s="8">
        <f t="shared" si="8"/>
        <v>0.4375</v>
      </c>
      <c r="T9" s="8">
        <f t="shared" si="1"/>
        <v>-4.5421080200794828E-3</v>
      </c>
      <c r="U9" s="8">
        <f t="shared" si="3"/>
        <v>0.421875</v>
      </c>
      <c r="V9" s="8">
        <f t="shared" si="2"/>
        <v>1.1845186562112142E-2</v>
      </c>
      <c r="W9" s="8">
        <f t="shared" si="4"/>
        <v>3.3510573134992207E-4</v>
      </c>
      <c r="X9" s="8">
        <f t="shared" si="5"/>
        <v>-5.3802116883107276E-5</v>
      </c>
      <c r="Y9" s="8">
        <f t="shared" si="6"/>
        <v>3.125E-2</v>
      </c>
      <c r="AA9" s="8">
        <v>5</v>
      </c>
      <c r="AB9" s="8">
        <f t="shared" si="13"/>
        <v>1000</v>
      </c>
      <c r="AC9" s="8">
        <v>-42.011887035075233</v>
      </c>
      <c r="AD9" s="8">
        <f t="shared" si="14"/>
        <v>1125</v>
      </c>
      <c r="AE9" s="8">
        <v>26.276369949083232</v>
      </c>
      <c r="AF9" s="8">
        <f t="shared" si="9"/>
        <v>1062.5</v>
      </c>
      <c r="AG9" s="8">
        <v>-7.742324105302373</v>
      </c>
      <c r="AH9" s="8">
        <f t="shared" si="10"/>
        <v>325.2696457009032</v>
      </c>
      <c r="AI9" s="8">
        <f t="shared" si="11"/>
        <v>-203.44017245662999</v>
      </c>
      <c r="AJ9" s="8">
        <f t="shared" si="12"/>
        <v>125</v>
      </c>
    </row>
    <row r="10" spans="2:36" x14ac:dyDescent="0.2">
      <c r="J10" t="s">
        <v>49</v>
      </c>
      <c r="K10">
        <f xml:space="preserve"> K4 / (K5 * $C$24)</f>
        <v>0.59999999992432684</v>
      </c>
      <c r="P10" s="8">
        <v>6</v>
      </c>
      <c r="Q10" s="8">
        <f t="shared" si="7"/>
        <v>0.421875</v>
      </c>
      <c r="R10" s="8">
        <f t="shared" si="0"/>
        <v>1.1845186562112142E-2</v>
      </c>
      <c r="S10" s="8">
        <f t="shared" si="8"/>
        <v>0.4375</v>
      </c>
      <c r="T10" s="8">
        <f t="shared" si="1"/>
        <v>-4.5421080200794828E-3</v>
      </c>
      <c r="U10" s="8">
        <f t="shared" si="3"/>
        <v>0.4296875</v>
      </c>
      <c r="V10" s="8">
        <f t="shared" si="2"/>
        <v>3.6446820548206582E-3</v>
      </c>
      <c r="W10" s="8">
        <f t="shared" si="4"/>
        <v>4.3171938898932929E-5</v>
      </c>
      <c r="X10" s="8">
        <f t="shared" si="5"/>
        <v>-1.6554539591840679E-5</v>
      </c>
      <c r="Y10" s="8">
        <f t="shared" si="6"/>
        <v>1.5625E-2</v>
      </c>
      <c r="AA10" s="8">
        <v>6</v>
      </c>
      <c r="AB10" s="8">
        <f t="shared" si="13"/>
        <v>1062.5</v>
      </c>
      <c r="AC10" s="8">
        <v>-7.742324105302373</v>
      </c>
      <c r="AD10" s="8">
        <f t="shared" si="14"/>
        <v>1125</v>
      </c>
      <c r="AE10" s="8">
        <v>26.276369949083232</v>
      </c>
      <c r="AF10" s="8">
        <f t="shared" si="9"/>
        <v>1093.75</v>
      </c>
      <c r="AG10" s="8">
        <v>9.2995295206034143</v>
      </c>
      <c r="AH10" s="8">
        <f t="shared" si="10"/>
        <v>-71.999971575338833</v>
      </c>
      <c r="AI10" s="8">
        <f t="shared" si="11"/>
        <v>244.35787803579595</v>
      </c>
      <c r="AJ10" s="8">
        <f t="shared" si="12"/>
        <v>62.5</v>
      </c>
    </row>
    <row r="11" spans="2:36" x14ac:dyDescent="0.2">
      <c r="B11" s="21" t="s">
        <v>5</v>
      </c>
      <c r="C11" s="23"/>
      <c r="D11" s="23"/>
      <c r="F11" s="21" t="s">
        <v>41</v>
      </c>
      <c r="G11" s="23"/>
      <c r="H11" s="23"/>
      <c r="J11" t="s">
        <v>71</v>
      </c>
      <c r="K11">
        <f xml:space="preserve"> K7 + K10^2 / ( PI() * K9 * $C$12 )</f>
        <v>4.2984454568288019E-2</v>
      </c>
      <c r="P11" s="8">
        <v>7</v>
      </c>
      <c r="Q11" s="8">
        <f t="shared" si="7"/>
        <v>0.4296875</v>
      </c>
      <c r="R11" s="8">
        <f t="shared" si="0"/>
        <v>3.6446820548206582E-3</v>
      </c>
      <c r="S11" s="8">
        <f t="shared" si="8"/>
        <v>0.4375</v>
      </c>
      <c r="T11" s="8">
        <f t="shared" si="1"/>
        <v>-4.5421080200794828E-3</v>
      </c>
      <c r="U11" s="8">
        <f t="shared" si="3"/>
        <v>0.43359375</v>
      </c>
      <c r="V11" s="8">
        <f t="shared" si="2"/>
        <v>-4.5038159641141995E-4</v>
      </c>
      <c r="W11" s="8">
        <f t="shared" si="4"/>
        <v>-1.6414977222621824E-6</v>
      </c>
      <c r="X11" s="8">
        <f t="shared" si="5"/>
        <v>2.0456818611565113E-6</v>
      </c>
      <c r="Y11" s="8">
        <f t="shared" si="6"/>
        <v>7.8125E-3</v>
      </c>
      <c r="AA11" s="8">
        <v>7</v>
      </c>
      <c r="AB11" s="8">
        <f t="shared" si="13"/>
        <v>1062.5</v>
      </c>
      <c r="AC11" s="8">
        <v>-7.742324105302373</v>
      </c>
      <c r="AD11" s="8">
        <f t="shared" si="14"/>
        <v>1093.75</v>
      </c>
      <c r="AE11" s="8">
        <v>9.2995295206034143</v>
      </c>
      <c r="AF11" s="8">
        <f t="shared" si="9"/>
        <v>1078.125</v>
      </c>
      <c r="AG11" s="8">
        <v>0.78659259536061654</v>
      </c>
      <c r="AH11" s="8">
        <f t="shared" si="10"/>
        <v>-6.0900548121128573</v>
      </c>
      <c r="AI11" s="8">
        <f t="shared" si="11"/>
        <v>7.3149410612441095</v>
      </c>
      <c r="AJ11" s="8">
        <f t="shared" si="12"/>
        <v>31.25</v>
      </c>
    </row>
    <row r="12" spans="2:36" x14ac:dyDescent="0.2">
      <c r="B12" t="s">
        <v>7</v>
      </c>
      <c r="C12" s="1">
        <v>10</v>
      </c>
      <c r="F12" t="s">
        <v>42</v>
      </c>
      <c r="G12">
        <f xml:space="preserve"> (G4*$C$30 + G9*G13)/3600</f>
        <v>18581.192314161864</v>
      </c>
      <c r="H12" t="s">
        <v>43</v>
      </c>
      <c r="J12" t="s">
        <v>72</v>
      </c>
      <c r="K12">
        <f xml:space="preserve"> K5 * K11 * $C$24</f>
        <v>756.68814335088894</v>
      </c>
      <c r="L12" t="s">
        <v>37</v>
      </c>
      <c r="P12" s="8">
        <v>8</v>
      </c>
      <c r="Q12" s="8">
        <f t="shared" si="7"/>
        <v>0.4296875</v>
      </c>
      <c r="R12" s="8">
        <f t="shared" si="0"/>
        <v>3.6446820548206582E-3</v>
      </c>
      <c r="S12" s="8">
        <f t="shared" si="8"/>
        <v>0.43359375</v>
      </c>
      <c r="T12" s="8">
        <f t="shared" si="1"/>
        <v>-4.5038159641141995E-4</v>
      </c>
      <c r="U12" s="8">
        <f t="shared" si="3"/>
        <v>0.431640625</v>
      </c>
      <c r="V12" s="8">
        <f t="shared" si="2"/>
        <v>1.5967274914344132E-3</v>
      </c>
      <c r="W12" s="8">
        <f t="shared" si="4"/>
        <v>5.8195640344698118E-6</v>
      </c>
      <c r="X12" s="8">
        <f t="shared" si="5"/>
        <v>-7.1913667662623282E-7</v>
      </c>
      <c r="Y12" s="8">
        <f t="shared" si="6"/>
        <v>3.90625E-3</v>
      </c>
      <c r="AA12" s="8">
        <v>8</v>
      </c>
      <c r="AB12" s="8">
        <f t="shared" si="13"/>
        <v>1062.5</v>
      </c>
      <c r="AC12" s="8">
        <v>-7.742324105302373</v>
      </c>
      <c r="AD12" s="8">
        <f t="shared" si="14"/>
        <v>1078.125</v>
      </c>
      <c r="AE12" s="8">
        <v>0.78659259536061654</v>
      </c>
      <c r="AF12" s="8">
        <f t="shared" si="9"/>
        <v>1070.3125</v>
      </c>
      <c r="AG12" s="8">
        <v>-3.4758859606056376</v>
      </c>
      <c r="AH12" s="8">
        <f t="shared" si="10"/>
        <v>26.911435660079121</v>
      </c>
      <c r="AI12" s="8">
        <f t="shared" si="11"/>
        <v>-2.7341061589303184</v>
      </c>
      <c r="AJ12" s="8">
        <f t="shared" si="12"/>
        <v>15.625</v>
      </c>
    </row>
    <row r="13" spans="2:36" x14ac:dyDescent="0.2">
      <c r="F13" t="s">
        <v>44</v>
      </c>
      <c r="G13">
        <f xml:space="preserve"> $C$29 / $C$23</f>
        <v>727.27272727272725</v>
      </c>
      <c r="H13" t="s">
        <v>26</v>
      </c>
      <c r="J13" t="s">
        <v>137</v>
      </c>
      <c r="K13">
        <f>K10/K11</f>
        <v>13.95853468307074</v>
      </c>
      <c r="P13" s="8">
        <v>9</v>
      </c>
      <c r="Q13" s="8">
        <f t="shared" si="7"/>
        <v>0.431640625</v>
      </c>
      <c r="R13" s="8">
        <f t="shared" si="0"/>
        <v>1.5967274914344132E-3</v>
      </c>
      <c r="S13" s="8">
        <f t="shared" si="8"/>
        <v>0.43359375</v>
      </c>
      <c r="T13" s="8">
        <f t="shared" si="1"/>
        <v>-4.5038159641141995E-4</v>
      </c>
      <c r="U13" s="8">
        <f t="shared" si="3"/>
        <v>0.4326171875</v>
      </c>
      <c r="V13" s="8">
        <f t="shared" si="2"/>
        <v>5.7306796885159272E-4</v>
      </c>
      <c r="W13" s="8">
        <f t="shared" si="4"/>
        <v>9.1503338032581809E-7</v>
      </c>
      <c r="X13" s="8">
        <f t="shared" si="5"/>
        <v>-2.580992666636302E-7</v>
      </c>
      <c r="Y13" s="8">
        <f t="shared" si="6"/>
        <v>1.953125E-3</v>
      </c>
      <c r="AA13" s="8">
        <v>9</v>
      </c>
      <c r="AB13" s="8">
        <f t="shared" si="13"/>
        <v>1070.3125</v>
      </c>
      <c r="AC13" s="8">
        <v>-3.4758859606056376</v>
      </c>
      <c r="AD13" s="8">
        <f t="shared" si="14"/>
        <v>1078.125</v>
      </c>
      <c r="AE13" s="8">
        <v>0.78659259536061654</v>
      </c>
      <c r="AF13" s="8">
        <f t="shared" si="9"/>
        <v>1074.21875</v>
      </c>
      <c r="AG13" s="8">
        <v>-1.3441495314683607</v>
      </c>
      <c r="AH13" s="8">
        <f t="shared" si="10"/>
        <v>4.6721104853855202</v>
      </c>
      <c r="AI13" s="8">
        <f t="shared" si="11"/>
        <v>-1.0572980685104545</v>
      </c>
      <c r="AJ13" s="8">
        <f t="shared" si="12"/>
        <v>7.8125</v>
      </c>
    </row>
    <row r="14" spans="2:36" x14ac:dyDescent="0.2">
      <c r="B14" s="21" t="s">
        <v>8</v>
      </c>
      <c r="C14" s="23"/>
      <c r="D14" s="23"/>
      <c r="P14" s="8">
        <v>10</v>
      </c>
      <c r="Q14" s="8">
        <f t="shared" si="7"/>
        <v>0.4326171875</v>
      </c>
      <c r="R14" s="8">
        <f t="shared" si="0"/>
        <v>5.7306796885159272E-4</v>
      </c>
      <c r="S14" s="8">
        <f t="shared" si="8"/>
        <v>0.43359375</v>
      </c>
      <c r="T14" s="8">
        <f t="shared" si="1"/>
        <v>-4.5038159641141995E-4</v>
      </c>
      <c r="U14" s="8">
        <f t="shared" si="3"/>
        <v>0.43310546875</v>
      </c>
      <c r="V14" s="8">
        <f t="shared" si="2"/>
        <v>6.1317029093788111E-5</v>
      </c>
      <c r="W14" s="8">
        <f t="shared" si="4"/>
        <v>3.5138825318791168E-8</v>
      </c>
      <c r="X14" s="8">
        <f t="shared" si="5"/>
        <v>-2.7616061450465773E-8</v>
      </c>
      <c r="Y14" s="8">
        <f t="shared" si="6"/>
        <v>9.765625E-4</v>
      </c>
      <c r="AA14" s="8">
        <v>10</v>
      </c>
      <c r="AB14" s="8">
        <f t="shared" si="13"/>
        <v>1074.21875</v>
      </c>
      <c r="AC14" s="8">
        <v>-1.3441495314683607</v>
      </c>
      <c r="AD14" s="8">
        <f t="shared" si="14"/>
        <v>1078.125</v>
      </c>
      <c r="AE14" s="8">
        <v>0.78659259536061654</v>
      </c>
      <c r="AF14" s="8">
        <f t="shared" si="9"/>
        <v>1076.171875</v>
      </c>
      <c r="AG14" s="8">
        <v>-0.27865385631741901</v>
      </c>
      <c r="AH14" s="8">
        <f t="shared" si="10"/>
        <v>0.37455245041091068</v>
      </c>
      <c r="AI14" s="8">
        <f t="shared" si="11"/>
        <v>-0.21918706004796296</v>
      </c>
      <c r="AJ14" s="8">
        <f t="shared" si="12"/>
        <v>3.90625</v>
      </c>
    </row>
    <row r="15" spans="2:36" x14ac:dyDescent="0.2">
      <c r="B15" t="s">
        <v>9</v>
      </c>
      <c r="C15" s="1">
        <v>250</v>
      </c>
      <c r="D15" t="s">
        <v>10</v>
      </c>
      <c r="P15" s="8">
        <v>11</v>
      </c>
      <c r="Q15" s="8">
        <f t="shared" si="7"/>
        <v>0.43310546875</v>
      </c>
      <c r="R15" s="8">
        <f t="shared" si="0"/>
        <v>6.1317029093788111E-5</v>
      </c>
      <c r="S15" s="8">
        <f t="shared" si="8"/>
        <v>0.43359375</v>
      </c>
      <c r="T15" s="8">
        <f t="shared" si="1"/>
        <v>-4.5038159641141995E-4</v>
      </c>
      <c r="U15" s="8">
        <f t="shared" si="3"/>
        <v>0.433349609375</v>
      </c>
      <c r="V15" s="8">
        <f t="shared" si="2"/>
        <v>-1.9453881204045675E-4</v>
      </c>
      <c r="W15" s="8">
        <f t="shared" si="4"/>
        <v>-1.1928541997755664E-8</v>
      </c>
      <c r="X15" s="8">
        <f t="shared" si="5"/>
        <v>8.7616700730762078E-8</v>
      </c>
      <c r="Y15" s="8">
        <f t="shared" si="6"/>
        <v>4.8828125E-4</v>
      </c>
      <c r="AA15" s="8">
        <v>11</v>
      </c>
      <c r="AB15" s="8">
        <f t="shared" si="13"/>
        <v>1076.171875</v>
      </c>
      <c r="AC15" s="8">
        <v>-0.27865385631741901</v>
      </c>
      <c r="AD15" s="8">
        <f t="shared" si="14"/>
        <v>1078.125</v>
      </c>
      <c r="AE15" s="8">
        <v>0.78659259536061654</v>
      </c>
      <c r="AF15" s="8">
        <f t="shared" si="9"/>
        <v>1077.1484375</v>
      </c>
      <c r="AG15" s="8">
        <v>0.25400055685020106</v>
      </c>
      <c r="AH15" s="8">
        <f t="shared" si="10"/>
        <v>-7.0778234673080351E-2</v>
      </c>
      <c r="AI15" s="8">
        <f t="shared" si="11"/>
        <v>0.19979495723584148</v>
      </c>
      <c r="AJ15" s="8">
        <f t="shared" si="12"/>
        <v>1.953125</v>
      </c>
    </row>
    <row r="16" spans="2:36" x14ac:dyDescent="0.2">
      <c r="B16" t="s">
        <v>11</v>
      </c>
      <c r="C16" s="1">
        <v>0.85</v>
      </c>
      <c r="F16" s="21" t="s">
        <v>86</v>
      </c>
      <c r="G16" s="21"/>
      <c r="H16" s="21"/>
      <c r="J16" s="21" t="s">
        <v>50</v>
      </c>
      <c r="K16" s="22"/>
      <c r="L16" s="22"/>
      <c r="P16" s="8">
        <v>12</v>
      </c>
      <c r="Q16" s="8">
        <f t="shared" si="7"/>
        <v>0.43310546875</v>
      </c>
      <c r="R16" s="8">
        <f t="shared" si="0"/>
        <v>6.1317029093788111E-5</v>
      </c>
      <c r="S16" s="8">
        <f t="shared" si="8"/>
        <v>0.433349609375</v>
      </c>
      <c r="T16" s="8">
        <f t="shared" si="1"/>
        <v>-1.9453881204045675E-4</v>
      </c>
      <c r="U16" s="8">
        <f t="shared" si="3"/>
        <v>0.4332275390625</v>
      </c>
      <c r="V16" s="8">
        <f t="shared" si="2"/>
        <v>-6.6612524929343664E-5</v>
      </c>
      <c r="W16" s="8">
        <f t="shared" si="4"/>
        <v>-4.0844821291032516E-9</v>
      </c>
      <c r="X16" s="8">
        <f t="shared" si="5"/>
        <v>1.2958721466769826E-8</v>
      </c>
      <c r="Y16" s="8">
        <f t="shared" si="6"/>
        <v>2.44140625E-4</v>
      </c>
      <c r="AA16" s="8">
        <v>12</v>
      </c>
      <c r="AB16" s="8">
        <f t="shared" si="13"/>
        <v>1076.171875</v>
      </c>
      <c r="AC16" s="8">
        <v>-0.27865385631741901</v>
      </c>
      <c r="AD16" s="8">
        <f t="shared" si="14"/>
        <v>1077.1484375</v>
      </c>
      <c r="AE16" s="8">
        <v>0.25400055685020106</v>
      </c>
      <c r="AF16" s="8">
        <f t="shared" si="9"/>
        <v>1076.66015625</v>
      </c>
      <c r="AG16" s="8">
        <v>-1.2318857194486554E-2</v>
      </c>
      <c r="AH16" s="8">
        <f t="shared" si="10"/>
        <v>3.43269706266726E-3</v>
      </c>
      <c r="AI16" s="8">
        <f t="shared" si="11"/>
        <v>-3.1289965871576903E-3</v>
      </c>
      <c r="AJ16" s="8">
        <f t="shared" si="12"/>
        <v>0.9765625</v>
      </c>
    </row>
    <row r="17" spans="2:36" x14ac:dyDescent="0.2">
      <c r="B17" t="s">
        <v>12</v>
      </c>
      <c r="C17" s="1">
        <v>0.8</v>
      </c>
      <c r="F17" s="16" t="s">
        <v>87</v>
      </c>
      <c r="G17">
        <f xml:space="preserve"> G12 / ($C$15 * $C$16 * $C$17)</f>
        <v>109.30113125977567</v>
      </c>
      <c r="H17" t="s">
        <v>14</v>
      </c>
      <c r="J17" t="s">
        <v>51</v>
      </c>
      <c r="K17">
        <f xml:space="preserve"> (90 - $C$35) / 180 * PI()</f>
        <v>1.48352986419518</v>
      </c>
      <c r="L17" t="s">
        <v>52</v>
      </c>
      <c r="P17" s="8">
        <v>13</v>
      </c>
      <c r="Q17" s="8">
        <f t="shared" si="7"/>
        <v>0.43310546875</v>
      </c>
      <c r="R17" s="8">
        <f t="shared" si="0"/>
        <v>6.1317029093788111E-5</v>
      </c>
      <c r="S17" s="8">
        <f t="shared" si="8"/>
        <v>0.4332275390625</v>
      </c>
      <c r="T17" s="8">
        <f t="shared" si="1"/>
        <v>-6.6612524929343664E-5</v>
      </c>
      <c r="U17" s="8">
        <f t="shared" si="3"/>
        <v>0.43316650390625</v>
      </c>
      <c r="V17" s="8">
        <f t="shared" si="2"/>
        <v>-2.6481564520675072E-6</v>
      </c>
      <c r="W17" s="8">
        <f t="shared" si="4"/>
        <v>-1.6237708621632603E-10</v>
      </c>
      <c r="X17" s="8">
        <f t="shared" si="5"/>
        <v>1.7640038768014908E-10</v>
      </c>
      <c r="Y17" s="8">
        <f t="shared" si="6"/>
        <v>1.220703125E-4</v>
      </c>
      <c r="AA17" s="8">
        <v>13</v>
      </c>
      <c r="AB17" s="8">
        <f t="shared" si="13"/>
        <v>1076.66015625</v>
      </c>
      <c r="AC17" s="8">
        <v>-1.2318857194486554E-2</v>
      </c>
      <c r="AD17" s="8">
        <f t="shared" si="14"/>
        <v>1077.1484375</v>
      </c>
      <c r="AE17" s="8">
        <v>0.25400055685020106</v>
      </c>
      <c r="AF17" s="8">
        <f t="shared" si="9"/>
        <v>1076.904296875</v>
      </c>
      <c r="AG17" s="8">
        <v>0.12084275048027848</v>
      </c>
      <c r="AH17" s="8">
        <f t="shared" si="10"/>
        <v>-1.488644586155522E-3</v>
      </c>
      <c r="AI17" s="8">
        <f t="shared" si="11"/>
        <v>3.0694125913300636E-2</v>
      </c>
      <c r="AJ17" s="8">
        <f t="shared" si="12"/>
        <v>0.48828125</v>
      </c>
    </row>
    <row r="18" spans="2:36" x14ac:dyDescent="0.2">
      <c r="F18" s="12" t="s">
        <v>88</v>
      </c>
      <c r="G18">
        <f xml:space="preserve"> $C$5 * 0.144 * (2*$C$21*3.28084 * (G4*0.00134102/$C$5) * 4^0.5)^0.782 * 0.453592 + C6 * $C$6 * 0.144 * (2*$C$22*3.28084 * (G9*0.00134102/$C$6) * 4^0.5)^0.782 * 0.453592</f>
        <v>70.153547490439422</v>
      </c>
      <c r="H18" t="s">
        <v>14</v>
      </c>
      <c r="J18" t="s">
        <v>36</v>
      </c>
      <c r="K18">
        <f xml:space="preserve"> K12 / $C$6</f>
        <v>756.68814335088894</v>
      </c>
      <c r="L18" t="s">
        <v>37</v>
      </c>
      <c r="P18" s="8">
        <v>14</v>
      </c>
      <c r="Q18" s="8">
        <f t="shared" si="7"/>
        <v>0.43310546875</v>
      </c>
      <c r="R18" s="8">
        <f t="shared" si="0"/>
        <v>6.1317029093788111E-5</v>
      </c>
      <c r="S18" s="8">
        <f t="shared" si="8"/>
        <v>0.43316650390625</v>
      </c>
      <c r="T18" s="8">
        <f t="shared" si="1"/>
        <v>-2.6481564520675072E-6</v>
      </c>
      <c r="U18" s="8">
        <f t="shared" si="3"/>
        <v>0.433135986328125</v>
      </c>
      <c r="V18" s="8">
        <f t="shared" si="2"/>
        <v>2.933433416602016E-5</v>
      </c>
      <c r="W18" s="8">
        <f t="shared" si="4"/>
        <v>1.7986942215047608E-9</v>
      </c>
      <c r="X18" s="8">
        <f t="shared" si="5"/>
        <v>-7.7681906288850603E-11</v>
      </c>
      <c r="Y18" s="8">
        <f t="shared" si="6"/>
        <v>6.103515625E-5</v>
      </c>
      <c r="AA18" s="8">
        <v>14</v>
      </c>
      <c r="AB18" s="8">
        <f t="shared" si="13"/>
        <v>1076.66015625</v>
      </c>
      <c r="AC18" s="8">
        <v>-1.2318857194486554E-2</v>
      </c>
      <c r="AD18" s="8">
        <f t="shared" si="14"/>
        <v>1076.904296875</v>
      </c>
      <c r="AE18" s="8">
        <v>0.12084275048027848</v>
      </c>
      <c r="AF18" s="8">
        <f t="shared" si="9"/>
        <v>1076.7822265625</v>
      </c>
      <c r="AG18" s="8">
        <v>5.4262421744169842E-2</v>
      </c>
      <c r="AH18" s="8">
        <f t="shared" si="10"/>
        <v>-6.6845102449343032E-4</v>
      </c>
      <c r="AI18" s="8">
        <f t="shared" si="11"/>
        <v>6.5572202912863534E-3</v>
      </c>
      <c r="AJ18" s="8">
        <f t="shared" si="12"/>
        <v>0.244140625</v>
      </c>
    </row>
    <row r="19" spans="2:36" x14ac:dyDescent="0.2">
      <c r="B19" s="19" t="s">
        <v>13</v>
      </c>
      <c r="C19" s="19"/>
      <c r="D19" s="19"/>
      <c r="F19" s="13" t="s">
        <v>89</v>
      </c>
      <c r="G19">
        <f xml:space="preserve"> 0.188 * (G4/1000) + 5.836 + 0.188 * (G9/1000) + 5.836</f>
        <v>46.848357759505966</v>
      </c>
      <c r="H19" t="s">
        <v>14</v>
      </c>
      <c r="J19" t="s">
        <v>53</v>
      </c>
      <c r="K19">
        <f xml:space="preserve"> PI() * $C$23 / ($C$22 * $C$25)</f>
        <v>169.96466000133157</v>
      </c>
      <c r="L19" t="s">
        <v>54</v>
      </c>
      <c r="P19" s="8">
        <v>15</v>
      </c>
      <c r="Q19" s="8">
        <f t="shared" si="7"/>
        <v>0.433135986328125</v>
      </c>
      <c r="R19" s="8">
        <f t="shared" si="0"/>
        <v>2.933433416602016E-5</v>
      </c>
      <c r="S19" s="8">
        <f t="shared" si="8"/>
        <v>0.43316650390625</v>
      </c>
      <c r="T19" s="8">
        <f t="shared" si="1"/>
        <v>-2.6481564520675072E-6</v>
      </c>
      <c r="U19" s="8">
        <f t="shared" si="3"/>
        <v>0.4331512451171875</v>
      </c>
      <c r="V19" s="8">
        <f t="shared" si="2"/>
        <v>1.334306332090307E-5</v>
      </c>
      <c r="W19" s="8">
        <f t="shared" si="4"/>
        <v>3.9140987825373733E-10</v>
      </c>
      <c r="X19" s="8">
        <f t="shared" si="5"/>
        <v>-3.5334519223594765E-11</v>
      </c>
      <c r="Y19" s="8">
        <f t="shared" si="6"/>
        <v>3.0517578125E-5</v>
      </c>
      <c r="AA19" s="8">
        <v>15</v>
      </c>
      <c r="AB19" s="8">
        <f t="shared" si="13"/>
        <v>1076.66015625</v>
      </c>
      <c r="AC19" s="8">
        <v>-1.2318857194486554E-2</v>
      </c>
      <c r="AD19" s="8">
        <f t="shared" si="14"/>
        <v>1076.7822265625</v>
      </c>
      <c r="AE19" s="8">
        <v>5.4262421744169842E-2</v>
      </c>
      <c r="AF19" s="8">
        <f t="shared" si="9"/>
        <v>1076.72119140625</v>
      </c>
      <c r="AG19" s="8">
        <v>2.0971901042230456E-2</v>
      </c>
      <c r="AH19" s="8">
        <f t="shared" si="10"/>
        <v>-2.5834985403614075E-4</v>
      </c>
      <c r="AI19" s="8">
        <f t="shared" si="11"/>
        <v>1.1379861391305041E-3</v>
      </c>
      <c r="AJ19" s="8">
        <f t="shared" si="12"/>
        <v>0.1220703125</v>
      </c>
    </row>
    <row r="20" spans="2:36" x14ac:dyDescent="0.2">
      <c r="B20" s="3" t="s">
        <v>66</v>
      </c>
      <c r="C20" s="3">
        <f>AF44</f>
        <v>1076.682741409968</v>
      </c>
      <c r="D20" s="3" t="s">
        <v>14</v>
      </c>
      <c r="F20" s="13" t="s">
        <v>143</v>
      </c>
      <c r="G20">
        <f>2.20462 * (49.9/398 * (G4/$C$5/1000 -2) + 0.1) * $C$5 * 0.453592 + 2.20462 * (49.9/398 * (G8/1000 -2) + 0.1) * 0.453592 * $C$6</f>
        <v>22.403732641989148</v>
      </c>
      <c r="H20" t="s">
        <v>14</v>
      </c>
      <c r="J20" t="s">
        <v>55</v>
      </c>
      <c r="K20">
        <f xml:space="preserve"> $C$23 * COS(K17) / (K19 * $C$22)</f>
        <v>3.6065294920551855E-2</v>
      </c>
      <c r="P20" s="8">
        <v>16</v>
      </c>
      <c r="Q20" s="8">
        <f t="shared" si="7"/>
        <v>0.4331512451171875</v>
      </c>
      <c r="R20" s="8">
        <f t="shared" si="0"/>
        <v>1.334306332090307E-5</v>
      </c>
      <c r="S20" s="8">
        <f t="shared" si="8"/>
        <v>0.43316650390625</v>
      </c>
      <c r="T20" s="8">
        <f t="shared" si="1"/>
        <v>-2.6481564520675072E-6</v>
      </c>
      <c r="U20" s="8">
        <f t="shared" si="3"/>
        <v>0.43315887451171875</v>
      </c>
      <c r="V20" s="8">
        <f t="shared" si="2"/>
        <v>5.3474470507741678E-6</v>
      </c>
      <c r="W20" s="8">
        <f t="shared" si="4"/>
        <v>7.13513246036561E-11</v>
      </c>
      <c r="X20" s="8">
        <f t="shared" si="5"/>
        <v>-1.4160876409596975E-11</v>
      </c>
      <c r="Y20" s="8">
        <f t="shared" si="6"/>
        <v>1.52587890625E-5</v>
      </c>
      <c r="AA20" s="8">
        <v>16</v>
      </c>
      <c r="AB20" s="8">
        <f t="shared" si="13"/>
        <v>1076.66015625</v>
      </c>
      <c r="AC20" s="8">
        <v>-1.2318857194486554E-2</v>
      </c>
      <c r="AD20" s="8">
        <f t="shared" si="14"/>
        <v>1076.72119140625</v>
      </c>
      <c r="AE20" s="8">
        <v>2.0971901042230456E-2</v>
      </c>
      <c r="AF20" s="8">
        <f t="shared" si="9"/>
        <v>1076.690673828125</v>
      </c>
      <c r="AG20" s="8">
        <v>4.3265516147812377E-3</v>
      </c>
      <c r="AH20" s="8">
        <f t="shared" si="10"/>
        <v>-5.3298171487065268E-5</v>
      </c>
      <c r="AI20" s="8">
        <f t="shared" si="11"/>
        <v>9.0736012319294503E-5</v>
      </c>
      <c r="AJ20" s="8">
        <f t="shared" si="12"/>
        <v>6.103515625E-2</v>
      </c>
    </row>
    <row r="21" spans="2:36" x14ac:dyDescent="0.2">
      <c r="B21" t="s">
        <v>15</v>
      </c>
      <c r="C21" s="1">
        <v>1.5</v>
      </c>
      <c r="D21" t="s">
        <v>16</v>
      </c>
      <c r="F21" s="14" t="s">
        <v>97</v>
      </c>
      <c r="G21">
        <f xml:space="preserve"> 14.86 * ($C$20*2.20462)^0.144 * (6.7/(PI()*1.8))^0.778 * (6.7*3.28084)^0.383 * 4^0.455 * 0.453592</f>
        <v>144.54154668542375</v>
      </c>
      <c r="H21" t="s">
        <v>14</v>
      </c>
      <c r="J21" t="s">
        <v>56</v>
      </c>
      <c r="K21">
        <f xml:space="preserve"> K18 / ( $C$33 * PI() * $C$22^2 * K19^2 * $C$22^2)</f>
        <v>1.8199999990402175E-2</v>
      </c>
      <c r="P21" s="8">
        <v>17</v>
      </c>
      <c r="Q21" s="8">
        <f t="shared" si="7"/>
        <v>0.43315887451171875</v>
      </c>
      <c r="R21" s="8">
        <f t="shared" si="0"/>
        <v>5.3474470507741678E-6</v>
      </c>
      <c r="S21" s="8">
        <f t="shared" si="8"/>
        <v>0.43316650390625</v>
      </c>
      <c r="T21" s="8">
        <f t="shared" si="1"/>
        <v>-2.6481564520675072E-6</v>
      </c>
      <c r="U21" s="8">
        <f t="shared" si="3"/>
        <v>0.43316268920898438</v>
      </c>
      <c r="V21" s="8">
        <f t="shared" si="2"/>
        <v>1.3496437034632436E-6</v>
      </c>
      <c r="W21" s="8">
        <f t="shared" si="4"/>
        <v>7.2171482416804472E-12</v>
      </c>
      <c r="X21" s="8">
        <f t="shared" si="5"/>
        <v>-3.5740676813184738E-12</v>
      </c>
      <c r="Y21" s="8">
        <f t="shared" si="6"/>
        <v>7.62939453125E-6</v>
      </c>
      <c r="AA21" s="8">
        <v>17</v>
      </c>
      <c r="AB21" s="8">
        <f t="shared" si="13"/>
        <v>1076.66015625</v>
      </c>
      <c r="AC21" s="8">
        <v>-1.2318857194486554E-2</v>
      </c>
      <c r="AD21" s="8">
        <f t="shared" si="14"/>
        <v>1076.690673828125</v>
      </c>
      <c r="AE21" s="8">
        <v>4.3265516147812377E-3</v>
      </c>
      <c r="AF21" s="8">
        <f t="shared" si="9"/>
        <v>1076.6754150390625</v>
      </c>
      <c r="AG21" s="8">
        <v>-3.996049353872877E-3</v>
      </c>
      <c r="AH21" s="8">
        <f t="shared" si="10"/>
        <v>4.922676133248024E-5</v>
      </c>
      <c r="AI21" s="8">
        <f t="shared" si="11"/>
        <v>-1.7289113784744217E-5</v>
      </c>
      <c r="AJ21" s="8">
        <f t="shared" si="12"/>
        <v>3.0517578125E-2</v>
      </c>
    </row>
    <row r="22" spans="2:36" x14ac:dyDescent="0.2">
      <c r="B22" t="s">
        <v>17</v>
      </c>
      <c r="C22" s="1">
        <v>0.78200689098041498</v>
      </c>
      <c r="D22" t="s">
        <v>16</v>
      </c>
      <c r="F22" s="14" t="s">
        <v>98</v>
      </c>
      <c r="G22">
        <f xml:space="preserve"> 0.054 * (0.7*3.28084)^0.501 * ($C$20*2.20462*5.7)^0.684 * 0.453592</f>
        <v>24.875308666159995</v>
      </c>
      <c r="H22" t="s">
        <v>14</v>
      </c>
      <c r="J22" t="s">
        <v>6</v>
      </c>
      <c r="K22" s="1">
        <v>1.2E-2</v>
      </c>
      <c r="P22" s="8">
        <v>18</v>
      </c>
      <c r="Q22" s="8">
        <f t="shared" si="7"/>
        <v>0.43316268920898438</v>
      </c>
      <c r="R22" s="8">
        <f t="shared" si="0"/>
        <v>1.3496437034632436E-6</v>
      </c>
      <c r="S22" s="8">
        <f t="shared" si="8"/>
        <v>0.43316650390625</v>
      </c>
      <c r="T22" s="8">
        <f t="shared" si="1"/>
        <v>-2.6481564520675072E-6</v>
      </c>
      <c r="U22" s="8">
        <f t="shared" si="3"/>
        <v>0.43316459655761719</v>
      </c>
      <c r="V22" s="8">
        <f t="shared" si="2"/>
        <v>-6.4925677323302011E-7</v>
      </c>
      <c r="W22" s="8">
        <f t="shared" si="4"/>
        <v>-8.7626531592480863E-13</v>
      </c>
      <c r="X22" s="8">
        <f t="shared" si="5"/>
        <v>1.7193335130855525E-12</v>
      </c>
      <c r="Y22" s="8">
        <f t="shared" si="6"/>
        <v>3.814697265625E-6</v>
      </c>
      <c r="AA22" s="8">
        <v>18</v>
      </c>
      <c r="AB22" s="8">
        <f t="shared" si="13"/>
        <v>1076.6754150390625</v>
      </c>
      <c r="AC22" s="8">
        <v>-3.996049353872877E-3</v>
      </c>
      <c r="AD22" s="8">
        <f t="shared" si="14"/>
        <v>1076.690673828125</v>
      </c>
      <c r="AE22" s="8">
        <v>4.3265516147812377E-3</v>
      </c>
      <c r="AF22" s="8">
        <f t="shared" si="9"/>
        <v>1076.6830444335938</v>
      </c>
      <c r="AG22" s="8">
        <v>1.6525298667602328E-4</v>
      </c>
      <c r="AH22" s="8">
        <f t="shared" si="10"/>
        <v>-6.6035909063228595E-7</v>
      </c>
      <c r="AI22" s="8">
        <f t="shared" si="11"/>
        <v>7.149755763505709E-7</v>
      </c>
      <c r="AJ22" s="8">
        <f t="shared" si="12"/>
        <v>1.52587890625E-2</v>
      </c>
    </row>
    <row r="23" spans="2:36" x14ac:dyDescent="0.2">
      <c r="B23" t="s">
        <v>18</v>
      </c>
      <c r="C23" s="1">
        <v>55</v>
      </c>
      <c r="D23" t="s">
        <v>19</v>
      </c>
      <c r="F23" s="14" t="s">
        <v>90</v>
      </c>
      <c r="G23">
        <f xml:space="preserve"> 0.04674 * ($C$20*2.20462)^0.397 * ($C$24*3.28084^2)^0.36 * 3^0.397 * $C$12^1.712 * 0.453592</f>
        <v>195.5786553432354</v>
      </c>
      <c r="H23" t="s">
        <v>14</v>
      </c>
      <c r="J23" t="s">
        <v>57</v>
      </c>
      <c r="K23">
        <f xml:space="preserve"> ($C$8 * $K$22 / 8) * (1 + 4.65 * K20^2) * ( PI() * $C$33 * K19^3 * C22^5)</f>
        <v>1084.0971074035022</v>
      </c>
      <c r="L23" t="s">
        <v>35</v>
      </c>
      <c r="P23" s="8">
        <v>19</v>
      </c>
      <c r="Q23" s="8">
        <f t="shared" si="7"/>
        <v>0.43316268920898438</v>
      </c>
      <c r="R23" s="8">
        <f t="shared" si="0"/>
        <v>1.3496437034632436E-6</v>
      </c>
      <c r="S23" s="8">
        <f t="shared" si="8"/>
        <v>0.43316459655761719</v>
      </c>
      <c r="T23" s="8">
        <f t="shared" si="1"/>
        <v>-6.4925677323302011E-7</v>
      </c>
      <c r="U23" s="8">
        <f t="shared" si="3"/>
        <v>0.43316364288330078</v>
      </c>
      <c r="V23" s="8">
        <f t="shared" si="2"/>
        <v>3.5019336536157297E-7</v>
      </c>
      <c r="W23" s="8">
        <f t="shared" si="4"/>
        <v>4.726362705548501E-13</v>
      </c>
      <c r="X23" s="8">
        <f t="shared" si="5"/>
        <v>-2.2736541440226693E-13</v>
      </c>
      <c r="Y23" s="8">
        <f t="shared" si="6"/>
        <v>1.9073486328125E-6</v>
      </c>
      <c r="AA23" s="8">
        <v>19</v>
      </c>
      <c r="AB23" s="8">
        <f t="shared" si="13"/>
        <v>1076.6754150390625</v>
      </c>
      <c r="AC23" s="8">
        <v>-3.996049353872877E-3</v>
      </c>
      <c r="AD23" s="8">
        <f t="shared" si="14"/>
        <v>1076.6830444335938</v>
      </c>
      <c r="AE23" s="8">
        <v>1.6525298667602328E-4</v>
      </c>
      <c r="AF23" s="8">
        <f t="shared" si="9"/>
        <v>1076.6792297363281</v>
      </c>
      <c r="AG23" s="8">
        <v>-1.9154937333496491E-3</v>
      </c>
      <c r="AH23" s="8">
        <f t="shared" si="10"/>
        <v>7.6544074954994103E-6</v>
      </c>
      <c r="AI23" s="8">
        <f t="shared" si="11"/>
        <v>-3.1654106039523567E-7</v>
      </c>
      <c r="AJ23" s="8">
        <f t="shared" si="12"/>
        <v>7.62939453125E-3</v>
      </c>
    </row>
    <row r="24" spans="2:36" x14ac:dyDescent="0.2">
      <c r="B24" t="s">
        <v>20</v>
      </c>
      <c r="C24" s="1">
        <v>9.5011032278081</v>
      </c>
      <c r="D24" t="s">
        <v>21</v>
      </c>
      <c r="F24" s="14" t="s">
        <v>99</v>
      </c>
      <c r="G24">
        <v>0</v>
      </c>
      <c r="H24" t="s">
        <v>14</v>
      </c>
      <c r="J24" t="s">
        <v>58</v>
      </c>
      <c r="K24" s="5">
        <f>U34</f>
        <v>0.43316397676244378</v>
      </c>
      <c r="P24" s="8">
        <v>20</v>
      </c>
      <c r="Q24" s="8">
        <f t="shared" si="7"/>
        <v>0.43316364288330078</v>
      </c>
      <c r="R24" s="8">
        <f t="shared" si="0"/>
        <v>3.5019336536157297E-7</v>
      </c>
      <c r="S24" s="8">
        <f t="shared" si="8"/>
        <v>0.43316459655761719</v>
      </c>
      <c r="T24" s="8">
        <f t="shared" si="1"/>
        <v>-6.4925677323302011E-7</v>
      </c>
      <c r="U24" s="8">
        <f t="shared" si="3"/>
        <v>0.43316411972045898</v>
      </c>
      <c r="V24" s="8">
        <f t="shared" si="2"/>
        <v>-1.4953172888798605E-7</v>
      </c>
      <c r="W24" s="8">
        <f t="shared" si="4"/>
        <v>-5.2365019367618171E-14</v>
      </c>
      <c r="X24" s="8">
        <f t="shared" si="5"/>
        <v>9.70844877937686E-14</v>
      </c>
      <c r="Y24" s="8">
        <f t="shared" si="6"/>
        <v>9.5367431640625E-7</v>
      </c>
      <c r="AA24" s="8">
        <v>20</v>
      </c>
      <c r="AB24" s="8">
        <f t="shared" si="13"/>
        <v>1076.6792297363281</v>
      </c>
      <c r="AC24" s="8">
        <v>-1.9154937333496491E-3</v>
      </c>
      <c r="AD24" s="8">
        <f t="shared" si="14"/>
        <v>1076.6830444335938</v>
      </c>
      <c r="AE24" s="8">
        <v>1.6525298667602328E-4</v>
      </c>
      <c r="AF24" s="8">
        <f t="shared" si="9"/>
        <v>1076.6811370849609</v>
      </c>
      <c r="AG24" s="8">
        <v>-8.751202575467687E-4</v>
      </c>
      <c r="AH24" s="8">
        <f t="shared" si="10"/>
        <v>1.6762873692581665E-6</v>
      </c>
      <c r="AI24" s="8">
        <f t="shared" si="11"/>
        <v>-1.4461623626029424E-7</v>
      </c>
      <c r="AJ24" s="8">
        <f t="shared" si="12"/>
        <v>3.814697265625E-3</v>
      </c>
    </row>
    <row r="25" spans="2:36" x14ac:dyDescent="0.2">
      <c r="B25" t="s">
        <v>22</v>
      </c>
      <c r="C25" s="1">
        <v>1.2999999999999901</v>
      </c>
      <c r="F25" s="14" t="s">
        <v>100</v>
      </c>
      <c r="G25">
        <v>0</v>
      </c>
      <c r="H25" t="s">
        <v>14</v>
      </c>
      <c r="J25" t="s">
        <v>59</v>
      </c>
      <c r="K25">
        <f xml:space="preserve"> K19 * $C$22 * K24 - $C$23 * SIN(K17)</f>
        <v>2.7826471401966231</v>
      </c>
      <c r="L25" t="s">
        <v>19</v>
      </c>
      <c r="P25" s="8">
        <v>21</v>
      </c>
      <c r="Q25" s="8">
        <f t="shared" si="7"/>
        <v>0.43316364288330078</v>
      </c>
      <c r="R25" s="8">
        <f t="shared" si="0"/>
        <v>3.5019336536157297E-7</v>
      </c>
      <c r="S25" s="8">
        <f t="shared" si="8"/>
        <v>0.43316411972045898</v>
      </c>
      <c r="T25" s="8">
        <f t="shared" si="1"/>
        <v>-1.4953172888798605E-7</v>
      </c>
      <c r="U25" s="8">
        <f t="shared" si="3"/>
        <v>0.43316388130187988</v>
      </c>
      <c r="V25" s="8">
        <f t="shared" si="2"/>
        <v>1.0033081199178895E-7</v>
      </c>
      <c r="W25" s="8">
        <f t="shared" si="4"/>
        <v>3.5135184700863836E-14</v>
      </c>
      <c r="X25" s="8">
        <f t="shared" si="5"/>
        <v>-1.5002639777867684E-14</v>
      </c>
      <c r="Y25" s="8">
        <f t="shared" si="6"/>
        <v>4.76837158203125E-7</v>
      </c>
      <c r="AA25" s="8">
        <v>21</v>
      </c>
      <c r="AB25" s="8">
        <f t="shared" si="13"/>
        <v>1076.6811370849609</v>
      </c>
      <c r="AC25" s="8">
        <v>-8.751202575467687E-4</v>
      </c>
      <c r="AD25" s="8">
        <f t="shared" si="14"/>
        <v>1076.6830444335938</v>
      </c>
      <c r="AE25" s="8">
        <v>1.6525298667602328E-4</v>
      </c>
      <c r="AF25" s="8">
        <f t="shared" si="9"/>
        <v>1076.6820907592773</v>
      </c>
      <c r="AG25" s="8">
        <v>-3.5502962055034004E-4</v>
      </c>
      <c r="AH25" s="8">
        <f t="shared" si="10"/>
        <v>3.1069361297274514E-7</v>
      </c>
      <c r="AI25" s="8">
        <f t="shared" si="11"/>
        <v>-5.8669705154398943E-8</v>
      </c>
      <c r="AJ25" s="8">
        <f t="shared" si="12"/>
        <v>1.9073486328125E-3</v>
      </c>
    </row>
    <row r="26" spans="2:36" x14ac:dyDescent="0.2">
      <c r="F26" s="15" t="s">
        <v>101</v>
      </c>
      <c r="G26">
        <f xml:space="preserve"> 0.0268 * $C$20</f>
        <v>28.855097469787143</v>
      </c>
      <c r="H26" t="s">
        <v>14</v>
      </c>
      <c r="J26" t="s">
        <v>60</v>
      </c>
      <c r="K26">
        <f xml:space="preserve"> 1/$C$9 - K23 * SQRT( (2*$C$33*PI()*$C$22^2) / K18^3 )</f>
        <v>1.2203377806519058</v>
      </c>
      <c r="P26" s="8">
        <v>22</v>
      </c>
      <c r="Q26" s="8">
        <f t="shared" si="7"/>
        <v>0.43316388130187988</v>
      </c>
      <c r="R26" s="8">
        <f t="shared" si="0"/>
        <v>1.0033081199178895E-7</v>
      </c>
      <c r="S26" s="8">
        <f t="shared" si="8"/>
        <v>0.43316411972045898</v>
      </c>
      <c r="T26" s="8">
        <f t="shared" si="1"/>
        <v>-1.4953172888798605E-7</v>
      </c>
      <c r="U26" s="8">
        <f t="shared" si="3"/>
        <v>0.43316400051116943</v>
      </c>
      <c r="V26" s="8">
        <f t="shared" si="2"/>
        <v>-2.4600460002410784E-8</v>
      </c>
      <c r="W26" s="8">
        <f t="shared" si="4"/>
        <v>-2.4681841274134003E-15</v>
      </c>
      <c r="X26" s="8">
        <f t="shared" si="5"/>
        <v>3.6785493156002339E-15</v>
      </c>
      <c r="Y26" s="8">
        <f t="shared" si="6"/>
        <v>2.384185791015625E-7</v>
      </c>
      <c r="AA26" s="8">
        <v>22</v>
      </c>
      <c r="AB26" s="8">
        <f t="shared" si="13"/>
        <v>1076.6820907592773</v>
      </c>
      <c r="AC26" s="8">
        <v>-3.5502962055034004E-4</v>
      </c>
      <c r="AD26" s="8">
        <f t="shared" si="14"/>
        <v>1076.6830444335938</v>
      </c>
      <c r="AE26" s="8">
        <v>1.6525298667602328E-4</v>
      </c>
      <c r="AF26" s="8">
        <f t="shared" si="9"/>
        <v>1076.6825675964355</v>
      </c>
      <c r="AG26" s="8">
        <v>-9.4792295499246393E-5</v>
      </c>
      <c r="AH26" s="8">
        <f t="shared" si="10"/>
        <v>3.3654072702193153E-8</v>
      </c>
      <c r="AI26" s="8">
        <f t="shared" si="11"/>
        <v>-1.5664709945126627E-8</v>
      </c>
      <c r="AJ26" s="8">
        <f t="shared" si="12"/>
        <v>9.5367431640625E-4</v>
      </c>
    </row>
    <row r="27" spans="2:36" x14ac:dyDescent="0.2">
      <c r="B27" s="19" t="s">
        <v>23</v>
      </c>
      <c r="C27" s="19"/>
      <c r="D27" s="19"/>
      <c r="F27" s="15" t="s">
        <v>102</v>
      </c>
      <c r="G27">
        <f xml:space="preserve"> 11.5 * ($C$20*2.20462/1000)^0.4 * 0.453592</f>
        <v>7.3710918768078662</v>
      </c>
      <c r="H27" t="s">
        <v>14</v>
      </c>
      <c r="J27" t="s">
        <v>61</v>
      </c>
      <c r="K27" s="1">
        <v>1.1499999999999999</v>
      </c>
      <c r="P27" s="8">
        <v>23</v>
      </c>
      <c r="Q27" s="8">
        <f t="shared" si="7"/>
        <v>0.43316388130187988</v>
      </c>
      <c r="R27" s="8">
        <f t="shared" si="0"/>
        <v>1.0033081199178895E-7</v>
      </c>
      <c r="S27" s="8">
        <f t="shared" si="8"/>
        <v>0.43316400051116943</v>
      </c>
      <c r="T27" s="8">
        <f t="shared" si="1"/>
        <v>-2.4600460002410784E-8</v>
      </c>
      <c r="U27" s="8">
        <f t="shared" si="3"/>
        <v>0.43316394090652466</v>
      </c>
      <c r="V27" s="8">
        <f t="shared" si="2"/>
        <v>3.7865175606111023E-8</v>
      </c>
      <c r="W27" s="8">
        <f t="shared" si="4"/>
        <v>3.7990438147727982E-15</v>
      </c>
      <c r="X27" s="8">
        <f t="shared" si="5"/>
        <v>-9.3150073798239467E-16</v>
      </c>
      <c r="Y27" s="8">
        <f t="shared" si="6"/>
        <v>1.1920928955078125E-7</v>
      </c>
      <c r="AA27" s="8">
        <v>23</v>
      </c>
      <c r="AB27" s="8">
        <f t="shared" si="13"/>
        <v>1076.6825675964355</v>
      </c>
      <c r="AC27" s="8">
        <v>-9.4792295499246393E-5</v>
      </c>
      <c r="AD27" s="8">
        <f t="shared" si="14"/>
        <v>1076.6830444335938</v>
      </c>
      <c r="AE27" s="8">
        <v>1.6525298667602328E-4</v>
      </c>
      <c r="AF27" s="8">
        <f t="shared" si="9"/>
        <v>1076.6828060150146</v>
      </c>
      <c r="AG27" s="8">
        <v>3.5134333188580058E-5</v>
      </c>
      <c r="AH27" s="8">
        <f t="shared" si="10"/>
        <v>-3.3304640937808605E-9</v>
      </c>
      <c r="AI27" s="8">
        <f t="shared" si="11"/>
        <v>5.8060534942833826E-9</v>
      </c>
      <c r="AJ27" s="8">
        <f t="shared" si="12"/>
        <v>4.76837158203125E-4</v>
      </c>
    </row>
    <row r="28" spans="2:36" x14ac:dyDescent="0.2">
      <c r="B28" t="s">
        <v>105</v>
      </c>
      <c r="C28" s="1">
        <v>400</v>
      </c>
      <c r="D28" t="s">
        <v>14</v>
      </c>
      <c r="F28" s="15" t="s">
        <v>103</v>
      </c>
      <c r="G28">
        <f xml:space="preserve"> 8 * ($C$20/1000)</f>
        <v>8.613461931279744</v>
      </c>
      <c r="H28" t="s">
        <v>14</v>
      </c>
      <c r="J28" t="s">
        <v>62</v>
      </c>
      <c r="K28">
        <f xml:space="preserve"> 1/$C$38 * LN( EXP($C$38 * K26) + EXP($C$38 * K27) )</f>
        <v>1.2241517465330662</v>
      </c>
      <c r="P28" s="8">
        <v>24</v>
      </c>
      <c r="Q28" s="8">
        <f t="shared" si="7"/>
        <v>0.43316394090652466</v>
      </c>
      <c r="R28" s="8">
        <f t="shared" si="0"/>
        <v>3.7865175606111023E-8</v>
      </c>
      <c r="S28" s="8">
        <f t="shared" si="8"/>
        <v>0.43316400051116943</v>
      </c>
      <c r="T28" s="8">
        <f t="shared" si="1"/>
        <v>-2.4600460002410784E-8</v>
      </c>
      <c r="U28" s="8">
        <f t="shared" si="3"/>
        <v>0.43316397070884705</v>
      </c>
      <c r="V28" s="8">
        <f t="shared" si="2"/>
        <v>6.6323577185833926E-9</v>
      </c>
      <c r="W28" s="8">
        <f t="shared" si="4"/>
        <v>2.5113538969670602E-16</v>
      </c>
      <c r="X28" s="8">
        <f t="shared" si="5"/>
        <v>-1.631590507776912E-16</v>
      </c>
      <c r="Y28" s="8">
        <f t="shared" si="6"/>
        <v>5.9604644775390625E-8</v>
      </c>
      <c r="AA28" s="8">
        <v>24</v>
      </c>
      <c r="AB28" s="8">
        <f t="shared" si="13"/>
        <v>1076.6825675964355</v>
      </c>
      <c r="AC28" s="8">
        <v>-9.4792295499246393E-5</v>
      </c>
      <c r="AD28" s="8">
        <f t="shared" si="14"/>
        <v>1076.6828060150146</v>
      </c>
      <c r="AE28" s="8">
        <v>3.5134333188580058E-5</v>
      </c>
      <c r="AF28" s="8">
        <f t="shared" si="9"/>
        <v>1076.6826868057251</v>
      </c>
      <c r="AG28" s="8">
        <v>-2.9828980700585817E-5</v>
      </c>
      <c r="AH28" s="8">
        <f t="shared" si="10"/>
        <v>2.8275575530112486E-9</v>
      </c>
      <c r="AI28" s="8">
        <f t="shared" si="11"/>
        <v>-1.0480213466101062E-9</v>
      </c>
      <c r="AJ28" s="8">
        <f t="shared" si="12"/>
        <v>2.384185791015625E-4</v>
      </c>
    </row>
    <row r="29" spans="2:36" x14ac:dyDescent="0.2">
      <c r="B29" t="s">
        <v>24</v>
      </c>
      <c r="C29" s="1">
        <v>40000</v>
      </c>
      <c r="D29" t="s">
        <v>16</v>
      </c>
      <c r="F29" s="15" t="s">
        <v>104</v>
      </c>
      <c r="G29">
        <f xml:space="preserve"> 13 * ($C$20*2.20462/1000)^1.3 * 0.453592</f>
        <v>18.14081028601586</v>
      </c>
      <c r="H29" t="s">
        <v>14</v>
      </c>
      <c r="P29" s="8">
        <v>25</v>
      </c>
      <c r="Q29" s="8">
        <f t="shared" si="7"/>
        <v>0.43316397070884705</v>
      </c>
      <c r="R29" s="8">
        <f t="shared" si="0"/>
        <v>6.6323577185833926E-9</v>
      </c>
      <c r="S29" s="8">
        <f t="shared" si="8"/>
        <v>0.43316400051116943</v>
      </c>
      <c r="T29" s="8">
        <f t="shared" si="1"/>
        <v>-2.4600460002410784E-8</v>
      </c>
      <c r="U29" s="8">
        <f t="shared" si="3"/>
        <v>0.43316398561000824</v>
      </c>
      <c r="V29" s="8">
        <f t="shared" si="2"/>
        <v>-8.9840511696692715E-9</v>
      </c>
      <c r="W29" s="8">
        <f t="shared" si="4"/>
        <v>-5.9585441119304144E-17</v>
      </c>
      <c r="X29" s="8">
        <f t="shared" si="5"/>
        <v>2.2101179145906075E-16</v>
      </c>
      <c r="Y29" s="8">
        <f t="shared" si="6"/>
        <v>2.9802322387695312E-8</v>
      </c>
      <c r="AA29" s="8">
        <v>25</v>
      </c>
      <c r="AB29" s="8">
        <f t="shared" si="13"/>
        <v>1076.6826868057251</v>
      </c>
      <c r="AC29" s="8">
        <v>-2.9828980700585817E-5</v>
      </c>
      <c r="AD29" s="8">
        <f t="shared" si="14"/>
        <v>1076.6828060150146</v>
      </c>
      <c r="AE29" s="8">
        <v>3.5134333188580058E-5</v>
      </c>
      <c r="AF29" s="8">
        <f t="shared" si="9"/>
        <v>1076.6827464103699</v>
      </c>
      <c r="AG29" s="8">
        <v>2.7486904627949116E-6</v>
      </c>
      <c r="AH29" s="8">
        <f t="shared" si="10"/>
        <v>-8.1990634766593714E-11</v>
      </c>
      <c r="AI29" s="8">
        <f t="shared" si="11"/>
        <v>9.6573406552108741E-11</v>
      </c>
      <c r="AJ29" s="8">
        <f t="shared" si="12"/>
        <v>1.1920928955078125E-4</v>
      </c>
    </row>
    <row r="30" spans="2:36" x14ac:dyDescent="0.2">
      <c r="B30" t="s">
        <v>25</v>
      </c>
      <c r="C30" s="1">
        <v>240</v>
      </c>
      <c r="D30" t="s">
        <v>26</v>
      </c>
      <c r="F30" s="3" t="s">
        <v>91</v>
      </c>
      <c r="G30" s="3">
        <f>$C$20 - $C$28 - SUM(G17:G29)</f>
        <v>-4.5190517994342372E-10</v>
      </c>
      <c r="H30" s="3" t="s">
        <v>14</v>
      </c>
      <c r="P30" s="8">
        <v>26</v>
      </c>
      <c r="Q30" s="8">
        <f t="shared" si="7"/>
        <v>0.43316397070884705</v>
      </c>
      <c r="R30" s="8">
        <f t="shared" si="0"/>
        <v>6.6323577185833926E-9</v>
      </c>
      <c r="S30" s="8">
        <f t="shared" si="8"/>
        <v>0.43316398561000824</v>
      </c>
      <c r="T30" s="8">
        <f t="shared" si="1"/>
        <v>-8.9840511696692715E-9</v>
      </c>
      <c r="U30" s="8">
        <f t="shared" si="3"/>
        <v>0.43316397815942764</v>
      </c>
      <c r="V30" s="8">
        <f t="shared" si="2"/>
        <v>-1.1758466977873638E-9</v>
      </c>
      <c r="W30" s="8">
        <f t="shared" si="4"/>
        <v>-7.7986359219408164E-18</v>
      </c>
      <c r="X30" s="8">
        <f t="shared" si="5"/>
        <v>1.0563866900608317E-17</v>
      </c>
      <c r="Y30" s="8">
        <f t="shared" si="6"/>
        <v>1.4901161193847656E-8</v>
      </c>
      <c r="AA30" s="8">
        <v>26</v>
      </c>
      <c r="AB30" s="8">
        <f t="shared" si="13"/>
        <v>1076.6826868057251</v>
      </c>
      <c r="AC30" s="8">
        <v>-2.9828980700585817E-5</v>
      </c>
      <c r="AD30" s="8">
        <f t="shared" si="14"/>
        <v>1076.6827464103699</v>
      </c>
      <c r="AE30" s="8">
        <v>2.7486904627949116E-6</v>
      </c>
      <c r="AF30" s="8">
        <f t="shared" si="9"/>
        <v>1076.6827166080475</v>
      </c>
      <c r="AG30" s="8">
        <v>-1.3636159110319568E-5</v>
      </c>
      <c r="AH30" s="8">
        <f t="shared" si="10"/>
        <v>4.0675272693183985E-10</v>
      </c>
      <c r="AI30" s="8">
        <f t="shared" si="11"/>
        <v>-3.7481580495689343E-11</v>
      </c>
      <c r="AJ30" s="8">
        <f t="shared" si="12"/>
        <v>5.9604644775390625E-5</v>
      </c>
    </row>
    <row r="31" spans="2:36" x14ac:dyDescent="0.2">
      <c r="F31" t="s">
        <v>92</v>
      </c>
      <c r="G31" s="10" t="str">
        <f>IF(ABS(G30)&lt;0.00001, "TRUE", "FALSE")</f>
        <v>TRUE</v>
      </c>
      <c r="P31" s="8">
        <v>27</v>
      </c>
      <c r="Q31" s="8">
        <f t="shared" si="7"/>
        <v>0.43316397070884705</v>
      </c>
      <c r="R31" s="8">
        <f t="shared" si="0"/>
        <v>6.6323577185833926E-9</v>
      </c>
      <c r="S31" s="8">
        <f t="shared" si="8"/>
        <v>0.43316397815942764</v>
      </c>
      <c r="T31" s="8">
        <f t="shared" si="1"/>
        <v>-1.1758466977873638E-9</v>
      </c>
      <c r="U31" s="8">
        <f t="shared" si="3"/>
        <v>0.43316397443413734</v>
      </c>
      <c r="V31" s="8">
        <f t="shared" si="2"/>
        <v>2.7282555103980144E-9</v>
      </c>
      <c r="W31" s="8">
        <f t="shared" si="4"/>
        <v>1.8094766492655944E-17</v>
      </c>
      <c r="X31" s="8">
        <f t="shared" si="5"/>
        <v>-3.2080102326216841E-18</v>
      </c>
      <c r="Y31" s="8">
        <f t="shared" si="6"/>
        <v>7.4505805969238281E-9</v>
      </c>
      <c r="AA31" s="8">
        <v>27</v>
      </c>
      <c r="AB31" s="8">
        <f t="shared" si="13"/>
        <v>1076.6827166080475</v>
      </c>
      <c r="AC31" s="8">
        <v>-1.3636159110319568E-5</v>
      </c>
      <c r="AD31" s="8">
        <f t="shared" si="14"/>
        <v>1076.6827464103699</v>
      </c>
      <c r="AE31" s="8">
        <v>2.7486904627949116E-6</v>
      </c>
      <c r="AF31" s="8">
        <f t="shared" si="9"/>
        <v>1076.6827315092087</v>
      </c>
      <c r="AG31" s="8">
        <v>-5.4437344942925847E-6</v>
      </c>
      <c r="AH31" s="8">
        <f t="shared" si="10"/>
        <v>7.4231629718508715E-11</v>
      </c>
      <c r="AI31" s="8">
        <f t="shared" si="11"/>
        <v>-1.4963141086449709E-11</v>
      </c>
      <c r="AJ31" s="8">
        <f t="shared" si="12"/>
        <v>2.9802322387695312E-5</v>
      </c>
    </row>
    <row r="32" spans="2:36" x14ac:dyDescent="0.2">
      <c r="B32" s="19" t="s">
        <v>110</v>
      </c>
      <c r="C32" s="20"/>
      <c r="D32" s="20"/>
      <c r="P32" s="8">
        <v>28</v>
      </c>
      <c r="Q32" s="8">
        <f t="shared" si="7"/>
        <v>0.43316397443413734</v>
      </c>
      <c r="R32" s="8">
        <f t="shared" si="0"/>
        <v>2.7282555103980144E-9</v>
      </c>
      <c r="S32" s="8">
        <f t="shared" si="8"/>
        <v>0.43316397815942764</v>
      </c>
      <c r="T32" s="8">
        <f t="shared" si="1"/>
        <v>-1.1758466977873638E-9</v>
      </c>
      <c r="U32" s="8">
        <f t="shared" si="3"/>
        <v>0.43316397629678249</v>
      </c>
      <c r="V32" s="8">
        <f t="shared" si="2"/>
        <v>7.7620437854974966E-10</v>
      </c>
      <c r="W32" s="8">
        <f t="shared" si="4"/>
        <v>2.1176838729734208E-18</v>
      </c>
      <c r="X32" s="8">
        <f t="shared" si="5"/>
        <v>-9.1269735532581605E-19</v>
      </c>
      <c r="Y32" s="8">
        <f t="shared" si="6"/>
        <v>3.7252902984619141E-9</v>
      </c>
      <c r="AA32" s="8">
        <v>28</v>
      </c>
      <c r="AB32" s="8">
        <f t="shared" si="13"/>
        <v>1076.6827315092087</v>
      </c>
      <c r="AC32" s="8">
        <v>-5.4437344942925847E-6</v>
      </c>
      <c r="AD32" s="8">
        <f t="shared" si="14"/>
        <v>1076.6827464103699</v>
      </c>
      <c r="AE32" s="8">
        <v>2.7486904627949116E-6</v>
      </c>
      <c r="AF32" s="8">
        <f t="shared" si="9"/>
        <v>1076.6827389597893</v>
      </c>
      <c r="AG32" s="8">
        <v>-1.3475219020619988E-6</v>
      </c>
      <c r="AH32" s="8">
        <f t="shared" si="10"/>
        <v>7.3355514600696571E-12</v>
      </c>
      <c r="AI32" s="8">
        <f t="shared" si="11"/>
        <v>-3.7039206006050751E-12</v>
      </c>
      <c r="AJ32" s="8">
        <f t="shared" si="12"/>
        <v>1.4901161193847656E-5</v>
      </c>
    </row>
    <row r="33" spans="2:36" x14ac:dyDescent="0.2">
      <c r="B33" t="s">
        <v>27</v>
      </c>
      <c r="C33" s="1">
        <v>1.2250000000000001</v>
      </c>
      <c r="D33" t="s">
        <v>28</v>
      </c>
      <c r="P33" s="8">
        <v>29</v>
      </c>
      <c r="Q33" s="8">
        <f t="shared" si="7"/>
        <v>0.43316397629678249</v>
      </c>
      <c r="R33" s="8">
        <f t="shared" si="0"/>
        <v>7.7620437854974966E-10</v>
      </c>
      <c r="S33" s="8">
        <f t="shared" si="8"/>
        <v>0.43316397815942764</v>
      </c>
      <c r="T33" s="8">
        <f t="shared" si="1"/>
        <v>-1.1758466977873638E-9</v>
      </c>
      <c r="U33" s="8">
        <f t="shared" si="3"/>
        <v>0.43316397722810507</v>
      </c>
      <c r="V33" s="8">
        <f t="shared" si="2"/>
        <v>-1.9982115961880709E-10</v>
      </c>
      <c r="W33" s="8">
        <f t="shared" si="4"/>
        <v>-1.5510205902300649E-19</v>
      </c>
      <c r="X33" s="8">
        <f t="shared" si="5"/>
        <v>2.3495905068581605E-19</v>
      </c>
      <c r="Y33" s="8">
        <f t="shared" si="6"/>
        <v>1.862645149230957E-9</v>
      </c>
      <c r="AA33" s="8">
        <v>29</v>
      </c>
      <c r="AB33" s="8">
        <f t="shared" si="13"/>
        <v>1076.6827389597893</v>
      </c>
      <c r="AC33" s="8">
        <v>-1.3475219020619988E-6</v>
      </c>
      <c r="AD33" s="8">
        <f t="shared" si="14"/>
        <v>1076.6827464103699</v>
      </c>
      <c r="AE33" s="8">
        <v>2.7486904627949116E-6</v>
      </c>
      <c r="AF33" s="8">
        <f t="shared" si="9"/>
        <v>1076.6827426850796</v>
      </c>
      <c r="AG33" s="8">
        <v>7.0058433720987523E-7</v>
      </c>
      <c r="AH33" s="8">
        <f t="shared" si="10"/>
        <v>-9.4405273863189586E-13</v>
      </c>
      <c r="AI33" s="8">
        <f t="shared" si="11"/>
        <v>1.9256894860722783E-12</v>
      </c>
      <c r="AJ33" s="8">
        <f t="shared" si="12"/>
        <v>7.4505805969238281E-6</v>
      </c>
    </row>
    <row r="34" spans="2:36" x14ac:dyDescent="0.2">
      <c r="B34" t="s">
        <v>29</v>
      </c>
      <c r="C34" s="1">
        <v>9.81</v>
      </c>
      <c r="D34" t="s">
        <v>30</v>
      </c>
      <c r="F34" s="2" t="s">
        <v>93</v>
      </c>
      <c r="G34" s="2"/>
      <c r="H34" s="2"/>
      <c r="P34" s="8">
        <v>30</v>
      </c>
      <c r="Q34" s="8">
        <f t="shared" si="7"/>
        <v>0.43316397629678249</v>
      </c>
      <c r="R34" s="8">
        <f t="shared" si="0"/>
        <v>7.7620437854974966E-10</v>
      </c>
      <c r="S34" s="8">
        <f t="shared" si="8"/>
        <v>0.43316397722810507</v>
      </c>
      <c r="T34" s="8">
        <f t="shared" si="1"/>
        <v>-1.9982115961880709E-10</v>
      </c>
      <c r="U34" s="8">
        <f t="shared" si="3"/>
        <v>0.43316397676244378</v>
      </c>
      <c r="V34" s="8">
        <f t="shared" si="2"/>
        <v>2.8819158170989567E-10</v>
      </c>
      <c r="W34" s="8">
        <f t="shared" si="4"/>
        <v>2.2369556758439897E-19</v>
      </c>
      <c r="X34" s="8">
        <f t="shared" si="5"/>
        <v>-5.7586776049649548E-20</v>
      </c>
      <c r="Y34" s="8">
        <f t="shared" si="6"/>
        <v>9.3132257461547852E-10</v>
      </c>
      <c r="AA34" s="8">
        <v>30</v>
      </c>
      <c r="AB34" s="8">
        <f t="shared" si="13"/>
        <v>1076.6827389597893</v>
      </c>
      <c r="AC34" s="8">
        <v>-1.3475219020619988E-6</v>
      </c>
      <c r="AD34" s="8">
        <f t="shared" si="14"/>
        <v>1076.6827426850796</v>
      </c>
      <c r="AE34" s="8">
        <v>7.0058433720987523E-7</v>
      </c>
      <c r="AF34" s="8">
        <f t="shared" si="9"/>
        <v>1076.6827408224344</v>
      </c>
      <c r="AG34" s="8">
        <v>-3.2346883926948067E-7</v>
      </c>
      <c r="AH34" s="8">
        <f t="shared" si="10"/>
        <v>4.3588134555019757E-13</v>
      </c>
      <c r="AI34" s="8">
        <f t="shared" si="11"/>
        <v>-2.2661720236765678E-13</v>
      </c>
      <c r="AJ34" s="8">
        <f t="shared" si="12"/>
        <v>3.7252902984619141E-6</v>
      </c>
    </row>
    <row r="35" spans="2:36" x14ac:dyDescent="0.2">
      <c r="B35" t="s">
        <v>73</v>
      </c>
      <c r="C35" s="1">
        <v>5</v>
      </c>
      <c r="D35" t="s">
        <v>74</v>
      </c>
      <c r="F35" t="s">
        <v>94</v>
      </c>
      <c r="G35">
        <f>ROUND($C$28/$C$20 * 100, 2)</f>
        <v>37.15</v>
      </c>
      <c r="H35" t="s">
        <v>95</v>
      </c>
      <c r="AA35" s="8">
        <v>31</v>
      </c>
      <c r="AB35" s="8">
        <f t="shared" si="13"/>
        <v>1076.6827408224344</v>
      </c>
      <c r="AC35">
        <v>-3.2346883926948067E-7</v>
      </c>
      <c r="AD35" s="8">
        <f t="shared" si="14"/>
        <v>1076.6827426850796</v>
      </c>
      <c r="AE35">
        <v>7.0058433720987523E-7</v>
      </c>
      <c r="AF35" s="8">
        <f t="shared" si="9"/>
        <v>1076.682741753757</v>
      </c>
      <c r="AG35">
        <v>1.8855769212677842E-7</v>
      </c>
      <c r="AH35" s="8">
        <f t="shared" si="10"/>
        <v>-6.0992537807581109E-14</v>
      </c>
      <c r="AI35" s="8">
        <f t="shared" si="11"/>
        <v>1.3210056576446277E-13</v>
      </c>
      <c r="AJ35" s="8">
        <f t="shared" si="12"/>
        <v>1.862645149230957E-6</v>
      </c>
    </row>
    <row r="36" spans="2:36" x14ac:dyDescent="0.2">
      <c r="F36" s="16" t="s">
        <v>87</v>
      </c>
      <c r="G36">
        <f>ROUND(G17/$C$20 * 100, 2)</f>
        <v>10.15</v>
      </c>
      <c r="H36" t="s">
        <v>95</v>
      </c>
      <c r="AA36" s="8">
        <v>32</v>
      </c>
      <c r="AB36" s="8">
        <f t="shared" si="13"/>
        <v>1076.6827408224344</v>
      </c>
      <c r="AC36">
        <v>-3.2346883926948067E-7</v>
      </c>
      <c r="AD36" s="8">
        <f t="shared" si="14"/>
        <v>1076.682741753757</v>
      </c>
      <c r="AE36">
        <v>1.8855769212677842E-7</v>
      </c>
      <c r="AF36" s="8">
        <f t="shared" si="9"/>
        <v>1076.6827412880957</v>
      </c>
      <c r="AG36">
        <v>-6.7455630414769985E-8</v>
      </c>
      <c r="AH36" s="8">
        <f t="shared" si="10"/>
        <v>2.1819794472456724E-14</v>
      </c>
      <c r="AI36" s="8">
        <f t="shared" si="11"/>
        <v>-1.2719277991965949E-14</v>
      </c>
      <c r="AJ36" s="8">
        <f t="shared" si="12"/>
        <v>9.3132257461547852E-7</v>
      </c>
    </row>
    <row r="37" spans="2:36" x14ac:dyDescent="0.2">
      <c r="B37" s="19" t="s">
        <v>31</v>
      </c>
      <c r="C37" s="20"/>
      <c r="D37" s="20"/>
      <c r="F37" s="18" t="s">
        <v>144</v>
      </c>
      <c r="G37">
        <f>ROUND(SUM(G18:G20)/$C$20 * 100, 2)</f>
        <v>12.95</v>
      </c>
      <c r="H37" t="s">
        <v>95</v>
      </c>
      <c r="AA37" s="8">
        <v>33</v>
      </c>
      <c r="AB37" s="8">
        <f t="shared" si="13"/>
        <v>1076.6827412880957</v>
      </c>
      <c r="AC37">
        <v>-6.7455630414769985E-8</v>
      </c>
      <c r="AD37" s="8">
        <f t="shared" si="14"/>
        <v>1076.682741753757</v>
      </c>
      <c r="AE37">
        <v>1.8855769212677842E-7</v>
      </c>
      <c r="AF37" s="8">
        <f t="shared" si="9"/>
        <v>1076.6827415209264</v>
      </c>
      <c r="AG37">
        <v>6.0551315073098522E-8</v>
      </c>
      <c r="AH37" s="8">
        <f t="shared" si="10"/>
        <v>-4.0845271306992249E-15</v>
      </c>
      <c r="AI37" s="8">
        <f t="shared" si="11"/>
        <v>1.1417416225424869E-14</v>
      </c>
      <c r="AJ37" s="8">
        <f t="shared" si="12"/>
        <v>4.6566128730773926E-7</v>
      </c>
    </row>
    <row r="38" spans="2:36" x14ac:dyDescent="0.2">
      <c r="B38" t="s">
        <v>32</v>
      </c>
      <c r="C38" s="1">
        <v>30</v>
      </c>
      <c r="F38" s="17" t="s">
        <v>108</v>
      </c>
      <c r="G38">
        <f>ROUND(SUM(G21:G25)/$C$20 * 100, 2)</f>
        <v>33.9</v>
      </c>
      <c r="H38" t="s">
        <v>95</v>
      </c>
      <c r="AA38" s="8">
        <v>34</v>
      </c>
      <c r="AB38" s="8">
        <f t="shared" si="13"/>
        <v>1076.6827412880957</v>
      </c>
      <c r="AC38">
        <v>-6.7455630414769985E-8</v>
      </c>
      <c r="AD38" s="8">
        <f t="shared" si="14"/>
        <v>1076.6827415209264</v>
      </c>
      <c r="AE38">
        <v>6.0551315073098522E-8</v>
      </c>
      <c r="AF38" s="8">
        <f t="shared" si="9"/>
        <v>1076.682741404511</v>
      </c>
      <c r="AG38">
        <v>-3.4522145142545924E-9</v>
      </c>
      <c r="AH38" s="8">
        <f t="shared" si="10"/>
        <v>2.3287130638606247E-16</v>
      </c>
      <c r="AI38" s="8">
        <f t="shared" si="11"/>
        <v>-2.0903612875255359E-16</v>
      </c>
      <c r="AJ38" s="8">
        <f t="shared" si="12"/>
        <v>2.3283064365386963E-7</v>
      </c>
    </row>
    <row r="39" spans="2:36" x14ac:dyDescent="0.2">
      <c r="F39" s="15" t="s">
        <v>109</v>
      </c>
      <c r="G39">
        <f>ROUND(SUM(G26:G29)/$C$20*100, 2)</f>
        <v>5.85</v>
      </c>
      <c r="H39" t="s">
        <v>95</v>
      </c>
      <c r="AA39" s="8">
        <v>35</v>
      </c>
      <c r="AB39" s="8">
        <f t="shared" si="13"/>
        <v>1076.682741404511</v>
      </c>
      <c r="AC39">
        <v>-3.4522145142545924E-9</v>
      </c>
      <c r="AD39" s="8">
        <f t="shared" si="14"/>
        <v>1076.6827415209264</v>
      </c>
      <c r="AE39">
        <v>6.0551315073098522E-8</v>
      </c>
      <c r="AF39" s="8">
        <f t="shared" si="9"/>
        <v>1076.6827414627187</v>
      </c>
      <c r="AG39">
        <v>2.8549607122840825E-8</v>
      </c>
      <c r="AH39" s="8">
        <f t="shared" si="10"/>
        <v>-9.855936808573739E-17</v>
      </c>
      <c r="AI39" s="8">
        <f t="shared" si="11"/>
        <v>1.7287162561083126E-15</v>
      </c>
      <c r="AJ39" s="8">
        <f t="shared" si="12"/>
        <v>1.1641532182693481E-7</v>
      </c>
    </row>
    <row r="40" spans="2:36" x14ac:dyDescent="0.2">
      <c r="F40" s="3" t="s">
        <v>96</v>
      </c>
      <c r="G40" s="3">
        <f>SUM(G35:G39)</f>
        <v>100</v>
      </c>
      <c r="H40" s="3" t="s">
        <v>95</v>
      </c>
      <c r="AA40" s="8">
        <v>36</v>
      </c>
      <c r="AB40" s="8">
        <f t="shared" si="13"/>
        <v>1076.682741404511</v>
      </c>
      <c r="AC40">
        <v>-3.4522145142545924E-9</v>
      </c>
      <c r="AD40" s="8">
        <f t="shared" si="14"/>
        <v>1076.6827414627187</v>
      </c>
      <c r="AE40">
        <v>2.8549607122840825E-8</v>
      </c>
      <c r="AF40" s="8">
        <f t="shared" si="9"/>
        <v>1076.6827414336149</v>
      </c>
      <c r="AG40">
        <v>1.2548753147711977E-8</v>
      </c>
      <c r="AH40" s="8">
        <f t="shared" si="10"/>
        <v>-4.3320987752329291E-17</v>
      </c>
      <c r="AI40" s="8">
        <f t="shared" si="11"/>
        <v>3.582619722486891E-16</v>
      </c>
      <c r="AJ40" s="8">
        <f t="shared" si="12"/>
        <v>5.8207660913467407E-8</v>
      </c>
    </row>
    <row r="41" spans="2:36" x14ac:dyDescent="0.2">
      <c r="AA41" s="8">
        <v>37</v>
      </c>
      <c r="AB41" s="8">
        <f t="shared" si="13"/>
        <v>1076.682741404511</v>
      </c>
      <c r="AC41">
        <v>-3.4522145142545924E-9</v>
      </c>
      <c r="AD41" s="8">
        <f t="shared" si="14"/>
        <v>1076.6827414336149</v>
      </c>
      <c r="AE41">
        <v>1.2548753147711977E-8</v>
      </c>
      <c r="AF41" s="8">
        <f t="shared" si="9"/>
        <v>1076.6827414190629</v>
      </c>
      <c r="AG41">
        <v>4.5482693167286925E-9</v>
      </c>
      <c r="AH41" s="8">
        <f t="shared" si="10"/>
        <v>-1.570160134994961E-17</v>
      </c>
      <c r="AI41" s="8">
        <f t="shared" si="11"/>
        <v>5.7075108904940985E-17</v>
      </c>
      <c r="AJ41" s="8">
        <f t="shared" si="12"/>
        <v>2.9103830456733704E-8</v>
      </c>
    </row>
    <row r="42" spans="2:36" x14ac:dyDescent="0.2">
      <c r="B42" t="s">
        <v>145</v>
      </c>
      <c r="C42" s="1">
        <v>1.2</v>
      </c>
      <c r="AA42" s="8">
        <v>38</v>
      </c>
      <c r="AB42" s="8">
        <f t="shared" si="13"/>
        <v>1076.682741404511</v>
      </c>
      <c r="AC42">
        <v>-3.4522145142545924E-9</v>
      </c>
      <c r="AD42" s="8">
        <f t="shared" si="14"/>
        <v>1076.6827414190629</v>
      </c>
      <c r="AE42">
        <v>4.5482693167286925E-9</v>
      </c>
      <c r="AF42" s="8">
        <f t="shared" si="9"/>
        <v>1076.682741411787</v>
      </c>
      <c r="AG42">
        <v>5.4797055781818926E-10</v>
      </c>
      <c r="AH42" s="8">
        <f t="shared" si="10"/>
        <v>-1.8917119130841383E-18</v>
      </c>
      <c r="AI42" s="8">
        <f t="shared" si="11"/>
        <v>2.4923176745951762E-18</v>
      </c>
      <c r="AJ42" s="8">
        <f t="shared" si="12"/>
        <v>1.4551915228366852E-8</v>
      </c>
    </row>
    <row r="43" spans="2:36" x14ac:dyDescent="0.2">
      <c r="C43" s="1">
        <v>0.9</v>
      </c>
      <c r="AA43" s="8">
        <v>39</v>
      </c>
      <c r="AB43" s="8">
        <f t="shared" si="13"/>
        <v>1076.682741404511</v>
      </c>
      <c r="AC43">
        <v>-3.4522145142545924E-9</v>
      </c>
      <c r="AD43" s="8">
        <f t="shared" si="14"/>
        <v>1076.682741411787</v>
      </c>
      <c r="AE43">
        <v>5.4797055781818926E-10</v>
      </c>
      <c r="AF43" s="8">
        <f t="shared" si="9"/>
        <v>1076.682741408149</v>
      </c>
      <c r="AG43">
        <v>-1.4521219782182015E-9</v>
      </c>
      <c r="AH43" s="8">
        <f t="shared" si="10"/>
        <v>5.0130365696729664E-18</v>
      </c>
      <c r="AI43" s="8">
        <f t="shared" si="11"/>
        <v>-7.9572009042428038E-19</v>
      </c>
      <c r="AJ43" s="8">
        <f t="shared" si="12"/>
        <v>7.2759576141834259E-9</v>
      </c>
    </row>
    <row r="44" spans="2:36" x14ac:dyDescent="0.2">
      <c r="C44" s="1">
        <v>50</v>
      </c>
      <c r="AA44" s="8">
        <v>40</v>
      </c>
      <c r="AB44" s="8">
        <f t="shared" si="13"/>
        <v>1076.682741408149</v>
      </c>
      <c r="AC44">
        <v>-1.4521219782182015E-9</v>
      </c>
      <c r="AD44" s="8">
        <f t="shared" si="14"/>
        <v>1076.682741411787</v>
      </c>
      <c r="AE44">
        <v>5.4797055781818926E-10</v>
      </c>
      <c r="AF44" s="11">
        <f t="shared" si="9"/>
        <v>1076.682741409968</v>
      </c>
      <c r="AG44">
        <v>-4.5190517994342372E-10</v>
      </c>
      <c r="AH44" s="8">
        <f t="shared" si="10"/>
        <v>6.5622144386649679E-19</v>
      </c>
      <c r="AI44" s="8">
        <f t="shared" si="11"/>
        <v>-2.4763073353452709E-19</v>
      </c>
      <c r="AJ44" s="8">
        <f t="shared" si="12"/>
        <v>3.637978807091713E-9</v>
      </c>
    </row>
    <row r="45" spans="2:36" x14ac:dyDescent="0.2">
      <c r="C45" s="1">
        <v>6.4</v>
      </c>
      <c r="T45" t="s">
        <v>139</v>
      </c>
      <c r="U45">
        <v>10</v>
      </c>
      <c r="V45">
        <v>10</v>
      </c>
      <c r="W45">
        <v>10</v>
      </c>
      <c r="X45">
        <v>10</v>
      </c>
    </row>
    <row r="46" spans="2:36" x14ac:dyDescent="0.2">
      <c r="C46" s="1">
        <v>1</v>
      </c>
      <c r="T46" t="s">
        <v>138</v>
      </c>
      <c r="U46">
        <f>U47^2/U45</f>
        <v>6.4</v>
      </c>
      <c r="V46">
        <f>V47^2/V45</f>
        <v>3.6</v>
      </c>
      <c r="W46">
        <f>W47^2/W45</f>
        <v>14.4</v>
      </c>
      <c r="X46">
        <f>X47^2/X45</f>
        <v>0</v>
      </c>
    </row>
    <row r="47" spans="2:36" x14ac:dyDescent="0.2">
      <c r="T47" t="s">
        <v>79</v>
      </c>
      <c r="U47">
        <v>8</v>
      </c>
      <c r="V47">
        <v>6</v>
      </c>
      <c r="W47">
        <v>12</v>
      </c>
    </row>
    <row r="55" spans="27:27" x14ac:dyDescent="0.2">
      <c r="AA55" s="8"/>
    </row>
    <row r="56" spans="27:27" x14ac:dyDescent="0.2">
      <c r="AA56" s="8"/>
    </row>
    <row r="57" spans="27:27" x14ac:dyDescent="0.2">
      <c r="AA57" s="8"/>
    </row>
  </sheetData>
  <mergeCells count="14">
    <mergeCell ref="J3:L3"/>
    <mergeCell ref="J16:L16"/>
    <mergeCell ref="B1:D1"/>
    <mergeCell ref="B3:D3"/>
    <mergeCell ref="B11:D11"/>
    <mergeCell ref="B14:D14"/>
    <mergeCell ref="B37:D37"/>
    <mergeCell ref="F3:H3"/>
    <mergeCell ref="F7:H7"/>
    <mergeCell ref="F11:H11"/>
    <mergeCell ref="B19:D19"/>
    <mergeCell ref="B27:D27"/>
    <mergeCell ref="F16:H16"/>
    <mergeCell ref="B32:D32"/>
  </mergeCells>
  <conditionalFormatting sqref="G31">
    <cfRule type="containsText" dxfId="5" priority="1" operator="containsText" text="FALSE">
      <formula>NOT(ISERROR(SEARCH("FALSE",G31)))</formula>
    </cfRule>
    <cfRule type="containsText" dxfId="4" priority="2" operator="containsText" text="TRUE">
      <formula>NOT(ISERROR(SEARCH("TRUE",G31)))</formula>
    </cfRule>
    <cfRule type="cellIs" dxfId="3" priority="3" operator="equal">
      <formula>1</formula>
    </cfRule>
    <cfRule type="cellIs" dxfId="2" priority="4" operator="equal">
      <formula>TRUE</formula>
    </cfRule>
    <cfRule type="containsText" dxfId="1" priority="5" operator="containsText" text="YES">
      <formula>NOT(ISERROR(SEARCH("YES",G31)))</formula>
    </cfRule>
    <cfRule type="cellIs" dxfId="0" priority="6" operator="equal">
      <formula>"""YES"""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99F6A-8712-2C4A-BDE2-261DEBFAF47B}">
  <dimension ref="B2:H19"/>
  <sheetViews>
    <sheetView workbookViewId="0">
      <selection activeCell="G17" sqref="G17"/>
    </sheetView>
  </sheetViews>
  <sheetFormatPr baseColWidth="10" defaultRowHeight="16" x14ac:dyDescent="0.2"/>
  <cols>
    <col min="2" max="2" width="17.1640625" customWidth="1"/>
  </cols>
  <sheetData>
    <row r="2" spans="2:8" x14ac:dyDescent="0.2">
      <c r="C2" t="s">
        <v>129</v>
      </c>
      <c r="D2" t="s">
        <v>112</v>
      </c>
      <c r="E2" t="s">
        <v>130</v>
      </c>
      <c r="F2" t="s">
        <v>131</v>
      </c>
      <c r="G2" t="s">
        <v>1</v>
      </c>
    </row>
    <row r="3" spans="2:8" x14ac:dyDescent="0.2">
      <c r="B3" t="s">
        <v>132</v>
      </c>
      <c r="C3">
        <v>3269</v>
      </c>
      <c r="D3">
        <v>2864</v>
      </c>
      <c r="E3">
        <v>3858</v>
      </c>
      <c r="F3">
        <v>4399</v>
      </c>
      <c r="G3">
        <v>3863</v>
      </c>
      <c r="H3" t="s">
        <v>126</v>
      </c>
    </row>
    <row r="4" spans="2:8" x14ac:dyDescent="0.2">
      <c r="B4" t="s">
        <v>121</v>
      </c>
      <c r="C4">
        <v>1</v>
      </c>
      <c r="D4">
        <v>4</v>
      </c>
      <c r="E4">
        <v>2</v>
      </c>
      <c r="F4">
        <v>4</v>
      </c>
      <c r="G4">
        <v>5</v>
      </c>
    </row>
    <row r="5" spans="2:8" x14ac:dyDescent="0.2">
      <c r="B5" t="s">
        <v>134</v>
      </c>
      <c r="C5">
        <v>6.6</v>
      </c>
      <c r="D5">
        <v>25.9</v>
      </c>
      <c r="E5">
        <v>4.7</v>
      </c>
      <c r="F5">
        <v>5.2</v>
      </c>
      <c r="G5">
        <v>15.8</v>
      </c>
      <c r="H5" t="s">
        <v>133</v>
      </c>
    </row>
    <row r="6" spans="2:8" x14ac:dyDescent="0.2">
      <c r="B6" t="s">
        <v>136</v>
      </c>
      <c r="C6">
        <f>2.5 * (C3/1000) ^ (2/3)</f>
        <v>5.5065969395516792</v>
      </c>
      <c r="D6">
        <f>0.0327*D3^0.8903</f>
        <v>39.110271131161461</v>
      </c>
      <c r="E6">
        <f>1.6 * (E3/1000) ^ (2/3)</f>
        <v>3.9357556858069622</v>
      </c>
      <c r="F6">
        <f>1.6 * (F3/1000) ^ (2/3)</f>
        <v>4.2955880345721758</v>
      </c>
      <c r="G6">
        <f>1.6 * (G3/1000) ^ (2/3)</f>
        <v>3.9391554663896855</v>
      </c>
    </row>
    <row r="7" spans="2:8" x14ac:dyDescent="0.2">
      <c r="B7" t="s">
        <v>135</v>
      </c>
      <c r="C7">
        <f>C5/((C3/1000)^(2/3))</f>
        <v>2.9964059801593814</v>
      </c>
      <c r="E7">
        <f>E5/((E3/1000)^(2/3))</f>
        <v>1.9106877053162785</v>
      </c>
      <c r="F7">
        <f>F5/((F3/1000)^(2/3))</f>
        <v>1.9368710251165047</v>
      </c>
      <c r="G7">
        <f>G5/((G3/1000)^(2/3))</f>
        <v>6.4176192627323809</v>
      </c>
    </row>
    <row r="8" spans="2:8" x14ac:dyDescent="0.2">
      <c r="B8" t="s">
        <v>120</v>
      </c>
      <c r="H8" t="s">
        <v>37</v>
      </c>
    </row>
    <row r="9" spans="2:8" x14ac:dyDescent="0.2">
      <c r="B9" t="s">
        <v>118</v>
      </c>
      <c r="H9" t="s">
        <v>119</v>
      </c>
    </row>
    <row r="10" spans="2:8" x14ac:dyDescent="0.2">
      <c r="B10" t="s">
        <v>141</v>
      </c>
      <c r="C10">
        <f>177*$C$19</f>
        <v>131.9889</v>
      </c>
      <c r="D10">
        <f>200*$C$19</f>
        <v>149.14000000000001</v>
      </c>
      <c r="E10">
        <f>138*$C$19</f>
        <v>102.9066</v>
      </c>
      <c r="F10">
        <f>100*$C$19</f>
        <v>74.570000000000007</v>
      </c>
      <c r="G10">
        <f>102*$C$19</f>
        <v>76.061400000000006</v>
      </c>
      <c r="H10" t="s">
        <v>122</v>
      </c>
    </row>
    <row r="11" spans="2:8" x14ac:dyDescent="0.2">
      <c r="B11" t="s">
        <v>140</v>
      </c>
      <c r="C11">
        <f>252*$C$19</f>
        <v>187.91640000000001</v>
      </c>
      <c r="D11">
        <f>240*$C$19</f>
        <v>178.96800000000002</v>
      </c>
      <c r="E11">
        <f>435*$C$19</f>
        <v>324.37950000000001</v>
      </c>
      <c r="F11">
        <f>680*$C$19</f>
        <v>507.07600000000002</v>
      </c>
      <c r="G11">
        <f>308*$C$19</f>
        <v>229.6756</v>
      </c>
      <c r="H11" t="s">
        <v>122</v>
      </c>
    </row>
    <row r="12" spans="2:8" x14ac:dyDescent="0.2">
      <c r="B12" t="s">
        <v>53</v>
      </c>
      <c r="H12" t="s">
        <v>128</v>
      </c>
    </row>
    <row r="14" spans="2:8" x14ac:dyDescent="0.2">
      <c r="B14" t="s">
        <v>123</v>
      </c>
      <c r="H14" t="s">
        <v>126</v>
      </c>
    </row>
    <row r="15" spans="2:8" x14ac:dyDescent="0.2">
      <c r="B15" t="s">
        <v>124</v>
      </c>
      <c r="H15" t="s">
        <v>126</v>
      </c>
    </row>
    <row r="16" spans="2:8" x14ac:dyDescent="0.2">
      <c r="B16" t="s">
        <v>125</v>
      </c>
      <c r="C16">
        <f>2.20462 * (49.9/398 * (C11/C4-2) + 0.1) * C4 * $C$18</f>
        <v>41.287451382961208</v>
      </c>
      <c r="D16">
        <f>2.20462 * (49.9/398 * (D11/D4-2) + 0.1) * D4 * $C$18</f>
        <v>38.511069677957792</v>
      </c>
      <c r="E16">
        <f>2.20462 * (49.9/398 * (E11/E4-2) + 0.1) * E4 * $C$18</f>
        <v>71.197203841549751</v>
      </c>
      <c r="F16">
        <f>2.20462 * (49.9/398 * (F11/F4-2) + 0.1) * F4 * $C$18</f>
        <v>111.06451209424725</v>
      </c>
      <c r="G16">
        <f>2.20462*(49.9/398*(G11/4-2)+0.1)*4*$C$18 + 2.20462*(49.9/398*(G10/1-2)+0.1)*1*$C$18</f>
        <v>66.277197701519597</v>
      </c>
      <c r="H16" t="s">
        <v>126</v>
      </c>
    </row>
    <row r="18" spans="2:3" x14ac:dyDescent="0.2">
      <c r="B18" t="s">
        <v>127</v>
      </c>
      <c r="C18">
        <v>0.8</v>
      </c>
    </row>
    <row r="19" spans="2:3" x14ac:dyDescent="0.2">
      <c r="B19" t="s">
        <v>142</v>
      </c>
      <c r="C19">
        <v>0.74570000000000003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multirotor</vt:lpstr>
      <vt:lpstr>lift+cruise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HARIANSYAH Muhammad Alfiyandy</dc:creator>
  <cp:lastModifiedBy>HARIANSYAH Muhammad Alfiyandy</cp:lastModifiedBy>
  <dcterms:created xsi:type="dcterms:W3CDTF">2024-06-18T08:10:20Z</dcterms:created>
  <dcterms:modified xsi:type="dcterms:W3CDTF">2024-06-24T09:08:52Z</dcterms:modified>
</cp:coreProperties>
</file>