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_duplicate/selection_by_weight/multirotor/"/>
    </mc:Choice>
  </mc:AlternateContent>
  <xr:revisionPtr revIDLastSave="0" documentId="13_ncr:1_{80EE6BF2-3A57-4F44-BA0A-BDE3FBDCD7FC}" xr6:coauthVersionLast="47" xr6:coauthVersionMax="47" xr10:uidLastSave="{00000000-0000-0000-0000-000000000000}"/>
  <bookViews>
    <workbookView xWindow="15320" yWindow="740" windowWidth="14920" windowHeight="18900" activeTab="2" xr2:uid="{843CD013-835A-1741-B375-CD508AE79BD2}"/>
  </bookViews>
  <sheets>
    <sheet name="multirotor_opt_250_test_250" sheetId="13" r:id="rId1"/>
    <sheet name="multirotor_opt_250_test_550" sheetId="19" r:id="rId2"/>
    <sheet name="multirotor_opt_550_test_5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9" l="1"/>
  <c r="K21" i="19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G26" i="19"/>
  <c r="AN25" i="19"/>
  <c r="AM25" i="19"/>
  <c r="G25" i="19"/>
  <c r="G31" i="19" s="1"/>
  <c r="G29" i="19" s="1"/>
  <c r="AN24" i="19"/>
  <c r="AM24" i="19"/>
  <c r="AN23" i="19"/>
  <c r="AM23" i="19"/>
  <c r="AN22" i="19"/>
  <c r="AM22" i="19"/>
  <c r="AN21" i="19"/>
  <c r="AM21" i="19"/>
  <c r="AN20" i="19"/>
  <c r="AM20" i="19"/>
  <c r="AN19" i="19"/>
  <c r="AM19" i="19"/>
  <c r="O19" i="19"/>
  <c r="AN18" i="19"/>
  <c r="AM18" i="19"/>
  <c r="AN17" i="19"/>
  <c r="AM17" i="19"/>
  <c r="AN16" i="19"/>
  <c r="AM16" i="19"/>
  <c r="G16" i="19"/>
  <c r="G17" i="19" s="1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G8" i="19"/>
  <c r="C8" i="19"/>
  <c r="AN7" i="19"/>
  <c r="AM7" i="19"/>
  <c r="G7" i="19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O8" i="20" l="1"/>
  <c r="O9" i="20" s="1"/>
  <c r="O13" i="20" s="1"/>
  <c r="O14" i="20" s="1"/>
  <c r="O17" i="20" s="1"/>
  <c r="O20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O23" i="20"/>
  <c r="O18" i="20"/>
  <c r="K47" i="20"/>
  <c r="G30" i="19"/>
  <c r="AO6" i="19"/>
  <c r="O18" i="19"/>
  <c r="G10" i="19"/>
  <c r="G11" i="19" s="1"/>
  <c r="O46" i="19"/>
  <c r="O47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19" l="1"/>
  <c r="O21" i="20"/>
  <c r="G18" i="20"/>
  <c r="K14" i="20"/>
  <c r="O26" i="20"/>
  <c r="O28" i="20" s="1"/>
  <c r="AK6" i="20"/>
  <c r="AK7" i="19"/>
  <c r="AI8" i="19" s="1"/>
  <c r="AG8" i="19"/>
  <c r="O21" i="19"/>
  <c r="G21" i="19" s="1"/>
  <c r="G18" i="19"/>
  <c r="AO7" i="19"/>
  <c r="O23" i="19"/>
  <c r="AG6" i="13"/>
  <c r="AI6" i="13"/>
  <c r="G27" i="13"/>
  <c r="G15" i="13"/>
  <c r="K9" i="13" s="1"/>
  <c r="K31" i="13"/>
  <c r="AG7" i="20" l="1"/>
  <c r="AI7" i="20"/>
  <c r="AK7" i="20" s="1"/>
  <c r="AI8" i="20" s="1"/>
  <c r="W4" i="19"/>
  <c r="Y4" i="19"/>
  <c r="AG8" i="20"/>
  <c r="G21" i="20"/>
  <c r="W4" i="20"/>
  <c r="Y4" i="20"/>
  <c r="AA4" i="20"/>
  <c r="AO7" i="20"/>
  <c r="K15" i="20"/>
  <c r="AK8" i="19"/>
  <c r="AI9" i="19" s="1"/>
  <c r="O26" i="19"/>
  <c r="O28" i="19" s="1"/>
  <c r="AA4" i="19"/>
  <c r="AO8" i="19"/>
  <c r="AO6" i="13"/>
  <c r="AK6" i="13"/>
  <c r="AG7" i="13" s="1"/>
  <c r="AI7" i="13"/>
  <c r="AB4" i="19" l="1"/>
  <c r="V5" i="19" s="1"/>
  <c r="AG9" i="19"/>
  <c r="AC4" i="20"/>
  <c r="X5" i="20" s="1"/>
  <c r="AB4" i="20"/>
  <c r="V5" i="20" s="1"/>
  <c r="AK8" i="20"/>
  <c r="AI9" i="20" s="1"/>
  <c r="AO8" i="20"/>
  <c r="W5" i="19"/>
  <c r="AK9" i="19"/>
  <c r="AI10" i="19" s="1"/>
  <c r="AG10" i="19"/>
  <c r="AC4" i="19"/>
  <c r="X5" i="19" s="1"/>
  <c r="AO9" i="19"/>
  <c r="AK7" i="13"/>
  <c r="AI8" i="13" s="1"/>
  <c r="AO7" i="13"/>
  <c r="AG9" i="20" l="1"/>
  <c r="AO9" i="20" s="1"/>
  <c r="AK10" i="19"/>
  <c r="AD5" i="20"/>
  <c r="Y5" i="20"/>
  <c r="AK9" i="20"/>
  <c r="AI10" i="20" s="1"/>
  <c r="Z5" i="20"/>
  <c r="AA5" i="20" s="1"/>
  <c r="W5" i="20"/>
  <c r="AG11" i="19"/>
  <c r="AI11" i="19"/>
  <c r="AD5" i="19"/>
  <c r="Y5" i="19"/>
  <c r="AO10" i="19"/>
  <c r="Z5" i="19"/>
  <c r="AA5" i="19" s="1"/>
  <c r="AB5" i="19" s="1"/>
  <c r="V6" i="19" s="1"/>
  <c r="AG8" i="13"/>
  <c r="AK8" i="13" s="1"/>
  <c r="AI9" i="13" s="1"/>
  <c r="AG10" i="20" l="1"/>
  <c r="AO11" i="19"/>
  <c r="AB5" i="20"/>
  <c r="V6" i="20" s="1"/>
  <c r="AO8" i="13"/>
  <c r="W6" i="20"/>
  <c r="AK10" i="20"/>
  <c r="AI11" i="20" s="1"/>
  <c r="AO10" i="20"/>
  <c r="AC5" i="20"/>
  <c r="X6" i="20" s="1"/>
  <c r="W6" i="19"/>
  <c r="AC5" i="19"/>
  <c r="X6" i="19" s="1"/>
  <c r="AK11" i="19"/>
  <c r="AG9" i="13"/>
  <c r="AK9" i="13" s="1"/>
  <c r="AG11" i="20" l="1"/>
  <c r="AD6" i="20"/>
  <c r="Y6" i="20"/>
  <c r="AO11" i="20"/>
  <c r="AK11" i="20"/>
  <c r="AG12" i="20" s="1"/>
  <c r="Z6" i="20"/>
  <c r="AA6" i="20" s="1"/>
  <c r="AB6" i="20" s="1"/>
  <c r="V7" i="20" s="1"/>
  <c r="AI12" i="19"/>
  <c r="AG12" i="19"/>
  <c r="AK12" i="19" s="1"/>
  <c r="AD6" i="19"/>
  <c r="Y6" i="19"/>
  <c r="Z6" i="19"/>
  <c r="AA6" i="19" s="1"/>
  <c r="AB6" i="19" s="1"/>
  <c r="V7" i="19" s="1"/>
  <c r="AO9" i="13"/>
  <c r="AG10" i="13"/>
  <c r="AI10" i="13"/>
  <c r="AI12" i="20" l="1"/>
  <c r="AK12" i="20"/>
  <c r="AG13" i="20" s="1"/>
  <c r="W7" i="20"/>
  <c r="AO12" i="20"/>
  <c r="AI13" i="20"/>
  <c r="AO13" i="20" s="1"/>
  <c r="AC6" i="20"/>
  <c r="X7" i="20" s="1"/>
  <c r="W7" i="19"/>
  <c r="AC6" i="19"/>
  <c r="X7" i="19" s="1"/>
  <c r="AI13" i="19"/>
  <c r="AG13" i="19"/>
  <c r="AO12" i="19"/>
  <c r="AO10" i="13"/>
  <c r="AK10" i="13"/>
  <c r="AG11" i="13" s="1"/>
  <c r="AK13" i="19" l="1"/>
  <c r="AK13" i="20"/>
  <c r="AD7" i="20"/>
  <c r="Y7" i="20"/>
  <c r="AI14" i="20"/>
  <c r="AG14" i="20"/>
  <c r="Z7" i="20"/>
  <c r="AA7" i="20" s="1"/>
  <c r="AB7" i="20" s="1"/>
  <c r="V8" i="20" s="1"/>
  <c r="AI14" i="19"/>
  <c r="AG14" i="19"/>
  <c r="AO13" i="19"/>
  <c r="AD7" i="19"/>
  <c r="Y7" i="19"/>
  <c r="Z7" i="19"/>
  <c r="AA7" i="19" s="1"/>
  <c r="AB7" i="19" s="1"/>
  <c r="V8" i="19" s="1"/>
  <c r="AI11" i="13"/>
  <c r="AK11" i="13" s="1"/>
  <c r="AK14" i="20" l="1"/>
  <c r="AK14" i="19"/>
  <c r="W8" i="20"/>
  <c r="AG15" i="20"/>
  <c r="AI15" i="20"/>
  <c r="AO14" i="20"/>
  <c r="AC7" i="20"/>
  <c r="X8" i="20" s="1"/>
  <c r="W8" i="19"/>
  <c r="AC7" i="19"/>
  <c r="X8" i="19" s="1"/>
  <c r="AI15" i="19"/>
  <c r="AG15" i="19"/>
  <c r="AO14" i="19"/>
  <c r="AO11" i="13"/>
  <c r="AG12" i="13"/>
  <c r="AI12" i="13"/>
  <c r="AK15" i="19" l="1"/>
  <c r="AK15" i="20"/>
  <c r="AG16" i="20"/>
  <c r="AI16" i="20"/>
  <c r="AO16" i="20" s="1"/>
  <c r="AD8" i="20"/>
  <c r="Y8" i="20"/>
  <c r="AO15" i="20"/>
  <c r="Z8" i="20"/>
  <c r="AA8" i="20" s="1"/>
  <c r="AB8" i="20" s="1"/>
  <c r="V9" i="20" s="1"/>
  <c r="AG16" i="19"/>
  <c r="AI16" i="19"/>
  <c r="AO15" i="19"/>
  <c r="AD8" i="19"/>
  <c r="Y8" i="19"/>
  <c r="Z8" i="19"/>
  <c r="AA8" i="19" s="1"/>
  <c r="AB8" i="19" s="1"/>
  <c r="V9" i="19" s="1"/>
  <c r="AO12" i="13"/>
  <c r="AK12" i="13"/>
  <c r="AI13" i="13" s="1"/>
  <c r="AO16" i="19" l="1"/>
  <c r="W9" i="20"/>
  <c r="AC8" i="20"/>
  <c r="X9" i="20" s="1"/>
  <c r="AK16" i="20"/>
  <c r="W9" i="19"/>
  <c r="AC8" i="19"/>
  <c r="X9" i="19" s="1"/>
  <c r="AK16" i="19"/>
  <c r="AG13" i="13"/>
  <c r="AK13" i="13" s="1"/>
  <c r="AI14" i="13" s="1"/>
  <c r="AI17" i="20" l="1"/>
  <c r="AG17" i="20"/>
  <c r="AD9" i="20"/>
  <c r="Y9" i="20"/>
  <c r="Z9" i="20"/>
  <c r="AA9" i="20" s="1"/>
  <c r="AB9" i="20" s="1"/>
  <c r="V10" i="20" s="1"/>
  <c r="AG17" i="19"/>
  <c r="AI17" i="19"/>
  <c r="AO17" i="19" s="1"/>
  <c r="AD9" i="19"/>
  <c r="Y9" i="19"/>
  <c r="Z9" i="19"/>
  <c r="AA9" i="19" s="1"/>
  <c r="AB9" i="19" s="1"/>
  <c r="V10" i="19" s="1"/>
  <c r="AO13" i="13"/>
  <c r="AG14" i="13"/>
  <c r="AO14" i="13" s="1"/>
  <c r="AK17" i="20" l="1"/>
  <c r="W10" i="20"/>
  <c r="AG18" i="20"/>
  <c r="AI18" i="20"/>
  <c r="AC9" i="20"/>
  <c r="X10" i="20" s="1"/>
  <c r="AO17" i="20"/>
  <c r="W10" i="19"/>
  <c r="AC9" i="19"/>
  <c r="X10" i="19" s="1"/>
  <c r="AK17" i="19"/>
  <c r="AK14" i="13"/>
  <c r="AG15" i="13" s="1"/>
  <c r="AK18" i="20" l="1"/>
  <c r="AO18" i="20"/>
  <c r="AG19" i="20"/>
  <c r="AI19" i="20"/>
  <c r="AO19" i="20" s="1"/>
  <c r="AD10" i="20"/>
  <c r="Y10" i="20"/>
  <c r="Z10" i="20"/>
  <c r="AA10" i="20" s="1"/>
  <c r="AB10" i="20" s="1"/>
  <c r="V11" i="20" s="1"/>
  <c r="AG18" i="19"/>
  <c r="AI18" i="19"/>
  <c r="AD10" i="19"/>
  <c r="Y10" i="19"/>
  <c r="Z10" i="19"/>
  <c r="AA10" i="19" s="1"/>
  <c r="AB10" i="19" s="1"/>
  <c r="V11" i="19" s="1"/>
  <c r="AI15" i="13"/>
  <c r="AK15" i="13" s="1"/>
  <c r="W11" i="20" l="1"/>
  <c r="AC10" i="20"/>
  <c r="X11" i="20" s="1"/>
  <c r="AK19" i="20"/>
  <c r="AO18" i="19"/>
  <c r="W11" i="19"/>
  <c r="AC10" i="19"/>
  <c r="X11" i="19" s="1"/>
  <c r="AK18" i="19"/>
  <c r="AO15" i="13"/>
  <c r="AG16" i="13"/>
  <c r="AI16" i="13"/>
  <c r="AG20" i="20" l="1"/>
  <c r="AI20" i="20"/>
  <c r="AO20" i="20" s="1"/>
  <c r="AD11" i="20"/>
  <c r="Y11" i="20"/>
  <c r="Z11" i="20"/>
  <c r="AA11" i="20" s="1"/>
  <c r="AB11" i="20" s="1"/>
  <c r="V12" i="20" s="1"/>
  <c r="AG19" i="19"/>
  <c r="AI19" i="19"/>
  <c r="AO19" i="19" s="1"/>
  <c r="AD11" i="19"/>
  <c r="Y11" i="19"/>
  <c r="Z11" i="19"/>
  <c r="AA11" i="19" s="1"/>
  <c r="AB11" i="19" s="1"/>
  <c r="V12" i="19" s="1"/>
  <c r="AO16" i="13"/>
  <c r="AK16" i="13"/>
  <c r="W12" i="20" l="1"/>
  <c r="AC11" i="20"/>
  <c r="X12" i="20" s="1"/>
  <c r="AK20" i="20"/>
  <c r="W12" i="19"/>
  <c r="AC11" i="19"/>
  <c r="X12" i="19" s="1"/>
  <c r="AK19" i="19"/>
  <c r="AG17" i="13"/>
  <c r="AI17" i="13"/>
  <c r="AI21" i="20" l="1"/>
  <c r="AG21" i="20"/>
  <c r="AK21" i="20" s="1"/>
  <c r="AD12" i="20"/>
  <c r="Y12" i="20"/>
  <c r="Z12" i="20"/>
  <c r="AA12" i="20" s="1"/>
  <c r="AB12" i="20" s="1"/>
  <c r="V13" i="20" s="1"/>
  <c r="AI20" i="19"/>
  <c r="AG20" i="19"/>
  <c r="AK20" i="19" s="1"/>
  <c r="AD12" i="19"/>
  <c r="Y12" i="19"/>
  <c r="Z12" i="19"/>
  <c r="AA12" i="19" s="1"/>
  <c r="AB12" i="19" s="1"/>
  <c r="V13" i="19" s="1"/>
  <c r="AK17" i="13"/>
  <c r="AO17" i="13"/>
  <c r="W13" i="20" l="1"/>
  <c r="AG22" i="20"/>
  <c r="AI22" i="20"/>
  <c r="AC12" i="20"/>
  <c r="X13" i="20" s="1"/>
  <c r="AO21" i="20"/>
  <c r="W13" i="19"/>
  <c r="AC12" i="19"/>
  <c r="X13" i="19" s="1"/>
  <c r="AI21" i="19"/>
  <c r="AG21" i="19"/>
  <c r="AO20" i="19"/>
  <c r="AI18" i="13"/>
  <c r="AG18" i="13"/>
  <c r="AO22" i="20" l="1"/>
  <c r="AK22" i="20"/>
  <c r="AD13" i="20"/>
  <c r="Y13" i="20"/>
  <c r="Z13" i="20"/>
  <c r="AA13" i="20" s="1"/>
  <c r="AB13" i="20" s="1"/>
  <c r="V14" i="20" s="1"/>
  <c r="AK21" i="19"/>
  <c r="AG22" i="19"/>
  <c r="AI22" i="19"/>
  <c r="AO22" i="19" s="1"/>
  <c r="AO21" i="19"/>
  <c r="AD13" i="19"/>
  <c r="Y13" i="19"/>
  <c r="Z13" i="19"/>
  <c r="AA13" i="19" s="1"/>
  <c r="AB13" i="19" s="1"/>
  <c r="V14" i="19" s="1"/>
  <c r="AK18" i="13"/>
  <c r="AG19" i="13" s="1"/>
  <c r="AO18" i="13"/>
  <c r="W14" i="20" l="1"/>
  <c r="AC13" i="20"/>
  <c r="X14" i="20" s="1"/>
  <c r="AI23" i="20"/>
  <c r="AG23" i="20"/>
  <c r="W14" i="19"/>
  <c r="AC13" i="19"/>
  <c r="X14" i="19" s="1"/>
  <c r="AK22" i="19"/>
  <c r="AI19" i="13"/>
  <c r="AO19" i="13" s="1"/>
  <c r="AO23" i="20" l="1"/>
  <c r="AD14" i="20"/>
  <c r="Y14" i="20"/>
  <c r="AK23" i="20"/>
  <c r="Z14" i="20"/>
  <c r="AA14" i="20" s="1"/>
  <c r="AB14" i="20" s="1"/>
  <c r="V15" i="20" s="1"/>
  <c r="AG23" i="19"/>
  <c r="AI23" i="19"/>
  <c r="AO23" i="19" s="1"/>
  <c r="AD14" i="19"/>
  <c r="Y14" i="19"/>
  <c r="Z14" i="19"/>
  <c r="AA14" i="19" s="1"/>
  <c r="AB14" i="19" s="1"/>
  <c r="V15" i="19" s="1"/>
  <c r="AK19" i="13"/>
  <c r="AG20" i="13" s="1"/>
  <c r="W15" i="20" l="1"/>
  <c r="AI24" i="20"/>
  <c r="AG24" i="20"/>
  <c r="AC14" i="20"/>
  <c r="X15" i="20" s="1"/>
  <c r="W15" i="19"/>
  <c r="AC14" i="19"/>
  <c r="X15" i="19" s="1"/>
  <c r="AK23" i="19"/>
  <c r="AI20" i="13"/>
  <c r="AO20" i="13" s="1"/>
  <c r="AK24" i="20" l="1"/>
  <c r="AG25" i="20"/>
  <c r="AI25" i="20"/>
  <c r="AO25" i="20" s="1"/>
  <c r="AO24" i="20"/>
  <c r="AD15" i="20"/>
  <c r="Y15" i="20"/>
  <c r="Z15" i="20"/>
  <c r="AA15" i="20" s="1"/>
  <c r="AB15" i="20" s="1"/>
  <c r="V16" i="20" s="1"/>
  <c r="AI24" i="19"/>
  <c r="AG24" i="19"/>
  <c r="AD15" i="19"/>
  <c r="Y15" i="19"/>
  <c r="Z15" i="19"/>
  <c r="AA15" i="19" s="1"/>
  <c r="AB15" i="19" s="1"/>
  <c r="V16" i="19" s="1"/>
  <c r="AK20" i="13"/>
  <c r="AG21" i="13" s="1"/>
  <c r="AK24" i="19" l="1"/>
  <c r="W16" i="20"/>
  <c r="AC15" i="20"/>
  <c r="X16" i="20" s="1"/>
  <c r="AK25" i="20"/>
  <c r="W16" i="19"/>
  <c r="AC15" i="19"/>
  <c r="X16" i="19" s="1"/>
  <c r="AI25" i="19"/>
  <c r="AG25" i="19"/>
  <c r="AO24" i="19"/>
  <c r="AI21" i="13"/>
  <c r="AO21" i="13" s="1"/>
  <c r="AI26" i="20" l="1"/>
  <c r="AG26" i="20"/>
  <c r="AK26" i="20" s="1"/>
  <c r="AD16" i="20"/>
  <c r="Y16" i="20"/>
  <c r="Z16" i="20"/>
  <c r="AA16" i="20" s="1"/>
  <c r="AB16" i="20" s="1"/>
  <c r="V17" i="20" s="1"/>
  <c r="AK25" i="19"/>
  <c r="AG26" i="19"/>
  <c r="AI26" i="19"/>
  <c r="AO26" i="19" s="1"/>
  <c r="AO25" i="19"/>
  <c r="AD16" i="19"/>
  <c r="Y16" i="19"/>
  <c r="Z16" i="19"/>
  <c r="AA16" i="19" s="1"/>
  <c r="AB16" i="19" s="1"/>
  <c r="V17" i="19" s="1"/>
  <c r="AK21" i="13"/>
  <c r="AG22" i="13" s="1"/>
  <c r="W17" i="20" l="1"/>
  <c r="AI27" i="20"/>
  <c r="AG27" i="20"/>
  <c r="AC16" i="20"/>
  <c r="X17" i="20" s="1"/>
  <c r="AO26" i="20"/>
  <c r="W17" i="19"/>
  <c r="AC16" i="19"/>
  <c r="X17" i="19" s="1"/>
  <c r="AK26" i="19"/>
  <c r="AI22" i="13"/>
  <c r="AO22" i="13" s="1"/>
  <c r="AK27" i="20" l="1"/>
  <c r="AD17" i="20"/>
  <c r="Y17" i="20"/>
  <c r="AI28" i="20"/>
  <c r="AG28" i="20"/>
  <c r="AO2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K22" i="13"/>
  <c r="AG23" i="13" s="1"/>
  <c r="AK28" i="20" l="1"/>
  <c r="AO27" i="19"/>
  <c r="W18" i="20"/>
  <c r="AI29" i="20"/>
  <c r="AG29" i="20"/>
  <c r="AO28" i="20"/>
  <c r="AC17" i="20"/>
  <c r="X18" i="20" s="1"/>
  <c r="W18" i="19"/>
  <c r="AC17" i="19"/>
  <c r="X18" i="19" s="1"/>
  <c r="AK27" i="19"/>
  <c r="AI23" i="13"/>
  <c r="AO23" i="13" s="1"/>
  <c r="AK29" i="20" l="1"/>
  <c r="AD18" i="20"/>
  <c r="Y18" i="20"/>
  <c r="AI30" i="20"/>
  <c r="AG30" i="20"/>
  <c r="AO29" i="20"/>
  <c r="Z18" i="20"/>
  <c r="AA18" i="20" s="1"/>
  <c r="AB18" i="20" s="1"/>
  <c r="V19" i="20" s="1"/>
  <c r="AG28" i="19"/>
  <c r="AI28" i="19"/>
  <c r="AD18" i="19"/>
  <c r="Y18" i="19"/>
  <c r="Z18" i="19"/>
  <c r="AA18" i="19" s="1"/>
  <c r="AB18" i="19" s="1"/>
  <c r="V19" i="19" s="1"/>
  <c r="AK23" i="13"/>
  <c r="AG24" i="13" s="1"/>
  <c r="AK30" i="20" l="1"/>
  <c r="AO28" i="19"/>
  <c r="W19" i="20"/>
  <c r="AG31" i="20"/>
  <c r="AI31" i="20"/>
  <c r="AO30" i="20"/>
  <c r="AC18" i="20"/>
  <c r="X19" i="20" s="1"/>
  <c r="W19" i="19"/>
  <c r="AC18" i="19"/>
  <c r="X19" i="19" s="1"/>
  <c r="AK28" i="19"/>
  <c r="AI24" i="13"/>
  <c r="AO24" i="13" s="1"/>
  <c r="AO31" i="20" l="1"/>
  <c r="AD19" i="20"/>
  <c r="Y19" i="20"/>
  <c r="AK31" i="20"/>
  <c r="Z19" i="20"/>
  <c r="AA19" i="20" s="1"/>
  <c r="AB19" i="20" s="1"/>
  <c r="V20" i="20" s="1"/>
  <c r="AG29" i="19"/>
  <c r="AI29" i="19"/>
  <c r="AD19" i="19"/>
  <c r="Y19" i="19"/>
  <c r="Z19" i="19"/>
  <c r="AA19" i="19" s="1"/>
  <c r="AB19" i="19" s="1"/>
  <c r="V20" i="19" s="1"/>
  <c r="AK24" i="13"/>
  <c r="AI25" i="13" s="1"/>
  <c r="AO29" i="19" l="1"/>
  <c r="W20" i="20"/>
  <c r="AG32" i="20"/>
  <c r="AI32" i="20"/>
  <c r="AC19" i="20"/>
  <c r="X20" i="20" s="1"/>
  <c r="W20" i="19"/>
  <c r="AC19" i="19"/>
  <c r="X20" i="19" s="1"/>
  <c r="AK29" i="19"/>
  <c r="AG25" i="13"/>
  <c r="AK25" i="13" s="1"/>
  <c r="AO32" i="20" l="1"/>
  <c r="AD20" i="20"/>
  <c r="Y20" i="20"/>
  <c r="AK32" i="20"/>
  <c r="Z20" i="20"/>
  <c r="AA20" i="20" s="1"/>
  <c r="AB20" i="20" s="1"/>
  <c r="V21" i="20" s="1"/>
  <c r="AG30" i="19"/>
  <c r="AI30" i="19"/>
  <c r="AO30" i="19" s="1"/>
  <c r="AD20" i="19"/>
  <c r="Y20" i="19"/>
  <c r="Z20" i="19"/>
  <c r="AA20" i="19" s="1"/>
  <c r="AB20" i="19" s="1"/>
  <c r="V21" i="19" s="1"/>
  <c r="AI26" i="13"/>
  <c r="AG26" i="13"/>
  <c r="AO25" i="13"/>
  <c r="W21" i="20" l="1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I27" i="13"/>
  <c r="AO33" i="20" l="1"/>
  <c r="AD21" i="20"/>
  <c r="Y21" i="20"/>
  <c r="AK33" i="20"/>
  <c r="Z21" i="20"/>
  <c r="AA21" i="20" s="1"/>
  <c r="AB21" i="20" s="1"/>
  <c r="V22" i="20" s="1"/>
  <c r="AI31" i="19"/>
  <c r="AG31" i="19"/>
  <c r="AK31" i="19" s="1"/>
  <c r="AD21" i="19"/>
  <c r="Y21" i="19"/>
  <c r="Z21" i="19"/>
  <c r="AA21" i="19" s="1"/>
  <c r="AB21" i="19" s="1"/>
  <c r="V22" i="19" s="1"/>
  <c r="AK27" i="13"/>
  <c r="AI28" i="13" s="1"/>
  <c r="AO27" i="13"/>
  <c r="W22" i="20" l="1"/>
  <c r="AI34" i="20"/>
  <c r="AG34" i="20"/>
  <c r="AC21" i="20"/>
  <c r="X22" i="20" s="1"/>
  <c r="W22" i="19"/>
  <c r="AC21" i="19"/>
  <c r="X22" i="19" s="1"/>
  <c r="AG32" i="19"/>
  <c r="AI32" i="19"/>
  <c r="AO31" i="19"/>
  <c r="AG28" i="13"/>
  <c r="AO28" i="13" s="1"/>
  <c r="AK34" i="20" l="1"/>
  <c r="AD22" i="20"/>
  <c r="Y22" i="20"/>
  <c r="AO34" i="20"/>
  <c r="AI35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28" i="13"/>
  <c r="AG29" i="13" s="1"/>
  <c r="AK35" i="20" l="1"/>
  <c r="W23" i="20"/>
  <c r="AG36" i="20"/>
  <c r="AI36" i="20"/>
  <c r="AO35" i="20"/>
  <c r="AC22" i="20"/>
  <c r="X23" i="20" s="1"/>
  <c r="W23" i="19"/>
  <c r="AC22" i="19"/>
  <c r="X23" i="19" s="1"/>
  <c r="AG33" i="19"/>
  <c r="AI33" i="19"/>
  <c r="AI29" i="13"/>
  <c r="AK29" i="13" s="1"/>
  <c r="AO33" i="19" l="1"/>
  <c r="AK36" i="20"/>
  <c r="AD23" i="20"/>
  <c r="Y23" i="20"/>
  <c r="AI37" i="20"/>
  <c r="AG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7" i="20" l="1"/>
  <c r="W24" i="20"/>
  <c r="AG38" i="20"/>
  <c r="AI38" i="20"/>
  <c r="AO37" i="20"/>
  <c r="AC23" i="20"/>
  <c r="X24" i="20" s="1"/>
  <c r="W24" i="19"/>
  <c r="AC23" i="19"/>
  <c r="X24" i="19" s="1"/>
  <c r="AI34" i="19"/>
  <c r="AG34" i="19"/>
  <c r="AK30" i="13"/>
  <c r="AO30" i="13"/>
  <c r="AO38" i="20" l="1"/>
  <c r="AK38" i="20"/>
  <c r="AD24" i="20"/>
  <c r="Y24" i="20"/>
  <c r="Z24" i="20"/>
  <c r="AA24" i="20" s="1"/>
  <c r="AB24" i="20" s="1"/>
  <c r="V25" i="20" s="1"/>
  <c r="AO34" i="19"/>
  <c r="AK34" i="19"/>
  <c r="AD24" i="19"/>
  <c r="Y24" i="19"/>
  <c r="AG35" i="19"/>
  <c r="AI35" i="19"/>
  <c r="Z24" i="19"/>
  <c r="AA24" i="19" s="1"/>
  <c r="AB24" i="19" s="1"/>
  <c r="V25" i="19" s="1"/>
  <c r="AG31" i="13"/>
  <c r="AI31" i="13"/>
  <c r="AO35" i="19" l="1"/>
  <c r="W25" i="20"/>
  <c r="AC24" i="20"/>
  <c r="X25" i="20" s="1"/>
  <c r="AI39" i="20"/>
  <c r="AG39" i="20"/>
  <c r="W25" i="19"/>
  <c r="AK35" i="19"/>
  <c r="AC24" i="19"/>
  <c r="X25" i="19" s="1"/>
  <c r="AK31" i="13"/>
  <c r="AO31" i="13"/>
  <c r="AK39" i="20" l="1"/>
  <c r="AG40" i="20" s="1"/>
  <c r="AI40" i="20"/>
  <c r="AD25" i="20"/>
  <c r="Y25" i="20"/>
  <c r="AO39" i="20"/>
  <c r="Z25" i="20"/>
  <c r="AA25" i="20" s="1"/>
  <c r="AB25" i="20" s="1"/>
  <c r="V26" i="20" s="1"/>
  <c r="AD25" i="19"/>
  <c r="Y25" i="19"/>
  <c r="AG36" i="19"/>
  <c r="AI36" i="19"/>
  <c r="Z25" i="19"/>
  <c r="AA25" i="19" s="1"/>
  <c r="AB25" i="19" s="1"/>
  <c r="V26" i="19" s="1"/>
  <c r="AG32" i="13"/>
  <c r="AI32" i="13"/>
  <c r="AO40" i="20" l="1"/>
  <c r="AO36" i="19"/>
  <c r="W26" i="20"/>
  <c r="AC25" i="20"/>
  <c r="X26" i="20" s="1"/>
  <c r="AK40" i="20"/>
  <c r="W26" i="19"/>
  <c r="AK36" i="19"/>
  <c r="AC25" i="19"/>
  <c r="X26" i="19" s="1"/>
  <c r="AO32" i="13"/>
  <c r="AK32" i="13"/>
  <c r="AI41" i="20" l="1"/>
  <c r="AG41" i="20"/>
  <c r="AK41" i="20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37" i="19" l="1"/>
  <c r="W27" i="20"/>
  <c r="AG42" i="20"/>
  <c r="AI42" i="20"/>
  <c r="AC26" i="20"/>
  <c r="X27" i="20" s="1"/>
  <c r="AO41" i="20"/>
  <c r="W27" i="19"/>
  <c r="AG38" i="19"/>
  <c r="AI38" i="19"/>
  <c r="AO38" i="19" s="1"/>
  <c r="AO37" i="19"/>
  <c r="AC26" i="19"/>
  <c r="X27" i="19" s="1"/>
  <c r="AK33" i="13"/>
  <c r="AO33" i="13"/>
  <c r="AO42" i="20" l="1"/>
  <c r="AD27" i="20"/>
  <c r="Y27" i="20"/>
  <c r="AK42" i="20"/>
  <c r="Z27" i="20"/>
  <c r="AA27" i="20" s="1"/>
  <c r="AB27" i="20" s="1"/>
  <c r="V28" i="20" s="1"/>
  <c r="AD27" i="19"/>
  <c r="Y27" i="19"/>
  <c r="AK38" i="19"/>
  <c r="Z27" i="19"/>
  <c r="AA27" i="19" s="1"/>
  <c r="AB27" i="19" s="1"/>
  <c r="V28" i="19" s="1"/>
  <c r="AG34" i="13"/>
  <c r="AI34" i="13"/>
  <c r="W28" i="20" l="1"/>
  <c r="AI43" i="20"/>
  <c r="AG43" i="20"/>
  <c r="AC27" i="20"/>
  <c r="X28" i="20" s="1"/>
  <c r="W28" i="19"/>
  <c r="AI39" i="19"/>
  <c r="AG39" i="19"/>
  <c r="AC27" i="19"/>
  <c r="X28" i="19" s="1"/>
  <c r="AO34" i="13"/>
  <c r="AK34" i="13"/>
  <c r="AK39" i="19" l="1"/>
  <c r="AK43" i="20"/>
  <c r="AI44" i="20"/>
  <c r="AG44" i="20"/>
  <c r="AK44" i="20" s="1"/>
  <c r="AD28" i="20"/>
  <c r="Y28" i="20"/>
  <c r="AO43" i="20"/>
  <c r="Z28" i="20"/>
  <c r="AA28" i="20" s="1"/>
  <c r="AB28" i="20" s="1"/>
  <c r="V29" i="20" s="1"/>
  <c r="AD28" i="19"/>
  <c r="Y28" i="19"/>
  <c r="AG40" i="19"/>
  <c r="AI40" i="19"/>
  <c r="AO39" i="19"/>
  <c r="Z28" i="19"/>
  <c r="AA28" i="19" s="1"/>
  <c r="AB28" i="19" s="1"/>
  <c r="V29" i="19" s="1"/>
  <c r="AG35" i="13"/>
  <c r="AI35" i="13"/>
  <c r="AO40" i="19" l="1"/>
  <c r="W29" i="20"/>
  <c r="AC28" i="20"/>
  <c r="X29" i="20" s="1"/>
  <c r="AO44" i="20"/>
  <c r="W29" i="19"/>
  <c r="AK40" i="19"/>
  <c r="AC28" i="19"/>
  <c r="X29" i="19" s="1"/>
  <c r="AO35" i="13"/>
  <c r="AK35" i="13"/>
  <c r="AD29" i="20" l="1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K41" i="19" l="1"/>
  <c r="W30" i="20"/>
  <c r="AC29" i="20"/>
  <c r="X30" i="20" s="1"/>
  <c r="W30" i="19"/>
  <c r="AG42" i="19"/>
  <c r="AI42" i="19"/>
  <c r="AO41" i="19"/>
  <c r="AC29" i="19"/>
  <c r="X30" i="19" s="1"/>
  <c r="AO36" i="13"/>
  <c r="AK36" i="13"/>
  <c r="AO42" i="19" l="1"/>
  <c r="AD30" i="20"/>
  <c r="Y30" i="20"/>
  <c r="Z30" i="20"/>
  <c r="AA30" i="20" s="1"/>
  <c r="AB30" i="20" s="1"/>
  <c r="V31" i="20" s="1"/>
  <c r="AD30" i="19"/>
  <c r="Y30" i="19"/>
  <c r="AK42" i="19"/>
  <c r="Z30" i="19"/>
  <c r="AA30" i="19" s="1"/>
  <c r="AB30" i="19" s="1"/>
  <c r="V31" i="19" s="1"/>
  <c r="AG37" i="13"/>
  <c r="AI37" i="13"/>
  <c r="W31" i="20" l="1"/>
  <c r="AC30" i="20"/>
  <c r="X31" i="20" s="1"/>
  <c r="W31" i="19"/>
  <c r="AI43" i="19"/>
  <c r="AG43" i="19"/>
  <c r="AC30" i="19"/>
  <c r="X31" i="19" s="1"/>
  <c r="AO37" i="13"/>
  <c r="AK37" i="13"/>
  <c r="AD31" i="20" l="1"/>
  <c r="Y31" i="20"/>
  <c r="Z31" i="20"/>
  <c r="AA31" i="20" s="1"/>
  <c r="AB31" i="20" s="1"/>
  <c r="V32" i="20" s="1"/>
  <c r="AK43" i="19"/>
  <c r="AD31" i="19"/>
  <c r="Y31" i="19"/>
  <c r="AI44" i="19"/>
  <c r="AG44" i="19"/>
  <c r="AO43" i="19"/>
  <c r="Z31" i="19"/>
  <c r="AA31" i="19" s="1"/>
  <c r="AB31" i="19" s="1"/>
  <c r="V32" i="19" s="1"/>
  <c r="AI38" i="13"/>
  <c r="AG38" i="13"/>
  <c r="AK44" i="19" l="1"/>
  <c r="W32" i="20"/>
  <c r="AC31" i="20"/>
  <c r="X32" i="20" s="1"/>
  <c r="W32" i="19"/>
  <c r="AO44" i="19"/>
  <c r="AC31" i="19"/>
  <c r="X32" i="19" s="1"/>
  <c r="AK38" i="13"/>
  <c r="AI39" i="13" s="1"/>
  <c r="AO38" i="13"/>
  <c r="AD32" i="20" l="1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W33" i="20" l="1"/>
  <c r="AC32" i="20"/>
  <c r="X33" i="20" s="1"/>
  <c r="W33" i="19"/>
  <c r="AC32" i="19"/>
  <c r="X33" i="19" s="1"/>
  <c r="AK39" i="13"/>
  <c r="AG40" i="13" s="1"/>
  <c r="AI40" i="13"/>
  <c r="AD33" i="20" l="1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/>
  <c r="AK40" i="13"/>
  <c r="W34" i="20" l="1"/>
  <c r="AC33" i="20"/>
  <c r="X34" i="20" s="1"/>
  <c r="W34" i="19"/>
  <c r="AC33" i="19"/>
  <c r="X34" i="19" s="1"/>
  <c r="AI41" i="13"/>
  <c r="AG41" i="13"/>
  <c r="AD34" i="20" l="1"/>
  <c r="Y34" i="20"/>
  <c r="Z34" i="20"/>
  <c r="AD34" i="19"/>
  <c r="Y34" i="19"/>
  <c r="Z34" i="19"/>
  <c r="AK41" i="13"/>
  <c r="AI42" i="13" s="1"/>
  <c r="AO41" i="13"/>
  <c r="O24" i="20" l="1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AC34" i="20" l="1"/>
  <c r="G22" i="20"/>
  <c r="G20" i="20"/>
  <c r="AC34" i="19"/>
  <c r="G22" i="19"/>
  <c r="G20" i="19"/>
  <c r="AK42" i="13"/>
  <c r="AG43" i="13" s="1"/>
  <c r="G35" i="20" l="1"/>
  <c r="K4" i="20"/>
  <c r="K8" i="20"/>
  <c r="K13" i="20" s="1"/>
  <c r="G35" i="19"/>
  <c r="K8" i="19"/>
  <c r="K13" i="19" s="1"/>
  <c r="K4" i="19"/>
  <c r="AI43" i="13"/>
  <c r="AK43" i="13" s="1"/>
  <c r="AG44" i="13" s="1"/>
  <c r="K48" i="20" l="1"/>
  <c r="K32" i="20"/>
  <c r="K40" i="20"/>
  <c r="K5" i="20"/>
  <c r="K17" i="20"/>
  <c r="K16" i="20"/>
  <c r="K5" i="19"/>
  <c r="K48" i="19"/>
  <c r="K40" i="19"/>
  <c r="K32" i="19"/>
  <c r="AI44" i="13"/>
  <c r="AK44" i="13" s="1"/>
  <c r="AO43" i="13"/>
  <c r="K41" i="20" l="1"/>
  <c r="K33" i="20"/>
  <c r="K49" i="20"/>
  <c r="K27" i="20"/>
  <c r="K44" i="20"/>
  <c r="K36" i="20"/>
  <c r="K50" i="20"/>
  <c r="AO44" i="13"/>
  <c r="K25" i="13"/>
  <c r="K25" i="19" s="1"/>
  <c r="G12" i="13"/>
  <c r="G9" i="13"/>
  <c r="K19" i="13"/>
  <c r="K19" i="19" s="1"/>
  <c r="K47" i="13"/>
  <c r="O7" i="13"/>
  <c r="O10" i="13" s="1"/>
  <c r="G28" i="13"/>
  <c r="K18" i="13"/>
  <c r="K18" i="19" s="1"/>
  <c r="G31" i="13"/>
  <c r="G29" i="13" s="1"/>
  <c r="K39" i="13"/>
  <c r="K24" i="13"/>
  <c r="K24" i="19" s="1"/>
  <c r="K12" i="13"/>
  <c r="K23" i="13"/>
  <c r="K23" i="19" s="1"/>
  <c r="K26" i="13"/>
  <c r="K26" i="19" s="1"/>
  <c r="K35" i="19" l="1"/>
  <c r="K43" i="19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35" i="13"/>
  <c r="K43" i="13"/>
  <c r="K42" i="13" l="1"/>
  <c r="K22" i="19"/>
  <c r="K34" i="13"/>
  <c r="K42" i="19" l="1"/>
  <c r="K34" i="19"/>
  <c r="O13" i="13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l="1"/>
  <c r="K15" i="19" s="1"/>
  <c r="K14" i="19"/>
  <c r="Y4" i="13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Y29" i="13"/>
  <c r="W29" i="13"/>
  <c r="Z29" i="13"/>
  <c r="AA29" i="13" s="1"/>
  <c r="AB29" i="13" l="1"/>
  <c r="V30" i="13" s="1"/>
  <c r="W30" i="13" s="1"/>
  <c r="AC29" i="13"/>
  <c r="X30" i="13" s="1"/>
  <c r="Z30" i="13" l="1"/>
  <c r="AA30" i="13" s="1"/>
  <c r="AB30" i="13" s="1"/>
  <c r="V31" i="13" s="1"/>
  <c r="Y30" i="13"/>
  <c r="AD30" i="13"/>
  <c r="AC30" i="13" l="1"/>
  <c r="X31" i="13" s="1"/>
  <c r="AD31" i="13" s="1"/>
  <c r="W31" i="13"/>
  <c r="Z31" i="13"/>
  <c r="AA31" i="13" s="1"/>
  <c r="Y31" i="13" l="1"/>
  <c r="AC31" i="13" s="1"/>
  <c r="X32" i="13" s="1"/>
  <c r="AB31" i="13"/>
  <c r="V32" i="13" s="1"/>
  <c r="W32" i="13" s="1"/>
  <c r="AD32" i="13" l="1"/>
  <c r="Z32" i="13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W34" i="13" s="1"/>
  <c r="AD33" i="13"/>
  <c r="Y33" i="13" l="1"/>
  <c r="AC33" i="13" s="1"/>
  <c r="X34" i="13" s="1"/>
  <c r="Z34" i="13" s="1"/>
  <c r="AD34" i="13" l="1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7" i="19" s="1"/>
  <c r="K16" i="13"/>
  <c r="K16" i="19" s="1"/>
  <c r="K27" i="19" l="1"/>
  <c r="K33" i="19"/>
  <c r="K36" i="19" s="1"/>
  <c r="K41" i="19"/>
  <c r="K44" i="19" s="1"/>
  <c r="K49" i="19"/>
  <c r="K50" i="19" s="1"/>
  <c r="K32" i="13"/>
  <c r="K40" i="13"/>
  <c r="K41" i="13"/>
  <c r="K49" i="13"/>
  <c r="K50" i="13" s="1"/>
  <c r="K33" i="13"/>
  <c r="K27" i="13"/>
  <c r="AJ4" i="19" l="1"/>
  <c r="AL4" i="19"/>
  <c r="K28" i="19"/>
  <c r="AH4" i="19"/>
  <c r="K36" i="13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<sst xmlns="http://schemas.openxmlformats.org/spreadsheetml/2006/main" count="807" uniqueCount="160">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</sst>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45.08</c:v>
                </c:pt>
                <c:pt idx="2">
                  <c:v>23.23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1341.92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multirotor_opt_250_test_550!$K$39:$K$43</c:f>
              <c:numCache>
                <c:formatCode>General</c:formatCode>
                <c:ptCount val="5"/>
                <c:pt idx="0">
                  <c:v>27.89</c:v>
                </c:pt>
                <c:pt idx="1">
                  <c:v>24.01</c:v>
                </c:pt>
                <c:pt idx="2">
                  <c:v>32.14</c:v>
                </c:pt>
                <c:pt idx="3">
                  <c:v>9.17</c:v>
                </c:pt>
                <c:pt idx="4">
                  <c:v>6.79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516.5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multirotor_opt_550_test_550!$K$39:$K$43</c:f>
              <c:numCache>
                <c:formatCode>General</c:formatCode>
                <c:ptCount val="5"/>
                <c:pt idx="0">
                  <c:v>38.19</c:v>
                </c:pt>
                <c:pt idx="1">
                  <c:v>27.58</c:v>
                </c:pt>
                <c:pt idx="2">
                  <c:v>19.47</c:v>
                </c:pt>
                <c:pt idx="3">
                  <c:v>10.029999999999999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433.25</c:v>
                </c:pt>
                <c:pt idx="2">
                  <c:v>305.82</c:v>
                </c:pt>
                <c:pt idx="3">
                  <c:v>157.63999999999999</c:v>
                </c:pt>
                <c:pt idx="4">
                  <c:v>74.31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E11" sqref="E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580.43151794592461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5.0288022584465436E-2</v>
      </c>
      <c r="X4" s="3">
        <v>1</v>
      </c>
      <c r="Y4" s="2">
        <f t="shared" ref="Y4:Y34" si="1" xml:space="preserve"> $O$20 * TAN($O$17/180*PI()) + $O$21 / (2 * SQRT($O$20^2 + X4^2)) - X4</f>
        <v>-0.95443439330407998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-0.45220885186999848</v>
      </c>
      <c r="AB4" s="2">
        <f>W4*AA4</f>
        <v>-2.2740688955733668E-2</v>
      </c>
      <c r="AC4" s="2">
        <f>Y4*AA4</f>
        <v>0.43160368118127657</v>
      </c>
      <c r="AD4" s="2">
        <f>X4-V4</f>
        <v>1</v>
      </c>
      <c r="AF4" s="2">
        <v>0</v>
      </c>
      <c r="AG4" s="2"/>
      <c r="AH4" s="2">
        <f>K27</f>
        <v>-1.5235350401781034E-3</v>
      </c>
      <c r="AI4" s="2"/>
      <c r="AJ4" s="2">
        <f>K27</f>
        <v>-1.5235350401781034E-3</v>
      </c>
      <c r="AK4" s="2"/>
      <c r="AL4" s="2">
        <f>K27</f>
        <v>-1.5235350401781034E-3</v>
      </c>
      <c r="AM4" s="2"/>
      <c r="AN4" s="2"/>
      <c r="AO4" s="2"/>
    </row>
    <row r="5" spans="2:41" x14ac:dyDescent="0.2">
      <c r="B5" s="10" t="s">
        <v>37</v>
      </c>
      <c r="C5" s="10">
        <v>2976.9479556256501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145.10787948648115</v>
      </c>
      <c r="L5" s="6" t="s">
        <v>101</v>
      </c>
      <c r="N5" s="6" t="s">
        <v>114</v>
      </c>
      <c r="O5" s="6">
        <f xml:space="preserve"> $C$18 * 0.85 * ($C$5/$C$18 *2.20462/1000)^(2/3) * 0.3048^2</f>
        <v>0.4394122616352249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5.0288022584465436E-2</v>
      </c>
      <c r="X5" s="2">
        <f>IF(AC4&gt;0, Z4, X4)</f>
        <v>0.5</v>
      </c>
      <c r="Y5" s="2">
        <f t="shared" si="1"/>
        <v>-0.45220885186999848</v>
      </c>
      <c r="Z5" s="2">
        <f t="shared" ref="Z5:Z34" si="3" xml:space="preserve"> (V5 + X5)/2</f>
        <v>0.25</v>
      </c>
      <c r="AA5" s="2">
        <f t="shared" si="2"/>
        <v>-0.20061031740886551</v>
      </c>
      <c r="AB5" s="2">
        <f t="shared" ref="AB5:AB34" si="4">W5*AA5</f>
        <v>-1.0088296172533808E-2</v>
      </c>
      <c r="AC5" s="2">
        <f t="shared" ref="AC5:AC34" si="5">Y5*AA5</f>
        <v>9.0717761308739042E-2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-1261.1502708095952</v>
      </c>
      <c r="AI5" s="3">
        <v>10000</v>
      </c>
      <c r="AJ5" s="2">
        <f t="dataTable" ref="AJ5:AJ44" dt2D="0" dtr="0" r1="C5" ca="1"/>
        <v>1640.5350868024361</v>
      </c>
      <c r="AK5" s="2">
        <f>(AG5+AI5)/2</f>
        <v>5250</v>
      </c>
      <c r="AL5" s="2">
        <f t="dataTable" ref="AL5:AL44" dt2D="0" dtr="0" r1="C5" ca="1"/>
        <v>845.83591262165965</v>
      </c>
      <c r="AM5" s="2">
        <f>AH5*AL5</f>
        <v>-1066726.1902632872</v>
      </c>
      <c r="AN5" s="2">
        <f>AJ5*AL5</f>
        <v>1387623.4923333921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5.0288022584465436E-2</v>
      </c>
      <c r="X6" s="2">
        <f t="shared" ref="X6:X34" si="8">IF(AC5&gt;0, Z5, X5)</f>
        <v>0.25</v>
      </c>
      <c r="Y6" s="2">
        <f t="shared" si="1"/>
        <v>-0.20061031740886551</v>
      </c>
      <c r="Z6" s="2">
        <f t="shared" si="3"/>
        <v>0.125</v>
      </c>
      <c r="AA6" s="2">
        <f t="shared" si="2"/>
        <v>-7.4965833244369257E-2</v>
      </c>
      <c r="AB6" s="2">
        <f t="shared" si="4"/>
        <v>-3.7698835152561111E-3</v>
      </c>
      <c r="AC6" s="2">
        <f t="shared" si="5"/>
        <v>1.5038919601972999E-2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-1261.1502708095952</v>
      </c>
      <c r="AI6" s="2">
        <f>IF(AN5&gt;0, AK5, AI5)</f>
        <v>5250</v>
      </c>
      <c r="AJ6" s="2">
        <v>845.83591262165965</v>
      </c>
      <c r="AK6" s="2">
        <f t="shared" ref="AK6:AK43" si="9">(AG6+AI6)/2</f>
        <v>2875</v>
      </c>
      <c r="AL6" s="2">
        <v>-45.294366829739829</v>
      </c>
      <c r="AM6" s="2">
        <f t="shared" ref="AM6:AM44" si="10">AH6*AL6</f>
        <v>57123.002993475529</v>
      </c>
      <c r="AN6" s="2">
        <f t="shared" ref="AN6:AN44" si="11">AJ6*AL6</f>
        <v>-38311.602104053214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326.57500192613901</v>
      </c>
      <c r="D7" s="6" t="s">
        <v>125</v>
      </c>
      <c r="F7" t="s">
        <v>121</v>
      </c>
      <c r="G7" s="8">
        <f>$C$6*2*PI()/60*$C$9</f>
        <v>163.0826736315118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1.069688884970321</v>
      </c>
      <c r="P7" s="6" t="s">
        <v>115</v>
      </c>
      <c r="U7" s="2">
        <v>3</v>
      </c>
      <c r="V7" s="2">
        <f t="shared" si="7"/>
        <v>0</v>
      </c>
      <c r="W7" s="2">
        <f t="shared" si="0"/>
        <v>5.0288022584465436E-2</v>
      </c>
      <c r="X7" s="2">
        <f t="shared" si="8"/>
        <v>0.125</v>
      </c>
      <c r="Y7" s="2">
        <f t="shared" si="1"/>
        <v>-7.4965833244369257E-2</v>
      </c>
      <c r="Z7" s="2">
        <f t="shared" si="3"/>
        <v>6.25E-2</v>
      </c>
      <c r="AA7" s="2">
        <f t="shared" si="2"/>
        <v>-1.2277616601105101E-2</v>
      </c>
      <c r="AB7" s="2">
        <f t="shared" si="4"/>
        <v>-6.1741706091978114E-4</v>
      </c>
      <c r="AC7" s="2">
        <f t="shared" si="5"/>
        <v>9.2040175875674466E-4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-45.294366829739829</v>
      </c>
      <c r="AI7" s="2">
        <f t="shared" ref="AI7:AI44" si="14">IF(AN6&gt;0, AK6, AI6)</f>
        <v>5250</v>
      </c>
      <c r="AJ7" s="2">
        <v>845.83591262165965</v>
      </c>
      <c r="AK7" s="2">
        <f t="shared" si="9"/>
        <v>4062.5</v>
      </c>
      <c r="AL7" s="2">
        <v>443.72363017472208</v>
      </c>
      <c r="AM7" s="2">
        <f t="shared" si="10"/>
        <v>-20098.180876157676</v>
      </c>
      <c r="AN7" s="2">
        <f t="shared" si="11"/>
        <v>375317.38168063184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0.48839292608091334</v>
      </c>
      <c r="H8" s="6" t="s">
        <v>122</v>
      </c>
      <c r="J8" s="6" t="s">
        <v>96</v>
      </c>
      <c r="K8" s="6">
        <f xml:space="preserve"> $C$15 * (G12*G6 + G22*G15 + G31*G27 +G35*G34)/3600</f>
        <v>228.12627814855546</v>
      </c>
      <c r="L8" s="6" t="s">
        <v>102</v>
      </c>
      <c r="N8" s="6" t="s">
        <v>38</v>
      </c>
      <c r="O8" s="6">
        <f xml:space="preserve"> O4 *O7</f>
        <v>2425.4808085227278</v>
      </c>
      <c r="P8" s="6" t="s">
        <v>20</v>
      </c>
      <c r="U8" s="2">
        <v>4</v>
      </c>
      <c r="V8" s="2">
        <f t="shared" si="7"/>
        <v>0</v>
      </c>
      <c r="W8" s="2">
        <f t="shared" si="0"/>
        <v>5.0288022584465436E-2</v>
      </c>
      <c r="X8" s="2">
        <f t="shared" si="8"/>
        <v>6.25E-2</v>
      </c>
      <c r="Y8" s="2">
        <f t="shared" si="1"/>
        <v>-1.2277616601105101E-2</v>
      </c>
      <c r="Z8" s="2">
        <f t="shared" si="3"/>
        <v>3.125E-2</v>
      </c>
      <c r="AA8" s="2">
        <f t="shared" si="2"/>
        <v>1.9021470290915575E-2</v>
      </c>
      <c r="AB8" s="2">
        <f t="shared" si="4"/>
        <v>9.565521275793008E-4</v>
      </c>
      <c r="AC8" s="2">
        <f t="shared" si="5"/>
        <v>-2.3353831942117255E-4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-45.294366829739829</v>
      </c>
      <c r="AI8" s="2">
        <f t="shared" si="14"/>
        <v>4062.5</v>
      </c>
      <c r="AJ8" s="2">
        <v>443.72363017472208</v>
      </c>
      <c r="AK8" s="2">
        <f t="shared" si="9"/>
        <v>3468.75</v>
      </c>
      <c r="AL8" s="2">
        <v>210.10648730032881</v>
      </c>
      <c r="AM8" s="2">
        <f t="shared" si="10"/>
        <v>-9516.6403090891654</v>
      </c>
      <c r="AN8" s="2">
        <f t="shared" si="11"/>
        <v>93229.213268161038</v>
      </c>
      <c r="AO8" s="2">
        <f t="shared" si="12"/>
        <v>1187.5</v>
      </c>
    </row>
    <row r="9" spans="2:41" x14ac:dyDescent="0.2">
      <c r="B9" s="6" t="s">
        <v>95</v>
      </c>
      <c r="C9" s="17">
        <v>3.8933120461646098</v>
      </c>
      <c r="D9" s="6" t="s">
        <v>8</v>
      </c>
      <c r="F9" t="s">
        <v>19</v>
      </c>
      <c r="G9" s="6">
        <f xml:space="preserve"> $C$5 * $C$44 / $C$18</f>
        <v>7294.632291825199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2425.4808085227278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1.9021470290915575E-2</v>
      </c>
      <c r="X9" s="2">
        <f t="shared" si="8"/>
        <v>6.25E-2</v>
      </c>
      <c r="Y9" s="2">
        <f t="shared" si="1"/>
        <v>-1.2277616601105101E-2</v>
      </c>
      <c r="Z9" s="2">
        <f t="shared" si="3"/>
        <v>4.6875E-2</v>
      </c>
      <c r="AA9" s="2">
        <f t="shared" si="2"/>
        <v>3.3759142640311379E-3</v>
      </c>
      <c r="AB9" s="2">
        <f t="shared" si="4"/>
        <v>6.4214852877946414E-5</v>
      </c>
      <c r="AC9" s="2">
        <f t="shared" si="5"/>
        <v>-4.1448181011976208E-5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-45.294366829739829</v>
      </c>
      <c r="AI9" s="2">
        <f t="shared" si="14"/>
        <v>3468.75</v>
      </c>
      <c r="AJ9" s="2">
        <v>210.10648730032881</v>
      </c>
      <c r="AK9" s="2">
        <f t="shared" si="9"/>
        <v>3171.875</v>
      </c>
      <c r="AL9" s="2">
        <v>84.990193689905482</v>
      </c>
      <c r="AM9" s="2">
        <f t="shared" si="10"/>
        <v>-3849.5770099212182</v>
      </c>
      <c r="AN9" s="2">
        <f t="shared" si="11"/>
        <v>17856.99105116061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96.738586324320764</v>
      </c>
      <c r="H10" s="6" t="s">
        <v>101</v>
      </c>
      <c r="N10" s="6" t="s">
        <v>113</v>
      </c>
      <c r="O10" s="6">
        <f>O7/(0.3048^2)/($C$5*2.20462/1000)^(2/3)</f>
        <v>3.2846636248094834</v>
      </c>
      <c r="U10" s="2">
        <v>6</v>
      </c>
      <c r="V10" s="2">
        <f t="shared" si="7"/>
        <v>4.6875E-2</v>
      </c>
      <c r="W10" s="2">
        <f t="shared" si="0"/>
        <v>3.3759142640311379E-3</v>
      </c>
      <c r="X10" s="2">
        <f t="shared" si="8"/>
        <v>6.25E-2</v>
      </c>
      <c r="Y10" s="2">
        <f t="shared" si="1"/>
        <v>-1.2277616601105101E-2</v>
      </c>
      <c r="Z10" s="2">
        <f t="shared" si="3"/>
        <v>5.46875E-2</v>
      </c>
      <c r="AA10" s="2">
        <f t="shared" si="2"/>
        <v>-4.4498678925730395E-3</v>
      </c>
      <c r="AB10" s="2">
        <f t="shared" si="4"/>
        <v>-1.5022372491591504E-5</v>
      </c>
      <c r="AC10" s="2">
        <f t="shared" si="5"/>
        <v>5.4633771910579323E-5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-45.294366829739829</v>
      </c>
      <c r="AI10" s="2">
        <f t="shared" si="14"/>
        <v>3171.875</v>
      </c>
      <c r="AJ10" s="2">
        <v>84.990193689905482</v>
      </c>
      <c r="AK10" s="2">
        <f t="shared" si="9"/>
        <v>3023.4375</v>
      </c>
      <c r="AL10" s="2">
        <v>20.46403887550423</v>
      </c>
      <c r="AM10" s="2">
        <f t="shared" si="10"/>
        <v>-926.90568364514513</v>
      </c>
      <c r="AN10" s="2">
        <f t="shared" si="11"/>
        <v>1739.24262770686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7.6932795607672233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4.6875E-2</v>
      </c>
      <c r="W11" s="2">
        <f t="shared" si="0"/>
        <v>3.3759142640311379E-3</v>
      </c>
      <c r="X11" s="2">
        <f t="shared" si="8"/>
        <v>5.46875E-2</v>
      </c>
      <c r="Y11" s="2">
        <f t="shared" si="1"/>
        <v>-4.4498678925730395E-3</v>
      </c>
      <c r="Z11" s="2">
        <f t="shared" si="3"/>
        <v>5.078125E-2</v>
      </c>
      <c r="AA11" s="2">
        <f t="shared" si="2"/>
        <v>-5.3672914172461089E-4</v>
      </c>
      <c r="AB11" s="2">
        <f t="shared" si="4"/>
        <v>-1.811951565469304E-6</v>
      </c>
      <c r="AC11" s="2">
        <f t="shared" si="5"/>
        <v>2.3883737747686305E-6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-45.294366829739829</v>
      </c>
      <c r="AI11" s="2">
        <f t="shared" si="14"/>
        <v>3023.4375</v>
      </c>
      <c r="AJ11" s="2">
        <v>20.46403887550423</v>
      </c>
      <c r="AK11" s="2">
        <f t="shared" si="9"/>
        <v>2949.21875</v>
      </c>
      <c r="AL11" s="2">
        <v>-12.26517459075103</v>
      </c>
      <c r="AM11" s="2">
        <f t="shared" si="10"/>
        <v>555.54331714428122</v>
      </c>
      <c r="AN11" s="2">
        <f t="shared" si="11"/>
        <v>-250.99500963997576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386.95434529728306</v>
      </c>
      <c r="H12" s="25" t="s">
        <v>101</v>
      </c>
      <c r="J12" s="10" t="s">
        <v>79</v>
      </c>
      <c r="K12" s="6">
        <f>C5</f>
        <v>2976.9479556256501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4.6875E-2</v>
      </c>
      <c r="W12" s="2">
        <f t="shared" si="0"/>
        <v>3.3759142640311379E-3</v>
      </c>
      <c r="X12" s="2">
        <f t="shared" si="8"/>
        <v>5.078125E-2</v>
      </c>
      <c r="Y12" s="2">
        <f t="shared" si="1"/>
        <v>-5.3672914172461089E-4</v>
      </c>
      <c r="Z12" s="2">
        <f t="shared" si="3"/>
        <v>4.8828125E-2</v>
      </c>
      <c r="AA12" s="2">
        <f t="shared" si="2"/>
        <v>1.4196546975614732E-3</v>
      </c>
      <c r="AB12" s="2">
        <f t="shared" si="4"/>
        <v>4.7926325434965888E-6</v>
      </c>
      <c r="AC12" s="2">
        <f t="shared" si="5"/>
        <v>-7.6197004736748159E-7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-12.26517459075103</v>
      </c>
      <c r="AI12" s="2">
        <f t="shared" si="14"/>
        <v>3023.4375</v>
      </c>
      <c r="AJ12" s="2">
        <v>20.46403887550423</v>
      </c>
      <c r="AK12" s="2">
        <f t="shared" si="9"/>
        <v>2986.328125</v>
      </c>
      <c r="AL12" s="2">
        <v>4.1374455604482137</v>
      </c>
      <c r="AM12" s="2">
        <f t="shared" si="10"/>
        <v>-50.746492158625088</v>
      </c>
      <c r="AN12" s="2">
        <f t="shared" si="11"/>
        <v>84.668846794294623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1341.9192832267968</v>
      </c>
      <c r="L13" s="6" t="s">
        <v>7</v>
      </c>
      <c r="N13" s="6" t="s">
        <v>74</v>
      </c>
      <c r="O13" s="6">
        <f xml:space="preserve"> SQRT( ($C$5*$C$50)^2 + O9^2)</f>
        <v>29276.383937377341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1.4196546975614732E-3</v>
      </c>
      <c r="X13" s="2">
        <f t="shared" si="8"/>
        <v>5.078125E-2</v>
      </c>
      <c r="Y13" s="2">
        <f t="shared" si="1"/>
        <v>-5.3672914172461089E-4</v>
      </c>
      <c r="Z13" s="2">
        <f t="shared" si="3"/>
        <v>4.98046875E-2</v>
      </c>
      <c r="AA13" s="2">
        <f t="shared" si="2"/>
        <v>4.4147828534407685E-4</v>
      </c>
      <c r="AB13" s="2">
        <f t="shared" si="4"/>
        <v>6.2674672166010319E-7</v>
      </c>
      <c r="AC13" s="2">
        <f t="shared" si="5"/>
        <v>-2.3695426118277924E-7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-12.26517459075103</v>
      </c>
      <c r="AI13" s="2">
        <f t="shared" si="14"/>
        <v>2986.328125</v>
      </c>
      <c r="AJ13" s="2">
        <v>4.1374455604482137</v>
      </c>
      <c r="AK13" s="2">
        <f t="shared" si="9"/>
        <v>2967.7734375</v>
      </c>
      <c r="AL13" s="2">
        <v>-4.0544289105964708</v>
      </c>
      <c r="AM13" s="2">
        <f t="shared" si="10"/>
        <v>49.728278454254216</v>
      </c>
      <c r="AN13" s="2">
        <f t="shared" si="11"/>
        <v>-16.774978896300254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216.33251792406782</v>
      </c>
      <c r="L14" s="6" t="s">
        <v>7</v>
      </c>
      <c r="N14" s="6" t="s">
        <v>75</v>
      </c>
      <c r="O14" s="6">
        <f>$C$5*$C$50/O13</f>
        <v>0.99656222088967572</v>
      </c>
      <c r="U14" s="2">
        <v>10</v>
      </c>
      <c r="V14" s="2">
        <f t="shared" si="7"/>
        <v>4.98046875E-2</v>
      </c>
      <c r="W14" s="2">
        <f t="shared" si="0"/>
        <v>4.4147828534407685E-4</v>
      </c>
      <c r="X14" s="2">
        <f t="shared" si="8"/>
        <v>5.078125E-2</v>
      </c>
      <c r="Y14" s="2">
        <f t="shared" si="1"/>
        <v>-5.3672914172461089E-4</v>
      </c>
      <c r="Z14" s="2">
        <f t="shared" si="3"/>
        <v>5.029296875E-2</v>
      </c>
      <c r="AA14" s="2">
        <f t="shared" si="2"/>
        <v>-4.7621554721807846E-5</v>
      </c>
      <c r="AB14" s="2">
        <f t="shared" si="4"/>
        <v>-2.1023882324002853E-8</v>
      </c>
      <c r="AC14" s="2">
        <f t="shared" si="5"/>
        <v>2.5559876193427516E-8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-4.0544289105964708</v>
      </c>
      <c r="AI14" s="2">
        <f t="shared" si="14"/>
        <v>2986.328125</v>
      </c>
      <c r="AJ14" s="2">
        <v>4.1374455604482137</v>
      </c>
      <c r="AK14" s="2">
        <f t="shared" si="9"/>
        <v>2977.05078125</v>
      </c>
      <c r="AL14" s="2">
        <v>4.3861999869022839E-2</v>
      </c>
      <c r="AM14" s="2">
        <f t="shared" si="10"/>
        <v>-0.17783536034554481</v>
      </c>
      <c r="AN14" s="2">
        <f t="shared" si="11"/>
        <v>0.18147663663046867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322.51669751493165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4.4147828534407685E-4</v>
      </c>
      <c r="X15" s="2">
        <f t="shared" si="8"/>
        <v>5.029296875E-2</v>
      </c>
      <c r="Y15" s="2">
        <f t="shared" si="1"/>
        <v>-4.7621554721807846E-5</v>
      </c>
      <c r="Z15" s="2">
        <f t="shared" si="3"/>
        <v>5.0048828125E-2</v>
      </c>
      <c r="AA15" s="2">
        <f t="shared" si="2"/>
        <v>1.9692933410411784E-4</v>
      </c>
      <c r="AB15" s="2">
        <f t="shared" si="4"/>
        <v>8.6940024754236773E-8</v>
      </c>
      <c r="AC15" s="2">
        <f t="shared" si="5"/>
        <v>-9.3780810603684276E-9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-4.0544289105964708</v>
      </c>
      <c r="AI15" s="2">
        <f t="shared" si="14"/>
        <v>2977.05078125</v>
      </c>
      <c r="AJ15" s="2">
        <v>4.3861999869022839E-2</v>
      </c>
      <c r="AK15" s="2">
        <f t="shared" si="9"/>
        <v>2972.412109375</v>
      </c>
      <c r="AL15" s="2">
        <v>-2.004688411026109</v>
      </c>
      <c r="AM15" s="2">
        <f t="shared" si="10"/>
        <v>8.1278666504019572</v>
      </c>
      <c r="AN15" s="2">
        <f t="shared" si="11"/>
        <v>-8.7929642821858792E-2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133.14681113832714</v>
      </c>
      <c r="H16" s="6" t="s">
        <v>10</v>
      </c>
      <c r="J16" s="13" t="s">
        <v>53</v>
      </c>
      <c r="K16" s="6">
        <f xml:space="preserve"> $C$54 * 0.2138 * K4</f>
        <v>99.277006829470949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5.0048828125E-2</v>
      </c>
      <c r="W16" s="2">
        <f t="shared" si="0"/>
        <v>1.9692933410411784E-4</v>
      </c>
      <c r="X16" s="2">
        <f t="shared" si="8"/>
        <v>5.029296875E-2</v>
      </c>
      <c r="Y16" s="2">
        <f t="shared" si="1"/>
        <v>-4.7621554721807846E-5</v>
      </c>
      <c r="Z16" s="2">
        <f t="shared" si="3"/>
        <v>5.01708984375E-2</v>
      </c>
      <c r="AA16" s="2">
        <f t="shared" si="2"/>
        <v>7.4654131836320026E-5</v>
      </c>
      <c r="AB16" s="2">
        <f t="shared" si="4"/>
        <v>1.4701588470647527E-8</v>
      </c>
      <c r="AC16" s="2">
        <f t="shared" si="5"/>
        <v>-3.5551458244523713E-9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-2.004688411026109</v>
      </c>
      <c r="AI16" s="2">
        <f t="shared" si="14"/>
        <v>2977.05078125</v>
      </c>
      <c r="AJ16" s="2">
        <v>4.3861999869022839E-2</v>
      </c>
      <c r="AK16" s="2">
        <f t="shared" si="9"/>
        <v>2974.7314453125</v>
      </c>
      <c r="AL16" s="2">
        <v>-0.98027034022470616</v>
      </c>
      <c r="AM16" s="2">
        <f t="shared" si="10"/>
        <v>1.9651365907210894</v>
      </c>
      <c r="AN16" s="2">
        <f t="shared" si="11"/>
        <v>-4.2996617534543036E-2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0.40017465127757584</v>
      </c>
      <c r="H17" s="6" t="s">
        <v>122</v>
      </c>
      <c r="J17" s="13" t="s">
        <v>77</v>
      </c>
      <c r="K17" s="6">
        <f xml:space="preserve"> $C$54 * 0.1149 * K4</f>
        <v>53.353265129589388</v>
      </c>
      <c r="L17" s="6" t="s">
        <v>7</v>
      </c>
      <c r="N17" s="6" t="s">
        <v>25</v>
      </c>
      <c r="O17" s="6">
        <f xml:space="preserve"> ACOS(O14)/PI()*180</f>
        <v>4.7522700343911506</v>
      </c>
      <c r="P17" s="6" t="s">
        <v>40</v>
      </c>
      <c r="U17" s="2">
        <v>13</v>
      </c>
      <c r="V17" s="2">
        <f t="shared" si="7"/>
        <v>5.01708984375E-2</v>
      </c>
      <c r="W17" s="2">
        <f t="shared" si="0"/>
        <v>7.4654131836320026E-5</v>
      </c>
      <c r="X17" s="2">
        <f t="shared" si="8"/>
        <v>5.029296875E-2</v>
      </c>
      <c r="Y17" s="2">
        <f t="shared" si="1"/>
        <v>-4.7621554721807846E-5</v>
      </c>
      <c r="Z17" s="2">
        <f t="shared" si="3"/>
        <v>5.023193359375E-2</v>
      </c>
      <c r="AA17" s="2">
        <f t="shared" si="2"/>
        <v>1.3516349086896418E-5</v>
      </c>
      <c r="AB17" s="2">
        <f t="shared" si="4"/>
        <v>1.0090513066788889E-9</v>
      </c>
      <c r="AC17" s="2">
        <f t="shared" si="5"/>
        <v>-6.4366955768069528E-10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-0.98027034022470616</v>
      </c>
      <c r="AI17" s="2">
        <f t="shared" si="14"/>
        <v>2977.05078125</v>
      </c>
      <c r="AJ17" s="2">
        <v>4.3861999869022839E-2</v>
      </c>
      <c r="AK17" s="2">
        <f t="shared" si="9"/>
        <v>2975.89111328125</v>
      </c>
      <c r="AL17" s="2">
        <v>-0.46815932295839957</v>
      </c>
      <c r="AM17" s="2">
        <f t="shared" si="10"/>
        <v>0.45892269879579844</v>
      </c>
      <c r="AN17" s="2">
        <f t="shared" si="11"/>
        <v>-2.0534404162283144E-2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7319.0959843443352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137.66930469055134</v>
      </c>
      <c r="L18" s="6" t="s">
        <v>7</v>
      </c>
      <c r="N18" s="6" t="s">
        <v>19</v>
      </c>
      <c r="O18" s="6">
        <f xml:space="preserve"> O13 / $C$18</f>
        <v>7319.0959843443352</v>
      </c>
      <c r="P18" s="6" t="s">
        <v>20</v>
      </c>
      <c r="U18" s="2">
        <v>14</v>
      </c>
      <c r="V18" s="2">
        <f t="shared" si="7"/>
        <v>5.023193359375E-2</v>
      </c>
      <c r="W18" s="2">
        <f t="shared" si="0"/>
        <v>1.3516349086896418E-5</v>
      </c>
      <c r="X18" s="2">
        <f t="shared" si="8"/>
        <v>5.029296875E-2</v>
      </c>
      <c r="Y18" s="2">
        <f t="shared" si="1"/>
        <v>-4.7621554721807846E-5</v>
      </c>
      <c r="Z18" s="2">
        <f t="shared" si="3"/>
        <v>5.0262451171875E-2</v>
      </c>
      <c r="AA18" s="2">
        <f t="shared" si="2"/>
        <v>-1.7052587685875698E-5</v>
      </c>
      <c r="AB18" s="2">
        <f t="shared" si="4"/>
        <v>-2.3048872799720709E-10</v>
      </c>
      <c r="AC18" s="2">
        <f t="shared" si="5"/>
        <v>8.1207073763135617E-10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-0.46815932295839957</v>
      </c>
      <c r="AI18" s="2">
        <f t="shared" si="14"/>
        <v>2977.05078125</v>
      </c>
      <c r="AJ18" s="2">
        <v>4.3861999869022839E-2</v>
      </c>
      <c r="AK18" s="2">
        <f t="shared" si="9"/>
        <v>2976.470947265625</v>
      </c>
      <c r="AL18" s="2">
        <v>-0.21213292206402912</v>
      </c>
      <c r="AM18" s="2">
        <f t="shared" si="10"/>
        <v>9.931200517068281E-2</v>
      </c>
      <c r="AN18" s="2">
        <f t="shared" si="11"/>
        <v>-9.3045741997878767E-3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67.049067933794873</v>
      </c>
      <c r="H19" s="6" t="s">
        <v>101</v>
      </c>
      <c r="J19" s="14" t="s">
        <v>61</v>
      </c>
      <c r="K19" s="6">
        <f xml:space="preserve"> $C$55 * C31 * $C$5</f>
        <v>33.341817103007287</v>
      </c>
      <c r="L19" s="6" t="s">
        <v>7</v>
      </c>
      <c r="N19" s="6" t="s">
        <v>26</v>
      </c>
      <c r="O19" s="6">
        <f>$C$7*2*PI()/60</f>
        <v>34.198854229907695</v>
      </c>
      <c r="P19" s="6" t="s">
        <v>27</v>
      </c>
      <c r="U19" s="2">
        <v>15</v>
      </c>
      <c r="V19" s="2">
        <f t="shared" si="7"/>
        <v>5.023193359375E-2</v>
      </c>
      <c r="W19" s="2">
        <f t="shared" si="0"/>
        <v>1.3516349086896418E-5</v>
      </c>
      <c r="X19" s="2">
        <f t="shared" si="8"/>
        <v>5.0262451171875E-2</v>
      </c>
      <c r="Y19" s="2">
        <f t="shared" si="1"/>
        <v>-1.7052587685875698E-5</v>
      </c>
      <c r="Z19" s="2">
        <f t="shared" si="3"/>
        <v>5.02471923828125E-2</v>
      </c>
      <c r="AA19" s="2">
        <f t="shared" si="2"/>
        <v>-1.7681155164914197E-6</v>
      </c>
      <c r="AB19" s="2">
        <f t="shared" si="4"/>
        <v>-2.3898466546856188E-11</v>
      </c>
      <c r="AC19" s="2">
        <f t="shared" si="5"/>
        <v>3.0150944883727335E-11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-0.21213292206402912</v>
      </c>
      <c r="AI19" s="2">
        <f t="shared" si="14"/>
        <v>2977.05078125</v>
      </c>
      <c r="AJ19" s="2">
        <v>4.3861999869022839E-2</v>
      </c>
      <c r="AK19" s="2">
        <f t="shared" si="9"/>
        <v>2976.7608642578125</v>
      </c>
      <c r="AL19" s="2">
        <v>-8.4129267337175406E-2</v>
      </c>
      <c r="AM19" s="2">
        <f t="shared" si="10"/>
        <v>1.7846587311340902E-2</v>
      </c>
      <c r="AN19" s="2">
        <f t="shared" si="11"/>
        <v>-3.690077912924175E-3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11.138176268071868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0.50189317876004291</v>
      </c>
      <c r="U20" s="2">
        <v>16</v>
      </c>
      <c r="V20" s="2">
        <f t="shared" si="7"/>
        <v>5.023193359375E-2</v>
      </c>
      <c r="W20" s="2">
        <f t="shared" si="0"/>
        <v>1.3516349086896418E-5</v>
      </c>
      <c r="X20" s="2">
        <f t="shared" si="8"/>
        <v>5.02471923828125E-2</v>
      </c>
      <c r="Y20" s="2">
        <f t="shared" si="1"/>
        <v>-1.7681155164914197E-6</v>
      </c>
      <c r="Z20" s="2">
        <f t="shared" si="3"/>
        <v>5.023956298828125E-2</v>
      </c>
      <c r="AA20" s="2">
        <f t="shared" si="2"/>
        <v>5.8741177309667991E-6</v>
      </c>
      <c r="AB20" s="2">
        <f t="shared" si="4"/>
        <v>7.9396625829275152E-11</v>
      </c>
      <c r="AC20" s="2">
        <f t="shared" si="5"/>
        <v>-1.0386118705819769E-11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-8.4129267337175406E-2</v>
      </c>
      <c r="AI20" s="2">
        <f t="shared" si="14"/>
        <v>2977.05078125</v>
      </c>
      <c r="AJ20" s="2">
        <v>4.3861999869022839E-2</v>
      </c>
      <c r="AK20" s="2">
        <f t="shared" si="9"/>
        <v>2976.9058227539062</v>
      </c>
      <c r="AL20" s="2">
        <v>-2.0134341768425656E-2</v>
      </c>
      <c r="AM20" s="2">
        <f t="shared" si="10"/>
        <v>1.693887421293939E-3</v>
      </c>
      <c r="AN20" s="2">
        <f t="shared" si="11"/>
        <v>-8.8313249600954725E-4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0.14000069145838104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8.5963192431910886E-3</v>
      </c>
      <c r="U21" s="2">
        <v>17</v>
      </c>
      <c r="V21" s="2">
        <f t="shared" si="7"/>
        <v>5.023956298828125E-2</v>
      </c>
      <c r="W21" s="2">
        <f t="shared" si="0"/>
        <v>5.8741177309667991E-6</v>
      </c>
      <c r="X21" s="2">
        <f t="shared" si="8"/>
        <v>5.02471923828125E-2</v>
      </c>
      <c r="Y21" s="2">
        <f t="shared" si="1"/>
        <v>-1.7681155164914197E-6</v>
      </c>
      <c r="Z21" s="2">
        <f t="shared" si="3"/>
        <v>5.0243377685546875E-2</v>
      </c>
      <c r="AA21" s="2">
        <f t="shared" si="2"/>
        <v>2.05300134367703E-6</v>
      </c>
      <c r="AB21" s="2">
        <f t="shared" si="4"/>
        <v>1.2059571594591906E-11</v>
      </c>
      <c r="AC21" s="2">
        <f t="shared" si="5"/>
        <v>-3.6299435311330905E-12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-2.0134341768425656E-2</v>
      </c>
      <c r="AI21" s="2">
        <f t="shared" si="14"/>
        <v>2977.05078125</v>
      </c>
      <c r="AJ21" s="2">
        <v>4.3861999869022839E-2</v>
      </c>
      <c r="AK21" s="2">
        <f t="shared" si="9"/>
        <v>2976.9783020019531</v>
      </c>
      <c r="AL21" s="2">
        <v>1.1863652043757611E-2</v>
      </c>
      <c r="AM21" s="2">
        <f t="shared" si="10"/>
        <v>-2.3886682487069726E-4</v>
      </c>
      <c r="AN21" s="2">
        <f t="shared" si="11"/>
        <v>5.2036350438942891E-4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268.19627173517949</v>
      </c>
      <c r="H22" s="25" t="s">
        <v>101</v>
      </c>
      <c r="J22" s="14" t="s">
        <v>112</v>
      </c>
      <c r="K22" s="6">
        <f>$C$55*(0.14*$G$12*1000/745.7)*0.453592</f>
        <v>26.36203873395943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5.0243377685546875E-2</v>
      </c>
      <c r="W22" s="2">
        <f t="shared" si="0"/>
        <v>2.05300134367703E-6</v>
      </c>
      <c r="X22" s="2">
        <f t="shared" si="8"/>
        <v>5.02471923828125E-2</v>
      </c>
      <c r="Y22" s="2">
        <f t="shared" si="1"/>
        <v>-1.7681155164914197E-6</v>
      </c>
      <c r="Z22" s="2">
        <f t="shared" si="3"/>
        <v>5.0245285034179688E-2</v>
      </c>
      <c r="AA22" s="2">
        <f t="shared" si="2"/>
        <v>1.4244297270177286E-7</v>
      </c>
      <c r="AB22" s="2">
        <f t="shared" si="4"/>
        <v>2.9243561435409021E-13</v>
      </c>
      <c r="AC22" s="2">
        <f t="shared" si="5"/>
        <v>-2.5185563024916831E-13</v>
      </c>
      <c r="AD22" s="2">
        <f t="shared" si="6"/>
        <v>3.814697265625E-6</v>
      </c>
      <c r="AF22" s="2">
        <v>18</v>
      </c>
      <c r="AG22" s="2">
        <f t="shared" si="13"/>
        <v>2976.9058227539062</v>
      </c>
      <c r="AH22" s="2">
        <v>-2.0134341768425656E-2</v>
      </c>
      <c r="AI22" s="2">
        <f t="shared" si="14"/>
        <v>2976.9783020019531</v>
      </c>
      <c r="AJ22" s="2">
        <v>1.1863652043757611E-2</v>
      </c>
      <c r="AK22" s="2">
        <f t="shared" si="9"/>
        <v>2976.9420623779297</v>
      </c>
      <c r="AL22" s="2">
        <v>-4.1263616803917103E-3</v>
      </c>
      <c r="AM22" s="2">
        <f t="shared" si="10"/>
        <v>8.3081576333141895E-5</v>
      </c>
      <c r="AN22" s="2">
        <f t="shared" si="11"/>
        <v>-4.8953719182862206E-5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63.825764168613944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16814.419306214077</v>
      </c>
      <c r="P23" s="6" t="s">
        <v>18</v>
      </c>
      <c r="U23" s="2">
        <v>19</v>
      </c>
      <c r="V23" s="2">
        <f t="shared" si="7"/>
        <v>5.0245285034179688E-2</v>
      </c>
      <c r="W23" s="2">
        <f t="shared" si="0"/>
        <v>1.4244297270177286E-7</v>
      </c>
      <c r="X23" s="2">
        <f t="shared" si="8"/>
        <v>5.02471923828125E-2</v>
      </c>
      <c r="Y23" s="2">
        <f t="shared" si="1"/>
        <v>-1.7681155164914197E-6</v>
      </c>
      <c r="Z23" s="2">
        <f t="shared" si="3"/>
        <v>5.0246238708496094E-2</v>
      </c>
      <c r="AA23" s="2">
        <f t="shared" si="2"/>
        <v>-8.1283625712191832E-7</v>
      </c>
      <c r="AB23" s="2">
        <f t="shared" si="4"/>
        <v>-1.1578281278422865E-13</v>
      </c>
      <c r="AC23" s="2">
        <f t="shared" si="5"/>
        <v>1.4371883985840731E-12</v>
      </c>
      <c r="AD23" s="2">
        <f t="shared" si="6"/>
        <v>1.9073486328125E-6</v>
      </c>
      <c r="AF23" s="2">
        <v>19</v>
      </c>
      <c r="AG23" s="2">
        <f t="shared" si="13"/>
        <v>2976.9420623779297</v>
      </c>
      <c r="AH23" s="2">
        <v>-4.1263616803917103E-3</v>
      </c>
      <c r="AI23" s="2">
        <f t="shared" si="14"/>
        <v>2976.9783020019531</v>
      </c>
      <c r="AJ23" s="2">
        <v>1.1863652043757611E-2</v>
      </c>
      <c r="AK23" s="2">
        <f t="shared" si="9"/>
        <v>2976.9601821899414</v>
      </c>
      <c r="AL23" s="2">
        <v>3.8686341449647443E-3</v>
      </c>
      <c r="AM23" s="2">
        <f t="shared" si="10"/>
        <v>-1.596338369123747E-5</v>
      </c>
      <c r="AN23" s="2">
        <f t="shared" si="11"/>
        <v>4.5896129380461466E-5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8.8571746359715249</v>
      </c>
      <c r="L24" s="6" t="s">
        <v>7</v>
      </c>
      <c r="N24" s="6" t="s">
        <v>31</v>
      </c>
      <c r="O24" s="18">
        <f>Z34</f>
        <v>5.0245427060872316E-2</v>
      </c>
      <c r="U24" s="2">
        <v>20</v>
      </c>
      <c r="V24" s="2">
        <f t="shared" si="7"/>
        <v>5.0245285034179688E-2</v>
      </c>
      <c r="W24" s="2">
        <f t="shared" si="0"/>
        <v>1.4244297270177286E-7</v>
      </c>
      <c r="X24" s="2">
        <f t="shared" si="8"/>
        <v>5.0246238708496094E-2</v>
      </c>
      <c r="Y24" s="2">
        <f t="shared" si="1"/>
        <v>-8.1283625712191832E-7</v>
      </c>
      <c r="Z24" s="2">
        <f t="shared" si="3"/>
        <v>5.0245761871337891E-2</v>
      </c>
      <c r="AA24" s="2">
        <f t="shared" si="2"/>
        <v>-3.3519663851511172E-7</v>
      </c>
      <c r="AB24" s="2">
        <f t="shared" si="4"/>
        <v>-4.7746405629734088E-14</v>
      </c>
      <c r="AC24" s="2">
        <f t="shared" si="5"/>
        <v>2.7245998105047208E-13</v>
      </c>
      <c r="AD24" s="2">
        <f t="shared" si="6"/>
        <v>9.5367431640625E-7</v>
      </c>
      <c r="AF24" s="2">
        <v>20</v>
      </c>
      <c r="AG24" s="2">
        <f t="shared" si="13"/>
        <v>2976.9420623779297</v>
      </c>
      <c r="AH24" s="2">
        <v>-4.1263616803917103E-3</v>
      </c>
      <c r="AI24" s="2">
        <f t="shared" si="14"/>
        <v>2976.9601821899414</v>
      </c>
      <c r="AJ24" s="2">
        <v>3.8686341449647443E-3</v>
      </c>
      <c r="AK24" s="2">
        <f t="shared" si="9"/>
        <v>2976.9511222839355</v>
      </c>
      <c r="AL24" s="2">
        <v>-1.3789398735752911E-4</v>
      </c>
      <c r="AM24" s="2">
        <f t="shared" si="10"/>
        <v>5.690004653885271E-7</v>
      </c>
      <c r="AN24" s="2">
        <f t="shared" si="11"/>
        <v>-5.3346138787667388E-7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19.05246691600416</v>
      </c>
      <c r="L25" s="6" t="s">
        <v>7</v>
      </c>
      <c r="N25" s="6" t="s">
        <v>32</v>
      </c>
      <c r="O25" s="6">
        <f xml:space="preserve"> O19 * $C$9 * O24 - $C$8 * SIN(O17/180*PI())</f>
        <v>1.1345836232206326</v>
      </c>
      <c r="P25" s="6" t="s">
        <v>10</v>
      </c>
      <c r="U25" s="2">
        <v>21</v>
      </c>
      <c r="V25" s="2">
        <f t="shared" si="7"/>
        <v>5.0245285034179688E-2</v>
      </c>
      <c r="W25" s="2">
        <f t="shared" si="0"/>
        <v>1.4244297270177286E-7</v>
      </c>
      <c r="X25" s="2">
        <f t="shared" si="8"/>
        <v>5.0245761871337891E-2</v>
      </c>
      <c r="Y25" s="2">
        <f t="shared" si="1"/>
        <v>-3.3519663851511172E-7</v>
      </c>
      <c r="Z25" s="2">
        <f t="shared" si="3"/>
        <v>5.0245523452758789E-2</v>
      </c>
      <c r="AA25" s="2">
        <f t="shared" si="2"/>
        <v>-9.6376831980327093E-8</v>
      </c>
      <c r="AB25" s="2">
        <f t="shared" si="4"/>
        <v>-1.3728202446857082E-14</v>
      </c>
      <c r="AC25" s="2">
        <f t="shared" si="5"/>
        <v>3.230519011054136E-14</v>
      </c>
      <c r="AD25" s="2">
        <f t="shared" si="6"/>
        <v>4.76837158203125E-7</v>
      </c>
      <c r="AF25" s="2">
        <v>21</v>
      </c>
      <c r="AG25" s="2">
        <f t="shared" si="13"/>
        <v>2976.9511222839355</v>
      </c>
      <c r="AH25" s="2">
        <v>-1.3789398735752911E-4</v>
      </c>
      <c r="AI25" s="2">
        <f t="shared" si="14"/>
        <v>2976.9601821899414</v>
      </c>
      <c r="AJ25" s="2">
        <v>3.8686341449647443E-3</v>
      </c>
      <c r="AK25" s="2">
        <f t="shared" si="9"/>
        <v>2976.9556522369385</v>
      </c>
      <c r="AL25" s="2">
        <v>1.8743968616945494E-3</v>
      </c>
      <c r="AM25" s="2">
        <f t="shared" si="10"/>
        <v>-2.5846805714950047E-7</v>
      </c>
      <c r="AN25" s="2">
        <f t="shared" si="11"/>
        <v>7.2513557003662939E-6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54.44214228772627</v>
      </c>
      <c r="L26" s="6" t="s">
        <v>7</v>
      </c>
      <c r="N26" s="6" t="s">
        <v>33</v>
      </c>
      <c r="O26" s="6">
        <f xml:space="preserve"> 1/$C$21 - O23 * SQRT( (2*$C$47*PI()*$C$9^2) / O18^3 )</f>
        <v>1.0701536311208348</v>
      </c>
      <c r="U26" s="2">
        <v>22</v>
      </c>
      <c r="V26" s="2">
        <f t="shared" si="7"/>
        <v>5.0245285034179688E-2</v>
      </c>
      <c r="W26" s="2">
        <f t="shared" si="0"/>
        <v>1.4244297270177286E-7</v>
      </c>
      <c r="X26" s="2">
        <f t="shared" si="8"/>
        <v>5.0245523452758789E-2</v>
      </c>
      <c r="Y26" s="2">
        <f t="shared" si="1"/>
        <v>-9.6376831980327093E-8</v>
      </c>
      <c r="Z26" s="2">
        <f t="shared" si="3"/>
        <v>5.0245404243469238E-2</v>
      </c>
      <c r="AA26" s="2">
        <f t="shared" si="2"/>
        <v>2.3033070589706384E-8</v>
      </c>
      <c r="AB26" s="2">
        <f t="shared" si="4"/>
        <v>3.2808990452475539E-15</v>
      </c>
      <c r="AC26" s="2">
        <f t="shared" si="5"/>
        <v>-2.2198543742151457E-15</v>
      </c>
      <c r="AD26" s="2">
        <f t="shared" si="6"/>
        <v>2.384185791015625E-7</v>
      </c>
      <c r="AF26" s="2">
        <v>22</v>
      </c>
      <c r="AG26" s="2">
        <f t="shared" si="13"/>
        <v>2976.9511222839355</v>
      </c>
      <c r="AH26" s="2">
        <v>-1.3789398735752911E-4</v>
      </c>
      <c r="AI26" s="2">
        <f t="shared" si="14"/>
        <v>2976.9556522369385</v>
      </c>
      <c r="AJ26" s="2">
        <v>1.8743968616945494E-3</v>
      </c>
      <c r="AK26" s="2">
        <f t="shared" si="9"/>
        <v>2976.953387260437</v>
      </c>
      <c r="AL26" s="2">
        <v>8.6825125936229597E-4</v>
      </c>
      <c r="AM26" s="2">
        <f t="shared" si="10"/>
        <v>-1.1972662818166318E-7</v>
      </c>
      <c r="AN26" s="2">
        <f t="shared" si="11"/>
        <v>1.6274474357110279E-6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-1.5235350401781034E-3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5.0245404243469238E-2</v>
      </c>
      <c r="W27" s="2">
        <f t="shared" si="0"/>
        <v>2.3033070589706384E-8</v>
      </c>
      <c r="X27" s="2">
        <f t="shared" si="8"/>
        <v>5.0245523452758789E-2</v>
      </c>
      <c r="Y27" s="2">
        <f t="shared" si="1"/>
        <v>-9.6376831980327093E-8</v>
      </c>
      <c r="Z27" s="2">
        <f t="shared" si="3"/>
        <v>5.0245463848114014E-2</v>
      </c>
      <c r="AA27" s="2">
        <f t="shared" si="2"/>
        <v>-3.6671880636329757E-8</v>
      </c>
      <c r="AB27" s="2">
        <f t="shared" si="4"/>
        <v>-8.4466601535386989E-16</v>
      </c>
      <c r="AC27" s="2">
        <f t="shared" si="5"/>
        <v>3.5343196784901635E-15</v>
      </c>
      <c r="AD27" s="2">
        <f t="shared" si="6"/>
        <v>1.1920928955078125E-7</v>
      </c>
      <c r="AF27" s="2">
        <v>23</v>
      </c>
      <c r="AG27" s="2">
        <f t="shared" si="13"/>
        <v>2976.9511222839355</v>
      </c>
      <c r="AH27" s="2">
        <v>-1.3789398735752911E-4</v>
      </c>
      <c r="AI27" s="2">
        <f t="shared" si="14"/>
        <v>2976.953387260437</v>
      </c>
      <c r="AJ27" s="2">
        <v>8.6825125936229597E-4</v>
      </c>
      <c r="AK27" s="2">
        <f t="shared" si="9"/>
        <v>2976.9522547721863</v>
      </c>
      <c r="AL27" s="2">
        <v>3.6517859143714304E-4</v>
      </c>
      <c r="AM27" s="2">
        <f t="shared" si="10"/>
        <v>-5.0355932070873691E-8</v>
      </c>
      <c r="AN27" s="2">
        <f t="shared" si="11"/>
        <v>3.170667719074488E-7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7294.632291825199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1.1529073433514729</v>
      </c>
      <c r="U28" s="2">
        <v>24</v>
      </c>
      <c r="V28" s="2">
        <f t="shared" si="7"/>
        <v>5.0245404243469238E-2</v>
      </c>
      <c r="W28" s="2">
        <f t="shared" si="0"/>
        <v>2.3033070589706384E-8</v>
      </c>
      <c r="X28" s="2">
        <f t="shared" si="8"/>
        <v>5.0245463848114014E-2</v>
      </c>
      <c r="Y28" s="2">
        <f t="shared" si="1"/>
        <v>-3.6671880636329757E-8</v>
      </c>
      <c r="Z28" s="2">
        <f t="shared" si="3"/>
        <v>5.0245434045791626E-2</v>
      </c>
      <c r="AA28" s="2">
        <f t="shared" si="2"/>
        <v>-6.8194050129033457E-9</v>
      </c>
      <c r="AB28" s="2">
        <f t="shared" si="4"/>
        <v>-1.5707183704200032E-16</v>
      </c>
      <c r="AC28" s="2">
        <f t="shared" si="5"/>
        <v>2.500804066439803E-16</v>
      </c>
      <c r="AD28" s="2">
        <f t="shared" si="6"/>
        <v>5.9604644775390625E-8</v>
      </c>
      <c r="AF28" s="2">
        <v>24</v>
      </c>
      <c r="AG28" s="2">
        <f t="shared" si="13"/>
        <v>2976.9511222839355</v>
      </c>
      <c r="AH28" s="2">
        <v>-1.3789398735752911E-4</v>
      </c>
      <c r="AI28" s="2">
        <f t="shared" si="14"/>
        <v>2976.9522547721863</v>
      </c>
      <c r="AJ28" s="2">
        <v>3.6517859143714304E-4</v>
      </c>
      <c r="AK28" s="2">
        <f t="shared" si="9"/>
        <v>2976.9516885280609</v>
      </c>
      <c r="AL28" s="2">
        <v>1.2266975409147562E-4</v>
      </c>
      <c r="AM28" s="2">
        <f t="shared" si="10"/>
        <v>-1.6915421519841145E-8</v>
      </c>
      <c r="AN28" s="2">
        <f t="shared" si="11"/>
        <v>4.4796368011065782E-8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83.477403147814755</v>
      </c>
      <c r="H29" t="s">
        <v>18</v>
      </c>
      <c r="U29" s="2">
        <v>25</v>
      </c>
      <c r="V29" s="2">
        <f t="shared" si="7"/>
        <v>5.0245404243469238E-2</v>
      </c>
      <c r="W29" s="2">
        <f t="shared" si="0"/>
        <v>2.3033070589706384E-8</v>
      </c>
      <c r="X29" s="2">
        <f t="shared" si="8"/>
        <v>5.0245434045791626E-2</v>
      </c>
      <c r="Y29" s="2">
        <f t="shared" si="1"/>
        <v>-6.8194050129033457E-9</v>
      </c>
      <c r="Z29" s="2">
        <f t="shared" si="3"/>
        <v>5.0245419144630432E-2</v>
      </c>
      <c r="AA29" s="2">
        <f t="shared" si="2"/>
        <v>8.1068327953404129E-9</v>
      </c>
      <c r="AB29" s="2">
        <f t="shared" si="4"/>
        <v>1.8672525203402245E-16</v>
      </c>
      <c r="AC29" s="2">
        <f t="shared" si="5"/>
        <v>-5.5283776203313652E-17</v>
      </c>
      <c r="AD29" s="2">
        <f t="shared" si="6"/>
        <v>2.9802322387695312E-8</v>
      </c>
      <c r="AF29" s="2">
        <v>25</v>
      </c>
      <c r="AG29" s="2">
        <f t="shared" si="13"/>
        <v>2976.9511222839355</v>
      </c>
      <c r="AH29" s="2">
        <v>-1.3789398735752911E-4</v>
      </c>
      <c r="AI29" s="2">
        <f t="shared" si="14"/>
        <v>2976.9516885280609</v>
      </c>
      <c r="AJ29" s="2">
        <v>1.2266975409147562E-4</v>
      </c>
      <c r="AK29" s="2">
        <f t="shared" si="9"/>
        <v>2976.9514054059982</v>
      </c>
      <c r="AL29" s="2">
        <v>1.4153447409626096E-6</v>
      </c>
      <c r="AM29" s="2">
        <f t="shared" si="10"/>
        <v>-1.9516752981684341E-10</v>
      </c>
      <c r="AN29" s="2">
        <f t="shared" si="11"/>
        <v>1.7361999132854659E-10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8.915430533800631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5.0245419144630432E-2</v>
      </c>
      <c r="W30" s="2">
        <f t="shared" si="0"/>
        <v>8.1068327953404129E-9</v>
      </c>
      <c r="X30" s="2">
        <f t="shared" si="8"/>
        <v>5.0245434045791626E-2</v>
      </c>
      <c r="Y30" s="2">
        <f t="shared" si="1"/>
        <v>-6.8194050129033457E-9</v>
      </c>
      <c r="Z30" s="2">
        <f t="shared" si="3"/>
        <v>5.0245426595211029E-2</v>
      </c>
      <c r="AA30" s="2">
        <f t="shared" si="2"/>
        <v>6.4371389468798057E-10</v>
      </c>
      <c r="AB30" s="2">
        <f t="shared" si="4"/>
        <v>5.218480912272826E-18</v>
      </c>
      <c r="AC30" s="2">
        <f t="shared" si="5"/>
        <v>-4.3897457603107512E-18</v>
      </c>
      <c r="AD30" s="2">
        <f t="shared" si="6"/>
        <v>1.4901161193847656E-8</v>
      </c>
      <c r="AF30" s="2">
        <v>26</v>
      </c>
      <c r="AG30" s="2">
        <f t="shared" si="13"/>
        <v>2976.9511222839355</v>
      </c>
      <c r="AH30" s="2">
        <v>-1.3789398735752911E-4</v>
      </c>
      <c r="AI30" s="2">
        <f t="shared" si="14"/>
        <v>2976.9514054059982</v>
      </c>
      <c r="AJ30" s="2">
        <v>1.4153447409626096E-6</v>
      </c>
      <c r="AK30" s="2">
        <f t="shared" si="9"/>
        <v>2976.9512638449669</v>
      </c>
      <c r="AL30" s="2">
        <v>-5.9211860389041249E-5</v>
      </c>
      <c r="AM30" s="2">
        <f t="shared" si="10"/>
        <v>8.1649595279022324E-9</v>
      </c>
      <c r="AN30" s="2">
        <f t="shared" si="11"/>
        <v>-8.3805195204241793E-11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333.90961259125902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5.0245426595211029E-2</v>
      </c>
      <c r="W31" s="2">
        <f t="shared" si="0"/>
        <v>6.4371389468798057E-10</v>
      </c>
      <c r="X31" s="2">
        <f t="shared" si="8"/>
        <v>5.0245434045791626E-2</v>
      </c>
      <c r="Y31" s="2">
        <f t="shared" si="1"/>
        <v>-6.8194050129033457E-9</v>
      </c>
      <c r="Z31" s="2">
        <f t="shared" si="3"/>
        <v>5.0245430320501328E-2</v>
      </c>
      <c r="AA31" s="2">
        <f t="shared" si="2"/>
        <v>-3.0878455556382356E-9</v>
      </c>
      <c r="AB31" s="2">
        <f t="shared" si="4"/>
        <v>-1.9876890888148601E-18</v>
      </c>
      <c r="AC31" s="2">
        <f t="shared" si="5"/>
        <v>2.1057269461190701E-17</v>
      </c>
      <c r="AD31" s="2">
        <f t="shared" si="6"/>
        <v>7.4505805969238281E-9</v>
      </c>
      <c r="AF31" s="2">
        <v>27</v>
      </c>
      <c r="AG31" s="2">
        <f t="shared" si="13"/>
        <v>2976.9512638449669</v>
      </c>
      <c r="AH31" s="2">
        <v>-5.9211860389041249E-5</v>
      </c>
      <c r="AI31" s="2">
        <f t="shared" si="14"/>
        <v>2976.9514054059982</v>
      </c>
      <c r="AJ31" s="2">
        <v>1.4153447409626096E-6</v>
      </c>
      <c r="AK31" s="2">
        <f t="shared" si="9"/>
        <v>2976.9513346254826</v>
      </c>
      <c r="AL31" s="2">
        <v>-3.7925721244391752E-5</v>
      </c>
      <c r="AM31" s="2">
        <f t="shared" si="10"/>
        <v>2.2456525114766202E-9</v>
      </c>
      <c r="AN31" s="2">
        <f t="shared" si="11"/>
        <v>-5.3677970110463786E-11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1341.92</v>
      </c>
      <c r="L32" s="6" t="s">
        <v>7</v>
      </c>
      <c r="U32" s="2">
        <v>28</v>
      </c>
      <c r="V32" s="2">
        <f t="shared" si="7"/>
        <v>5.0245426595211029E-2</v>
      </c>
      <c r="W32" s="2">
        <f t="shared" si="0"/>
        <v>6.4371389468798057E-10</v>
      </c>
      <c r="X32" s="2">
        <f t="shared" si="8"/>
        <v>5.0245430320501328E-2</v>
      </c>
      <c r="Y32" s="2">
        <f t="shared" si="1"/>
        <v>-3.0878455556382356E-9</v>
      </c>
      <c r="Z32" s="2">
        <f t="shared" si="3"/>
        <v>5.0245428457856178E-2</v>
      </c>
      <c r="AA32" s="2">
        <f t="shared" si="2"/>
        <v>-1.2220658304751275E-9</v>
      </c>
      <c r="AB32" s="2">
        <f t="shared" si="4"/>
        <v>-7.866607553002458E-19</v>
      </c>
      <c r="AC32" s="2">
        <f t="shared" si="5"/>
        <v>3.7735505433299717E-18</v>
      </c>
      <c r="AD32" s="2">
        <f t="shared" si="6"/>
        <v>3.7252902984619141E-9</v>
      </c>
      <c r="AF32" s="2">
        <v>28</v>
      </c>
      <c r="AG32" s="2">
        <f t="shared" si="13"/>
        <v>2976.9513346254826</v>
      </c>
      <c r="AH32" s="2">
        <v>-3.7925721244391752E-5</v>
      </c>
      <c r="AI32" s="2">
        <f t="shared" si="14"/>
        <v>2976.9514054059982</v>
      </c>
      <c r="AJ32" s="2">
        <v>1.4153447409626096E-6</v>
      </c>
      <c r="AK32" s="2">
        <f t="shared" si="9"/>
        <v>2976.9513700157404</v>
      </c>
      <c r="AL32" s="2">
        <v>-2.728265189944068E-5</v>
      </c>
      <c r="AM32" s="2">
        <f t="shared" si="10"/>
        <v>1.0347142507459624E-9</v>
      </c>
      <c r="AN32" s="2">
        <f t="shared" si="11"/>
        <v>-3.8614357885386919E-11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5.0245426595211029E-2</v>
      </c>
      <c r="W33" s="2">
        <f t="shared" si="0"/>
        <v>6.4371389468798057E-10</v>
      </c>
      <c r="X33" s="2">
        <f t="shared" si="8"/>
        <v>5.0245428457856178E-2</v>
      </c>
      <c r="Y33" s="2">
        <f t="shared" si="1"/>
        <v>-1.2220658304751275E-9</v>
      </c>
      <c r="Z33" s="2">
        <f t="shared" si="3"/>
        <v>5.0245427526533604E-2</v>
      </c>
      <c r="AA33" s="2">
        <f t="shared" si="2"/>
        <v>-2.8917596789357347E-10</v>
      </c>
      <c r="AB33" s="2">
        <f t="shared" si="4"/>
        <v>-1.861465885429386E-19</v>
      </c>
      <c r="AC33" s="2">
        <f t="shared" si="5"/>
        <v>3.5339206935730867E-19</v>
      </c>
      <c r="AD33" s="2">
        <f t="shared" si="6"/>
        <v>1.862645149230957E-9</v>
      </c>
      <c r="AF33" s="2">
        <v>29</v>
      </c>
      <c r="AG33" s="2">
        <f t="shared" si="13"/>
        <v>2976.9513700157404</v>
      </c>
      <c r="AH33" s="2">
        <v>-2.728265189944068E-5</v>
      </c>
      <c r="AI33" s="2">
        <f t="shared" si="14"/>
        <v>2976.9514054059982</v>
      </c>
      <c r="AJ33" s="2">
        <v>1.4153447409626096E-6</v>
      </c>
      <c r="AK33" s="2">
        <f t="shared" si="9"/>
        <v>2976.9513877108693</v>
      </c>
      <c r="AL33" s="2">
        <v>-3.9061892493919004E-6</v>
      </c>
      <c r="AM33" s="2">
        <f t="shared" si="10"/>
        <v>1.0657120154449669E-10</v>
      </c>
      <c r="AN33" s="2">
        <f t="shared" si="11"/>
        <v>-5.5286044113315099E-12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5.0245426595211029E-2</v>
      </c>
      <c r="W34" s="2">
        <f t="shared" si="0"/>
        <v>6.4371389468798057E-10</v>
      </c>
      <c r="X34" s="2">
        <f t="shared" si="8"/>
        <v>5.0245427526533604E-2</v>
      </c>
      <c r="Y34" s="2">
        <f t="shared" si="1"/>
        <v>-2.8917596789357347E-10</v>
      </c>
      <c r="Z34" s="2">
        <f t="shared" si="3"/>
        <v>5.0245427060872316E-2</v>
      </c>
      <c r="AA34" s="2">
        <f t="shared" si="2"/>
        <v>1.7726896339720355E-10</v>
      </c>
      <c r="AB34" s="2">
        <f t="shared" si="4"/>
        <v>1.1411049483571497E-19</v>
      </c>
      <c r="AC34" s="2">
        <f t="shared" si="5"/>
        <v>-5.1261924067876784E-20</v>
      </c>
      <c r="AD34" s="2">
        <f>X34-V34</f>
        <v>9.3132257461547852E-10</v>
      </c>
      <c r="AF34" s="2">
        <v>30</v>
      </c>
      <c r="AG34" s="2">
        <f t="shared" si="13"/>
        <v>2976.9513877108693</v>
      </c>
      <c r="AH34" s="2">
        <v>-3.9061892493919004E-6</v>
      </c>
      <c r="AI34" s="2">
        <f t="shared" si="14"/>
        <v>2976.9514054059982</v>
      </c>
      <c r="AJ34" s="2">
        <v>1.4153447409626096E-6</v>
      </c>
      <c r="AK34" s="2">
        <f t="shared" si="9"/>
        <v>2976.9513965584338</v>
      </c>
      <c r="AL34" s="2">
        <v>-1.2454220268409699E-6</v>
      </c>
      <c r="AM34" s="2">
        <f t="shared" si="10"/>
        <v>4.8648541322020675E-12</v>
      </c>
      <c r="AN34" s="2">
        <f t="shared" si="11"/>
        <v>-1.7627015159683609E-12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268.19627173517949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2976.9513965584338</v>
      </c>
      <c r="AH35" s="2">
        <v>-1.2454220268409699E-6</v>
      </c>
      <c r="AI35" s="2">
        <f t="shared" si="14"/>
        <v>2976.9514054059982</v>
      </c>
      <c r="AJ35" s="2">
        <v>1.4153447409626096E-6</v>
      </c>
      <c r="AK35" s="2">
        <f t="shared" si="9"/>
        <v>2976.951400982216</v>
      </c>
      <c r="AL35" s="2">
        <v>8.4960447566118091E-8</v>
      </c>
      <c r="AM35" s="2">
        <f t="shared" si="10"/>
        <v>-1.0581161280911074E-13</v>
      </c>
      <c r="AN35" s="2">
        <f t="shared" si="11"/>
        <v>1.2024832265253479E-13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2976.95</v>
      </c>
      <c r="L36" s="6" t="s">
        <v>7</v>
      </c>
      <c r="AF36" s="2">
        <v>32</v>
      </c>
      <c r="AG36" s="2">
        <f t="shared" si="13"/>
        <v>2976.9513965584338</v>
      </c>
      <c r="AH36" s="2">
        <v>-1.2454220268409699E-6</v>
      </c>
      <c r="AI36" s="2">
        <f t="shared" si="14"/>
        <v>2976.951400982216</v>
      </c>
      <c r="AJ36" s="2">
        <v>8.4960447566118091E-8</v>
      </c>
      <c r="AK36" s="2">
        <f t="shared" si="9"/>
        <v>2976.9513987703249</v>
      </c>
      <c r="AL36" s="2">
        <v>-5.8022988014272414E-7</v>
      </c>
      <c r="AM36" s="2">
        <f t="shared" si="10"/>
        <v>7.2263107336104455E-13</v>
      </c>
      <c r="AN36" s="2">
        <f t="shared" si="11"/>
        <v>-4.9296590308160899E-14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2976.9513987703249</v>
      </c>
      <c r="AH37" s="2">
        <v>-5.8022988014272414E-7</v>
      </c>
      <c r="AI37" s="2">
        <f t="shared" si="14"/>
        <v>2976.951400982216</v>
      </c>
      <c r="AJ37" s="2">
        <v>8.4960447566118091E-8</v>
      </c>
      <c r="AK37" s="2">
        <f t="shared" si="9"/>
        <v>2976.9513998762704</v>
      </c>
      <c r="AL37" s="2">
        <v>-2.4763448891462758E-7</v>
      </c>
      <c r="AM37" s="2">
        <f t="shared" si="10"/>
        <v>1.4368492982213911E-13</v>
      </c>
      <c r="AN37" s="2">
        <f t="shared" si="11"/>
        <v>-2.1039137010993668E-14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2976.9513998762704</v>
      </c>
      <c r="AH38" s="2">
        <v>-2.4763448891462758E-7</v>
      </c>
      <c r="AI38" s="2">
        <f t="shared" si="14"/>
        <v>2976.951400982216</v>
      </c>
      <c r="AJ38" s="2">
        <v>8.4960447566118091E-8</v>
      </c>
      <c r="AK38" s="2">
        <f t="shared" si="9"/>
        <v>2976.9514004292432</v>
      </c>
      <c r="AL38" s="2">
        <v>-8.1336565926903859E-8</v>
      </c>
      <c r="AM38" s="2">
        <f t="shared" si="10"/>
        <v>2.0141738933379749E-14</v>
      </c>
      <c r="AN38" s="2">
        <f t="shared" si="11"/>
        <v>-6.9103910446408226E-15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2976.9514004292432</v>
      </c>
      <c r="AH39" s="2">
        <v>-8.1336565926903859E-8</v>
      </c>
      <c r="AI39" s="2">
        <f t="shared" si="14"/>
        <v>2976.951400982216</v>
      </c>
      <c r="AJ39" s="2">
        <v>8.4960447566118091E-8</v>
      </c>
      <c r="AK39" s="2">
        <f t="shared" si="9"/>
        <v>2976.9514007057296</v>
      </c>
      <c r="AL39" s="2">
        <v>1.8121681932825595E-9</v>
      </c>
      <c r="AM39" s="2">
        <f t="shared" si="10"/>
        <v>-1.4739553772356516E-16</v>
      </c>
      <c r="AN39" s="2">
        <f t="shared" si="11"/>
        <v>1.5396262076636985E-16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45.08</v>
      </c>
      <c r="L40" s="6" t="s">
        <v>58</v>
      </c>
      <c r="AF40" s="2">
        <v>36</v>
      </c>
      <c r="AG40" s="2">
        <f t="shared" si="13"/>
        <v>2976.9514004292432</v>
      </c>
      <c r="AH40" s="2">
        <v>-8.1336565926903859E-8</v>
      </c>
      <c r="AI40" s="2">
        <f t="shared" si="14"/>
        <v>2976.9514007057296</v>
      </c>
      <c r="AJ40" s="2">
        <v>1.8121681932825595E-9</v>
      </c>
      <c r="AK40" s="2">
        <f t="shared" si="9"/>
        <v>2976.9514005674864</v>
      </c>
      <c r="AL40" s="2">
        <v>-3.976083462475799E-8</v>
      </c>
      <c r="AM40" s="2">
        <f t="shared" si="10"/>
        <v>3.2340097467653499E-15</v>
      </c>
      <c r="AN40" s="2">
        <f t="shared" si="11"/>
        <v>-7.2053319845354322E-17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23.23</v>
      </c>
      <c r="L41" s="6" t="s">
        <v>58</v>
      </c>
      <c r="AF41" s="2">
        <v>37</v>
      </c>
      <c r="AG41" s="2">
        <f t="shared" si="13"/>
        <v>2976.9514005674864</v>
      </c>
      <c r="AH41" s="2">
        <v>-3.976083462475799E-8</v>
      </c>
      <c r="AI41" s="2">
        <f t="shared" si="14"/>
        <v>2976.9514007057296</v>
      </c>
      <c r="AJ41" s="2">
        <v>1.8121681932825595E-9</v>
      </c>
      <c r="AK41" s="2">
        <f t="shared" si="9"/>
        <v>2976.951400636608</v>
      </c>
      <c r="AL41" s="2">
        <v>-1.8976152205141261E-8</v>
      </c>
      <c r="AM41" s="2">
        <f t="shared" si="10"/>
        <v>7.5450764964285835E-16</v>
      </c>
      <c r="AN41" s="2">
        <f t="shared" si="11"/>
        <v>-3.4387979457045697E-17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2976.951400636608</v>
      </c>
      <c r="AH42" s="2">
        <v>-1.8976152205141261E-8</v>
      </c>
      <c r="AI42" s="2">
        <f t="shared" si="14"/>
        <v>2976.9514007057296</v>
      </c>
      <c r="AJ42" s="2">
        <v>-1.8976152205141261E-8</v>
      </c>
      <c r="AK42" s="2">
        <f t="shared" si="9"/>
        <v>2976.9514006711688</v>
      </c>
      <c r="AL42" s="2">
        <v>-8.5824467532802373E-9</v>
      </c>
      <c r="AM42" s="2">
        <f t="shared" si="10"/>
        <v>1.6286181588276623E-16</v>
      </c>
      <c r="AN42" s="2">
        <f t="shared" si="11"/>
        <v>1.6286181588276623E-16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2976.9514006711688</v>
      </c>
      <c r="AH43" s="2">
        <v>-8.5824467532802373E-9</v>
      </c>
      <c r="AI43" s="2">
        <f t="shared" si="14"/>
        <v>2976.9514006711688</v>
      </c>
      <c r="AJ43" s="2">
        <v>-1.8976152205141261E-8</v>
      </c>
      <c r="AK43" s="2">
        <f t="shared" si="9"/>
        <v>2976.9514006711688</v>
      </c>
      <c r="AL43" s="2">
        <v>-8.5824467532802373E-9</v>
      </c>
      <c r="AM43" s="2">
        <f t="shared" si="10"/>
        <v>7.3658392272890487E-17</v>
      </c>
      <c r="AN43" s="2">
        <f t="shared" si="11"/>
        <v>1.6286181588276623E-16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99.999999999999986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2976.9514006711688</v>
      </c>
      <c r="AH44" s="2">
        <v>-8.5824467532802373E-9</v>
      </c>
      <c r="AI44" s="2">
        <f t="shared" si="14"/>
        <v>2976.9514006711688</v>
      </c>
      <c r="AJ44" s="2">
        <v>-1.8976152205141261E-8</v>
      </c>
      <c r="AK44" s="5">
        <f>(AG44+AI44)/2</f>
        <v>2976.9514006711688</v>
      </c>
      <c r="AL44" s="2">
        <v>-8.5824467532802373E-9</v>
      </c>
      <c r="AM44" s="2">
        <f t="shared" si="10"/>
        <v>7.3658392272890487E-17</v>
      </c>
      <c r="AN44" s="2">
        <f t="shared" si="11"/>
        <v>1.6286181588276623E-16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3079.2848402475352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99.786038312668978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34.770000000000003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I22" sqref="I2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365.93470588866836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5.9217852634729243E-2</v>
      </c>
      <c r="X4" s="3">
        <v>1</v>
      </c>
      <c r="Y4" s="2">
        <f t="shared" ref="Y4:Y34" si="1" xml:space="preserve"> $O$20 * TAN($O$17/180*PI()) + $O$21 / (2 * SQRT($O$20^2 + X4^2)) - X4</f>
        <v>-0.94421447061303332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-0.44259907579085872</v>
      </c>
      <c r="AB4" s="2">
        <f>W4*AA4</f>
        <v>-2.620976684645043E-2</v>
      </c>
      <c r="AC4" s="2">
        <f>Y4*AA4</f>
        <v>0.41790845204168348</v>
      </c>
      <c r="AD4" s="2">
        <f>X4-V4</f>
        <v>1</v>
      </c>
      <c r="AF4" s="2">
        <v>0</v>
      </c>
      <c r="AG4" s="2"/>
      <c r="AH4" s="2">
        <f>K27</f>
        <v>1.299989149765679E-2</v>
      </c>
      <c r="AI4" s="2"/>
      <c r="AJ4" s="2">
        <f>K27</f>
        <v>1.299989149765679E-2</v>
      </c>
      <c r="AK4" s="2"/>
      <c r="AL4" s="2">
        <f>K27</f>
        <v>1.299989149765679E-2</v>
      </c>
      <c r="AM4" s="2"/>
      <c r="AN4" s="2"/>
      <c r="AO4" s="2"/>
    </row>
    <row r="5" spans="2:41" x14ac:dyDescent="0.2">
      <c r="B5" s="10" t="s">
        <v>37</v>
      </c>
      <c r="C5" s="10">
        <v>2151.54474151866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91.48367647216709</v>
      </c>
      <c r="L5" s="6" t="s">
        <v>101</v>
      </c>
      <c r="N5" s="6" t="s">
        <v>114</v>
      </c>
      <c r="O5" s="6">
        <f xml:space="preserve"> $C$18 * 0.85 * ($C$5/$C$18 *2.20462/1000)^(2/3) * 0.3048^2</f>
        <v>0.35388183012621682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5.9217852634729243E-2</v>
      </c>
      <c r="X5" s="2">
        <f>IF(AC4&gt;0, Z4, X4)</f>
        <v>0.5</v>
      </c>
      <c r="Y5" s="2">
        <f t="shared" si="1"/>
        <v>-0.44259907579085872</v>
      </c>
      <c r="Z5" s="2">
        <f t="shared" ref="Z5:Z34" si="3" xml:space="preserve"> (V5 + X5)/2</f>
        <v>0.25</v>
      </c>
      <c r="AA5" s="2">
        <f t="shared" si="2"/>
        <v>-0.19143652840032815</v>
      </c>
      <c r="AB5" s="2">
        <f t="shared" ref="AB5:AB34" si="4">W5*AA5</f>
        <v>-1.1336460127714791E-2</v>
      </c>
      <c r="AC5" s="2">
        <f t="shared" ref="AC5:AC34" si="5">Y5*AA5</f>
        <v>8.4729630542595719E-2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-1495.9191304448134</v>
      </c>
      <c r="AI5" s="3">
        <v>10000</v>
      </c>
      <c r="AJ5" s="2">
        <f t="dataTable" ref="AJ5:AJ44" dt2D="0" dtr="0" r1="C5" ca="1"/>
        <v>6305.5884751649864</v>
      </c>
      <c r="AK5" s="2">
        <f>(AG5+AI5)/2</f>
        <v>5250</v>
      </c>
      <c r="AL5" s="2">
        <f t="dataTable" ref="AL5:AL44" dt2D="0" dtr="0" r1="C5"/>
        <v>2662.7251057206668</v>
      </c>
      <c r="AM5" s="2">
        <f>AH5*AL5</f>
        <v>-3983221.4247632334</v>
      </c>
      <c r="AN5" s="2">
        <f>AJ5*AL5</f>
        <v>16790048.739164706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5.9217852634729243E-2</v>
      </c>
      <c r="X6" s="2">
        <f t="shared" ref="X6:X34" si="8">IF(AC5&gt;0, Z5, X5)</f>
        <v>0.25</v>
      </c>
      <c r="Y6" s="2">
        <f t="shared" si="1"/>
        <v>-0.19143652840032815</v>
      </c>
      <c r="Z6" s="2">
        <f t="shared" si="3"/>
        <v>0.125</v>
      </c>
      <c r="AA6" s="2">
        <f t="shared" si="2"/>
        <v>-6.5967149376490175E-2</v>
      </c>
      <c r="AB6" s="2">
        <f t="shared" si="4"/>
        <v>-3.9064329305101659E-3</v>
      </c>
      <c r="AC6" s="2">
        <f t="shared" si="5"/>
        <v>1.2628522065101152E-2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-1495.9191304448134</v>
      </c>
      <c r="AI6" s="2">
        <f>IF(AN5&gt;0, AK5, AI5)</f>
        <v>5250</v>
      </c>
      <c r="AJ6" s="2">
        <v>2662.7251057206668</v>
      </c>
      <c r="AK6" s="2">
        <f t="shared" ref="AK6:AK43" si="9">(AG6+AI6)/2</f>
        <v>2875</v>
      </c>
      <c r="AL6" s="2">
        <v>642.32527179408544</v>
      </c>
      <c r="AM6" s="2">
        <f t="shared" ref="AM6:AM44" si="10">AH6*AL6</f>
        <v>-960866.66204493667</v>
      </c>
      <c r="AN6" s="2">
        <f t="shared" ref="AN6:AN44" si="11">AJ6*AL6</f>
        <v>1710335.6272449621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326.57500192613901</v>
      </c>
      <c r="D7" s="6" t="s">
        <v>125</v>
      </c>
      <c r="F7" t="s">
        <v>121</v>
      </c>
      <c r="G7" s="8">
        <f>$C$6*2*PI()/60*$C$9</f>
        <v>163.0826736315118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0.98415845346131281</v>
      </c>
      <c r="P7" s="6" t="s">
        <v>115</v>
      </c>
      <c r="U7" s="2">
        <v>3</v>
      </c>
      <c r="V7" s="2">
        <f t="shared" si="7"/>
        <v>0</v>
      </c>
      <c r="W7" s="2">
        <f t="shared" si="0"/>
        <v>5.9217852634729243E-2</v>
      </c>
      <c r="X7" s="2">
        <f t="shared" si="8"/>
        <v>0.125</v>
      </c>
      <c r="Y7" s="2">
        <f t="shared" si="1"/>
        <v>-6.5967149376490175E-2</v>
      </c>
      <c r="Z7" s="2">
        <f t="shared" si="3"/>
        <v>6.25E-2</v>
      </c>
      <c r="AA7" s="2">
        <f t="shared" si="2"/>
        <v>-3.3299897375954554E-3</v>
      </c>
      <c r="AB7" s="2">
        <f t="shared" si="4"/>
        <v>-1.9719484155608839E-4</v>
      </c>
      <c r="AC7" s="2">
        <f t="shared" si="5"/>
        <v>2.1966993044213873E-4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-1495.9191304448134</v>
      </c>
      <c r="AI7" s="2">
        <f t="shared" ref="AI7:AI44" si="14">IF(AN6&gt;0, AK6, AI6)</f>
        <v>2875</v>
      </c>
      <c r="AJ7" s="2">
        <v>642.32527179408544</v>
      </c>
      <c r="AK7" s="2">
        <f t="shared" si="9"/>
        <v>1687.5</v>
      </c>
      <c r="AL7" s="2">
        <v>-417.29158364105319</v>
      </c>
      <c r="AM7" s="2">
        <f t="shared" si="10"/>
        <v>624234.46294226346</v>
      </c>
      <c r="AN7" s="2">
        <f t="shared" si="11"/>
        <v>-268036.92987962381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0.48839292608091334</v>
      </c>
      <c r="H8" s="6" t="s">
        <v>122</v>
      </c>
      <c r="J8" s="6" t="s">
        <v>96</v>
      </c>
      <c r="K8" s="6">
        <f xml:space="preserve"> $C$15 * (G12*G6 + G22*G15 + G31*G27 +G35*G34)/3600</f>
        <v>193.17157808928246</v>
      </c>
      <c r="L8" s="6" t="s">
        <v>102</v>
      </c>
      <c r="N8" s="6" t="s">
        <v>38</v>
      </c>
      <c r="O8" s="6">
        <f xml:space="preserve"> O4 *O7</f>
        <v>2231.5436525098157</v>
      </c>
      <c r="P8" s="6" t="s">
        <v>20</v>
      </c>
      <c r="U8" s="2">
        <v>4</v>
      </c>
      <c r="V8" s="2">
        <f t="shared" si="7"/>
        <v>0</v>
      </c>
      <c r="W8" s="2">
        <f t="shared" si="0"/>
        <v>5.9217852634729243E-2</v>
      </c>
      <c r="X8" s="2">
        <f t="shared" si="8"/>
        <v>6.25E-2</v>
      </c>
      <c r="Y8" s="2">
        <f t="shared" si="1"/>
        <v>-3.3299897375954554E-3</v>
      </c>
      <c r="Z8" s="2">
        <f t="shared" si="3"/>
        <v>3.125E-2</v>
      </c>
      <c r="AA8" s="2">
        <f t="shared" si="2"/>
        <v>2.7955787739508686E-2</v>
      </c>
      <c r="AB8" s="2">
        <f t="shared" si="4"/>
        <v>1.6554817186459959E-3</v>
      </c>
      <c r="AC8" s="2">
        <f t="shared" si="5"/>
        <v>-9.3092486278960779E-5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-417.29158364105319</v>
      </c>
      <c r="AI8" s="2">
        <f t="shared" si="14"/>
        <v>2875</v>
      </c>
      <c r="AJ8" s="2">
        <v>642.32527179408544</v>
      </c>
      <c r="AK8" s="2">
        <f t="shared" si="9"/>
        <v>2281.25</v>
      </c>
      <c r="AL8" s="2">
        <v>115.93779234788849</v>
      </c>
      <c r="AM8" s="2">
        <f t="shared" si="10"/>
        <v>-48379.864972697964</v>
      </c>
      <c r="AN8" s="2">
        <f t="shared" si="11"/>
        <v>74469.773981063714</v>
      </c>
      <c r="AO8" s="2">
        <f t="shared" si="12"/>
        <v>1187.5</v>
      </c>
    </row>
    <row r="9" spans="2:41" x14ac:dyDescent="0.2">
      <c r="B9" s="6" t="s">
        <v>95</v>
      </c>
      <c r="C9" s="17">
        <v>3.8933120461646098</v>
      </c>
      <c r="D9" s="6" t="s">
        <v>8</v>
      </c>
      <c r="F9" t="s">
        <v>19</v>
      </c>
      <c r="G9" s="6">
        <f xml:space="preserve"> $C$5 * $C$44 / $C$18</f>
        <v>5272.0867085129257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2231.5436525098157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2.7955787739508686E-2</v>
      </c>
      <c r="X9" s="2">
        <f t="shared" si="8"/>
        <v>6.25E-2</v>
      </c>
      <c r="Y9" s="2">
        <f t="shared" si="1"/>
        <v>-3.3299897375954554E-3</v>
      </c>
      <c r="Z9" s="2">
        <f t="shared" si="3"/>
        <v>4.6875E-2</v>
      </c>
      <c r="AA9" s="2">
        <f t="shared" si="2"/>
        <v>1.2315804954268178E-2</v>
      </c>
      <c r="AB9" s="2">
        <f t="shared" si="4"/>
        <v>3.4429802914271064E-4</v>
      </c>
      <c r="AC9" s="2">
        <f t="shared" si="5"/>
        <v>-4.1011504107940298E-5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-417.29158364105319</v>
      </c>
      <c r="AI9" s="2">
        <f t="shared" si="14"/>
        <v>2281.25</v>
      </c>
      <c r="AJ9" s="2">
        <v>115.93779234788849</v>
      </c>
      <c r="AK9" s="2">
        <f t="shared" si="9"/>
        <v>1984.375</v>
      </c>
      <c r="AL9" s="2">
        <v>-149.86585554859312</v>
      </c>
      <c r="AM9" s="2">
        <f t="shared" si="10"/>
        <v>62537.760195593743</v>
      </c>
      <c r="AN9" s="2">
        <f t="shared" si="11"/>
        <v>-17375.116440631442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60.989117648111396</v>
      </c>
      <c r="H10" s="6" t="s">
        <v>101</v>
      </c>
      <c r="N10" s="6" t="s">
        <v>113</v>
      </c>
      <c r="O10" s="6">
        <f>O7/(0.3048^2)/($C$5*2.20462/1000)^(2/3)</f>
        <v>3.7524278632929025</v>
      </c>
      <c r="U10" s="2">
        <v>6</v>
      </c>
      <c r="V10" s="2">
        <f t="shared" si="7"/>
        <v>4.6875E-2</v>
      </c>
      <c r="W10" s="2">
        <f t="shared" si="0"/>
        <v>1.2315804954268178E-2</v>
      </c>
      <c r="X10" s="2">
        <f t="shared" si="8"/>
        <v>6.25E-2</v>
      </c>
      <c r="Y10" s="2">
        <f t="shared" si="1"/>
        <v>-3.3299897375954554E-3</v>
      </c>
      <c r="Z10" s="2">
        <f t="shared" si="3"/>
        <v>5.46875E-2</v>
      </c>
      <c r="AA10" s="2">
        <f t="shared" si="2"/>
        <v>4.4936241585545114E-3</v>
      </c>
      <c r="AB10" s="2">
        <f t="shared" si="4"/>
        <v>5.5342598674544827E-5</v>
      </c>
      <c r="AC10" s="2">
        <f t="shared" si="5"/>
        <v>-1.4963722332597537E-5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-149.86585554859312</v>
      </c>
      <c r="AI10" s="2">
        <f t="shared" si="14"/>
        <v>2281.25</v>
      </c>
      <c r="AJ10" s="2">
        <v>115.93779234788849</v>
      </c>
      <c r="AK10" s="2">
        <f t="shared" si="9"/>
        <v>2132.8125</v>
      </c>
      <c r="AL10" s="2">
        <v>-16.755579756204952</v>
      </c>
      <c r="AM10" s="2">
        <f t="shared" si="10"/>
        <v>2511.0892953763423</v>
      </c>
      <c r="AN10" s="2">
        <f t="shared" si="11"/>
        <v>-1942.6049264433739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8.8193796880798345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5.46875E-2</v>
      </c>
      <c r="W11" s="2">
        <f t="shared" si="0"/>
        <v>4.4936241585545114E-3</v>
      </c>
      <c r="X11" s="2">
        <f t="shared" si="8"/>
        <v>6.25E-2</v>
      </c>
      <c r="Y11" s="2">
        <f t="shared" si="1"/>
        <v>-3.3299897375954554E-3</v>
      </c>
      <c r="Z11" s="2">
        <f t="shared" si="3"/>
        <v>5.859375E-2</v>
      </c>
      <c r="AA11" s="2">
        <f t="shared" si="2"/>
        <v>5.8199494709287869E-4</v>
      </c>
      <c r="AB11" s="2">
        <f t="shared" si="4"/>
        <v>2.6152665544132142E-6</v>
      </c>
      <c r="AC11" s="2">
        <f t="shared" si="5"/>
        <v>-1.9380372011516961E-6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-16.755579756204952</v>
      </c>
      <c r="AI11" s="2">
        <f t="shared" si="14"/>
        <v>2281.25</v>
      </c>
      <c r="AJ11" s="2">
        <v>115.93779234788849</v>
      </c>
      <c r="AK11" s="2">
        <f t="shared" si="9"/>
        <v>2207.03125</v>
      </c>
      <c r="AL11" s="2">
        <v>49.643825729350738</v>
      </c>
      <c r="AM11" s="2">
        <f t="shared" si="10"/>
        <v>-831.81108141127572</v>
      </c>
      <c r="AN11" s="2">
        <f t="shared" si="11"/>
        <v>5755.5955587642293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243.95647059244558</v>
      </c>
      <c r="H12" s="25" t="s">
        <v>101</v>
      </c>
      <c r="J12" s="10" t="s">
        <v>79</v>
      </c>
      <c r="K12" s="6">
        <f>C5</f>
        <v>2151.54474151866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5.859375E-2</v>
      </c>
      <c r="W12" s="2">
        <f t="shared" si="0"/>
        <v>5.8199494709287869E-4</v>
      </c>
      <c r="X12" s="2">
        <f t="shared" si="8"/>
        <v>6.25E-2</v>
      </c>
      <c r="Y12" s="2">
        <f t="shared" si="1"/>
        <v>-3.3299897375954554E-3</v>
      </c>
      <c r="Z12" s="2">
        <f t="shared" si="3"/>
        <v>6.0546875E-2</v>
      </c>
      <c r="AA12" s="2">
        <f t="shared" si="2"/>
        <v>-1.3739531458165505E-3</v>
      </c>
      <c r="AB12" s="2">
        <f t="shared" si="4"/>
        <v>-7.9963378840759755E-7</v>
      </c>
      <c r="AC12" s="2">
        <f t="shared" si="5"/>
        <v>4.5752498755061052E-6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-16.755579756204952</v>
      </c>
      <c r="AI12" s="2">
        <f t="shared" si="14"/>
        <v>2207.03125</v>
      </c>
      <c r="AJ12" s="2">
        <v>49.643825729350738</v>
      </c>
      <c r="AK12" s="2">
        <f t="shared" si="9"/>
        <v>2169.921875</v>
      </c>
      <c r="AL12" s="2">
        <v>16.457226223730004</v>
      </c>
      <c r="AM12" s="2">
        <f t="shared" si="10"/>
        <v>-275.75036655761573</v>
      </c>
      <c r="AN12" s="2">
        <f t="shared" si="11"/>
        <v>816.99967063935321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516.50154569326867</v>
      </c>
      <c r="L13" s="6" t="s">
        <v>7</v>
      </c>
      <c r="N13" s="6" t="s">
        <v>74</v>
      </c>
      <c r="O13" s="6">
        <f xml:space="preserve"> SQRT( ($C$5*$C$50)^2 + O9^2)</f>
        <v>21204.081855787128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5.8199494709287869E-4</v>
      </c>
      <c r="X13" s="2">
        <f t="shared" si="8"/>
        <v>6.0546875E-2</v>
      </c>
      <c r="Y13" s="2">
        <f t="shared" si="1"/>
        <v>-1.3739531458165505E-3</v>
      </c>
      <c r="Z13" s="2">
        <f t="shared" si="3"/>
        <v>5.95703125E-2</v>
      </c>
      <c r="AA13" s="2">
        <f t="shared" si="2"/>
        <v>-3.9596801349128102E-4</v>
      </c>
      <c r="AB13" s="2">
        <f t="shared" si="4"/>
        <v>-2.3045138306233037E-7</v>
      </c>
      <c r="AC13" s="2">
        <f t="shared" si="5"/>
        <v>5.4404149777907589E-7</v>
      </c>
      <c r="AD13" s="2">
        <f t="shared" si="6"/>
        <v>1.953125E-3</v>
      </c>
      <c r="AF13" s="2">
        <v>9</v>
      </c>
      <c r="AG13" s="2">
        <f t="shared" si="13"/>
        <v>2132.8125</v>
      </c>
      <c r="AH13" s="2">
        <v>-16.755579756204952</v>
      </c>
      <c r="AI13" s="2">
        <f t="shared" si="14"/>
        <v>2169.921875</v>
      </c>
      <c r="AJ13" s="2">
        <v>16.457226223730004</v>
      </c>
      <c r="AK13" s="2">
        <f t="shared" si="9"/>
        <v>2151.3671875</v>
      </c>
      <c r="AL13" s="2">
        <v>-0.14590878033459376</v>
      </c>
      <c r="AM13" s="2">
        <f t="shared" si="10"/>
        <v>2.4447862060268744</v>
      </c>
      <c r="AN13" s="2">
        <f t="shared" si="11"/>
        <v>-2.4012538059949371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multirotor_opt_250_test_250!K14</f>
        <v>216.33251792406782</v>
      </c>
      <c r="L14" s="6" t="s">
        <v>7</v>
      </c>
      <c r="N14" s="6" t="s">
        <v>75</v>
      </c>
      <c r="O14" s="6">
        <f>$C$5*$C$50/O13</f>
        <v>0.99444672232252074</v>
      </c>
      <c r="U14" s="2">
        <v>10</v>
      </c>
      <c r="V14" s="2">
        <f t="shared" si="7"/>
        <v>5.859375E-2</v>
      </c>
      <c r="W14" s="2">
        <f t="shared" si="0"/>
        <v>5.8199494709287869E-4</v>
      </c>
      <c r="X14" s="2">
        <f t="shared" si="8"/>
        <v>5.95703125E-2</v>
      </c>
      <c r="Y14" s="2">
        <f t="shared" si="1"/>
        <v>-3.9596801349128102E-4</v>
      </c>
      <c r="Z14" s="2">
        <f t="shared" si="3"/>
        <v>5.908203125E-2</v>
      </c>
      <c r="AA14" s="2">
        <f t="shared" si="2"/>
        <v>9.3016241170695846E-5</v>
      </c>
      <c r="AB14" s="2">
        <f t="shared" si="4"/>
        <v>5.4134982358917574E-8</v>
      </c>
      <c r="AC14" s="2">
        <f t="shared" si="5"/>
        <v>-3.6831456238786344E-8</v>
      </c>
      <c r="AD14" s="2">
        <f t="shared" si="6"/>
        <v>9.765625E-4</v>
      </c>
      <c r="AF14" s="2">
        <v>10</v>
      </c>
      <c r="AG14" s="2">
        <f t="shared" si="13"/>
        <v>2151.3671875</v>
      </c>
      <c r="AH14" s="2">
        <v>-0.14590878033459376</v>
      </c>
      <c r="AI14" s="2">
        <f t="shared" si="14"/>
        <v>2169.921875</v>
      </c>
      <c r="AJ14" s="2">
        <v>-0.14590878033459376</v>
      </c>
      <c r="AK14" s="2">
        <f t="shared" si="9"/>
        <v>2160.64453125</v>
      </c>
      <c r="AL14" s="2">
        <v>-8.4499315762611786</v>
      </c>
      <c r="AM14" s="2">
        <f t="shared" si="10"/>
        <v>1.23291921020304</v>
      </c>
      <c r="AN14" s="2">
        <f t="shared" si="11"/>
        <v>1.23291921020304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multirotor_opt_250_test_250!K15</f>
        <v>322.51669751493165</v>
      </c>
      <c r="L15" s="6" t="s">
        <v>7</v>
      </c>
      <c r="U15" s="2">
        <v>11</v>
      </c>
      <c r="V15" s="2">
        <f t="shared" si="7"/>
        <v>5.908203125E-2</v>
      </c>
      <c r="W15" s="2">
        <f t="shared" si="0"/>
        <v>9.3016241170695846E-5</v>
      </c>
      <c r="X15" s="2">
        <f t="shared" si="8"/>
        <v>5.95703125E-2</v>
      </c>
      <c r="Y15" s="2">
        <f t="shared" si="1"/>
        <v>-3.9596801349128102E-4</v>
      </c>
      <c r="Z15" s="2">
        <f t="shared" si="3"/>
        <v>5.9326171875E-2</v>
      </c>
      <c r="AA15" s="2">
        <f t="shared" si="2"/>
        <v>-1.5147519292895567E-4</v>
      </c>
      <c r="AB15" s="2">
        <f t="shared" si="4"/>
        <v>-1.4089653076857423E-8</v>
      </c>
      <c r="AC15" s="2">
        <f t="shared" si="5"/>
        <v>5.9979331237287115E-8</v>
      </c>
      <c r="AD15" s="2">
        <f t="shared" si="6"/>
        <v>4.8828125E-4</v>
      </c>
      <c r="AF15" s="2">
        <v>11</v>
      </c>
      <c r="AG15" s="2">
        <f t="shared" si="13"/>
        <v>2160.64453125</v>
      </c>
      <c r="AH15" s="2">
        <v>-0.14590878033459376</v>
      </c>
      <c r="AI15" s="2">
        <f t="shared" si="14"/>
        <v>2160.64453125</v>
      </c>
      <c r="AJ15" s="2">
        <v>-8.4499315762611786</v>
      </c>
      <c r="AK15" s="2">
        <f t="shared" si="9"/>
        <v>2160.64453125</v>
      </c>
      <c r="AL15" s="2">
        <v>-8.4499315762611786</v>
      </c>
      <c r="AM15" s="2">
        <f t="shared" si="10"/>
        <v>1.23291921020304</v>
      </c>
      <c r="AN15" s="2">
        <f t="shared" si="11"/>
        <v>71.401343643495721</v>
      </c>
      <c r="AO15" s="2">
        <f t="shared" si="12"/>
        <v>0</v>
      </c>
    </row>
    <row r="16" spans="2:41" x14ac:dyDescent="0.2">
      <c r="F16" t="s">
        <v>121</v>
      </c>
      <c r="G16" s="8">
        <f>O19*$C$9</f>
        <v>133.14681113832714</v>
      </c>
      <c r="H16" s="6" t="s">
        <v>10</v>
      </c>
      <c r="J16" s="13" t="s">
        <v>53</v>
      </c>
      <c r="K16" s="6">
        <f xml:space="preserve"> multirotor_opt_250_test_250!K16</f>
        <v>99.277006829470949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5.908203125E-2</v>
      </c>
      <c r="W16" s="2">
        <f t="shared" si="0"/>
        <v>9.3016241170695846E-5</v>
      </c>
      <c r="X16" s="2">
        <f t="shared" si="8"/>
        <v>5.9326171875E-2</v>
      </c>
      <c r="Y16" s="2">
        <f t="shared" si="1"/>
        <v>-1.5147519292895567E-4</v>
      </c>
      <c r="Z16" s="2">
        <f t="shared" si="3"/>
        <v>5.92041015625E-2</v>
      </c>
      <c r="AA16" s="2">
        <f t="shared" si="2"/>
        <v>-2.9229302526051493E-5</v>
      </c>
      <c r="AB16" s="2">
        <f t="shared" si="4"/>
        <v>-2.7187998530144349E-9</v>
      </c>
      <c r="AC16" s="2">
        <f t="shared" si="5"/>
        <v>4.4275142393124616E-9</v>
      </c>
      <c r="AD16" s="2">
        <f t="shared" si="6"/>
        <v>2.44140625E-4</v>
      </c>
      <c r="AF16" s="2">
        <v>12</v>
      </c>
      <c r="AG16" s="2">
        <f t="shared" si="13"/>
        <v>2160.64453125</v>
      </c>
      <c r="AH16" s="2">
        <v>-0.14590878033459376</v>
      </c>
      <c r="AI16" s="2">
        <f t="shared" si="14"/>
        <v>2160.64453125</v>
      </c>
      <c r="AJ16" s="2">
        <v>-12.602552206039491</v>
      </c>
      <c r="AK16" s="2">
        <f t="shared" si="9"/>
        <v>2160.64453125</v>
      </c>
      <c r="AL16" s="2">
        <v>-8.4499315762611786</v>
      </c>
      <c r="AM16" s="2">
        <f t="shared" si="10"/>
        <v>1.23291921020304</v>
      </c>
      <c r="AN16" s="2">
        <f t="shared" si="11"/>
        <v>106.49070382729306</v>
      </c>
      <c r="AO16" s="2">
        <f t="shared" si="12"/>
        <v>0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0.40017465127757584</v>
      </c>
      <c r="H17" s="6" t="s">
        <v>122</v>
      </c>
      <c r="J17" s="13" t="s">
        <v>77</v>
      </c>
      <c r="K17" s="6">
        <f xml:space="preserve"> multirotor_opt_250_test_250!K17</f>
        <v>53.353265129589388</v>
      </c>
      <c r="L17" s="6" t="s">
        <v>7</v>
      </c>
      <c r="N17" s="6" t="s">
        <v>25</v>
      </c>
      <c r="O17" s="6">
        <f xml:space="preserve"> ACOS(O14)/PI()*180</f>
        <v>6.0410650176030405</v>
      </c>
      <c r="P17" s="6" t="s">
        <v>40</v>
      </c>
      <c r="U17" s="2">
        <v>13</v>
      </c>
      <c r="V17" s="2">
        <f t="shared" si="7"/>
        <v>5.908203125E-2</v>
      </c>
      <c r="W17" s="2">
        <f t="shared" si="0"/>
        <v>9.3016241170695846E-5</v>
      </c>
      <c r="X17" s="2">
        <f t="shared" si="8"/>
        <v>5.92041015625E-2</v>
      </c>
      <c r="Y17" s="2">
        <f t="shared" si="1"/>
        <v>-2.9229302526051493E-5</v>
      </c>
      <c r="Z17" s="2">
        <f t="shared" si="3"/>
        <v>5.914306640625E-2</v>
      </c>
      <c r="AA17" s="2">
        <f t="shared" si="2"/>
        <v>3.1893512666240909E-5</v>
      </c>
      <c r="AB17" s="2">
        <f t="shared" si="4"/>
        <v>2.9666146659437072E-9</v>
      </c>
      <c r="AC17" s="2">
        <f t="shared" si="5"/>
        <v>-9.3222513034001074E-10</v>
      </c>
      <c r="AD17" s="2">
        <f t="shared" si="6"/>
        <v>1.220703125E-4</v>
      </c>
      <c r="AF17" s="2">
        <v>13</v>
      </c>
      <c r="AG17" s="2">
        <f t="shared" si="13"/>
        <v>2160.64453125</v>
      </c>
      <c r="AH17" s="2">
        <v>-0.14590878033459376</v>
      </c>
      <c r="AI17" s="2">
        <f t="shared" si="14"/>
        <v>2160.64453125</v>
      </c>
      <c r="AJ17" s="2">
        <v>-14.679015270872469</v>
      </c>
      <c r="AK17" s="2">
        <f t="shared" si="9"/>
        <v>2160.64453125</v>
      </c>
      <c r="AL17" s="2">
        <v>-8.4499315762611786</v>
      </c>
      <c r="AM17" s="2">
        <f t="shared" si="10"/>
        <v>1.23291921020304</v>
      </c>
      <c r="AN17" s="2">
        <f t="shared" si="11"/>
        <v>124.03667464576532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5301.020463946782</v>
      </c>
      <c r="H18" s="6" t="s">
        <v>20</v>
      </c>
      <c r="J18" s="14" t="s">
        <v>60</v>
      </c>
      <c r="K18" s="6">
        <f xml:space="preserve"> multirotor_opt_250_test_250!K18</f>
        <v>137.66930469055134</v>
      </c>
      <c r="L18" s="6" t="s">
        <v>7</v>
      </c>
      <c r="N18" s="6" t="s">
        <v>19</v>
      </c>
      <c r="O18" s="6">
        <f xml:space="preserve"> O13 / $C$18</f>
        <v>5301.020463946782</v>
      </c>
      <c r="P18" s="6" t="s">
        <v>20</v>
      </c>
      <c r="U18" s="2">
        <v>14</v>
      </c>
      <c r="V18" s="2">
        <f t="shared" si="7"/>
        <v>5.914306640625E-2</v>
      </c>
      <c r="W18" s="2">
        <f t="shared" si="0"/>
        <v>3.1893512666240909E-5</v>
      </c>
      <c r="X18" s="2">
        <f t="shared" si="8"/>
        <v>5.92041015625E-2</v>
      </c>
      <c r="Y18" s="2">
        <f t="shared" si="1"/>
        <v>-2.9229302526051493E-5</v>
      </c>
      <c r="Z18" s="2">
        <f t="shared" si="3"/>
        <v>5.9173583984375E-2</v>
      </c>
      <c r="AA18" s="2">
        <f t="shared" si="2"/>
        <v>1.3321159053683584E-6</v>
      </c>
      <c r="AB18" s="2">
        <f t="shared" si="4"/>
        <v>4.2485855500766714E-11</v>
      </c>
      <c r="AC18" s="2">
        <f t="shared" si="5"/>
        <v>-3.8936818797776728E-11</v>
      </c>
      <c r="AD18" s="2">
        <f t="shared" si="6"/>
        <v>6.103515625E-5</v>
      </c>
      <c r="AF18" s="2">
        <v>14</v>
      </c>
      <c r="AG18" s="2">
        <f t="shared" si="13"/>
        <v>2160.64453125</v>
      </c>
      <c r="AH18" s="2">
        <v>-0.14590878033459376</v>
      </c>
      <c r="AI18" s="2">
        <f t="shared" si="14"/>
        <v>2160.64453125</v>
      </c>
      <c r="AJ18" s="2">
        <v>-15.717287152945573</v>
      </c>
      <c r="AK18" s="2">
        <f t="shared" si="9"/>
        <v>2160.64453125</v>
      </c>
      <c r="AL18" s="2">
        <v>-8.4499315762611786</v>
      </c>
      <c r="AM18" s="2">
        <f t="shared" si="10"/>
        <v>1.23291921020304</v>
      </c>
      <c r="AN18" s="2">
        <f t="shared" si="11"/>
        <v>132.81000100683897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59.196064191512285</v>
      </c>
      <c r="H19" s="6" t="s">
        <v>101</v>
      </c>
      <c r="J19" s="14" t="s">
        <v>61</v>
      </c>
      <c r="K19" s="6">
        <f xml:space="preserve"> multirotor_opt_250_test_250!K19</f>
        <v>33.341817103007287</v>
      </c>
      <c r="L19" s="6" t="s">
        <v>7</v>
      </c>
      <c r="N19" s="6" t="s">
        <v>26</v>
      </c>
      <c r="O19" s="6">
        <f>$C$7*2*PI()/60</f>
        <v>34.198854229907695</v>
      </c>
      <c r="P19" s="6" t="s">
        <v>27</v>
      </c>
      <c r="U19" s="2">
        <v>15</v>
      </c>
      <c r="V19" s="2">
        <f t="shared" si="7"/>
        <v>5.9173583984375E-2</v>
      </c>
      <c r="W19" s="2">
        <f t="shared" si="0"/>
        <v>1.3321159053683584E-6</v>
      </c>
      <c r="X19" s="2">
        <f t="shared" si="8"/>
        <v>5.92041015625E-2</v>
      </c>
      <c r="Y19" s="2">
        <f t="shared" si="1"/>
        <v>-2.9229302526051493E-5</v>
      </c>
      <c r="Z19" s="2">
        <f t="shared" si="3"/>
        <v>5.91888427734375E-2</v>
      </c>
      <c r="AA19" s="2">
        <f t="shared" si="2"/>
        <v>-1.3948590601609023E-5</v>
      </c>
      <c r="AB19" s="2">
        <f t="shared" si="4"/>
        <v>-1.858113939787498E-11</v>
      </c>
      <c r="AC19" s="2">
        <f t="shared" si="5"/>
        <v>4.0770757450646872E-10</v>
      </c>
      <c r="AD19" s="2">
        <f t="shared" si="6"/>
        <v>3.0517578125E-5</v>
      </c>
      <c r="AF19" s="2">
        <v>15</v>
      </c>
      <c r="AG19" s="2">
        <f t="shared" si="13"/>
        <v>2160.64453125</v>
      </c>
      <c r="AH19" s="2">
        <v>-0.14590878033459376</v>
      </c>
      <c r="AI19" s="2">
        <f t="shared" si="14"/>
        <v>2160.64453125</v>
      </c>
      <c r="AJ19" s="2">
        <v>-16.236430142997051</v>
      </c>
      <c r="AK19" s="2">
        <f t="shared" si="9"/>
        <v>2160.64453125</v>
      </c>
      <c r="AL19" s="2">
        <v>-8.4499315762611786</v>
      </c>
      <c r="AM19" s="2">
        <f t="shared" si="10"/>
        <v>1.23291921020304</v>
      </c>
      <c r="AN19" s="2">
        <f t="shared" si="11"/>
        <v>137.19672375106958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9.1372611432696669</v>
      </c>
      <c r="H20" s="6" t="s">
        <v>147</v>
      </c>
      <c r="J20" s="14" t="s">
        <v>62</v>
      </c>
      <c r="K20" s="6">
        <f xml:space="preserve"> multirotor_opt_250_test_250!K20</f>
        <v>0</v>
      </c>
      <c r="L20" s="6" t="s">
        <v>7</v>
      </c>
      <c r="N20" s="6" t="s">
        <v>28</v>
      </c>
      <c r="O20" s="6">
        <f xml:space="preserve"> $C$8 * COS(O17/180*PI()) / (O19 * $C$9)</f>
        <v>0.50082776179131228</v>
      </c>
      <c r="U20" s="2">
        <v>16</v>
      </c>
      <c r="V20" s="2">
        <f t="shared" si="7"/>
        <v>5.9173583984375E-2</v>
      </c>
      <c r="W20" s="2">
        <f t="shared" si="0"/>
        <v>1.3321159053683584E-6</v>
      </c>
      <c r="X20" s="2">
        <f t="shared" si="8"/>
        <v>5.91888427734375E-2</v>
      </c>
      <c r="Y20" s="2">
        <f t="shared" si="1"/>
        <v>-1.3948590601609023E-5</v>
      </c>
      <c r="Z20" s="2">
        <f t="shared" si="3"/>
        <v>5.918121337890625E-2</v>
      </c>
      <c r="AA20" s="2">
        <f t="shared" si="2"/>
        <v>-6.3082366709293902E-6</v>
      </c>
      <c r="AB20" s="2">
        <f t="shared" si="4"/>
        <v>-8.4033024041729837E-12</v>
      </c>
      <c r="AC20" s="2">
        <f t="shared" si="5"/>
        <v>8.799101074085108E-11</v>
      </c>
      <c r="AD20" s="2">
        <f t="shared" si="6"/>
        <v>1.52587890625E-5</v>
      </c>
      <c r="AF20" s="2">
        <v>16</v>
      </c>
      <c r="AG20" s="2">
        <f t="shared" si="13"/>
        <v>2160.64453125</v>
      </c>
      <c r="AH20" s="2">
        <v>-0.14590878033459376</v>
      </c>
      <c r="AI20" s="2">
        <f t="shared" si="14"/>
        <v>2160.64453125</v>
      </c>
      <c r="AJ20" s="2">
        <v>-16.496002653803089</v>
      </c>
      <c r="AK20" s="2">
        <f t="shared" si="9"/>
        <v>2160.64453125</v>
      </c>
      <c r="AL20" s="2">
        <v>-8.4499315762611786</v>
      </c>
      <c r="AM20" s="2">
        <f t="shared" si="10"/>
        <v>1.23291921020304</v>
      </c>
      <c r="AN20" s="2">
        <f t="shared" si="11"/>
        <v>139.39009370645891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0.101398660705508</v>
      </c>
      <c r="J21" s="14" t="s">
        <v>63</v>
      </c>
      <c r="K21" s="6">
        <f xml:space="preserve"> multirotor_opt_250_test_250!K21</f>
        <v>0</v>
      </c>
      <c r="L21" s="6" t="s">
        <v>7</v>
      </c>
      <c r="N21" s="6" t="s">
        <v>29</v>
      </c>
      <c r="O21" s="6">
        <f xml:space="preserve"> O18 / ($C$47 * PI() * $C$9^2 * O19^2 * $C$9^2)</f>
        <v>6.2260782370184616E-3</v>
      </c>
      <c r="U21" s="2">
        <v>17</v>
      </c>
      <c r="V21" s="2">
        <f t="shared" si="7"/>
        <v>5.9173583984375E-2</v>
      </c>
      <c r="W21" s="2">
        <f t="shared" si="0"/>
        <v>1.3321159053683584E-6</v>
      </c>
      <c r="X21" s="2">
        <f t="shared" si="8"/>
        <v>5.918121337890625E-2</v>
      </c>
      <c r="Y21" s="2">
        <f t="shared" si="1"/>
        <v>-6.3082366709293902E-6</v>
      </c>
      <c r="Z21" s="2">
        <f t="shared" si="3"/>
        <v>5.9177398681640625E-2</v>
      </c>
      <c r="AA21" s="2">
        <f t="shared" si="2"/>
        <v>-2.488060213481913E-6</v>
      </c>
      <c r="AB21" s="2">
        <f t="shared" si="4"/>
        <v>-3.3143845838934498E-12</v>
      </c>
      <c r="AC21" s="2">
        <f t="shared" si="5"/>
        <v>1.569527267816701E-11</v>
      </c>
      <c r="AD21" s="2">
        <f t="shared" si="6"/>
        <v>7.62939453125E-6</v>
      </c>
      <c r="AF21" s="2">
        <v>17</v>
      </c>
      <c r="AG21" s="2">
        <f t="shared" si="13"/>
        <v>2160.64453125</v>
      </c>
      <c r="AH21" s="2">
        <v>-0.14590878033459376</v>
      </c>
      <c r="AI21" s="2">
        <f t="shared" si="14"/>
        <v>2160.64453125</v>
      </c>
      <c r="AJ21" s="2">
        <v>-16.625795040047933</v>
      </c>
      <c r="AK21" s="2">
        <f t="shared" si="9"/>
        <v>2160.64453125</v>
      </c>
      <c r="AL21" s="2">
        <v>-8.4499315762611786</v>
      </c>
      <c r="AM21" s="2">
        <f t="shared" si="10"/>
        <v>1.23291921020304</v>
      </c>
      <c r="AN21" s="2">
        <f t="shared" si="11"/>
        <v>140.48683048934751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236.78425676604914</v>
      </c>
      <c r="H22" s="25" t="s">
        <v>101</v>
      </c>
      <c r="J22" s="14" t="s">
        <v>112</v>
      </c>
      <c r="K22" s="6">
        <f xml:space="preserve"> multirotor_opt_250_test_250!K22</f>
        <v>26.36203873395943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5.9173583984375E-2</v>
      </c>
      <c r="W22" s="2">
        <f t="shared" si="0"/>
        <v>1.3321159053683584E-6</v>
      </c>
      <c r="X22" s="2">
        <f t="shared" si="8"/>
        <v>5.9177398681640625E-2</v>
      </c>
      <c r="Y22" s="2">
        <f t="shared" si="1"/>
        <v>-2.488060213481913E-6</v>
      </c>
      <c r="Z22" s="2">
        <f t="shared" si="3"/>
        <v>5.9175491333007812E-2</v>
      </c>
      <c r="AA22" s="2">
        <f t="shared" si="2"/>
        <v>-5.779721117329939E-7</v>
      </c>
      <c r="AB22" s="2">
        <f t="shared" si="4"/>
        <v>-7.6992584289885918E-13</v>
      </c>
      <c r="AC22" s="2">
        <f t="shared" si="5"/>
        <v>1.4380294157049849E-12</v>
      </c>
      <c r="AD22" s="2">
        <f t="shared" si="6"/>
        <v>3.814697265625E-6</v>
      </c>
      <c r="AF22" s="2">
        <v>18</v>
      </c>
      <c r="AG22" s="2">
        <f t="shared" si="13"/>
        <v>2160.64453125</v>
      </c>
      <c r="AH22" s="2">
        <v>-0.14590878033459376</v>
      </c>
      <c r="AI22" s="2">
        <f t="shared" si="14"/>
        <v>2160.64453125</v>
      </c>
      <c r="AJ22" s="2">
        <v>-16.690684683021118</v>
      </c>
      <c r="AK22" s="2">
        <f t="shared" si="9"/>
        <v>2160.64453125</v>
      </c>
      <c r="AL22" s="2">
        <v>-8.4499315762611786</v>
      </c>
      <c r="AM22" s="2">
        <f t="shared" si="10"/>
        <v>1.23291921020304</v>
      </c>
      <c r="AN22" s="2">
        <f t="shared" si="11"/>
        <v>141.03514353247894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multirotor_opt_250_test_250!K23</f>
        <v>63.825764168613944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16775.950323816978</v>
      </c>
      <c r="P23" s="6" t="s">
        <v>18</v>
      </c>
      <c r="U23" s="2">
        <v>19</v>
      </c>
      <c r="V23" s="2">
        <f t="shared" si="7"/>
        <v>5.9173583984375E-2</v>
      </c>
      <c r="W23" s="2">
        <f t="shared" si="0"/>
        <v>1.3321159053683584E-6</v>
      </c>
      <c r="X23" s="2">
        <f t="shared" si="8"/>
        <v>5.9175491333007812E-2</v>
      </c>
      <c r="Y23" s="2">
        <f t="shared" si="1"/>
        <v>-5.779721117329939E-7</v>
      </c>
      <c r="Z23" s="2">
        <f t="shared" si="3"/>
        <v>5.9174537658691406E-2</v>
      </c>
      <c r="AA23" s="2">
        <f t="shared" si="2"/>
        <v>3.7707190739949548E-7</v>
      </c>
      <c r="AB23" s="2">
        <f t="shared" si="4"/>
        <v>5.0230348531445269E-13</v>
      </c>
      <c r="AC23" s="2">
        <f t="shared" si="5"/>
        <v>-2.1793704659487432E-13</v>
      </c>
      <c r="AD23" s="2">
        <f t="shared" si="6"/>
        <v>1.9073486328125E-6</v>
      </c>
      <c r="AF23" s="2">
        <v>19</v>
      </c>
      <c r="AG23" s="2">
        <f t="shared" si="13"/>
        <v>2160.64453125</v>
      </c>
      <c r="AH23" s="2">
        <v>-0.14590878033459376</v>
      </c>
      <c r="AI23" s="2">
        <f t="shared" si="14"/>
        <v>2160.64453125</v>
      </c>
      <c r="AJ23" s="2">
        <v>-16.723132275619491</v>
      </c>
      <c r="AK23" s="2">
        <f t="shared" si="9"/>
        <v>2160.64453125</v>
      </c>
      <c r="AL23" s="2">
        <v>-8.4499315762611786</v>
      </c>
      <c r="AM23" s="2">
        <f t="shared" si="10"/>
        <v>1.23291921020304</v>
      </c>
      <c r="AN23" s="2">
        <f t="shared" si="11"/>
        <v>141.30932346974959</v>
      </c>
      <c r="AO23" s="2">
        <f t="shared" si="12"/>
        <v>0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multirotor_opt_250_test_250!K24</f>
        <v>8.8571746359715249</v>
      </c>
      <c r="L24" s="6" t="s">
        <v>7</v>
      </c>
      <c r="N24" s="6" t="s">
        <v>31</v>
      </c>
      <c r="O24" s="18">
        <f>Z34</f>
        <v>5.9174914378672838E-2</v>
      </c>
      <c r="U24" s="2">
        <v>20</v>
      </c>
      <c r="V24" s="2">
        <f t="shared" si="7"/>
        <v>5.9174537658691406E-2</v>
      </c>
      <c r="W24" s="2">
        <f t="shared" si="0"/>
        <v>3.7707190739949548E-7</v>
      </c>
      <c r="X24" s="2">
        <f t="shared" si="8"/>
        <v>5.9175491333007812E-2</v>
      </c>
      <c r="Y24" s="2">
        <f t="shared" si="1"/>
        <v>-5.779721117329939E-7</v>
      </c>
      <c r="Z24" s="2">
        <f t="shared" si="3"/>
        <v>5.9175014495849609E-2</v>
      </c>
      <c r="AA24" s="2">
        <f t="shared" si="2"/>
        <v>-1.0045009951609174E-7</v>
      </c>
      <c r="AB24" s="2">
        <f t="shared" si="4"/>
        <v>-3.7876910623001852E-14</v>
      </c>
      <c r="AC24" s="2">
        <f t="shared" si="5"/>
        <v>5.8057356141104929E-14</v>
      </c>
      <c r="AD24" s="2">
        <f t="shared" si="6"/>
        <v>9.5367431640625E-7</v>
      </c>
      <c r="AF24" s="2">
        <v>20</v>
      </c>
      <c r="AG24" s="2">
        <f t="shared" si="13"/>
        <v>2160.64453125</v>
      </c>
      <c r="AH24" s="2">
        <v>-0.14590878033459376</v>
      </c>
      <c r="AI24" s="2">
        <f t="shared" si="14"/>
        <v>2160.64453125</v>
      </c>
      <c r="AJ24" s="2">
        <v>-16.739356029914688</v>
      </c>
      <c r="AK24" s="2">
        <f t="shared" si="9"/>
        <v>2160.64453125</v>
      </c>
      <c r="AL24" s="2">
        <v>-8.4499315762611786</v>
      </c>
      <c r="AM24" s="2">
        <f t="shared" si="10"/>
        <v>1.23291921020304</v>
      </c>
      <c r="AN24" s="2">
        <f t="shared" si="11"/>
        <v>141.44641308345408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multirotor_opt_250_test_250!K25</f>
        <v>19.05246691600416</v>
      </c>
      <c r="L25" s="6" t="s">
        <v>7</v>
      </c>
      <c r="N25" s="6" t="s">
        <v>32</v>
      </c>
      <c r="O25" s="6">
        <f xml:space="preserve"> O19 * $C$9 * O24 - $C$8 * SIN(O17/180*PI())</f>
        <v>0.82189523955505006</v>
      </c>
      <c r="P25" s="6" t="s">
        <v>10</v>
      </c>
      <c r="U25" s="2">
        <v>21</v>
      </c>
      <c r="V25" s="2">
        <f t="shared" si="7"/>
        <v>5.9174537658691406E-2</v>
      </c>
      <c r="W25" s="2">
        <f t="shared" si="0"/>
        <v>3.7707190739949548E-7</v>
      </c>
      <c r="X25" s="2">
        <f t="shared" si="8"/>
        <v>5.9175014495849609E-2</v>
      </c>
      <c r="Y25" s="2">
        <f t="shared" si="1"/>
        <v>-1.0045009951609174E-7</v>
      </c>
      <c r="Z25" s="2">
        <f t="shared" si="3"/>
        <v>5.9174776077270508E-2</v>
      </c>
      <c r="AA25" s="2">
        <f t="shared" si="2"/>
        <v>1.3831090460436624E-7</v>
      </c>
      <c r="AB25" s="2">
        <f t="shared" si="4"/>
        <v>5.2153156613318039E-14</v>
      </c>
      <c r="AC25" s="2">
        <f t="shared" si="5"/>
        <v>-1.389334413166926E-14</v>
      </c>
      <c r="AD25" s="2">
        <f t="shared" si="6"/>
        <v>4.76837158203125E-7</v>
      </c>
      <c r="AF25" s="2">
        <v>21</v>
      </c>
      <c r="AG25" s="2">
        <f t="shared" si="13"/>
        <v>2160.64453125</v>
      </c>
      <c r="AH25" s="2">
        <v>-0.14590878033459376</v>
      </c>
      <c r="AI25" s="2">
        <f t="shared" si="14"/>
        <v>2160.64453125</v>
      </c>
      <c r="AJ25" s="2">
        <v>-16.747470835507102</v>
      </c>
      <c r="AK25" s="2">
        <f t="shared" si="9"/>
        <v>2160.64453125</v>
      </c>
      <c r="AL25" s="2">
        <v>-8.4499315762611786</v>
      </c>
      <c r="AM25" s="2">
        <f t="shared" si="10"/>
        <v>1.23291921020304</v>
      </c>
      <c r="AN25" s="2">
        <f t="shared" si="11"/>
        <v>141.51498263546463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multirotor_opt_250_test_250!K26</f>
        <v>54.44214228772627</v>
      </c>
      <c r="L26" s="6" t="s">
        <v>7</v>
      </c>
      <c r="N26" s="6" t="s">
        <v>33</v>
      </c>
      <c r="O26" s="6">
        <f xml:space="preserve"> 1/$C$21 - O23 * SQRT( (2*$C$47*PI()*$C$9^2) / O18^3 )</f>
        <v>0.90733824470062219</v>
      </c>
      <c r="U26" s="2">
        <v>22</v>
      </c>
      <c r="V26" s="2">
        <f t="shared" si="7"/>
        <v>5.9174776077270508E-2</v>
      </c>
      <c r="W26" s="2">
        <f t="shared" si="0"/>
        <v>1.3831090460436624E-7</v>
      </c>
      <c r="X26" s="2">
        <f t="shared" si="8"/>
        <v>5.9175014495849609E-2</v>
      </c>
      <c r="Y26" s="2">
        <f t="shared" si="1"/>
        <v>-1.0045009951609174E-7</v>
      </c>
      <c r="Z26" s="2">
        <f t="shared" si="3"/>
        <v>5.9174895286560059E-2</v>
      </c>
      <c r="AA26" s="2">
        <f t="shared" si="2"/>
        <v>1.8930402703731808E-8</v>
      </c>
      <c r="AB26" s="2">
        <f t="shared" si="4"/>
        <v>2.6182811224780868E-15</v>
      </c>
      <c r="AC26" s="2">
        <f t="shared" si="5"/>
        <v>-1.9015608354695524E-15</v>
      </c>
      <c r="AD26" s="2">
        <f t="shared" si="6"/>
        <v>2.384185791015625E-7</v>
      </c>
      <c r="AF26" s="2">
        <v>22</v>
      </c>
      <c r="AG26" s="2">
        <f t="shared" si="13"/>
        <v>2160.64453125</v>
      </c>
      <c r="AH26" s="2">
        <v>-0.14590878033459376</v>
      </c>
      <c r="AI26" s="2">
        <f t="shared" si="14"/>
        <v>2160.64453125</v>
      </c>
      <c r="AJ26" s="2">
        <v>-16.751522357787508</v>
      </c>
      <c r="AK26" s="2">
        <f t="shared" si="9"/>
        <v>2160.64453125</v>
      </c>
      <c r="AL26" s="2">
        <v>-8.4499315762611786</v>
      </c>
      <c r="AM26" s="2">
        <f t="shared" si="10"/>
        <v>1.23291921020304</v>
      </c>
      <c r="AN26" s="2">
        <f t="shared" si="11"/>
        <v>141.54921772151377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1.299989149765679E-2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5.9174895286560059E-2</v>
      </c>
      <c r="W27" s="2">
        <f t="shared" si="0"/>
        <v>1.8930402703731808E-8</v>
      </c>
      <c r="X27" s="2">
        <f t="shared" si="8"/>
        <v>5.9175014495849609E-2</v>
      </c>
      <c r="Y27" s="2">
        <f t="shared" si="1"/>
        <v>-1.0045009951609174E-7</v>
      </c>
      <c r="Z27" s="2">
        <f t="shared" si="3"/>
        <v>5.9174954891204834E-2</v>
      </c>
      <c r="AA27" s="2">
        <f t="shared" si="2"/>
        <v>-4.0759848364546603E-8</v>
      </c>
      <c r="AB27" s="2">
        <f t="shared" si="4"/>
        <v>-7.7160034368391149E-16</v>
      </c>
      <c r="AC27" s="2">
        <f t="shared" si="5"/>
        <v>4.0943308244795154E-15</v>
      </c>
      <c r="AD27" s="2">
        <f t="shared" si="6"/>
        <v>1.1920928955078125E-7</v>
      </c>
      <c r="AF27" s="2">
        <v>23</v>
      </c>
      <c r="AG27" s="2">
        <f t="shared" si="13"/>
        <v>2160.64453125</v>
      </c>
      <c r="AH27" s="2">
        <v>-0.14590878033459376</v>
      </c>
      <c r="AI27" s="2">
        <f t="shared" si="14"/>
        <v>2160.64453125</v>
      </c>
      <c r="AJ27" s="2">
        <v>-16.753551057215873</v>
      </c>
      <c r="AK27" s="2">
        <f t="shared" si="9"/>
        <v>2160.64453125</v>
      </c>
      <c r="AL27" s="2">
        <v>-8.4499315762611786</v>
      </c>
      <c r="AM27" s="2">
        <f t="shared" si="10"/>
        <v>1.23291921020304</v>
      </c>
      <c r="AN27" s="2">
        <f t="shared" si="11"/>
        <v>141.56636009287226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5272.0867085129257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1.1500229683222407</v>
      </c>
      <c r="U28" s="2">
        <v>24</v>
      </c>
      <c r="V28" s="2">
        <f t="shared" si="7"/>
        <v>5.9174895286560059E-2</v>
      </c>
      <c r="W28" s="2">
        <f t="shared" si="0"/>
        <v>1.8930402703731808E-8</v>
      </c>
      <c r="X28" s="2">
        <f t="shared" si="8"/>
        <v>5.9174954891204834E-2</v>
      </c>
      <c r="Y28" s="2">
        <f t="shared" si="1"/>
        <v>-4.0759848364546603E-8</v>
      </c>
      <c r="Z28" s="2">
        <f t="shared" si="3"/>
        <v>5.9174925088882446E-2</v>
      </c>
      <c r="AA28" s="2">
        <f t="shared" si="2"/>
        <v>-1.0914722819999056E-8</v>
      </c>
      <c r="AB28" s="2">
        <f t="shared" si="4"/>
        <v>-2.0662009838219341E-16</v>
      </c>
      <c r="AC28" s="2">
        <f t="shared" si="5"/>
        <v>4.4488244708421804E-16</v>
      </c>
      <c r="AD28" s="2">
        <f t="shared" si="6"/>
        <v>5.9604644775390625E-8</v>
      </c>
      <c r="AF28" s="2">
        <v>24</v>
      </c>
      <c r="AG28" s="2">
        <f t="shared" si="13"/>
        <v>2160.64453125</v>
      </c>
      <c r="AH28" s="2">
        <v>-0.14590878033459376</v>
      </c>
      <c r="AI28" s="2">
        <f t="shared" si="14"/>
        <v>2160.64453125</v>
      </c>
      <c r="AJ28" s="2">
        <v>-16.754568345701955</v>
      </c>
      <c r="AK28" s="2">
        <f t="shared" si="9"/>
        <v>2160.64453125</v>
      </c>
      <c r="AL28" s="2">
        <v>-8.4499315762611786</v>
      </c>
      <c r="AM28" s="2">
        <f t="shared" si="10"/>
        <v>1.23291921020304</v>
      </c>
      <c r="AN28" s="2">
        <f t="shared" si="11"/>
        <v>141.57495611097298</v>
      </c>
      <c r="AO28" s="2">
        <f t="shared" si="12"/>
        <v>0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51.290583484942211</v>
      </c>
      <c r="H29" t="s">
        <v>18</v>
      </c>
      <c r="U29" s="2">
        <v>25</v>
      </c>
      <c r="V29" s="2">
        <f t="shared" si="7"/>
        <v>5.9174895286560059E-2</v>
      </c>
      <c r="W29" s="2">
        <f t="shared" si="0"/>
        <v>1.8930402703731808E-8</v>
      </c>
      <c r="X29" s="2">
        <f t="shared" si="8"/>
        <v>5.9174925088882446E-2</v>
      </c>
      <c r="Y29" s="2">
        <f t="shared" si="1"/>
        <v>-1.0914722819999056E-8</v>
      </c>
      <c r="Z29" s="2">
        <f t="shared" si="3"/>
        <v>5.9174910187721252E-2</v>
      </c>
      <c r="AA29" s="2">
        <f t="shared" si="2"/>
        <v>4.0078399488052696E-9</v>
      </c>
      <c r="AB29" s="2">
        <f t="shared" si="4"/>
        <v>7.5870024202987631E-17</v>
      </c>
      <c r="AC29" s="2">
        <f t="shared" si="5"/>
        <v>-4.3744462148128723E-17</v>
      </c>
      <c r="AD29" s="2">
        <f t="shared" si="6"/>
        <v>2.9802322387695312E-8</v>
      </c>
      <c r="AF29" s="2">
        <v>25</v>
      </c>
      <c r="AG29" s="2">
        <f t="shared" si="13"/>
        <v>2160.64453125</v>
      </c>
      <c r="AH29" s="2">
        <v>-0.14590878033459376</v>
      </c>
      <c r="AI29" s="2">
        <f t="shared" si="14"/>
        <v>2160.64453125</v>
      </c>
      <c r="AJ29" s="2">
        <v>-16.755076989901681</v>
      </c>
      <c r="AK29" s="2">
        <f t="shared" si="9"/>
        <v>2160.64453125</v>
      </c>
      <c r="AL29" s="2">
        <v>-8.4499315762611786</v>
      </c>
      <c r="AM29" s="2">
        <f t="shared" si="10"/>
        <v>1.23291921020304</v>
      </c>
      <c r="AN29" s="2">
        <f t="shared" si="11"/>
        <v>141.57925411965732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10.487035803318101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5.9174910187721252E-2</v>
      </c>
      <c r="W30" s="2">
        <f t="shared" si="0"/>
        <v>4.0078399488052696E-9</v>
      </c>
      <c r="X30" s="2">
        <f t="shared" si="8"/>
        <v>5.9174925088882446E-2</v>
      </c>
      <c r="Y30" s="2">
        <f t="shared" si="1"/>
        <v>-1.0914722819999056E-8</v>
      </c>
      <c r="Z30" s="2">
        <f t="shared" si="3"/>
        <v>5.9174917638301849E-2</v>
      </c>
      <c r="AA30" s="2">
        <f t="shared" si="2"/>
        <v>-3.4534414355968934E-9</v>
      </c>
      <c r="AB30" s="2">
        <f t="shared" si="4"/>
        <v>-1.384084054644465E-17</v>
      </c>
      <c r="AC30" s="2">
        <f t="shared" si="5"/>
        <v>3.7693356044639713E-17</v>
      </c>
      <c r="AD30" s="2">
        <f t="shared" si="6"/>
        <v>1.4901161193847656E-8</v>
      </c>
      <c r="AF30" s="2">
        <v>26</v>
      </c>
      <c r="AG30" s="2">
        <f t="shared" si="13"/>
        <v>2160.64453125</v>
      </c>
      <c r="AH30" s="2">
        <v>-0.14590878033459376</v>
      </c>
      <c r="AI30" s="2">
        <f t="shared" si="14"/>
        <v>2160.64453125</v>
      </c>
      <c r="AJ30" s="2">
        <v>-16.755325434121687</v>
      </c>
      <c r="AK30" s="2">
        <f t="shared" si="9"/>
        <v>2160.64453125</v>
      </c>
      <c r="AL30" s="2">
        <v>-8.4499315762611786</v>
      </c>
      <c r="AM30" s="2">
        <f t="shared" si="10"/>
        <v>1.23291921020304</v>
      </c>
      <c r="AN30" s="2">
        <f t="shared" si="11"/>
        <v>141.58135345631689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205.16233393976884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5.9174910187721252E-2</v>
      </c>
      <c r="W31" s="2">
        <f t="shared" si="0"/>
        <v>4.0078399488052696E-9</v>
      </c>
      <c r="X31" s="2">
        <f t="shared" si="8"/>
        <v>5.9174917638301849E-2</v>
      </c>
      <c r="Y31" s="2">
        <f t="shared" si="1"/>
        <v>-3.4534414355968934E-9</v>
      </c>
      <c r="Z31" s="2">
        <f t="shared" si="3"/>
        <v>5.9174913913011551E-2</v>
      </c>
      <c r="AA31" s="2">
        <f t="shared" si="2"/>
        <v>2.7719925660418809E-10</v>
      </c>
      <c r="AB31" s="2">
        <f t="shared" si="4"/>
        <v>1.110970254397388E-18</v>
      </c>
      <c r="AC31" s="2">
        <f t="shared" si="5"/>
        <v>-9.5729139867355907E-19</v>
      </c>
      <c r="AD31" s="2">
        <f t="shared" si="6"/>
        <v>7.4505805969238281E-9</v>
      </c>
      <c r="AF31" s="2">
        <v>27</v>
      </c>
      <c r="AG31" s="2">
        <f t="shared" si="13"/>
        <v>2160.64453125</v>
      </c>
      <c r="AH31" s="2">
        <v>-0.14590878033459376</v>
      </c>
      <c r="AI31" s="2">
        <f t="shared" si="14"/>
        <v>2160.64453125</v>
      </c>
      <c r="AJ31" s="2">
        <v>-16.755455534099156</v>
      </c>
      <c r="AK31" s="2">
        <f t="shared" si="9"/>
        <v>2160.64453125</v>
      </c>
      <c r="AL31" s="2">
        <v>-8.4499315762611786</v>
      </c>
      <c r="AM31" s="2">
        <f t="shared" si="10"/>
        <v>1.23291921020304</v>
      </c>
      <c r="AN31" s="2">
        <f t="shared" si="11"/>
        <v>141.58245279222456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516.5</v>
      </c>
      <c r="L32" s="6" t="s">
        <v>7</v>
      </c>
      <c r="U32" s="2">
        <v>28</v>
      </c>
      <c r="V32" s="2">
        <f t="shared" si="7"/>
        <v>5.9174913913011551E-2</v>
      </c>
      <c r="W32" s="2">
        <f t="shared" si="0"/>
        <v>2.7719925660418809E-10</v>
      </c>
      <c r="X32" s="2">
        <f t="shared" si="8"/>
        <v>5.9174917638301849E-2</v>
      </c>
      <c r="Y32" s="2">
        <f t="shared" si="1"/>
        <v>-3.4534414355968934E-9</v>
      </c>
      <c r="Z32" s="2">
        <f t="shared" si="3"/>
        <v>5.91749157756567E-2</v>
      </c>
      <c r="AA32" s="2">
        <f t="shared" si="2"/>
        <v>-1.5881210929657996E-9</v>
      </c>
      <c r="AB32" s="2">
        <f t="shared" si="4"/>
        <v>-4.4022598636755034E-19</v>
      </c>
      <c r="AC32" s="2">
        <f t="shared" si="5"/>
        <v>5.4844831871935183E-18</v>
      </c>
      <c r="AD32" s="2">
        <f t="shared" si="6"/>
        <v>3.7252902984619141E-9</v>
      </c>
      <c r="AF32" s="2">
        <v>28</v>
      </c>
      <c r="AG32" s="2">
        <f t="shared" si="13"/>
        <v>2160.64453125</v>
      </c>
      <c r="AH32" s="2">
        <v>-0.14590878033459376</v>
      </c>
      <c r="AI32" s="2">
        <f t="shared" si="14"/>
        <v>2160.64453125</v>
      </c>
      <c r="AJ32" s="2">
        <v>-16.755517645151713</v>
      </c>
      <c r="AK32" s="2">
        <f t="shared" si="9"/>
        <v>2160.64453125</v>
      </c>
      <c r="AL32" s="2">
        <v>-8.4499315762611786</v>
      </c>
      <c r="AM32" s="2">
        <f t="shared" si="10"/>
        <v>1.23291921020304</v>
      </c>
      <c r="AN32" s="2">
        <f t="shared" si="11"/>
        <v>141.5829776263688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5.9174913913011551E-2</v>
      </c>
      <c r="W33" s="2">
        <f t="shared" si="0"/>
        <v>2.7719925660418809E-10</v>
      </c>
      <c r="X33" s="2">
        <f t="shared" si="8"/>
        <v>5.91749157756567E-2</v>
      </c>
      <c r="Y33" s="2">
        <f t="shared" si="1"/>
        <v>-1.5881210929657996E-9</v>
      </c>
      <c r="Z33" s="2">
        <f t="shared" si="3"/>
        <v>5.9174914844334126E-2</v>
      </c>
      <c r="AA33" s="2">
        <f t="shared" si="2"/>
        <v>-6.5546092165025271E-10</v>
      </c>
      <c r="AB33" s="2">
        <f t="shared" si="4"/>
        <v>-1.8169328021454603E-19</v>
      </c>
      <c r="AC33" s="2">
        <f t="shared" si="5"/>
        <v>1.0409513152875697E-18</v>
      </c>
      <c r="AD33" s="2">
        <f t="shared" si="6"/>
        <v>1.862645149230957E-9</v>
      </c>
      <c r="AF33" s="2">
        <v>29</v>
      </c>
      <c r="AG33" s="2">
        <f t="shared" si="13"/>
        <v>2160.64453125</v>
      </c>
      <c r="AH33" s="2">
        <v>-0.14590878033459376</v>
      </c>
      <c r="AI33" s="2">
        <f t="shared" si="14"/>
        <v>2160.64453125</v>
      </c>
      <c r="AJ33" s="2">
        <v>-16.755551639613259</v>
      </c>
      <c r="AK33" s="2">
        <f t="shared" si="9"/>
        <v>2160.64453125</v>
      </c>
      <c r="AL33" s="2">
        <v>-8.4499315762611786</v>
      </c>
      <c r="AM33" s="2">
        <f t="shared" si="10"/>
        <v>1.23291921020304</v>
      </c>
      <c r="AN33" s="2">
        <f t="shared" si="11"/>
        <v>141.58326487724284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5.9174913913011551E-2</v>
      </c>
      <c r="W34" s="2">
        <f t="shared" si="0"/>
        <v>2.7719925660418809E-10</v>
      </c>
      <c r="X34" s="2">
        <f t="shared" si="8"/>
        <v>5.9174914844334126E-2</v>
      </c>
      <c r="Y34" s="2">
        <f t="shared" si="1"/>
        <v>-6.5546092165025271E-10</v>
      </c>
      <c r="Z34" s="2">
        <f t="shared" si="3"/>
        <v>5.9174914378672838E-2</v>
      </c>
      <c r="AA34" s="2">
        <f t="shared" si="2"/>
        <v>-1.8913082905358536E-10</v>
      </c>
      <c r="AB34" s="2">
        <f t="shared" si="4"/>
        <v>-5.2426925214587641E-20</v>
      </c>
      <c r="AC34" s="2">
        <f t="shared" si="5"/>
        <v>1.2396786752393945E-19</v>
      </c>
      <c r="AD34" s="2">
        <f>X34-V34</f>
        <v>9.3132257461547852E-10</v>
      </c>
      <c r="AF34" s="2">
        <v>30</v>
      </c>
      <c r="AG34" s="2">
        <f t="shared" si="13"/>
        <v>2160.64453125</v>
      </c>
      <c r="AH34" s="2">
        <v>-0.14590878033459376</v>
      </c>
      <c r="AI34" s="2">
        <f t="shared" si="14"/>
        <v>2160.64453125</v>
      </c>
      <c r="AJ34" s="2">
        <v>-16.755565697909105</v>
      </c>
      <c r="AK34" s="2">
        <f t="shared" si="9"/>
        <v>2160.64453125</v>
      </c>
      <c r="AL34" s="2">
        <v>-8.4499315762611786</v>
      </c>
      <c r="AM34" s="2">
        <f t="shared" si="10"/>
        <v>1.23291921020304</v>
      </c>
      <c r="AN34" s="2">
        <f t="shared" si="11"/>
        <v>141.58338366888083</v>
      </c>
      <c r="AO34" s="2">
        <f t="shared" si="12"/>
        <v>0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236.78425676604914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2160.64453125</v>
      </c>
      <c r="AH35" s="2">
        <v>-0.14590878033459376</v>
      </c>
      <c r="AI35" s="2">
        <f t="shared" si="14"/>
        <v>2160.64453125</v>
      </c>
      <c r="AJ35" s="2">
        <v>-16.75557272705737</v>
      </c>
      <c r="AK35" s="2">
        <f t="shared" si="9"/>
        <v>2160.64453125</v>
      </c>
      <c r="AL35" s="2">
        <v>-8.4499315762611786</v>
      </c>
      <c r="AM35" s="2">
        <f t="shared" si="10"/>
        <v>1.23291921020304</v>
      </c>
      <c r="AN35" s="2">
        <f t="shared" si="11"/>
        <v>141.58344306470269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2151.5299999999997</v>
      </c>
      <c r="L36" s="6" t="s">
        <v>7</v>
      </c>
      <c r="AF36" s="2">
        <v>32</v>
      </c>
      <c r="AG36" s="2">
        <f t="shared" si="13"/>
        <v>2160.64453125</v>
      </c>
      <c r="AH36" s="2">
        <v>-0.14590878033459376</v>
      </c>
      <c r="AI36" s="2">
        <f t="shared" si="14"/>
        <v>2160.64453125</v>
      </c>
      <c r="AJ36" s="2">
        <v>-16.755576241631388</v>
      </c>
      <c r="AK36" s="2">
        <f t="shared" si="9"/>
        <v>2160.64453125</v>
      </c>
      <c r="AL36" s="2">
        <v>-8.4499315762611786</v>
      </c>
      <c r="AM36" s="2">
        <f t="shared" si="10"/>
        <v>1.23291921020304</v>
      </c>
      <c r="AN36" s="2">
        <f t="shared" si="11"/>
        <v>141.58347276261267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2160.64453125</v>
      </c>
      <c r="AH37" s="2">
        <v>-0.14590878033459376</v>
      </c>
      <c r="AI37" s="2">
        <f t="shared" si="14"/>
        <v>2160.64453125</v>
      </c>
      <c r="AJ37" s="2">
        <v>-16.75557799891817</v>
      </c>
      <c r="AK37" s="2">
        <f t="shared" si="9"/>
        <v>2160.64453125</v>
      </c>
      <c r="AL37" s="2">
        <v>-8.4499315762611786</v>
      </c>
      <c r="AM37" s="2">
        <f t="shared" si="10"/>
        <v>1.23291921020304</v>
      </c>
      <c r="AN37" s="2">
        <f t="shared" si="11"/>
        <v>141.58348761156574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2160.64453125</v>
      </c>
      <c r="AH38" s="2">
        <v>-0.14590878033459376</v>
      </c>
      <c r="AI38" s="2">
        <f t="shared" si="14"/>
        <v>2160.64453125</v>
      </c>
      <c r="AJ38" s="2">
        <v>-16.755578877561675</v>
      </c>
      <c r="AK38" s="2">
        <f t="shared" si="9"/>
        <v>2160.64453125</v>
      </c>
      <c r="AL38" s="2">
        <v>-8.4499315762611786</v>
      </c>
      <c r="AM38" s="2">
        <f t="shared" si="10"/>
        <v>1.23291921020304</v>
      </c>
      <c r="AN38" s="2">
        <f t="shared" si="11"/>
        <v>141.58349503604325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27.89</v>
      </c>
      <c r="L39" s="6" t="s">
        <v>58</v>
      </c>
      <c r="AF39" s="2">
        <v>35</v>
      </c>
      <c r="AG39" s="2">
        <f t="shared" si="13"/>
        <v>2160.64453125</v>
      </c>
      <c r="AH39" s="2">
        <v>-0.14590878033459376</v>
      </c>
      <c r="AI39" s="2">
        <f t="shared" si="14"/>
        <v>2160.64453125</v>
      </c>
      <c r="AJ39" s="2">
        <v>-16.755579316883768</v>
      </c>
      <c r="AK39" s="2">
        <f t="shared" si="9"/>
        <v>2160.64453125</v>
      </c>
      <c r="AL39" s="2">
        <v>-8.4499315762611786</v>
      </c>
      <c r="AM39" s="2">
        <f t="shared" si="10"/>
        <v>1.23291921020304</v>
      </c>
      <c r="AN39" s="2">
        <f t="shared" si="11"/>
        <v>141.58349874828485</v>
      </c>
      <c r="AO39" s="2">
        <f t="shared" si="12"/>
        <v>0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24.01</v>
      </c>
      <c r="L40" s="6" t="s">
        <v>58</v>
      </c>
      <c r="AF40" s="2">
        <v>36</v>
      </c>
      <c r="AG40" s="2">
        <f t="shared" si="13"/>
        <v>2160.64453125</v>
      </c>
      <c r="AH40" s="2">
        <v>-0.14590878033459376</v>
      </c>
      <c r="AI40" s="2">
        <f t="shared" si="14"/>
        <v>2160.64453125</v>
      </c>
      <c r="AJ40" s="2">
        <v>-16.755579536544474</v>
      </c>
      <c r="AK40" s="2">
        <f t="shared" si="9"/>
        <v>2160.64453125</v>
      </c>
      <c r="AL40" s="2">
        <v>-8.4499315762611786</v>
      </c>
      <c r="AM40" s="2">
        <f t="shared" si="10"/>
        <v>1.23291921020304</v>
      </c>
      <c r="AN40" s="2">
        <f t="shared" si="11"/>
        <v>141.58350060440279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32.14</v>
      </c>
      <c r="L41" s="6" t="s">
        <v>58</v>
      </c>
      <c r="AF41" s="2">
        <v>37</v>
      </c>
      <c r="AG41" s="2">
        <f t="shared" si="13"/>
        <v>2160.64453125</v>
      </c>
      <c r="AH41" s="2">
        <v>-0.14590878033459376</v>
      </c>
      <c r="AI41" s="2">
        <f t="shared" si="14"/>
        <v>2160.64453125</v>
      </c>
      <c r="AJ41" s="2">
        <v>-16.755579646374599</v>
      </c>
      <c r="AK41" s="2">
        <f t="shared" si="9"/>
        <v>2160.64453125</v>
      </c>
      <c r="AL41" s="2">
        <v>-8.4499315762611786</v>
      </c>
      <c r="AM41" s="2">
        <f t="shared" si="10"/>
        <v>1.23291921020304</v>
      </c>
      <c r="AN41" s="2">
        <f t="shared" si="11"/>
        <v>141.58350153245985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9.17</v>
      </c>
      <c r="L42" s="6" t="s">
        <v>58</v>
      </c>
      <c r="AF42" s="2">
        <v>38</v>
      </c>
      <c r="AG42" s="2">
        <f t="shared" si="13"/>
        <v>2160.64453125</v>
      </c>
      <c r="AH42" s="2">
        <v>-0.14590878033459376</v>
      </c>
      <c r="AI42" s="2">
        <f t="shared" si="14"/>
        <v>2160.64453125</v>
      </c>
      <c r="AJ42" s="2">
        <v>-16.755579701289662</v>
      </c>
      <c r="AK42" s="2">
        <f t="shared" si="9"/>
        <v>2160.64453125</v>
      </c>
      <c r="AL42" s="2">
        <v>-8.4499315762611786</v>
      </c>
      <c r="AM42" s="2">
        <f t="shared" si="10"/>
        <v>1.23291921020304</v>
      </c>
      <c r="AN42" s="2">
        <f t="shared" si="11"/>
        <v>141.58350199648837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2160.64453125</v>
      </c>
      <c r="AH43" s="2">
        <v>-0.14590878033459376</v>
      </c>
      <c r="AI43" s="2">
        <f t="shared" si="14"/>
        <v>2160.64453125</v>
      </c>
      <c r="AJ43" s="2">
        <v>-16.755579728747534</v>
      </c>
      <c r="AK43" s="2">
        <f t="shared" si="9"/>
        <v>2160.64453125</v>
      </c>
      <c r="AL43" s="2">
        <v>-8.4499315762611786</v>
      </c>
      <c r="AM43" s="2">
        <f t="shared" si="10"/>
        <v>1.23291921020304</v>
      </c>
      <c r="AN43" s="2">
        <f t="shared" si="11"/>
        <v>141.58350222850549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2160.64453125</v>
      </c>
      <c r="AH44" s="2">
        <v>-0.14590878033459376</v>
      </c>
      <c r="AI44" s="2">
        <f t="shared" si="14"/>
        <v>2160.64453125</v>
      </c>
      <c r="AJ44" s="2">
        <v>-16.755579742476584</v>
      </c>
      <c r="AK44" s="5">
        <f>(AG44+AI44)/2</f>
        <v>2160.64453125</v>
      </c>
      <c r="AL44" s="2">
        <v>-8.4499315762611786</v>
      </c>
      <c r="AM44" s="2">
        <f t="shared" si="10"/>
        <v>1.23291921020304</v>
      </c>
      <c r="AN44" s="2">
        <f t="shared" si="11"/>
        <v>141.58350234451504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1941.3439097020157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27.89</v>
      </c>
      <c r="L47" s="6" t="s">
        <v>58</v>
      </c>
      <c r="N47" s="6" t="s">
        <v>154</v>
      </c>
      <c r="O47" s="6">
        <f>0.377*O46^0.6945</f>
        <v>72.431673736710465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24.01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48.11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abSelected="1" topLeftCell="B1" workbookViewId="0">
      <selection activeCell="D2" sqref="D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318.86580605673555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7.3200171369675798E-2</v>
      </c>
      <c r="X4" s="3">
        <v>1</v>
      </c>
      <c r="Y4" s="2">
        <f t="shared" ref="Y4:Y34" si="1" xml:space="preserve"> $O$20 * TAN($O$17/180*PI()) + $O$21 / (2 * SQRT($O$20^2 + X4^2)) - X4</f>
        <v>-0.93196776490673605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-0.42961743373138928</v>
      </c>
      <c r="AB4" s="2">
        <f>W4*AA4</f>
        <v>-3.1448069772538029E-2</v>
      </c>
      <c r="AC4" s="2">
        <f>Y4*AA4</f>
        <v>0.40038959947961067</v>
      </c>
      <c r="AD4" s="2">
        <f>X4-V4</f>
        <v>1</v>
      </c>
      <c r="AF4" s="2">
        <v>0</v>
      </c>
      <c r="AG4" s="2"/>
      <c r="AH4" s="2">
        <f>K27</f>
        <v>-9.6541102902847342E-4</v>
      </c>
      <c r="AI4" s="2"/>
      <c r="AJ4" s="2">
        <f>K27</f>
        <v>-9.6541102902847342E-4</v>
      </c>
      <c r="AK4" s="2"/>
      <c r="AL4" s="2">
        <f>K27</f>
        <v>-9.6541102902847342E-4</v>
      </c>
      <c r="AM4" s="2"/>
      <c r="AN4" s="2"/>
      <c r="AO4" s="2"/>
    </row>
    <row r="5" spans="2:41" x14ac:dyDescent="0.2">
      <c r="B5" s="10" t="s">
        <v>37</v>
      </c>
      <c r="C5" s="10">
        <v>1571.0323892132801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79.716451514183888</v>
      </c>
      <c r="L5" s="6" t="s">
        <v>101</v>
      </c>
      <c r="N5" s="6" t="s">
        <v>114</v>
      </c>
      <c r="O5" s="6">
        <f xml:space="preserve"> $C$18 * 0.85 * ($C$5/$C$18 *2.20462/1000)^(2/3) * 0.3048^2</f>
        <v>0.28695564281124863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7.3200171369675798E-2</v>
      </c>
      <c r="X5" s="2">
        <f>IF(AC4&gt;0, Z4, X4)</f>
        <v>0.5</v>
      </c>
      <c r="Y5" s="2">
        <f t="shared" si="1"/>
        <v>-0.42961743373138928</v>
      </c>
      <c r="Z5" s="2">
        <f t="shared" ref="Z5:Z34" si="3" xml:space="preserve"> (V5 + X5)/2</f>
        <v>0.25</v>
      </c>
      <c r="AA5" s="2">
        <f t="shared" si="2"/>
        <v>-0.17784171074974359</v>
      </c>
      <c r="AB5" s="2">
        <f t="shared" ref="AB5:AB34" si="4">W5*AA5</f>
        <v>-1.3018043703557546E-2</v>
      </c>
      <c r="AC5" s="2">
        <f t="shared" ref="AC5:AC34" si="5">Y5*AA5</f>
        <v>7.6403899382704865E-2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-697.30357752198279</v>
      </c>
      <c r="AI5" s="3">
        <v>10000</v>
      </c>
      <c r="AJ5" s="2">
        <f t="dataTable" ref="AJ5:AJ44" dt2D="0" dtr="0" r1="C5" ca="1"/>
        <v>2812.8964764945267</v>
      </c>
      <c r="AK5" s="2">
        <f>(AG5+AI5)/2</f>
        <v>5250</v>
      </c>
      <c r="AL5" s="2">
        <f t="dataTable" ref="AL5:AL44" dt2D="0" dtr="0" r1="C5" ca="1"/>
        <v>1739.802032881807</v>
      </c>
      <c r="AM5" s="2">
        <f>AH5*AL5</f>
        <v>-1213170.1817085024</v>
      </c>
      <c r="AN5" s="2">
        <f>AJ5*AL5</f>
        <v>4893883.0080912495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7.3200171369675798E-2</v>
      </c>
      <c r="X6" s="2">
        <f t="shared" ref="X6:X34" si="8">IF(AC5&gt;0, Z5, X5)</f>
        <v>0.25</v>
      </c>
      <c r="Y6" s="2">
        <f t="shared" si="1"/>
        <v>-0.17784171074974359</v>
      </c>
      <c r="Z6" s="2">
        <f t="shared" si="3"/>
        <v>0.125</v>
      </c>
      <c r="AA6" s="2">
        <f t="shared" si="2"/>
        <v>-5.2097929613439939E-2</v>
      </c>
      <c r="AB6" s="2">
        <f t="shared" si="4"/>
        <v>-3.8135773757091112E-3</v>
      </c>
      <c r="AC6" s="2">
        <f t="shared" si="5"/>
        <v>9.2651849289738866E-3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-697.30357752198279</v>
      </c>
      <c r="AI6" s="2">
        <f>IF(AN5&gt;0, AK5, AI5)</f>
        <v>5250</v>
      </c>
      <c r="AJ6" s="2">
        <v>1739.802032881807</v>
      </c>
      <c r="AK6" s="2">
        <f t="shared" ref="AK6:AK43" si="9">(AG6+AI6)/2</f>
        <v>2875</v>
      </c>
      <c r="AL6" s="2">
        <v>712.58331147011836</v>
      </c>
      <c r="AM6" s="2">
        <f t="shared" ref="AM6:AM44" si="10">AH6*AL6</f>
        <v>-496886.89237057487</v>
      </c>
      <c r="AN6" s="2">
        <f t="shared" ref="AN6:AN44" si="11">AJ6*AL6</f>
        <v>1239753.8938933618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495.10963141321901</v>
      </c>
      <c r="D7" s="6" t="s">
        <v>125</v>
      </c>
      <c r="F7" t="s">
        <v>121</v>
      </c>
      <c r="G7" s="8">
        <f>$C$6*2*PI()/60*$C$9</f>
        <v>113.04711788115915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0.91723226614634468</v>
      </c>
      <c r="P7" s="6" t="s">
        <v>115</v>
      </c>
      <c r="U7" s="2">
        <v>3</v>
      </c>
      <c r="V7" s="2">
        <f t="shared" si="7"/>
        <v>0</v>
      </c>
      <c r="W7" s="2">
        <f t="shared" si="0"/>
        <v>7.3200171369675798E-2</v>
      </c>
      <c r="X7" s="2">
        <f t="shared" si="8"/>
        <v>0.125</v>
      </c>
      <c r="Y7" s="2">
        <f t="shared" si="1"/>
        <v>-5.2097929613439939E-2</v>
      </c>
      <c r="Z7" s="2">
        <f t="shared" si="3"/>
        <v>6.25E-2</v>
      </c>
      <c r="AA7" s="2">
        <f t="shared" si="2"/>
        <v>1.0622799090082208E-2</v>
      </c>
      <c r="AB7" s="2">
        <f t="shared" si="4"/>
        <v>7.7759071381965376E-4</v>
      </c>
      <c r="AC7" s="2">
        <f t="shared" si="5"/>
        <v>-5.5342583929281664E-4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-697.30357752198279</v>
      </c>
      <c r="AI7" s="2">
        <f t="shared" ref="AI7:AI44" si="14">IF(AN6&gt;0, AK6, AI6)</f>
        <v>2875</v>
      </c>
      <c r="AJ7" s="2">
        <v>712.58331147011836</v>
      </c>
      <c r="AK7" s="2">
        <f t="shared" si="9"/>
        <v>1687.5</v>
      </c>
      <c r="AL7" s="2">
        <v>68.119604377390829</v>
      </c>
      <c r="AM7" s="2">
        <f t="shared" si="10"/>
        <v>-47500.043831736744</v>
      </c>
      <c r="AN7" s="2">
        <f t="shared" si="11"/>
        <v>48540.893263275524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0.3385486113119805</v>
      </c>
      <c r="H8" s="6" t="s">
        <v>122</v>
      </c>
      <c r="J8" s="6" t="s">
        <v>96</v>
      </c>
      <c r="K8" s="6">
        <f xml:space="preserve"> $C$15 * (G12*G6 + G22*G15 + G31*G27 +G35*G34)/3600</f>
        <v>162.03652151249005</v>
      </c>
      <c r="L8" s="6" t="s">
        <v>102</v>
      </c>
      <c r="N8" s="6" t="s">
        <v>38</v>
      </c>
      <c r="O8" s="6">
        <f xml:space="preserve"> O4 *O7</f>
        <v>2079.7909464652389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1.0622799090082208E-2</v>
      </c>
      <c r="X8" s="2">
        <f t="shared" si="8"/>
        <v>0.125</v>
      </c>
      <c r="Y8" s="2">
        <f t="shared" si="1"/>
        <v>-5.2097929613439939E-2</v>
      </c>
      <c r="Z8" s="2">
        <f t="shared" si="3"/>
        <v>9.375E-2</v>
      </c>
      <c r="AA8" s="2">
        <f t="shared" si="2"/>
        <v>-2.0721182194595567E-2</v>
      </c>
      <c r="AB8" s="2">
        <f t="shared" si="4"/>
        <v>-2.2011695536217743E-4</v>
      </c>
      <c r="AC8" s="2">
        <f t="shared" si="5"/>
        <v>1.0795306914813047E-3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-697.30357752198279</v>
      </c>
      <c r="AI8" s="2">
        <f t="shared" si="14"/>
        <v>1687.5</v>
      </c>
      <c r="AJ8" s="2">
        <v>68.119604377390829</v>
      </c>
      <c r="AK8" s="2">
        <f t="shared" si="9"/>
        <v>1093.75</v>
      </c>
      <c r="AL8" s="2">
        <v>-306.2618983118499</v>
      </c>
      <c r="AM8" s="2">
        <f t="shared" si="10"/>
        <v>213557.51735152665</v>
      </c>
      <c r="AN8" s="2">
        <f t="shared" si="11"/>
        <v>-20862.439348871914</v>
      </c>
      <c r="AO8" s="2">
        <f t="shared" si="12"/>
        <v>1187.5</v>
      </c>
    </row>
    <row r="9" spans="2:41" x14ac:dyDescent="0.2">
      <c r="B9" s="6" t="s">
        <v>95</v>
      </c>
      <c r="C9" s="17">
        <v>2.6988011419618001</v>
      </c>
      <c r="D9" s="6" t="s">
        <v>8</v>
      </c>
      <c r="F9" t="s">
        <v>19</v>
      </c>
      <c r="G9" s="6">
        <f xml:space="preserve"> $C$5 * $C$44 / $C$18</f>
        <v>3849.6150314626425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2079.7909464652389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1.0622799090082208E-2</v>
      </c>
      <c r="X9" s="2">
        <f t="shared" si="8"/>
        <v>9.375E-2</v>
      </c>
      <c r="Y9" s="2">
        <f t="shared" si="1"/>
        <v>-2.0721182194595567E-2</v>
      </c>
      <c r="Z9" s="2">
        <f t="shared" si="3"/>
        <v>7.8125E-2</v>
      </c>
      <c r="AA9" s="2">
        <f t="shared" si="2"/>
        <v>-5.0448601588613667E-3</v>
      </c>
      <c r="AB9" s="2">
        <f t="shared" si="4"/>
        <v>-5.3590535905144507E-5</v>
      </c>
      <c r="AC9" s="2">
        <f t="shared" si="5"/>
        <v>1.0453546649802271E-4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-306.2618983118499</v>
      </c>
      <c r="AI9" s="2">
        <f t="shared" si="14"/>
        <v>1687.5</v>
      </c>
      <c r="AJ9" s="2">
        <v>68.119604377390829</v>
      </c>
      <c r="AK9" s="2">
        <f t="shared" si="9"/>
        <v>1390.625</v>
      </c>
      <c r="AL9" s="2">
        <v>-111.17570031472906</v>
      </c>
      <c r="AM9" s="2">
        <f t="shared" si="10"/>
        <v>34048.881024538248</v>
      </c>
      <c r="AN9" s="2">
        <f t="shared" si="11"/>
        <v>-7573.2447218187081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53.14430100945593</v>
      </c>
      <c r="H10" s="6" t="s">
        <v>101</v>
      </c>
      <c r="N10" s="6" t="s">
        <v>113</v>
      </c>
      <c r="O10" s="6">
        <f>O7/(0.3048^2)/($C$5*2.20462/1000)^(2/3)</f>
        <v>4.3129075017596632</v>
      </c>
      <c r="U10" s="2">
        <v>6</v>
      </c>
      <c r="V10" s="2">
        <f t="shared" si="7"/>
        <v>6.25E-2</v>
      </c>
      <c r="W10" s="2">
        <f t="shared" si="0"/>
        <v>1.0622799090082208E-2</v>
      </c>
      <c r="X10" s="2">
        <f t="shared" si="8"/>
        <v>7.8125E-2</v>
      </c>
      <c r="Y10" s="2">
        <f t="shared" si="1"/>
        <v>-5.0448601588613667E-3</v>
      </c>
      <c r="Z10" s="2">
        <f t="shared" si="3"/>
        <v>7.03125E-2</v>
      </c>
      <c r="AA10" s="2">
        <f t="shared" si="2"/>
        <v>2.7900784298670045E-3</v>
      </c>
      <c r="AB10" s="2">
        <f t="shared" si="4"/>
        <v>2.963844260604921E-5</v>
      </c>
      <c r="AC10" s="2">
        <f t="shared" si="5"/>
        <v>-1.4075555510934529E-5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-111.17570031472906</v>
      </c>
      <c r="AI10" s="2">
        <f t="shared" si="14"/>
        <v>1687.5</v>
      </c>
      <c r="AJ10" s="2">
        <v>68.119604377390829</v>
      </c>
      <c r="AK10" s="2">
        <f t="shared" si="9"/>
        <v>1539.0625</v>
      </c>
      <c r="AL10" s="2">
        <v>-18.842664845267336</v>
      </c>
      <c r="AM10" s="2">
        <f t="shared" si="10"/>
        <v>2094.8464599683221</v>
      </c>
      <c r="AN10" s="2">
        <f t="shared" si="11"/>
        <v>-1283.5548746753811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7.3904085639104906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7.03125E-2</v>
      </c>
      <c r="W11" s="2">
        <f t="shared" si="0"/>
        <v>2.7900784298670045E-3</v>
      </c>
      <c r="X11" s="2">
        <f t="shared" si="8"/>
        <v>7.8125E-2</v>
      </c>
      <c r="Y11" s="2">
        <f t="shared" si="1"/>
        <v>-5.0448601588613667E-3</v>
      </c>
      <c r="Z11" s="2">
        <f t="shared" si="3"/>
        <v>7.421875E-2</v>
      </c>
      <c r="AA11" s="2">
        <f t="shared" si="2"/>
        <v>-1.127116721966151E-3</v>
      </c>
      <c r="AB11" s="2">
        <f t="shared" si="4"/>
        <v>-3.1447440539001637E-6</v>
      </c>
      <c r="AC11" s="2">
        <f t="shared" si="5"/>
        <v>5.6861462450334591E-6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-18.842664845267336</v>
      </c>
      <c r="AI11" s="2">
        <f t="shared" si="14"/>
        <v>1687.5</v>
      </c>
      <c r="AJ11" s="2">
        <v>68.119604377390829</v>
      </c>
      <c r="AK11" s="2">
        <f t="shared" si="9"/>
        <v>1613.28125</v>
      </c>
      <c r="AL11" s="2">
        <v>24.805822339617066</v>
      </c>
      <c r="AM11" s="2">
        <f t="shared" si="10"/>
        <v>-467.40779655664966</v>
      </c>
      <c r="AN11" s="2">
        <f t="shared" si="11"/>
        <v>1689.7628040305578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212.57720403782372</v>
      </c>
      <c r="H12" s="25" t="s">
        <v>101</v>
      </c>
      <c r="J12" s="10" t="s">
        <v>79</v>
      </c>
      <c r="K12" s="6">
        <f>C5</f>
        <v>1571.0323892132801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7.03125E-2</v>
      </c>
      <c r="W12" s="2">
        <f t="shared" si="0"/>
        <v>2.7900784298670045E-3</v>
      </c>
      <c r="X12" s="2">
        <f t="shared" si="8"/>
        <v>7.421875E-2</v>
      </c>
      <c r="Y12" s="2">
        <f t="shared" si="1"/>
        <v>-1.127116721966151E-3</v>
      </c>
      <c r="Z12" s="2">
        <f t="shared" si="3"/>
        <v>7.2265625E-2</v>
      </c>
      <c r="AA12" s="2">
        <f t="shared" si="2"/>
        <v>8.3154978769642285E-4</v>
      </c>
      <c r="AB12" s="2">
        <f t="shared" si="4"/>
        <v>2.3200891260122762E-6</v>
      </c>
      <c r="AC12" s="2">
        <f t="shared" si="5"/>
        <v>-9.3725367086004092E-7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-18.842664845267336</v>
      </c>
      <c r="AI12" s="2">
        <f t="shared" si="14"/>
        <v>1613.28125</v>
      </c>
      <c r="AJ12" s="2">
        <v>24.805822339617066</v>
      </c>
      <c r="AK12" s="2">
        <f t="shared" si="9"/>
        <v>1576.171875</v>
      </c>
      <c r="AL12" s="2">
        <v>3.0224274980006385</v>
      </c>
      <c r="AM12" s="2">
        <f t="shared" si="10"/>
        <v>-56.95058836394594</v>
      </c>
      <c r="AN12" s="2">
        <f t="shared" si="11"/>
        <v>74.973799549777155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433.25273131681831</v>
      </c>
      <c r="L13" s="6" t="s">
        <v>7</v>
      </c>
      <c r="N13" s="6" t="s">
        <v>74</v>
      </c>
      <c r="O13" s="6">
        <f xml:space="preserve"> SQRT( ($C$5*$C$50)^2 + O9^2)</f>
        <v>15536.819057815619</v>
      </c>
      <c r="P13" s="6" t="s">
        <v>20</v>
      </c>
      <c r="U13" s="2">
        <v>9</v>
      </c>
      <c r="V13" s="2">
        <f t="shared" si="7"/>
        <v>7.2265625E-2</v>
      </c>
      <c r="W13" s="2">
        <f t="shared" si="0"/>
        <v>8.3154978769642285E-4</v>
      </c>
      <c r="X13" s="2">
        <f t="shared" si="8"/>
        <v>7.421875E-2</v>
      </c>
      <c r="Y13" s="2">
        <f t="shared" si="1"/>
        <v>-1.127116721966151E-3</v>
      </c>
      <c r="Z13" s="2">
        <f t="shared" si="3"/>
        <v>7.32421875E-2</v>
      </c>
      <c r="AA13" s="2">
        <f t="shared" si="2"/>
        <v>-1.4776628280063764E-4</v>
      </c>
      <c r="AB13" s="2">
        <f t="shared" si="4"/>
        <v>-1.228750210915598E-7</v>
      </c>
      <c r="AC13" s="2">
        <f t="shared" si="5"/>
        <v>1.6654984828737792E-7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-18.842664845267336</v>
      </c>
      <c r="AI13" s="2">
        <f t="shared" si="14"/>
        <v>1576.171875</v>
      </c>
      <c r="AJ13" s="2">
        <v>3.0224274980006385</v>
      </c>
      <c r="AK13" s="2">
        <f t="shared" si="9"/>
        <v>1557.6171875</v>
      </c>
      <c r="AL13" s="2">
        <v>-7.9000386938448628</v>
      </c>
      <c r="AM13" s="2">
        <f t="shared" si="10"/>
        <v>148.85778137276228</v>
      </c>
      <c r="AN13" s="2">
        <f t="shared" si="11"/>
        <v>-23.877294183545761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111.9118248393987</v>
      </c>
      <c r="L14" s="6" t="s">
        <v>7</v>
      </c>
      <c r="N14" s="6" t="s">
        <v>75</v>
      </c>
      <c r="O14" s="6">
        <f>$C$5*$C$50/O13</f>
        <v>0.99099997124485284</v>
      </c>
      <c r="U14" s="2">
        <v>10</v>
      </c>
      <c r="V14" s="2">
        <f t="shared" si="7"/>
        <v>7.2265625E-2</v>
      </c>
      <c r="W14" s="2">
        <f t="shared" si="0"/>
        <v>8.3154978769642285E-4</v>
      </c>
      <c r="X14" s="2">
        <f t="shared" si="8"/>
        <v>7.32421875E-2</v>
      </c>
      <c r="Y14" s="2">
        <f t="shared" si="1"/>
        <v>-1.4776628280063764E-4</v>
      </c>
      <c r="Z14" s="2">
        <f t="shared" si="3"/>
        <v>7.275390625E-2</v>
      </c>
      <c r="AA14" s="2">
        <f t="shared" si="2"/>
        <v>3.4189605471100781E-4</v>
      </c>
      <c r="AB14" s="2">
        <f t="shared" si="4"/>
        <v>2.8430359170918313E-7</v>
      </c>
      <c r="AC14" s="2">
        <f t="shared" si="5"/>
        <v>-5.0520709108849057E-8</v>
      </c>
      <c r="AD14" s="2">
        <f t="shared" si="6"/>
        <v>9.765625E-4</v>
      </c>
      <c r="AF14" s="2">
        <v>10</v>
      </c>
      <c r="AG14" s="2">
        <f t="shared" si="13"/>
        <v>1557.6171875</v>
      </c>
      <c r="AH14" s="2">
        <v>-7.9000386938448628</v>
      </c>
      <c r="AI14" s="2">
        <f t="shared" si="14"/>
        <v>1576.171875</v>
      </c>
      <c r="AJ14" s="2">
        <v>3.0224274980006385</v>
      </c>
      <c r="AK14" s="2">
        <f t="shared" si="9"/>
        <v>1566.89453125</v>
      </c>
      <c r="AL14" s="2">
        <v>-2.436268087315284</v>
      </c>
      <c r="AM14" s="2">
        <f t="shared" si="10"/>
        <v>19.246612158370159</v>
      </c>
      <c r="AN14" s="2">
        <f t="shared" si="11"/>
        <v>-7.363443659603135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110.06387880687218</v>
      </c>
      <c r="L15" s="6" t="s">
        <v>7</v>
      </c>
      <c r="U15" s="2">
        <v>11</v>
      </c>
      <c r="V15" s="2">
        <f t="shared" si="7"/>
        <v>7.275390625E-2</v>
      </c>
      <c r="W15" s="2">
        <f t="shared" si="0"/>
        <v>3.4189605471100781E-4</v>
      </c>
      <c r="X15" s="2">
        <f t="shared" si="8"/>
        <v>7.32421875E-2</v>
      </c>
      <c r="Y15" s="2">
        <f t="shared" si="1"/>
        <v>-1.4776628280063764E-4</v>
      </c>
      <c r="Z15" s="2">
        <f t="shared" si="3"/>
        <v>7.2998046875E-2</v>
      </c>
      <c r="AA15" s="2">
        <f t="shared" si="2"/>
        <v>9.7065960751124836E-5</v>
      </c>
      <c r="AB15" s="2">
        <f t="shared" si="4"/>
        <v>3.3186469027543113E-8</v>
      </c>
      <c r="AC15" s="2">
        <f t="shared" si="5"/>
        <v>-1.4343076206666306E-8</v>
      </c>
      <c r="AD15" s="2">
        <f t="shared" si="6"/>
        <v>4.8828125E-4</v>
      </c>
      <c r="AF15" s="2">
        <v>11</v>
      </c>
      <c r="AG15" s="2">
        <f t="shared" si="13"/>
        <v>1566.89453125</v>
      </c>
      <c r="AH15" s="2">
        <v>-2.436268087315284</v>
      </c>
      <c r="AI15" s="2">
        <f t="shared" si="14"/>
        <v>1576.171875</v>
      </c>
      <c r="AJ15" s="2">
        <v>3.0224274980006385</v>
      </c>
      <c r="AK15" s="2">
        <f t="shared" si="9"/>
        <v>1571.533203125</v>
      </c>
      <c r="AL15" s="2">
        <v>0.29371713022942458</v>
      </c>
      <c r="AM15" s="2">
        <f t="shared" si="10"/>
        <v>-0.71557367107577441</v>
      </c>
      <c r="AN15" s="2">
        <f t="shared" si="11"/>
        <v>0.8877387310392475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139.92679216616855</v>
      </c>
      <c r="H16" s="6" t="s">
        <v>10</v>
      </c>
      <c r="J16" s="13" t="s">
        <v>53</v>
      </c>
      <c r="K16" s="6">
        <f xml:space="preserve"> $C$54 * 0.2138 * K4</f>
        <v>54.538807467944046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7.2998046875E-2</v>
      </c>
      <c r="W16" s="2">
        <f t="shared" si="0"/>
        <v>9.7065960751124836E-5</v>
      </c>
      <c r="X16" s="2">
        <f t="shared" si="8"/>
        <v>7.32421875E-2</v>
      </c>
      <c r="Y16" s="2">
        <f t="shared" si="1"/>
        <v>-1.4776628280063764E-4</v>
      </c>
      <c r="Z16" s="2">
        <f t="shared" si="3"/>
        <v>7.31201171875E-2</v>
      </c>
      <c r="AA16" s="2">
        <f t="shared" si="2"/>
        <v>-2.5349892422227294E-5</v>
      </c>
      <c r="AB16" s="2">
        <f t="shared" si="4"/>
        <v>-2.4606116629011513E-9</v>
      </c>
      <c r="AC16" s="2">
        <f t="shared" si="5"/>
        <v>3.7458593726285794E-9</v>
      </c>
      <c r="AD16" s="2">
        <f t="shared" si="6"/>
        <v>2.44140625E-4</v>
      </c>
      <c r="AF16" s="2">
        <v>12</v>
      </c>
      <c r="AG16" s="2">
        <f t="shared" si="13"/>
        <v>1566.89453125</v>
      </c>
      <c r="AH16" s="2">
        <v>-2.436268087315284</v>
      </c>
      <c r="AI16" s="2">
        <f t="shared" si="14"/>
        <v>1571.533203125</v>
      </c>
      <c r="AJ16" s="2">
        <v>0.29371713022942458</v>
      </c>
      <c r="AK16" s="2">
        <f t="shared" si="9"/>
        <v>1569.2138671875</v>
      </c>
      <c r="AL16" s="2">
        <v>-1.0711190631483305</v>
      </c>
      <c r="AM16" s="2">
        <f t="shared" si="10"/>
        <v>2.6095331912633219</v>
      </c>
      <c r="AN16" s="2">
        <f t="shared" si="11"/>
        <v>-0.31460601736195742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0.42055198153647538</v>
      </c>
      <c r="H17" s="6" t="s">
        <v>122</v>
      </c>
      <c r="J17" s="13" t="s">
        <v>77</v>
      </c>
      <c r="K17" s="6">
        <f xml:space="preserve"> $C$54 * 0.1149 * K4</f>
        <v>29.310144892735131</v>
      </c>
      <c r="L17" s="6" t="s">
        <v>7</v>
      </c>
      <c r="N17" s="6" t="s">
        <v>25</v>
      </c>
      <c r="O17" s="6">
        <f xml:space="preserve"> ACOS(O14)/PI()*180</f>
        <v>7.6928247593759291</v>
      </c>
      <c r="P17" s="6" t="s">
        <v>40</v>
      </c>
      <c r="U17" s="2">
        <v>13</v>
      </c>
      <c r="V17" s="2">
        <f t="shared" si="7"/>
        <v>7.2998046875E-2</v>
      </c>
      <c r="W17" s="2">
        <f t="shared" si="0"/>
        <v>9.7065960751124836E-5</v>
      </c>
      <c r="X17" s="2">
        <f t="shared" si="8"/>
        <v>7.31201171875E-2</v>
      </c>
      <c r="Y17" s="2">
        <f t="shared" si="1"/>
        <v>-2.5349892422227294E-5</v>
      </c>
      <c r="Z17" s="2">
        <f t="shared" si="3"/>
        <v>7.305908203125E-2</v>
      </c>
      <c r="AA17" s="2">
        <f t="shared" si="2"/>
        <v>3.5858101327140846E-5</v>
      </c>
      <c r="AB17" s="2">
        <f t="shared" si="4"/>
        <v>3.4806010560301108E-9</v>
      </c>
      <c r="AC17" s="2">
        <f t="shared" si="5"/>
        <v>-9.0899901110834623E-10</v>
      </c>
      <c r="AD17" s="2">
        <f t="shared" si="6"/>
        <v>1.220703125E-4</v>
      </c>
      <c r="AF17" s="2">
        <v>13</v>
      </c>
      <c r="AG17" s="2">
        <f t="shared" si="13"/>
        <v>1569.2138671875</v>
      </c>
      <c r="AH17" s="2">
        <v>-1.0711190631483305</v>
      </c>
      <c r="AI17" s="2">
        <f t="shared" si="14"/>
        <v>1571.533203125</v>
      </c>
      <c r="AJ17" s="2">
        <v>0.29371713022942458</v>
      </c>
      <c r="AK17" s="2">
        <f t="shared" si="9"/>
        <v>1570.37353515625</v>
      </c>
      <c r="AL17" s="2">
        <v>-0.38866271215567849</v>
      </c>
      <c r="AM17" s="2">
        <f t="shared" si="10"/>
        <v>0.41630404012487959</v>
      </c>
      <c r="AN17" s="2">
        <f t="shared" si="11"/>
        <v>-0.11415689644155078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3884.2047644539048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125.56387794536388</v>
      </c>
      <c r="L18" s="6" t="s">
        <v>7</v>
      </c>
      <c r="N18" s="6" t="s">
        <v>19</v>
      </c>
      <c r="O18" s="6">
        <f xml:space="preserve"> O13 / $C$18</f>
        <v>3884.2047644539048</v>
      </c>
      <c r="P18" s="6" t="s">
        <v>20</v>
      </c>
      <c r="U18" s="2">
        <v>14</v>
      </c>
      <c r="V18" s="2">
        <f t="shared" si="7"/>
        <v>7.305908203125E-2</v>
      </c>
      <c r="W18" s="2">
        <f t="shared" si="0"/>
        <v>3.5858101327140846E-5</v>
      </c>
      <c r="X18" s="2">
        <f t="shared" si="8"/>
        <v>7.31201171875E-2</v>
      </c>
      <c r="Y18" s="2">
        <f t="shared" si="1"/>
        <v>-2.5349892422227294E-5</v>
      </c>
      <c r="Z18" s="2">
        <f t="shared" si="3"/>
        <v>7.3089599609375E-2</v>
      </c>
      <c r="AA18" s="2">
        <f t="shared" si="2"/>
        <v>5.2541212416240546E-6</v>
      </c>
      <c r="AB18" s="2">
        <f t="shared" si="4"/>
        <v>1.8840281186723843E-10</v>
      </c>
      <c r="AC18" s="2">
        <f t="shared" si="5"/>
        <v>-1.3319140824850909E-10</v>
      </c>
      <c r="AD18" s="2">
        <f t="shared" si="6"/>
        <v>6.103515625E-5</v>
      </c>
      <c r="AF18" s="2">
        <v>14</v>
      </c>
      <c r="AG18" s="2">
        <f t="shared" si="13"/>
        <v>1570.37353515625</v>
      </c>
      <c r="AH18" s="2">
        <v>-0.38866271215567849</v>
      </c>
      <c r="AI18" s="2">
        <f t="shared" si="14"/>
        <v>1571.533203125</v>
      </c>
      <c r="AJ18" s="2">
        <v>0.29371713022942458</v>
      </c>
      <c r="AK18" s="2">
        <f t="shared" si="9"/>
        <v>1570.953369140625</v>
      </c>
      <c r="AL18" s="2">
        <v>-4.7462045019074139E-2</v>
      </c>
      <c r="AM18" s="2">
        <f t="shared" si="10"/>
        <v>1.8446727141568267E-2</v>
      </c>
      <c r="AN18" s="2">
        <f t="shared" si="11"/>
        <v>-1.3940415657822211E-2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49.326521259710006</v>
      </c>
      <c r="H19" s="6" t="s">
        <v>101</v>
      </c>
      <c r="J19" s="14" t="s">
        <v>61</v>
      </c>
      <c r="K19" s="6">
        <f xml:space="preserve"> $C$55 * C31 * $C$5</f>
        <v>17.595562759188741</v>
      </c>
      <c r="L19" s="6" t="s">
        <v>7</v>
      </c>
      <c r="N19" s="6" t="s">
        <v>26</v>
      </c>
      <c r="O19" s="6">
        <f>$C$7*2*PI()/60</f>
        <v>51.847759358977306</v>
      </c>
      <c r="P19" s="6" t="s">
        <v>27</v>
      </c>
      <c r="U19" s="2">
        <v>15</v>
      </c>
      <c r="V19" s="2">
        <f t="shared" si="7"/>
        <v>7.3089599609375E-2</v>
      </c>
      <c r="W19" s="2">
        <f t="shared" si="0"/>
        <v>5.2541212416240546E-6</v>
      </c>
      <c r="X19" s="2">
        <f t="shared" si="8"/>
        <v>7.31201171875E-2</v>
      </c>
      <c r="Y19" s="2">
        <f t="shared" si="1"/>
        <v>-2.5349892422227294E-5</v>
      </c>
      <c r="Z19" s="2">
        <f t="shared" si="3"/>
        <v>7.31048583984375E-2</v>
      </c>
      <c r="AA19" s="2">
        <f t="shared" si="2"/>
        <v>-1.0047881393207558E-5</v>
      </c>
      <c r="AB19" s="2">
        <f t="shared" si="4"/>
        <v>-5.2792787061370933E-11</v>
      </c>
      <c r="AC19" s="2">
        <f t="shared" si="5"/>
        <v>2.5471271238911088E-10</v>
      </c>
      <c r="AD19" s="2">
        <f t="shared" si="6"/>
        <v>3.0517578125E-5</v>
      </c>
      <c r="AF19" s="2">
        <v>15</v>
      </c>
      <c r="AG19" s="2">
        <f t="shared" si="13"/>
        <v>1570.953369140625</v>
      </c>
      <c r="AH19" s="2">
        <v>-4.7462045019074139E-2</v>
      </c>
      <c r="AI19" s="2">
        <f t="shared" si="14"/>
        <v>1571.533203125</v>
      </c>
      <c r="AJ19" s="2">
        <v>0.29371713022942458</v>
      </c>
      <c r="AK19" s="2">
        <f t="shared" si="9"/>
        <v>1571.2432861328125</v>
      </c>
      <c r="AL19" s="2">
        <v>0.12312908789283483</v>
      </c>
      <c r="AM19" s="2">
        <f t="shared" si="10"/>
        <v>-5.8439583127272631E-3</v>
      </c>
      <c r="AN19" s="2">
        <f t="shared" si="11"/>
        <v>3.6165122343650033E-2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8.0347250096770075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0.47490900808245429</v>
      </c>
      <c r="U20" s="2">
        <v>16</v>
      </c>
      <c r="V20" s="2">
        <f t="shared" si="7"/>
        <v>7.3089599609375E-2</v>
      </c>
      <c r="W20" s="2">
        <f t="shared" si="0"/>
        <v>5.2541212416240546E-6</v>
      </c>
      <c r="X20" s="2">
        <f t="shared" si="8"/>
        <v>7.31048583984375E-2</v>
      </c>
      <c r="Y20" s="2">
        <f t="shared" si="1"/>
        <v>-1.0047881393207558E-5</v>
      </c>
      <c r="Z20" s="2">
        <f t="shared" si="3"/>
        <v>7.309722900390625E-2</v>
      </c>
      <c r="AA20" s="2">
        <f t="shared" si="2"/>
        <v>-2.3968790264922157E-6</v>
      </c>
      <c r="AB20" s="2">
        <f t="shared" si="4"/>
        <v>-1.2593493006695935E-11</v>
      </c>
      <c r="AC20" s="2">
        <f t="shared" si="5"/>
        <v>2.4083556172060582E-11</v>
      </c>
      <c r="AD20" s="2">
        <f t="shared" si="6"/>
        <v>1.52587890625E-5</v>
      </c>
      <c r="AF20" s="2">
        <v>16</v>
      </c>
      <c r="AG20" s="2">
        <f t="shared" si="13"/>
        <v>1570.953369140625</v>
      </c>
      <c r="AH20" s="2">
        <v>-4.7462045019074139E-2</v>
      </c>
      <c r="AI20" s="2">
        <f t="shared" si="14"/>
        <v>1571.2432861328125</v>
      </c>
      <c r="AJ20" s="2">
        <v>0.12312908789283483</v>
      </c>
      <c r="AK20" s="2">
        <f t="shared" si="9"/>
        <v>1571.0983276367188</v>
      </c>
      <c r="AL20" s="2">
        <v>3.7834480164065099E-2</v>
      </c>
      <c r="AM20" s="2">
        <f t="shared" si="10"/>
        <v>-1.7957018008201253E-3</v>
      </c>
      <c r="AN20" s="2">
        <f t="shared" si="11"/>
        <v>4.6585250335008871E-3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0.14000105044781722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8.5963412858522086E-3</v>
      </c>
      <c r="U21" s="2">
        <v>17</v>
      </c>
      <c r="V21" s="2">
        <f t="shared" si="7"/>
        <v>7.3089599609375E-2</v>
      </c>
      <c r="W21" s="2">
        <f t="shared" si="0"/>
        <v>5.2541212416240546E-6</v>
      </c>
      <c r="X21" s="2">
        <f t="shared" si="8"/>
        <v>7.309722900390625E-2</v>
      </c>
      <c r="Y21" s="2">
        <f t="shared" si="1"/>
        <v>-2.3968790264922157E-6</v>
      </c>
      <c r="Z21" s="2">
        <f t="shared" si="3"/>
        <v>7.3093414306640625E-2</v>
      </c>
      <c r="AA21" s="2">
        <f t="shared" si="2"/>
        <v>1.4286213698977424E-6</v>
      </c>
      <c r="AB21" s="2">
        <f t="shared" si="4"/>
        <v>7.5061498858177838E-12</v>
      </c>
      <c r="AC21" s="2">
        <f t="shared" si="5"/>
        <v>-3.4242325983064763E-12</v>
      </c>
      <c r="AD21" s="2">
        <f t="shared" si="6"/>
        <v>7.62939453125E-6</v>
      </c>
      <c r="AF21" s="2">
        <v>17</v>
      </c>
      <c r="AG21" s="2">
        <f t="shared" si="13"/>
        <v>1570.953369140625</v>
      </c>
      <c r="AH21" s="2">
        <v>-4.7462045019074139E-2</v>
      </c>
      <c r="AI21" s="2">
        <f t="shared" si="14"/>
        <v>1571.0983276367188</v>
      </c>
      <c r="AJ21" s="2">
        <v>3.7834480164065099E-2</v>
      </c>
      <c r="AK21" s="2">
        <f t="shared" si="9"/>
        <v>1571.0258483886719</v>
      </c>
      <c r="AL21" s="2">
        <v>-4.8164072768486221E-3</v>
      </c>
      <c r="AM21" s="2">
        <f t="shared" si="10"/>
        <v>2.2859653900398559E-4</v>
      </c>
      <c r="AN21" s="2">
        <f t="shared" si="11"/>
        <v>-1.82226265577988E-4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197.30608503884002</v>
      </c>
      <c r="H22" s="25" t="s">
        <v>101</v>
      </c>
      <c r="J22" s="14" t="s">
        <v>112</v>
      </c>
      <c r="K22" s="6">
        <f>$C$55*(0.14*$G$12*1000/745.7)*0.453592</f>
        <v>14.482247207991884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7.3093414306640625E-2</v>
      </c>
      <c r="W22" s="2">
        <f t="shared" si="0"/>
        <v>1.4286213698977424E-6</v>
      </c>
      <c r="X22" s="2">
        <f t="shared" si="8"/>
        <v>7.309722900390625E-2</v>
      </c>
      <c r="Y22" s="2">
        <f t="shared" si="1"/>
        <v>-2.3968790264922157E-6</v>
      </c>
      <c r="Z22" s="2">
        <f t="shared" si="3"/>
        <v>7.3095321655273438E-2</v>
      </c>
      <c r="AA22" s="2">
        <f t="shared" si="2"/>
        <v>-4.841287627177504E-7</v>
      </c>
      <c r="AB22" s="2">
        <f t="shared" si="4"/>
        <v>-6.9163669620073166E-13</v>
      </c>
      <c r="AC22" s="2">
        <f t="shared" si="5"/>
        <v>1.1603980774798025E-12</v>
      </c>
      <c r="AD22" s="2">
        <f t="shared" si="6"/>
        <v>3.814697265625E-6</v>
      </c>
      <c r="AF22" s="2">
        <v>18</v>
      </c>
      <c r="AG22" s="2">
        <f t="shared" si="13"/>
        <v>1571.0258483886719</v>
      </c>
      <c r="AH22" s="2">
        <v>-4.8164072768486221E-3</v>
      </c>
      <c r="AI22" s="2">
        <f t="shared" si="14"/>
        <v>1571.0983276367188</v>
      </c>
      <c r="AJ22" s="2">
        <v>3.7834480164065099E-2</v>
      </c>
      <c r="AK22" s="2">
        <f t="shared" si="9"/>
        <v>1571.0620880126953</v>
      </c>
      <c r="AL22" s="2">
        <v>1.6508953093534728E-2</v>
      </c>
      <c r="AM22" s="2">
        <f t="shared" si="10"/>
        <v>-7.951384181285324E-5</v>
      </c>
      <c r="AN22" s="2">
        <f t="shared" si="11"/>
        <v>6.2460765834682086E-4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33.682934424732728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8848.335979663334</v>
      </c>
      <c r="P23" s="6" t="s">
        <v>18</v>
      </c>
      <c r="U23" s="2">
        <v>19</v>
      </c>
      <c r="V23" s="2">
        <f t="shared" si="7"/>
        <v>7.3093414306640625E-2</v>
      </c>
      <c r="W23" s="2">
        <f t="shared" si="0"/>
        <v>1.4286213698977424E-6</v>
      </c>
      <c r="X23" s="2">
        <f t="shared" si="8"/>
        <v>7.3095321655273438E-2</v>
      </c>
      <c r="Y23" s="2">
        <f t="shared" si="1"/>
        <v>-4.841287627177504E-7</v>
      </c>
      <c r="Z23" s="2">
        <f t="shared" si="3"/>
        <v>7.3094367980957031E-2</v>
      </c>
      <c r="AA23" s="2">
        <f t="shared" si="2"/>
        <v>4.7224631997966338E-7</v>
      </c>
      <c r="AB23" s="2">
        <f t="shared" si="4"/>
        <v>6.7466118457851425E-13</v>
      </c>
      <c r="AC23" s="2">
        <f t="shared" si="5"/>
        <v>-2.2862802658976528E-13</v>
      </c>
      <c r="AD23" s="2">
        <f t="shared" si="6"/>
        <v>1.9073486328125E-6</v>
      </c>
      <c r="AF23" s="2">
        <v>19</v>
      </c>
      <c r="AG23" s="2">
        <f t="shared" si="13"/>
        <v>1571.0258483886719</v>
      </c>
      <c r="AH23" s="2">
        <v>-4.8164072768486221E-3</v>
      </c>
      <c r="AI23" s="2">
        <f t="shared" si="14"/>
        <v>1571.0620880126953</v>
      </c>
      <c r="AJ23" s="2">
        <v>1.6508953093534728E-2</v>
      </c>
      <c r="AK23" s="2">
        <f t="shared" si="9"/>
        <v>1571.0439682006836</v>
      </c>
      <c r="AL23" s="2">
        <v>5.8485436551336534E-3</v>
      </c>
      <c r="AM23" s="2">
        <f t="shared" si="10"/>
        <v>-2.8168968219552566E-5</v>
      </c>
      <c r="AN23" s="2">
        <f t="shared" si="11"/>
        <v>9.6553332868091633E-5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6.8589994232162272</v>
      </c>
      <c r="L24" s="6" t="s">
        <v>7</v>
      </c>
      <c r="N24" s="6" t="s">
        <v>31</v>
      </c>
      <c r="O24" s="18">
        <f>Z34</f>
        <v>7.3094838764518499E-2</v>
      </c>
      <c r="U24" s="2">
        <v>20</v>
      </c>
      <c r="V24" s="2">
        <f t="shared" si="7"/>
        <v>7.3094367980957031E-2</v>
      </c>
      <c r="W24" s="2">
        <f t="shared" si="0"/>
        <v>4.7224631997966338E-7</v>
      </c>
      <c r="X24" s="2">
        <f t="shared" si="8"/>
        <v>7.3095321655273438E-2</v>
      </c>
      <c r="Y24" s="2">
        <f t="shared" si="1"/>
        <v>-4.841287627177504E-7</v>
      </c>
      <c r="Z24" s="2">
        <f t="shared" si="3"/>
        <v>7.3094844818115234E-2</v>
      </c>
      <c r="AA24" s="2">
        <f t="shared" si="2"/>
        <v>-5.9412172681572173E-9</v>
      </c>
      <c r="AB24" s="2">
        <f t="shared" si="4"/>
        <v>-2.8057179910868749E-15</v>
      </c>
      <c r="AC24" s="2">
        <f t="shared" si="5"/>
        <v>2.8763141650702867E-15</v>
      </c>
      <c r="AD24" s="2">
        <f t="shared" si="6"/>
        <v>9.5367431640625E-7</v>
      </c>
      <c r="AF24" s="2">
        <v>20</v>
      </c>
      <c r="AG24" s="2">
        <f t="shared" si="13"/>
        <v>1571.0258483886719</v>
      </c>
      <c r="AH24" s="2">
        <v>5.8485436551336534E-3</v>
      </c>
      <c r="AI24" s="2">
        <f t="shared" si="14"/>
        <v>1571.0439682006836</v>
      </c>
      <c r="AJ24" s="2">
        <v>5.8485436551336534E-3</v>
      </c>
      <c r="AK24" s="2">
        <f t="shared" si="9"/>
        <v>1571.0349082946777</v>
      </c>
      <c r="AL24" s="2">
        <v>5.8485436551336534E-3</v>
      </c>
      <c r="AM24" s="2">
        <f t="shared" si="10"/>
        <v>3.4205462886004112E-5</v>
      </c>
      <c r="AN24" s="2">
        <f t="shared" si="11"/>
        <v>3.4205462886004112E-5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10.054607290964993</v>
      </c>
      <c r="L25" s="6" t="s">
        <v>7</v>
      </c>
      <c r="N25" s="6" t="s">
        <v>32</v>
      </c>
      <c r="O25" s="6">
        <f xml:space="preserve"> O19 * $C$9 * O24 - $C$8 * SIN(O17/180*PI())</f>
        <v>1.2516705428010333</v>
      </c>
      <c r="P25" s="6" t="s">
        <v>10</v>
      </c>
      <c r="U25" s="2">
        <v>21</v>
      </c>
      <c r="V25" s="2">
        <f t="shared" si="7"/>
        <v>7.3094367980957031E-2</v>
      </c>
      <c r="W25" s="2">
        <f t="shared" si="0"/>
        <v>4.7224631997966338E-7</v>
      </c>
      <c r="X25" s="2">
        <f t="shared" si="8"/>
        <v>7.3094844818115234E-2</v>
      </c>
      <c r="Y25" s="2">
        <f t="shared" si="1"/>
        <v>-5.9412172681572173E-9</v>
      </c>
      <c r="Z25" s="2">
        <f t="shared" si="3"/>
        <v>7.3094606399536133E-2</v>
      </c>
      <c r="AA25" s="2">
        <f t="shared" si="2"/>
        <v>2.3315255237577048E-7</v>
      </c>
      <c r="AB25" s="2">
        <f t="shared" si="4"/>
        <v>1.1010543485332334E-13</v>
      </c>
      <c r="AC25" s="2">
        <f t="shared" si="5"/>
        <v>-1.3852099702898576E-15</v>
      </c>
      <c r="AD25" s="2">
        <f t="shared" si="6"/>
        <v>4.76837158203125E-7</v>
      </c>
      <c r="AF25" s="2">
        <v>21</v>
      </c>
      <c r="AG25" s="2">
        <f t="shared" si="13"/>
        <v>1571.0349082946777</v>
      </c>
      <c r="AH25" s="2">
        <v>5.8485436551336534E-3</v>
      </c>
      <c r="AI25" s="2">
        <f t="shared" si="14"/>
        <v>1571.0349082946777</v>
      </c>
      <c r="AJ25" s="2">
        <v>5.8485436551336534E-3</v>
      </c>
      <c r="AK25" s="2">
        <f t="shared" si="9"/>
        <v>1571.0349082946777</v>
      </c>
      <c r="AL25" s="2">
        <v>5.8485436551336534E-3</v>
      </c>
      <c r="AM25" s="2">
        <f t="shared" si="10"/>
        <v>3.4205462886004112E-5</v>
      </c>
      <c r="AN25" s="2">
        <f t="shared" si="11"/>
        <v>3.4205462886004112E-5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23.717738249082398</v>
      </c>
      <c r="L26" s="6" t="s">
        <v>7</v>
      </c>
      <c r="N26" s="6" t="s">
        <v>33</v>
      </c>
      <c r="O26" s="6">
        <f xml:space="preserve"> 1/$C$21 - O23 * SQRT( (2*$C$47*PI()*$C$9^2) / O18^3 )</f>
        <v>1.0850104264833964</v>
      </c>
      <c r="U26" s="2">
        <v>22</v>
      </c>
      <c r="V26" s="2">
        <f t="shared" si="7"/>
        <v>7.3094606399536133E-2</v>
      </c>
      <c r="W26" s="2">
        <f t="shared" si="0"/>
        <v>2.3315255237577048E-7</v>
      </c>
      <c r="X26" s="2">
        <f t="shared" si="8"/>
        <v>7.3094844818115234E-2</v>
      </c>
      <c r="Y26" s="2">
        <f t="shared" si="1"/>
        <v>-5.9412172681572173E-9</v>
      </c>
      <c r="Z26" s="2">
        <f t="shared" si="3"/>
        <v>7.3094725608825684E-2</v>
      </c>
      <c r="AA26" s="2">
        <f t="shared" si="2"/>
        <v>1.136056678174846E-7</v>
      </c>
      <c r="AB26" s="2">
        <f t="shared" si="4"/>
        <v>2.6487451416000463E-14</v>
      </c>
      <c r="AC26" s="2">
        <f t="shared" si="5"/>
        <v>-6.7495595539777213E-16</v>
      </c>
      <c r="AD26" s="2">
        <f t="shared" si="6"/>
        <v>2.384185791015625E-7</v>
      </c>
      <c r="AF26" s="2">
        <v>22</v>
      </c>
      <c r="AG26" s="2">
        <f t="shared" si="13"/>
        <v>1571.0349082946777</v>
      </c>
      <c r="AH26" s="2">
        <v>5.8485436551336534E-3</v>
      </c>
      <c r="AI26" s="2">
        <f t="shared" si="14"/>
        <v>1571.0349082946777</v>
      </c>
      <c r="AJ26" s="2">
        <v>5.8485436551336534E-3</v>
      </c>
      <c r="AK26" s="2">
        <f t="shared" si="9"/>
        <v>1571.0349082946777</v>
      </c>
      <c r="AL26" s="2">
        <v>5.8485436551336534E-3</v>
      </c>
      <c r="AM26" s="2">
        <f t="shared" si="10"/>
        <v>3.4205462886004112E-5</v>
      </c>
      <c r="AN26" s="2">
        <f t="shared" si="11"/>
        <v>3.4205462886004112E-5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-9.6541102902847342E-4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7.3094725608825684E-2</v>
      </c>
      <c r="W27" s="2">
        <f t="shared" si="0"/>
        <v>1.136056678174846E-7</v>
      </c>
      <c r="X27" s="2">
        <f t="shared" si="8"/>
        <v>7.3094844818115234E-2</v>
      </c>
      <c r="Y27" s="2">
        <f t="shared" si="1"/>
        <v>-5.9412172681572173E-9</v>
      </c>
      <c r="Z27" s="2">
        <f t="shared" si="3"/>
        <v>7.3094785213470459E-2</v>
      </c>
      <c r="AA27" s="2">
        <f t="shared" si="2"/>
        <v>5.3832225330174843E-8</v>
      </c>
      <c r="AB27" s="2">
        <f t="shared" si="4"/>
        <v>6.1156459087358234E-15</v>
      </c>
      <c r="AC27" s="2">
        <f t="shared" si="5"/>
        <v>-3.1982894671496512E-16</v>
      </c>
      <c r="AD27" s="2">
        <f t="shared" si="6"/>
        <v>1.1920928955078125E-7</v>
      </c>
      <c r="AF27" s="2">
        <v>23</v>
      </c>
      <c r="AG27" s="2">
        <f t="shared" si="13"/>
        <v>1571.0349082946777</v>
      </c>
      <c r="AH27" s="2">
        <v>5.8485436551336534E-3</v>
      </c>
      <c r="AI27" s="2">
        <f t="shared" si="14"/>
        <v>1571.0349082946777</v>
      </c>
      <c r="AJ27" s="2">
        <v>5.8485436551336534E-3</v>
      </c>
      <c r="AK27" s="2">
        <f t="shared" si="9"/>
        <v>1571.0349082946777</v>
      </c>
      <c r="AL27" s="2">
        <v>5.8485436551336534E-3</v>
      </c>
      <c r="AM27" s="2">
        <f t="shared" si="10"/>
        <v>3.4205462886004112E-5</v>
      </c>
      <c r="AN27" s="2">
        <f t="shared" si="11"/>
        <v>3.4205462886004112E-5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3849.6150314626425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1.1544353346671057</v>
      </c>
      <c r="U28" s="2">
        <v>24</v>
      </c>
      <c r="V28" s="2">
        <f t="shared" si="7"/>
        <v>7.3094785213470459E-2</v>
      </c>
      <c r="W28" s="2">
        <f t="shared" si="0"/>
        <v>5.3832225330174843E-8</v>
      </c>
      <c r="X28" s="2">
        <f t="shared" si="8"/>
        <v>7.3094844818115234E-2</v>
      </c>
      <c r="Y28" s="2">
        <f t="shared" si="1"/>
        <v>-5.9412172681572173E-9</v>
      </c>
      <c r="Z28" s="2">
        <f t="shared" si="3"/>
        <v>7.3094815015792847E-2</v>
      </c>
      <c r="AA28" s="2">
        <f t="shared" si="2"/>
        <v>2.3945504051825495E-8</v>
      </c>
      <c r="AB28" s="2">
        <f t="shared" si="4"/>
        <v>1.2890397697624848E-15</v>
      </c>
      <c r="AC28" s="2">
        <f t="shared" si="5"/>
        <v>-1.4226544216743424E-16</v>
      </c>
      <c r="AD28" s="2">
        <f t="shared" si="6"/>
        <v>5.9604644775390625E-8</v>
      </c>
      <c r="AF28" s="2">
        <v>24</v>
      </c>
      <c r="AG28" s="2">
        <f t="shared" si="13"/>
        <v>1571.0349082946777</v>
      </c>
      <c r="AH28" s="2">
        <v>5.8485436551336534E-3</v>
      </c>
      <c r="AI28" s="2">
        <f t="shared" si="14"/>
        <v>1571.0349082946777</v>
      </c>
      <c r="AJ28" s="2">
        <v>5.8485436551336534E-3</v>
      </c>
      <c r="AK28" s="2">
        <f t="shared" si="9"/>
        <v>1571.0349082946777</v>
      </c>
      <c r="AL28" s="2">
        <v>5.8485436551336534E-3</v>
      </c>
      <c r="AM28" s="2">
        <f t="shared" si="10"/>
        <v>3.4205462886004112E-5</v>
      </c>
      <c r="AN28" s="2">
        <f t="shared" si="11"/>
        <v>3.4205462886004112E-5</v>
      </c>
      <c r="AO28" s="2">
        <f t="shared" si="12"/>
        <v>0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46.167685572359652</v>
      </c>
      <c r="H29" t="s">
        <v>18</v>
      </c>
      <c r="U29" s="2">
        <v>25</v>
      </c>
      <c r="V29" s="2">
        <f t="shared" si="7"/>
        <v>7.3094815015792847E-2</v>
      </c>
      <c r="W29" s="2">
        <f t="shared" si="0"/>
        <v>2.3945504051825495E-8</v>
      </c>
      <c r="X29" s="2">
        <f t="shared" si="8"/>
        <v>7.3094844818115234E-2</v>
      </c>
      <c r="Y29" s="2">
        <f t="shared" si="1"/>
        <v>-5.9412172681572173E-9</v>
      </c>
      <c r="Z29" s="2">
        <f t="shared" si="3"/>
        <v>7.3094829916954041E-2</v>
      </c>
      <c r="AA29" s="2">
        <f t="shared" si="2"/>
        <v>9.0021433918341387E-9</v>
      </c>
      <c r="AB29" s="2">
        <f t="shared" si="4"/>
        <v>2.1556086106427847E-16</v>
      </c>
      <c r="AC29" s="2">
        <f t="shared" si="5"/>
        <v>-5.3483689769992365E-17</v>
      </c>
      <c r="AD29" s="2">
        <f t="shared" si="6"/>
        <v>2.9802322387695312E-8</v>
      </c>
      <c r="AF29" s="2">
        <v>25</v>
      </c>
      <c r="AG29" s="2">
        <f t="shared" si="13"/>
        <v>1571.0349082946777</v>
      </c>
      <c r="AH29" s="2">
        <v>5.8485436551336534E-3</v>
      </c>
      <c r="AI29" s="2">
        <f t="shared" si="14"/>
        <v>1571.0349082946777</v>
      </c>
      <c r="AJ29" s="2">
        <v>5.8485436551336534E-3</v>
      </c>
      <c r="AK29" s="2">
        <f t="shared" si="9"/>
        <v>1571.0349082946777</v>
      </c>
      <c r="AL29" s="2">
        <v>5.8485436551336534E-3</v>
      </c>
      <c r="AM29" s="2">
        <f t="shared" si="10"/>
        <v>3.4205462886004112E-5</v>
      </c>
      <c r="AN29" s="2">
        <f t="shared" si="11"/>
        <v>3.4205462886004112E-5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8.5072078540246814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7.3094829916954041E-2</v>
      </c>
      <c r="W30" s="2">
        <f t="shared" si="0"/>
        <v>9.0021433918341387E-9</v>
      </c>
      <c r="X30" s="2">
        <f t="shared" si="8"/>
        <v>7.3094844818115234E-2</v>
      </c>
      <c r="Y30" s="2">
        <f t="shared" si="1"/>
        <v>-5.9412172681572173E-9</v>
      </c>
      <c r="Z30" s="2">
        <f t="shared" si="3"/>
        <v>7.3094837367534637E-2</v>
      </c>
      <c r="AA30" s="2">
        <f t="shared" si="2"/>
        <v>1.5304630618384607E-9</v>
      </c>
      <c r="AB30" s="2">
        <f t="shared" si="4"/>
        <v>1.3777447938575343E-17</v>
      </c>
      <c r="AC30" s="2">
        <f t="shared" si="5"/>
        <v>-9.092813571271429E-18</v>
      </c>
      <c r="AD30" s="2">
        <f t="shared" si="6"/>
        <v>1.4901161193847656E-8</v>
      </c>
      <c r="AF30" s="2">
        <v>26</v>
      </c>
      <c r="AG30" s="2">
        <f t="shared" si="13"/>
        <v>1571.0349082946777</v>
      </c>
      <c r="AH30" s="2">
        <v>5.8485436551336534E-3</v>
      </c>
      <c r="AI30" s="2">
        <f t="shared" si="14"/>
        <v>1571.0349082946777</v>
      </c>
      <c r="AJ30" s="2">
        <v>5.8485436551336534E-3</v>
      </c>
      <c r="AK30" s="2">
        <f t="shared" si="9"/>
        <v>1571.0349082946777</v>
      </c>
      <c r="AL30" s="2">
        <v>5.8485436551336534E-3</v>
      </c>
      <c r="AM30" s="2">
        <f t="shared" si="10"/>
        <v>3.4205462886004112E-5</v>
      </c>
      <c r="AN30" s="2">
        <f t="shared" si="11"/>
        <v>3.4205462886004112E-5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184.67074228943861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7.3094837367534637E-2</v>
      </c>
      <c r="W31" s="2">
        <f t="shared" si="0"/>
        <v>1.5304630618384607E-9</v>
      </c>
      <c r="X31" s="2">
        <f t="shared" si="8"/>
        <v>7.3094844818115234E-2</v>
      </c>
      <c r="Y31" s="2">
        <f t="shared" si="1"/>
        <v>-5.9412172681572173E-9</v>
      </c>
      <c r="Z31" s="2">
        <f t="shared" si="3"/>
        <v>7.3094841092824936E-2</v>
      </c>
      <c r="AA31" s="2">
        <f t="shared" si="2"/>
        <v>-2.2053771031593783E-9</v>
      </c>
      <c r="AB31" s="2">
        <f t="shared" si="4"/>
        <v>-3.3752481938097369E-18</v>
      </c>
      <c r="AC31" s="2">
        <f t="shared" si="5"/>
        <v>1.3102624528089039E-17</v>
      </c>
      <c r="AD31" s="2">
        <f t="shared" si="6"/>
        <v>7.4505805969238281E-9</v>
      </c>
      <c r="AF31" s="2">
        <v>27</v>
      </c>
      <c r="AG31" s="2">
        <f t="shared" si="13"/>
        <v>1571.0349082946777</v>
      </c>
      <c r="AH31" s="2">
        <v>5.8485436551336534E-3</v>
      </c>
      <c r="AI31" s="2">
        <f t="shared" si="14"/>
        <v>1571.0349082946777</v>
      </c>
      <c r="AJ31" s="2">
        <v>5.8485436551336534E-3</v>
      </c>
      <c r="AK31" s="2">
        <f t="shared" si="9"/>
        <v>1571.0349082946777</v>
      </c>
      <c r="AL31" s="2">
        <v>5.8485436551336534E-3</v>
      </c>
      <c r="AM31" s="2">
        <f t="shared" si="10"/>
        <v>3.4205462886004112E-5</v>
      </c>
      <c r="AN31" s="2">
        <f t="shared" si="11"/>
        <v>3.4205462886004112E-5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433.25</v>
      </c>
      <c r="L32" s="6" t="s">
        <v>7</v>
      </c>
      <c r="U32" s="2">
        <v>28</v>
      </c>
      <c r="V32" s="2">
        <f t="shared" si="7"/>
        <v>7.3094837367534637E-2</v>
      </c>
      <c r="W32" s="2">
        <f t="shared" si="0"/>
        <v>1.5304630618384607E-9</v>
      </c>
      <c r="X32" s="2">
        <f t="shared" si="8"/>
        <v>7.3094841092824936E-2</v>
      </c>
      <c r="Y32" s="2">
        <f t="shared" si="1"/>
        <v>-2.2053771031593783E-9</v>
      </c>
      <c r="Z32" s="2">
        <f t="shared" si="3"/>
        <v>7.3094839230179787E-2</v>
      </c>
      <c r="AA32" s="2">
        <f t="shared" si="2"/>
        <v>-3.374570206604588E-10</v>
      </c>
      <c r="AB32" s="2">
        <f t="shared" si="4"/>
        <v>-5.1646550507889046E-19</v>
      </c>
      <c r="AC32" s="2">
        <f t="shared" si="5"/>
        <v>7.4421998666495709E-19</v>
      </c>
      <c r="AD32" s="2">
        <f t="shared" si="6"/>
        <v>3.7252902984619141E-9</v>
      </c>
      <c r="AF32" s="2">
        <v>28</v>
      </c>
      <c r="AG32" s="2">
        <f t="shared" si="13"/>
        <v>1571.0349082946777</v>
      </c>
      <c r="AH32" s="2">
        <v>5.8485436551336534E-3</v>
      </c>
      <c r="AI32" s="2">
        <f t="shared" si="14"/>
        <v>1571.0349082946777</v>
      </c>
      <c r="AJ32" s="2">
        <v>5.8485436551336534E-3</v>
      </c>
      <c r="AK32" s="2">
        <f t="shared" si="9"/>
        <v>1571.0349082946777</v>
      </c>
      <c r="AL32" s="2">
        <v>5.8485436551336534E-3</v>
      </c>
      <c r="AM32" s="2">
        <f t="shared" si="10"/>
        <v>3.4205462886004112E-5</v>
      </c>
      <c r="AN32" s="2">
        <f t="shared" si="11"/>
        <v>3.4205462886004112E-5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305.82</v>
      </c>
      <c r="L33" s="6" t="s">
        <v>7</v>
      </c>
      <c r="U33" s="2">
        <v>29</v>
      </c>
      <c r="V33" s="2">
        <f t="shared" si="7"/>
        <v>7.3094837367534637E-2</v>
      </c>
      <c r="W33" s="2">
        <f t="shared" si="0"/>
        <v>1.5304630618384607E-9</v>
      </c>
      <c r="X33" s="2">
        <f t="shared" si="8"/>
        <v>7.3094839230179787E-2</v>
      </c>
      <c r="Y33" s="2">
        <f t="shared" si="1"/>
        <v>-3.374570206604588E-10</v>
      </c>
      <c r="Z33" s="2">
        <f t="shared" si="3"/>
        <v>7.3094838298857212E-2</v>
      </c>
      <c r="AA33" s="2">
        <f t="shared" si="2"/>
        <v>5.9650302752789486E-10</v>
      </c>
      <c r="AB33" s="2">
        <f t="shared" si="4"/>
        <v>9.1292584990625358E-19</v>
      </c>
      <c r="AC33" s="2">
        <f t="shared" si="5"/>
        <v>-2.0129413448450704E-19</v>
      </c>
      <c r="AD33" s="2">
        <f t="shared" si="6"/>
        <v>1.862645149230957E-9</v>
      </c>
      <c r="AF33" s="2">
        <v>29</v>
      </c>
      <c r="AG33" s="2">
        <f t="shared" si="13"/>
        <v>1571.0349082946777</v>
      </c>
      <c r="AH33" s="2">
        <v>5.8485436551336534E-3</v>
      </c>
      <c r="AI33" s="2">
        <f t="shared" si="14"/>
        <v>1571.0349082946777</v>
      </c>
      <c r="AJ33" s="2">
        <v>5.8485436551336534E-3</v>
      </c>
      <c r="AK33" s="2">
        <f t="shared" si="9"/>
        <v>1571.0349082946777</v>
      </c>
      <c r="AL33" s="2">
        <v>5.8485436551336534E-3</v>
      </c>
      <c r="AM33" s="2">
        <f t="shared" si="10"/>
        <v>3.4205462886004112E-5</v>
      </c>
      <c r="AN33" s="2">
        <f t="shared" si="11"/>
        <v>3.4205462886004112E-5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157.63999999999999</v>
      </c>
      <c r="L34" s="6" t="s">
        <v>7</v>
      </c>
      <c r="U34" s="2">
        <v>30</v>
      </c>
      <c r="V34" s="2">
        <f t="shared" si="7"/>
        <v>7.3094838298857212E-2</v>
      </c>
      <c r="W34" s="2">
        <f t="shared" si="0"/>
        <v>5.9650302752789486E-10</v>
      </c>
      <c r="X34" s="2">
        <f t="shared" si="8"/>
        <v>7.3094839230179787E-2</v>
      </c>
      <c r="Y34" s="2">
        <f t="shared" si="1"/>
        <v>-3.374570206604588E-10</v>
      </c>
      <c r="Z34" s="2">
        <f t="shared" si="3"/>
        <v>7.3094838764518499E-2</v>
      </c>
      <c r="AA34" s="2">
        <f t="shared" si="2"/>
        <v>1.2952300343371803E-10</v>
      </c>
      <c r="AB34" s="2">
        <f t="shared" si="4"/>
        <v>7.7260863682718727E-20</v>
      </c>
      <c r="AC34" s="2">
        <f t="shared" si="5"/>
        <v>-4.3708446845736861E-20</v>
      </c>
      <c r="AD34" s="2">
        <f>X34-V34</f>
        <v>9.3132257461547852E-10</v>
      </c>
      <c r="AF34" s="2">
        <v>30</v>
      </c>
      <c r="AG34" s="2">
        <f t="shared" si="13"/>
        <v>1571.0349082946777</v>
      </c>
      <c r="AH34" s="2">
        <v>5.8485436551336534E-3</v>
      </c>
      <c r="AI34" s="2">
        <f t="shared" si="14"/>
        <v>1571.0349082946777</v>
      </c>
      <c r="AJ34" s="2">
        <v>5.8485436551336534E-3</v>
      </c>
      <c r="AK34" s="2">
        <f t="shared" si="9"/>
        <v>1571.0349082946777</v>
      </c>
      <c r="AL34" s="2">
        <v>5.8485436551336534E-3</v>
      </c>
      <c r="AM34" s="2">
        <f t="shared" si="10"/>
        <v>3.4205462886004112E-5</v>
      </c>
      <c r="AN34" s="2">
        <f t="shared" si="11"/>
        <v>3.4205462886004112E-5</v>
      </c>
      <c r="AO34" s="2">
        <f t="shared" si="12"/>
        <v>0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197.30608503884002</v>
      </c>
      <c r="H35" s="25" t="s">
        <v>101</v>
      </c>
      <c r="J35" s="15" t="s">
        <v>70</v>
      </c>
      <c r="K35" s="6">
        <f>ROUND(SUM(K23:K26),2)</f>
        <v>74.31</v>
      </c>
      <c r="L35" s="6" t="s">
        <v>7</v>
      </c>
      <c r="AF35" s="2">
        <v>31</v>
      </c>
      <c r="AG35" s="2">
        <f t="shared" si="13"/>
        <v>1571.0349082946777</v>
      </c>
      <c r="AH35" s="2">
        <v>5.8485436551336534E-3</v>
      </c>
      <c r="AI35" s="2">
        <f t="shared" si="14"/>
        <v>1571.0349082946777</v>
      </c>
      <c r="AJ35" s="2">
        <v>5.8485436551336534E-3</v>
      </c>
      <c r="AK35" s="2">
        <f t="shared" si="9"/>
        <v>1571.0349082946777</v>
      </c>
      <c r="AL35" s="2">
        <v>5.8485436551336534E-3</v>
      </c>
      <c r="AM35" s="2">
        <f t="shared" si="10"/>
        <v>3.4205462886004112E-5</v>
      </c>
      <c r="AN35" s="2">
        <f t="shared" si="11"/>
        <v>3.4205462886004112E-5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1571.02</v>
      </c>
      <c r="L36" s="6" t="s">
        <v>7</v>
      </c>
      <c r="AF36" s="2">
        <v>32</v>
      </c>
      <c r="AG36" s="2">
        <f t="shared" si="13"/>
        <v>1571.0349082946777</v>
      </c>
      <c r="AH36" s="2">
        <v>5.8485436551336534E-3</v>
      </c>
      <c r="AI36" s="2">
        <f t="shared" si="14"/>
        <v>1571.0349082946777</v>
      </c>
      <c r="AJ36" s="2">
        <v>5.8485436551336534E-3</v>
      </c>
      <c r="AK36" s="2">
        <f t="shared" si="9"/>
        <v>1571.0349082946777</v>
      </c>
      <c r="AL36" s="2">
        <v>5.8485436551336534E-3</v>
      </c>
      <c r="AM36" s="2">
        <f t="shared" si="10"/>
        <v>3.4205462886004112E-5</v>
      </c>
      <c r="AN36" s="2">
        <f t="shared" si="11"/>
        <v>3.4205462886004112E-5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1571.0349082946777</v>
      </c>
      <c r="AH37" s="2">
        <v>5.8485436551336534E-3</v>
      </c>
      <c r="AI37" s="2">
        <f t="shared" si="14"/>
        <v>1571.0349082946777</v>
      </c>
      <c r="AJ37" s="2">
        <v>5.8485436551336534E-3</v>
      </c>
      <c r="AK37" s="2">
        <f t="shared" si="9"/>
        <v>1571.0349082946777</v>
      </c>
      <c r="AL37" s="2">
        <v>5.8485436551336534E-3</v>
      </c>
      <c r="AM37" s="2">
        <f t="shared" si="10"/>
        <v>3.4205462886004112E-5</v>
      </c>
      <c r="AN37" s="2">
        <f t="shared" si="11"/>
        <v>3.4205462886004112E-5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1571.0349082946777</v>
      </c>
      <c r="AH38" s="2">
        <v>5.8485436551336534E-3</v>
      </c>
      <c r="AI38" s="2">
        <f t="shared" si="14"/>
        <v>1571.0349082946777</v>
      </c>
      <c r="AJ38" s="2">
        <v>5.8485436551336534E-3</v>
      </c>
      <c r="AK38" s="2">
        <f t="shared" si="9"/>
        <v>1571.0349082946777</v>
      </c>
      <c r="AL38" s="2">
        <v>5.8485436551336534E-3</v>
      </c>
      <c r="AM38" s="2">
        <f t="shared" si="10"/>
        <v>3.4205462886004112E-5</v>
      </c>
      <c r="AN38" s="2">
        <f t="shared" si="11"/>
        <v>3.4205462886004112E-5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38.19</v>
      </c>
      <c r="L39" s="6" t="s">
        <v>58</v>
      </c>
      <c r="AF39" s="2">
        <v>35</v>
      </c>
      <c r="AG39" s="2">
        <f t="shared" si="13"/>
        <v>1571.0349082946777</v>
      </c>
      <c r="AH39" s="2">
        <v>5.8485436551336534E-3</v>
      </c>
      <c r="AI39" s="2">
        <f t="shared" si="14"/>
        <v>1571.0349082946777</v>
      </c>
      <c r="AJ39" s="2">
        <v>5.8485436551336534E-3</v>
      </c>
      <c r="AK39" s="2">
        <f t="shared" si="9"/>
        <v>1571.0349082946777</v>
      </c>
      <c r="AL39" s="2">
        <v>5.8485436551336534E-3</v>
      </c>
      <c r="AM39" s="2">
        <f t="shared" si="10"/>
        <v>3.4205462886004112E-5</v>
      </c>
      <c r="AN39" s="2">
        <f t="shared" si="11"/>
        <v>3.4205462886004112E-5</v>
      </c>
      <c r="AO39" s="2">
        <f t="shared" si="12"/>
        <v>0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27.58</v>
      </c>
      <c r="L40" s="6" t="s">
        <v>58</v>
      </c>
      <c r="AF40" s="2">
        <v>36</v>
      </c>
      <c r="AG40" s="2">
        <f t="shared" si="13"/>
        <v>1571.0349082946777</v>
      </c>
      <c r="AH40" s="2">
        <v>5.8485436551336534E-3</v>
      </c>
      <c r="AI40" s="2">
        <f t="shared" si="14"/>
        <v>1571.0349082946777</v>
      </c>
      <c r="AJ40" s="2">
        <v>5.8485436551336534E-3</v>
      </c>
      <c r="AK40" s="2">
        <f t="shared" si="9"/>
        <v>1571.0349082946777</v>
      </c>
      <c r="AL40" s="2">
        <v>5.8485436551336534E-3</v>
      </c>
      <c r="AM40" s="2">
        <f t="shared" si="10"/>
        <v>3.4205462886004112E-5</v>
      </c>
      <c r="AN40" s="2">
        <f t="shared" si="11"/>
        <v>3.4205462886004112E-5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19.47</v>
      </c>
      <c r="L41" s="6" t="s">
        <v>58</v>
      </c>
      <c r="AF41" s="2">
        <v>37</v>
      </c>
      <c r="AG41" s="2">
        <f t="shared" si="13"/>
        <v>1571.0349082946777</v>
      </c>
      <c r="AH41" s="2">
        <v>5.8485436551336534E-3</v>
      </c>
      <c r="AI41" s="2">
        <f t="shared" si="14"/>
        <v>1571.0349082946777</v>
      </c>
      <c r="AJ41" s="2">
        <v>5.8485436551336534E-3</v>
      </c>
      <c r="AK41" s="2">
        <f t="shared" si="9"/>
        <v>1571.0349082946777</v>
      </c>
      <c r="AL41" s="2">
        <v>5.8485436551336534E-3</v>
      </c>
      <c r="AM41" s="2">
        <f t="shared" si="10"/>
        <v>3.4205462886004112E-5</v>
      </c>
      <c r="AN41" s="2">
        <f t="shared" si="11"/>
        <v>3.4205462886004112E-5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10.029999999999999</v>
      </c>
      <c r="L42" s="6" t="s">
        <v>58</v>
      </c>
      <c r="AF42" s="2">
        <v>38</v>
      </c>
      <c r="AG42" s="2">
        <f t="shared" si="13"/>
        <v>1571.0349082946777</v>
      </c>
      <c r="AH42" s="2">
        <v>5.8485436551336534E-3</v>
      </c>
      <c r="AI42" s="2">
        <f t="shared" si="14"/>
        <v>1571.0349082946777</v>
      </c>
      <c r="AJ42" s="2">
        <v>5.8485436551336534E-3</v>
      </c>
      <c r="AK42" s="2">
        <f t="shared" si="9"/>
        <v>1571.0349082946777</v>
      </c>
      <c r="AL42" s="2">
        <v>5.8485436551336534E-3</v>
      </c>
      <c r="AM42" s="2">
        <f t="shared" si="10"/>
        <v>3.4205462886004112E-5</v>
      </c>
      <c r="AN42" s="2">
        <f t="shared" si="11"/>
        <v>3.4205462886004112E-5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1571.0349082946777</v>
      </c>
      <c r="AH43" s="2">
        <v>5.8485436551336534E-3</v>
      </c>
      <c r="AI43" s="2">
        <f t="shared" si="14"/>
        <v>1571.0349082946777</v>
      </c>
      <c r="AJ43" s="2">
        <v>5.8485436551336534E-3</v>
      </c>
      <c r="AK43" s="2">
        <f t="shared" si="9"/>
        <v>1571.0349082946777</v>
      </c>
      <c r="AL43" s="2">
        <v>5.8485436551336534E-3</v>
      </c>
      <c r="AM43" s="2">
        <f t="shared" si="10"/>
        <v>3.4205462886004112E-5</v>
      </c>
      <c r="AN43" s="2">
        <f t="shared" si="11"/>
        <v>3.4205462886004112E-5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1571.0349082946777</v>
      </c>
      <c r="AH44" s="2">
        <v>5.8485436551336534E-3</v>
      </c>
      <c r="AI44" s="2">
        <f t="shared" si="14"/>
        <v>1571.0349082946777</v>
      </c>
      <c r="AJ44" s="2">
        <v>5.8485436551336534E-3</v>
      </c>
      <c r="AK44" s="5">
        <f>(AG44+AI44)/2</f>
        <v>1571.0349082946777</v>
      </c>
      <c r="AL44" s="2">
        <v>5.8485436551336534E-3</v>
      </c>
      <c r="AM44" s="2">
        <f t="shared" si="10"/>
        <v>3.4205462886004112E-5</v>
      </c>
      <c r="AN44" s="2">
        <f t="shared" si="11"/>
        <v>3.4205462886004112E-5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1691.635640563703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38.19</v>
      </c>
      <c r="L47" s="6" t="s">
        <v>58</v>
      </c>
      <c r="N47" s="6" t="s">
        <v>154</v>
      </c>
      <c r="O47" s="6">
        <f>0.377*O46^0.6945</f>
        <v>65.826451048324358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27.58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34.229999999999997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multirotor_opt_250_test_250</vt:lpstr>
      <vt:lpstr>multirotor_opt_250_test_550</vt:lpstr>
      <vt:lpstr>multirotor_opt_550_test_550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2025-05-10T11:49:31Z</dcterms:modified>
</cp:coreProperties>
</file>