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0_analyses_of_ref_vehicle/4_mtow_estimation/"/>
    </mc:Choice>
  </mc:AlternateContent>
  <xr:revisionPtr revIDLastSave="0" documentId="13_ncr:1_{F5F7F7D7-A51F-E645-9722-37FE19794F48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lift+cruise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2" l="1" a="1"/>
  <c r="C49" i="12" s="1"/>
  <c r="C48" i="12" a="1"/>
  <c r="C48" i="12" s="1"/>
  <c r="O9" i="12"/>
  <c r="C7" i="12"/>
  <c r="O15" i="12" s="1"/>
  <c r="C17" i="12"/>
  <c r="G32" i="12"/>
  <c r="C9" i="12" l="1"/>
  <c r="O16" i="12"/>
  <c r="O5" i="12"/>
  <c r="O8" i="12" s="1"/>
  <c r="C59" i="12" l="1"/>
  <c r="C58" i="12"/>
  <c r="C54" i="12"/>
  <c r="C53" i="12"/>
  <c r="K23" i="12" s="1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2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G6" i="12" l="1"/>
  <c r="G14" i="12"/>
  <c r="G15" i="12" s="1"/>
  <c r="G6" i="12"/>
  <c r="AI6" i="12"/>
  <c r="G25" i="12"/>
  <c r="K41" i="12"/>
  <c r="K11" i="12" l="1"/>
  <c r="AO6" i="12"/>
  <c r="AK6" i="12"/>
  <c r="AG7" i="12" s="1"/>
  <c r="AI7" i="12" l="1"/>
  <c r="AO7" i="12" s="1"/>
  <c r="AK7" i="12" l="1"/>
  <c r="AI8" i="12" s="1"/>
  <c r="AG8" i="12" l="1"/>
  <c r="AO8" i="12" s="1"/>
  <c r="AK8" i="12" l="1"/>
  <c r="AI9" i="12" s="1"/>
  <c r="AG9" i="12" l="1"/>
  <c r="AO9" i="12" s="1"/>
  <c r="AK9" i="12" l="1"/>
  <c r="AI10" i="12" s="1"/>
  <c r="AG10" i="12" l="1"/>
  <c r="AO10" i="12" s="1"/>
  <c r="AK10" i="12" l="1"/>
  <c r="AG11" i="12" l="1"/>
  <c r="AI11" i="12"/>
  <c r="AO11" i="12" l="1"/>
  <c r="AK11" i="12"/>
  <c r="AI12" i="12" l="1"/>
  <c r="AG12" i="12"/>
  <c r="AO12" i="12" l="1"/>
  <c r="AK12" i="12"/>
  <c r="AG13" i="12" l="1"/>
  <c r="AI13" i="12"/>
  <c r="AK13" i="12" l="1"/>
  <c r="AO13" i="12"/>
  <c r="AI14" i="12" l="1"/>
  <c r="AG14" i="12"/>
  <c r="AK14" i="12" l="1"/>
  <c r="AG15" i="12" s="1"/>
  <c r="AO14" i="12"/>
  <c r="AI15" i="12" l="1"/>
  <c r="AO15" i="12" s="1"/>
  <c r="AK15" i="12" l="1"/>
  <c r="AG16" i="12" s="1"/>
  <c r="AI16" i="12" l="1"/>
  <c r="AO16" i="12" s="1"/>
  <c r="AK16" i="12" l="1"/>
  <c r="AG17" i="12" s="1"/>
  <c r="AI17" i="12" l="1"/>
  <c r="AK17" i="12" s="1"/>
  <c r="AO17" i="12" l="1"/>
  <c r="AI18" i="12"/>
  <c r="AG18" i="12"/>
  <c r="AK18" i="12" l="1"/>
  <c r="AI19" i="12" s="1"/>
  <c r="AO18" i="12"/>
  <c r="AG19" i="12" l="1"/>
  <c r="AK19" i="12" s="1"/>
  <c r="AO19" i="12" l="1"/>
  <c r="AI20" i="12"/>
  <c r="AG20" i="12"/>
  <c r="AK20" i="12" l="1"/>
  <c r="AI21" i="12" s="1"/>
  <c r="AO20" i="12"/>
  <c r="AG21" i="12" l="1"/>
  <c r="AK21" i="12" s="1"/>
  <c r="AG22" i="12" s="1"/>
  <c r="AI22" i="12" l="1"/>
  <c r="AO22" i="12" s="1"/>
  <c r="AO21" i="12"/>
  <c r="AK22" i="12" l="1"/>
  <c r="AG23" i="12" s="1"/>
  <c r="AI23" i="12" l="1"/>
  <c r="AK23" i="12" s="1"/>
  <c r="AO23" i="12" l="1"/>
  <c r="AI24" i="12"/>
  <c r="AG24" i="12"/>
  <c r="AO24" i="12" l="1"/>
  <c r="AK24" i="12"/>
  <c r="AG25" i="12" l="1"/>
  <c r="AI25" i="12"/>
  <c r="AK25" i="12" l="1"/>
  <c r="AO25" i="12"/>
  <c r="AG26" i="12" l="1"/>
  <c r="AI26" i="12"/>
  <c r="AO26" i="12" l="1"/>
  <c r="AK26" i="12"/>
  <c r="AG27" i="12" l="1"/>
  <c r="AI27" i="12"/>
  <c r="AO27" i="12" l="1"/>
  <c r="AK27" i="12"/>
  <c r="AI28" i="12" l="1"/>
  <c r="AG28" i="12"/>
  <c r="AO28" i="12" l="1"/>
  <c r="AK28" i="12"/>
  <c r="AI29" i="12" l="1"/>
  <c r="AG29" i="12"/>
  <c r="AK29" i="12" l="1"/>
  <c r="AI30" i="12" s="1"/>
  <c r="AO29" i="12"/>
  <c r="AG30" i="12" l="1"/>
  <c r="AO30" i="12" s="1"/>
  <c r="AK30" i="12" l="1"/>
  <c r="AG31" i="12" s="1"/>
  <c r="AI31" i="12" l="1"/>
  <c r="AO31" i="12" s="1"/>
  <c r="AK31" i="12" l="1"/>
  <c r="AI32" i="12" s="1"/>
  <c r="AG32" i="12" l="1"/>
  <c r="AO32" i="12" s="1"/>
  <c r="AK32" i="12" l="1"/>
  <c r="AI33" i="12" s="1"/>
  <c r="AG33" i="12" l="1"/>
  <c r="AK33" i="12" s="1"/>
  <c r="AI34" i="12" s="1"/>
  <c r="AO33" i="12" l="1"/>
  <c r="AG34" i="12"/>
  <c r="AK34" i="12" s="1"/>
  <c r="AG35" i="12" s="1"/>
  <c r="AI35" i="12" l="1"/>
  <c r="AO35" i="12" s="1"/>
  <c r="AO34" i="12"/>
  <c r="AK35" i="12" l="1"/>
  <c r="AI36" i="12" s="1"/>
  <c r="AG36" i="12" l="1"/>
  <c r="AO36" i="12" s="1"/>
  <c r="AK36" i="12" l="1"/>
  <c r="AI37" i="12" s="1"/>
  <c r="AG37" i="12" l="1"/>
  <c r="AO37" i="12" s="1"/>
  <c r="AK37" i="12" l="1"/>
  <c r="AG38" i="12" s="1"/>
  <c r="AI38" i="12" l="1"/>
  <c r="AK38" i="12" s="1"/>
  <c r="AG39" i="12" s="1"/>
  <c r="AO38" i="12" l="1"/>
  <c r="AI39" i="12"/>
  <c r="AO39" i="12" s="1"/>
  <c r="AK39" i="12" l="1"/>
  <c r="AG40" i="12" s="1"/>
  <c r="AI40" i="12" l="1"/>
  <c r="AO40" i="12" s="1"/>
  <c r="AK40" i="12" l="1"/>
  <c r="AI41" i="12" s="1"/>
  <c r="AG41" i="12" l="1"/>
  <c r="AK41" i="12" s="1"/>
  <c r="AI42" i="12" s="1"/>
  <c r="AO41" i="12" l="1"/>
  <c r="AG42" i="12"/>
  <c r="AO42" i="12" s="1"/>
  <c r="AK42" i="12" l="1"/>
  <c r="AG43" i="12" s="1"/>
  <c r="AI43" i="12" l="1"/>
  <c r="AO43" i="12" s="1"/>
  <c r="AK43" i="12" l="1"/>
  <c r="AG44" i="12" s="1"/>
  <c r="AI44" i="12"/>
  <c r="AO44" i="12" l="1"/>
  <c r="AK44" i="12"/>
  <c r="G29" i="12" l="1"/>
  <c r="G27" i="12" s="1"/>
  <c r="K28" i="12"/>
  <c r="K26" i="12"/>
  <c r="O4" i="12"/>
  <c r="G7" i="12"/>
  <c r="G26" i="12"/>
  <c r="G10" i="12"/>
  <c r="K14" i="12"/>
  <c r="K33" i="12"/>
  <c r="K25" i="12"/>
  <c r="K21" i="12"/>
  <c r="O6" i="12"/>
  <c r="K27" i="12"/>
  <c r="G28" i="12" l="1"/>
  <c r="G8" i="12"/>
  <c r="G9" i="12" s="1"/>
  <c r="K4" i="12"/>
  <c r="K5" i="12" s="1"/>
  <c r="O10" i="12"/>
  <c r="O17" i="12" s="1"/>
  <c r="O20" i="12" s="1"/>
  <c r="O23" i="12" s="1"/>
  <c r="O26" i="12" s="1"/>
  <c r="K37" i="12"/>
  <c r="K45" i="12"/>
  <c r="O11" i="12" l="1"/>
  <c r="O14" i="12" s="1"/>
  <c r="O12" i="12" l="1"/>
  <c r="O21" i="12" s="1"/>
  <c r="O13" i="12" l="1"/>
  <c r="O24" i="12"/>
  <c r="O29" i="12"/>
  <c r="O31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7" i="12" s="1"/>
  <c r="O28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22" i="12" s="1"/>
  <c r="K6" i="12"/>
  <c r="K20" i="12" l="1"/>
  <c r="K24" i="12"/>
  <c r="K7" i="12"/>
  <c r="K18" i="12"/>
  <c r="K19" i="12"/>
  <c r="K42" i="12"/>
  <c r="K34" i="12"/>
  <c r="K44" i="12" l="1"/>
  <c r="K29" i="12"/>
  <c r="K30" i="12" s="1"/>
  <c r="K36" i="12"/>
  <c r="K35" i="12"/>
  <c r="K43" i="12"/>
  <c r="K46" i="12" l="1"/>
  <c r="AH4" i="12"/>
  <c r="AJ4" i="12"/>
  <c r="K38" i="12"/>
  <c r="AL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<sst xmlns="http://schemas.openxmlformats.org/spreadsheetml/2006/main" count="290" uniqueCount="183">
  <si>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</si>
  <si>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</si>
  <si>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</si>
  <si>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</si>
  <si>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</si>
  <si>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</si>
  <si>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</si>
  <si>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</si>
  <si>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</si>
  <si>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</si>
  <si>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</si>
  <si>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</si>
  <si>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</si>
  <si>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</si>
  <si>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</si>
  <si>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</si>
  <si>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</si>
  <si>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</si>
  <si>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</si>
  <si>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</si>
  <si>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</si>
  <si>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</si>
  <si>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</si>
  <si>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</si>
  <si>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</si>
  <si>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</si>
  <si>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</si>
  <si>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</si>
  <si>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</si>
  <si>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</si>
  <si>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</si>
  <si>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</si>
  <si>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</si>
  <si>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</si>
  <si>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</si>
  <si>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</si>
  <si>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</si>
  <si>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</si>
  <si>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</si>
  <si>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</si>
  <si>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</si>
  <si>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</si>
  <si>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</si>
  <si>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</si>
  <si>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</si>
  <si>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</si>
  <si>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</si>
  <si>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</si>
  <si>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</si>
  <si>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</si>
  <si>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</si>
  <si>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</si>
  <si>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</si>
  <si>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</si>
  <si>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</si>
  <si>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</si>
  <si>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</si>
  <si>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</si>
  <si>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</si>
  <si>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</si>
  <si>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</si>
  <si>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</si>
  <si>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</si>
  <si>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</si>
  <si>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</si>
  <si>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</si>
  <si>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</si>
  <si>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</si>
  <si>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</si>
  <si>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</si>
  <si>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</si>
  <si>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</si>
  <si>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</si>
  <si>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</si>
  <si>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</si>
  <si>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</si>
  <si>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</si>
  <si>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</si>
  <si>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</si>
  <si>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</si>
  <si>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</si>
  <si>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</si>
  <si>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</si>
  <si>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</si>
  <si>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</si>
  <si>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</si>
  <si>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</si>
  <si>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</si>
  <si>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</si>
  <si>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</si>
  <si>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</si>
  <si>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</si>
  <si>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</si>
  <si>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</si>
  <si>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</si>
  <si>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</si>
  <si>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</si>
  <si>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</si>
  <si>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</si>
  <si>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</si>
  <si>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</si>
  <si>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</si>
  <si>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</si>
  <si>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</si>
  <si>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</si>
  <si>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</si>
  <si>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</si>
  <si>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</si>
  <si>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</si>
  <si>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</si>
  <si>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</si>
  <si>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</si>
  <si>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</si>
  <si>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</si>
  <si>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</si>
  <si>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</si>
  <si>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</si>
  <si>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</si>
  <si>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</si>
  <si>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</si>
  <si>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</si>
  <si>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</si>
  <si>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</si>
  <si>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</si>
  <si>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</si>
  <si>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</si>
  <si>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</si>
  <si>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</si>
  <si>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</si>
  <si>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</si>
  <si>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</si>
  <si>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</si>
  <si>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</si>
  <si>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</si>
  <si>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</si>
  <si>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</si>
  <si>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</si>
  <si>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</si>
  <si>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</si>
  <si>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</si>
  <si>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</si>
  <si>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</si>
  <si>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</si>
  <si>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</si>
  <si>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</si>
  <si>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</si>
  <si>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</si>
  <si>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</si>
  <si>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</si>
  <si>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</si>
  <si>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</si>
  <si>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</si>
  <si>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</si>
  <si>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</si>
  <si>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</si>
  <si>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</si>
  <si>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</si>
  <si>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</si>
  <si>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</si>
  <si>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</si>
  <si>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</si>
  <si>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</si>
  <si>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</si>
  <si>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</si>
  <si>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</si>
  <si>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</si>
  <si>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</si>
  <si>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</si>
  <si>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</si>
  <si>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</si>
  <si>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</si>
  <si>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</si>
  <si>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</si>
  <si>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</si>
  <si>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</si>
  <si>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W_empennage</t>
  </si>
  <si>
    <t>airfoil</t>
  </si>
  <si>
    <t>airfoil lift-curve slope</t>
  </si>
  <si>
    <t>1/rad</t>
  </si>
  <si>
    <t>airfoil CL0</t>
  </si>
  <si>
    <t>wing lift-curve slope</t>
  </si>
  <si>
    <t>compressibility correction</t>
  </si>
  <si>
    <t>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</si>
</sst>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'lift+cruise'!$J$41:$J$45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'lift+cruise'!$K$41:$K$45</c:f>
              <c:numCache>
                <c:formatCode>General</c:formatCode>
                <c:ptCount val="5"/>
                <c:pt idx="0">
                  <c:v>600</c:v>
                </c:pt>
                <c:pt idx="1">
                  <c:v>1195.31</c:v>
                </c:pt>
                <c:pt idx="2">
                  <c:v>625.53</c:v>
                </c:pt>
                <c:pt idx="3">
                  <c:v>709.95</c:v>
                </c:pt>
                <c:pt idx="4">
                  <c:v>163.01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'lift+cruise'!$J$33:$J$37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'lift+cruise'!$K$33:$K$37</c:f>
              <c:numCache>
                <c:formatCode>General</c:formatCode>
                <c:ptCount val="5"/>
                <c:pt idx="0">
                  <c:v>18.22</c:v>
                </c:pt>
                <c:pt idx="1">
                  <c:v>36.29</c:v>
                </c:pt>
                <c:pt idx="2">
                  <c:v>18.989999999999998</c:v>
                </c:pt>
                <c:pt idx="3">
                  <c:v>21.55</c:v>
                </c:pt>
                <c:pt idx="4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298364</xdr:colOff>
      <xdr:row>33</xdr:row>
      <xdr:rowOff>41817</xdr:rowOff>
    </xdr:from>
    <xdr:to>
      <xdr:col>16</xdr:col>
      <xdr:colOff>31577</xdr:colOff>
      <xdr:row>45</xdr:row>
      <xdr:rowOff>22062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228705</xdr:colOff>
      <xdr:row>45</xdr:row>
      <xdr:rowOff>175179</xdr:rowOff>
    </xdr:from>
    <xdr:to>
      <xdr:col>15</xdr:col>
      <xdr:colOff>391912</xdr:colOff>
      <xdr:row>57</xdr:row>
      <xdr:rowOff>155423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3"/>
  <sheetViews>
    <sheetView tabSelected="1" zoomScale="88" workbookViewId="0">
      <selection activeCell="E3" sqref="E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2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87</v>
      </c>
      <c r="AF2" s="26" t="s">
        <v>127</v>
      </c>
    </row>
    <row r="3" spans="2:41" x14ac:dyDescent="0.2">
      <c r="B3" s="28" t="s">
        <v>116</v>
      </c>
      <c r="C3" s="31"/>
      <c r="D3" s="31"/>
      <c r="F3" s="29" t="s">
        <v>74</v>
      </c>
      <c r="G3" s="30"/>
      <c r="H3" s="30"/>
      <c r="J3" s="28" t="s">
        <v>92</v>
      </c>
      <c r="K3" s="28"/>
      <c r="L3" s="28"/>
      <c r="N3" s="28" t="s">
        <v>86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128</v>
      </c>
      <c r="F4" s="6" t="s">
        <v>78</v>
      </c>
      <c r="G4" s="16">
        <f>500*0.3048/60</f>
        <v>2.54</v>
      </c>
      <c r="H4" s="6" t="s">
        <v>10</v>
      </c>
      <c r="J4" s="6" t="s">
        <v>93</v>
      </c>
      <c r="K4" s="6">
        <f>(1+$C$25/100)*MAX(G10,G29)</f>
        <v>1138.1836983607145</v>
      </c>
      <c r="L4" s="6" t="s">
        <v>95</v>
      </c>
      <c r="N4" s="6" t="s">
        <v>129</v>
      </c>
      <c r="O4" s="6">
        <f xml:space="preserve"> $C$5 * $C$77</f>
        <v>32280.942959266631</v>
      </c>
      <c r="P4" s="6" t="s">
        <v>21</v>
      </c>
      <c r="U4" s="2">
        <v>0</v>
      </c>
      <c r="V4" s="3">
        <v>0</v>
      </c>
      <c r="W4" s="2">
        <f t="shared" ref="W4:W34" si="0" xml:space="preserve"> $O$23 * TAN($O$20/180*PI()) + $O$24 / (2 * SQRT($O$23^2 + V4^2)) - V4</f>
        <v>2.0676764968496499</v>
      </c>
      <c r="X4" s="3">
        <v>1</v>
      </c>
      <c r="Y4" s="2">
        <f t="shared" ref="Y4:Y34" si="1" xml:space="preserve"> $O$23 * TAN($O$20/180*PI()) + $O$24 / (2 * SQRT($O$23^2 + X4^2)) - X4</f>
        <v>-2.4199477287662474E-2</v>
      </c>
      <c r="Z4" s="2">
        <f xml:space="preserve"> (V4 + X4)/2</f>
        <v>0.5</v>
      </c>
      <c r="AA4" s="2">
        <f t="shared" ref="AA4:AA34" si="2" xml:space="preserve"> $O$23 * TAN($O$20/180*PI()) + $O$24 / (2 * SQRT($O$23^2 + Z4^2)) - Z4</f>
        <v>0.51847449405774659</v>
      </c>
      <c r="AB4" s="2">
        <f>W4*AA4</f>
        <v>1.0720375255792161</v>
      </c>
      <c r="AC4" s="2">
        <f>Y4*AA4</f>
        <v>-1.254681174318273E-2</v>
      </c>
      <c r="AD4" s="2">
        <f>X4-V4</f>
        <v>1</v>
      </c>
      <c r="AF4" s="2">
        <v>0</v>
      </c>
      <c r="AH4" s="2">
        <f>K29</f>
        <v>-2.2010230010437226E-2</v>
      </c>
      <c r="AJ4" s="2">
        <f>K29</f>
        <v>-2.2010230010437226E-2</v>
      </c>
      <c r="AL4" s="2">
        <f>K29</f>
        <v>-2.2010230010437226E-2</v>
      </c>
    </row>
    <row r="5" spans="2:41" x14ac:dyDescent="0.2">
      <c r="B5" s="9" t="s">
        <v>38</v>
      </c>
      <c r="C5" s="9">
        <v>3293.7876842000001</v>
      </c>
      <c r="D5" s="9" t="s">
        <v>7</v>
      </c>
      <c r="F5" s="6" t="s">
        <v>81</v>
      </c>
      <c r="G5" s="16">
        <f>1000*0.3048</f>
        <v>304.8</v>
      </c>
      <c r="H5" s="6" t="s">
        <v>8</v>
      </c>
      <c r="J5" s="6" t="s">
        <v>94</v>
      </c>
      <c r="K5" s="6">
        <f>K4/$C$21</f>
        <v>142.27296229508931</v>
      </c>
      <c r="L5" s="6" t="s">
        <v>95</v>
      </c>
      <c r="N5" s="6" t="s">
        <v>24</v>
      </c>
      <c r="O5" s="6">
        <f xml:space="preserve"> 0.5 * $C$74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0.51847449405774659</v>
      </c>
      <c r="X5" s="2">
        <f>IF(AC4&gt;0, Z4, X4)</f>
        <v>1</v>
      </c>
      <c r="Y5" s="2">
        <f t="shared" si="1"/>
        <v>-2.4199477287662474E-2</v>
      </c>
      <c r="Z5" s="2">
        <f t="shared" ref="Z5:Z34" si="3" xml:space="preserve"> (V5 + X5)/2</f>
        <v>0.75</v>
      </c>
      <c r="AA5" s="2">
        <f t="shared" si="2"/>
        <v>0.24005444479438076</v>
      </c>
      <c r="AB5" s="2">
        <f t="shared" ref="AB5:AB34" si="4">W5*AA5</f>
        <v>0.12446210681107983</v>
      </c>
      <c r="AC5" s="2">
        <f t="shared" ref="AC5:AC34" si="5">Y5*AA5</f>
        <v>-5.8091920846040429E-3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-1428.9084916701515</v>
      </c>
      <c r="AI5" s="3">
        <v>5000</v>
      </c>
      <c r="AJ5" s="2">
        <f t="dataTable" ref="AJ5:AJ44" dt2D="0" dtr="0" r1="C5" ca="1"/>
        <v>440.62560838777108</v>
      </c>
      <c r="AK5" s="2">
        <f>(AG5+AI5)/2</f>
        <v>2750</v>
      </c>
      <c r="AL5" s="2">
        <f t="dataTable" ref="AL5:AL44" dt2D="0" dtr="0" r1="C5" ca="1"/>
        <v>-205.66772858121067</v>
      </c>
      <c r="AM5" s="2">
        <f>AH5*AL5</f>
        <v>293880.36383220385</v>
      </c>
      <c r="AN5" s="2">
        <f>AJ5*AL5</f>
        <v>-90622.468031826924</v>
      </c>
      <c r="AO5" s="2">
        <f>AI5-AG5</f>
        <v>4500</v>
      </c>
    </row>
    <row r="6" spans="2:41" x14ac:dyDescent="0.2">
      <c r="B6" s="6" t="s">
        <v>166</v>
      </c>
      <c r="C6" s="16">
        <v>500</v>
      </c>
      <c r="D6" s="6" t="s">
        <v>120</v>
      </c>
      <c r="F6" s="6" t="s">
        <v>82</v>
      </c>
      <c r="G6" s="6">
        <f xml:space="preserve"> $G$5/$G$4</f>
        <v>120</v>
      </c>
      <c r="H6" s="6" t="s">
        <v>14</v>
      </c>
      <c r="J6" s="6" t="s">
        <v>130</v>
      </c>
      <c r="K6" s="6">
        <f>(1+$C$32/100)*MAX(G20)</f>
        <v>284.1338216476866</v>
      </c>
      <c r="L6" s="6" t="s">
        <v>95</v>
      </c>
      <c r="N6" s="6" t="s">
        <v>110</v>
      </c>
      <c r="O6" s="6">
        <f xml:space="preserve"> ($C$21+$C$28) * 0.4 * ($C$5/($C$21+$C$28) *2.20462/1000)^(2/3) * 0.3048^2</f>
        <v>0.28986135363804305</v>
      </c>
      <c r="P6" s="6" t="s">
        <v>111</v>
      </c>
      <c r="U6" s="2">
        <v>2</v>
      </c>
      <c r="V6" s="2">
        <f t="shared" ref="V6:V34" si="7">IF(AB5&gt;0, Z5, V5)</f>
        <v>0.75</v>
      </c>
      <c r="W6" s="2">
        <f t="shared" si="0"/>
        <v>0.24005444479438076</v>
      </c>
      <c r="X6" s="2">
        <f t="shared" ref="X6:X34" si="8">IF(AC5&gt;0, Z5, X5)</f>
        <v>1</v>
      </c>
      <c r="Y6" s="2">
        <f t="shared" si="1"/>
        <v>-2.4199477287662474E-2</v>
      </c>
      <c r="Z6" s="2">
        <f t="shared" si="3"/>
        <v>0.875</v>
      </c>
      <c r="AA6" s="2">
        <f t="shared" si="2"/>
        <v>0.10691222993303073</v>
      </c>
      <c r="AB6" s="2">
        <f t="shared" si="4"/>
        <v>2.5664755998302868E-2</v>
      </c>
      <c r="AC6" s="2">
        <f t="shared" si="5"/>
        <v>-2.5872200800377255E-3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-205.66772858121067</v>
      </c>
      <c r="AI6" s="2">
        <f>IF(AN5&gt;0,AK5,AI5)</f>
        <v>5000</v>
      </c>
      <c r="AJ6" s="2">
        <v>440.62560838777108</v>
      </c>
      <c r="AK6" s="2">
        <f t="shared" ref="AK6:AK44" si="9">(AG6+AI6)/2</f>
        <v>3875</v>
      </c>
      <c r="AL6" s="2">
        <v>184.51007996957151</v>
      </c>
      <c r="AM6" s="2">
        <f t="shared" ref="AM6:AM44" si="10">AH6*AL6</f>
        <v>-37947.769047679307</v>
      </c>
      <c r="AN6" s="2">
        <f t="shared" ref="AN6:AN44" si="11">AJ6*AL6</f>
        <v>81299.866240268733</v>
      </c>
      <c r="AO6" s="2">
        <f t="shared" ref="AO6:AO44" si="12">AI6-AG6</f>
        <v>2250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$C$71 / $C$21</f>
        <v>4035.5038720406237</v>
      </c>
      <c r="H7" s="6" t="s">
        <v>21</v>
      </c>
      <c r="J7" s="6" t="s">
        <v>131</v>
      </c>
      <c r="K7" s="6">
        <f>K6/$C$28</f>
        <v>284.1338216476866</v>
      </c>
      <c r="L7" s="6" t="s">
        <v>95</v>
      </c>
      <c r="N7" s="6" t="s">
        <v>112</v>
      </c>
      <c r="O7" s="16">
        <v>3.9699999999999999E-2</v>
      </c>
      <c r="U7" s="2">
        <v>3</v>
      </c>
      <c r="V7" s="2">
        <f t="shared" si="7"/>
        <v>0.875</v>
      </c>
      <c r="W7" s="2">
        <f t="shared" si="0"/>
        <v>0.10691222993303073</v>
      </c>
      <c r="X7" s="2">
        <f t="shared" si="8"/>
        <v>1</v>
      </c>
      <c r="Y7" s="2">
        <f t="shared" si="1"/>
        <v>-2.4199477287662474E-2</v>
      </c>
      <c r="Z7" s="2">
        <f t="shared" si="3"/>
        <v>0.9375</v>
      </c>
      <c r="AA7" s="2">
        <f t="shared" si="2"/>
        <v>4.1153150077663403E-2</v>
      </c>
      <c r="AB7" s="2">
        <f t="shared" si="4"/>
        <v>4.3997750435716713E-3</v>
      </c>
      <c r="AC7" s="2">
        <f t="shared" si="5"/>
        <v>-9.9588472062018076E-4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-205.66772858121067</v>
      </c>
      <c r="AI7" s="2">
        <f t="shared" ref="AI7:AI44" si="14">IF(AN6&gt;0,AK6,AI6)</f>
        <v>3875</v>
      </c>
      <c r="AJ7" s="2">
        <v>184.51007996957151</v>
      </c>
      <c r="AK7" s="2">
        <f t="shared" si="9"/>
        <v>3312.5</v>
      </c>
      <c r="AL7" s="2">
        <v>6.4821425847776482</v>
      </c>
      <c r="AM7" s="2">
        <f t="shared" si="10"/>
        <v>-1333.1675417507568</v>
      </c>
      <c r="AN7" s="2">
        <f t="shared" si="11"/>
        <v>1196.0206466914888</v>
      </c>
      <c r="AO7" s="2">
        <f t="shared" si="12"/>
        <v>1125</v>
      </c>
    </row>
    <row r="8" spans="2:41" x14ac:dyDescent="0.2">
      <c r="B8" s="6" t="s">
        <v>89</v>
      </c>
      <c r="C8" s="16">
        <v>1.524</v>
      </c>
      <c r="D8" s="6" t="s">
        <v>8</v>
      </c>
      <c r="F8" t="s">
        <v>91</v>
      </c>
      <c r="G8" s="6">
        <f>G10/$C$21</f>
        <v>94.848641530059538</v>
      </c>
      <c r="H8" s="6" t="s">
        <v>19</v>
      </c>
      <c r="N8" s="6" t="s">
        <v>39</v>
      </c>
      <c r="O8" s="6">
        <f xml:space="preserve"> O5 * $C$12 * O7</f>
        <v>1758.5507998092637</v>
      </c>
      <c r="P8" s="6" t="s">
        <v>21</v>
      </c>
      <c r="U8" s="2">
        <v>4</v>
      </c>
      <c r="V8" s="2">
        <f t="shared" si="7"/>
        <v>0.9375</v>
      </c>
      <c r="W8" s="2">
        <f t="shared" si="0"/>
        <v>4.1153150077663403E-2</v>
      </c>
      <c r="X8" s="2">
        <f t="shared" si="8"/>
        <v>1</v>
      </c>
      <c r="Y8" s="2">
        <f t="shared" si="1"/>
        <v>-2.4199477287662474E-2</v>
      </c>
      <c r="Z8" s="2">
        <f t="shared" si="3"/>
        <v>0.96875</v>
      </c>
      <c r="AA8" s="2">
        <f t="shared" si="2"/>
        <v>8.4309312384833746E-3</v>
      </c>
      <c r="AB8" s="2">
        <f t="shared" si="4"/>
        <v>3.469593785517669E-4</v>
      </c>
      <c r="AC8" s="2">
        <f t="shared" si="5"/>
        <v>-2.0402412901952247E-4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-205.66772858121067</v>
      </c>
      <c r="AI8" s="2">
        <f t="shared" si="14"/>
        <v>3312.5</v>
      </c>
      <c r="AJ8" s="2">
        <v>6.4821425847776482</v>
      </c>
      <c r="AK8" s="2">
        <f t="shared" si="9"/>
        <v>3031.25</v>
      </c>
      <c r="AL8" s="2">
        <v>-95.272606341467508</v>
      </c>
      <c r="AM8" s="2">
        <f t="shared" si="10"/>
        <v>19594.50054226147</v>
      </c>
      <c r="AN8" s="2">
        <f t="shared" si="11"/>
        <v>-617.57061872878353</v>
      </c>
      <c r="AO8" s="2">
        <f t="shared" si="12"/>
        <v>562.5</v>
      </c>
    </row>
    <row r="9" spans="2:41" x14ac:dyDescent="0.2">
      <c r="B9" s="6" t="s">
        <v>125</v>
      </c>
      <c r="C9" s="16">
        <f>(0.548288+0.530863+0.513438+0.496013+0.478588+0.461163+0.443738+0.426313)/8</f>
        <v>0.48730050000000003</v>
      </c>
      <c r="D9" s="6" t="s">
        <v>8</v>
      </c>
      <c r="F9" t="s">
        <v>169</v>
      </c>
      <c r="G9" s="6">
        <f xml:space="preserve"> (G7/$C$71*1000) / (G8*1000)</f>
        <v>4.3408472054343141</v>
      </c>
      <c r="H9" s="6" t="s">
        <v>170</v>
      </c>
      <c r="J9" s="28" t="s">
        <v>22</v>
      </c>
      <c r="K9" s="28"/>
      <c r="L9" s="28"/>
      <c r="N9" s="6" t="s">
        <v>135</v>
      </c>
      <c r="O9" s="6">
        <f xml:space="preserve"> 1.78 * (1 - 0.045 * $C$13^0.68) - 0.64</f>
        <v>0.7028810168808014</v>
      </c>
      <c r="U9" s="2">
        <v>5</v>
      </c>
      <c r="V9" s="2">
        <f t="shared" si="7"/>
        <v>0.96875</v>
      </c>
      <c r="W9" s="2">
        <f t="shared" si="0"/>
        <v>8.4309312384833746E-3</v>
      </c>
      <c r="X9" s="2">
        <f t="shared" si="8"/>
        <v>1</v>
      </c>
      <c r="Y9" s="2">
        <f t="shared" si="1"/>
        <v>-2.4199477287662474E-2</v>
      </c>
      <c r="Z9" s="2">
        <f t="shared" si="3"/>
        <v>0.984375</v>
      </c>
      <c r="AA9" s="2">
        <f t="shared" si="2"/>
        <v>-7.8952044535668398E-3</v>
      </c>
      <c r="AB9" s="2">
        <f t="shared" si="4"/>
        <v>-6.6563925861789735E-5</v>
      </c>
      <c r="AC9" s="2">
        <f t="shared" si="5"/>
        <v>1.9105982085554235E-4</v>
      </c>
      <c r="AD9" s="2">
        <f t="shared" si="6"/>
        <v>3.125E-2</v>
      </c>
      <c r="AF9" s="2">
        <v>5</v>
      </c>
      <c r="AG9" s="2">
        <f t="shared" si="13"/>
        <v>3031.25</v>
      </c>
      <c r="AH9" s="2">
        <v>-95.272606341467508</v>
      </c>
      <c r="AI9" s="2">
        <f t="shared" si="14"/>
        <v>3312.5</v>
      </c>
      <c r="AJ9" s="2">
        <v>6.4821425847776482</v>
      </c>
      <c r="AK9" s="2">
        <f t="shared" si="9"/>
        <v>3171.875</v>
      </c>
      <c r="AL9" s="2">
        <v>-43.323004533904168</v>
      </c>
      <c r="AM9" s="2">
        <f t="shared" si="10"/>
        <v>4127.4955564882639</v>
      </c>
      <c r="AN9" s="2">
        <f t="shared" si="11"/>
        <v>-280.82589258973536</v>
      </c>
      <c r="AO9" s="2">
        <f t="shared" si="12"/>
        <v>281.25</v>
      </c>
    </row>
    <row r="10" spans="2:41" x14ac:dyDescent="0.2">
      <c r="B10" s="6" t="s">
        <v>132</v>
      </c>
      <c r="C10" s="16">
        <v>1.3715999999999999</v>
      </c>
      <c r="D10" s="6" t="s">
        <v>8</v>
      </c>
      <c r="F10" s="22" t="s">
        <v>76</v>
      </c>
      <c r="G10" s="22">
        <f xml:space="preserve"> 1/1000 * (($C$5*$C$71)/$C$24 * ( ($G$4/2) + SQRT( ($G$4/2)^2 + ($C$5*$C$71) / (2*$C$68*PI()*$C$8^2 * $C$21) ) ) )</f>
        <v>758.78913224047631</v>
      </c>
      <c r="H10" s="22" t="s">
        <v>95</v>
      </c>
      <c r="J10" s="6" t="s">
        <v>90</v>
      </c>
      <c r="K10" s="6">
        <f xml:space="preserve"> $C$18 * (G10*G6 + G20*G13 + G29*G25 + G33*G32)/3600</f>
        <v>203.20262364464841</v>
      </c>
      <c r="L10" s="6" t="s">
        <v>96</v>
      </c>
      <c r="N10" s="6" t="s">
        <v>136</v>
      </c>
      <c r="O10" s="6">
        <f xml:space="preserve"> O4 / (O5 * $C$12)</f>
        <v>0.72875542499078516</v>
      </c>
      <c r="U10" s="2">
        <v>6</v>
      </c>
      <c r="V10" s="2">
        <f t="shared" si="7"/>
        <v>0.96875</v>
      </c>
      <c r="W10" s="2">
        <f t="shared" si="0"/>
        <v>8.4309312384833746E-3</v>
      </c>
      <c r="X10" s="2">
        <f t="shared" si="8"/>
        <v>0.984375</v>
      </c>
      <c r="Y10" s="2">
        <f t="shared" si="1"/>
        <v>-7.8952044535668398E-3</v>
      </c>
      <c r="Z10" s="2">
        <f t="shared" si="3"/>
        <v>0.9765625</v>
      </c>
      <c r="AA10" s="2">
        <f t="shared" si="2"/>
        <v>2.6506514176038998E-4</v>
      </c>
      <c r="AB10" s="2">
        <f t="shared" si="4"/>
        <v>2.2347459839006959E-6</v>
      </c>
      <c r="AC10" s="2">
        <f t="shared" si="5"/>
        <v>-2.0927434877119568E-6</v>
      </c>
      <c r="AD10" s="2">
        <f t="shared" si="6"/>
        <v>1.5625E-2</v>
      </c>
      <c r="AF10" s="2">
        <v>6</v>
      </c>
      <c r="AG10" s="2">
        <f t="shared" si="13"/>
        <v>3171.875</v>
      </c>
      <c r="AH10" s="2">
        <v>-43.323004533904168</v>
      </c>
      <c r="AI10" s="2">
        <f t="shared" si="14"/>
        <v>3312.5</v>
      </c>
      <c r="AJ10" s="2">
        <v>6.4821425847776482</v>
      </c>
      <c r="AK10" s="2">
        <f t="shared" si="9"/>
        <v>3242.1875</v>
      </c>
      <c r="AL10" s="2">
        <v>-18.153261329349789</v>
      </c>
      <c r="AM10" s="2">
        <f t="shared" si="10"/>
        <v>786.4538228765681</v>
      </c>
      <c r="AN10" s="2">
        <f t="shared" si="11"/>
        <v>-117.67202831557556</v>
      </c>
      <c r="AO10" s="2">
        <f t="shared" si="12"/>
        <v>140.625</v>
      </c>
    </row>
    <row r="11" spans="2:41" x14ac:dyDescent="0.2">
      <c r="B11" s="6" t="s">
        <v>160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97</v>
      </c>
      <c r="N11" s="6" t="s">
        <v>137</v>
      </c>
      <c r="O11" s="6">
        <f xml:space="preserve"> O7 + O10^2 / ( PI() * O9 * $C$13 )</f>
        <v>5.9531551500866142E-2</v>
      </c>
      <c r="U11" s="2">
        <v>7</v>
      </c>
      <c r="V11" s="2">
        <f t="shared" si="7"/>
        <v>0.9765625</v>
      </c>
      <c r="W11" s="2">
        <f t="shared" si="0"/>
        <v>2.6506514176038998E-4</v>
      </c>
      <c r="X11" s="2">
        <f t="shared" si="8"/>
        <v>0.984375</v>
      </c>
      <c r="Y11" s="2">
        <f t="shared" si="1"/>
        <v>-7.8952044535668398E-3</v>
      </c>
      <c r="Z11" s="2">
        <f t="shared" si="3"/>
        <v>0.98046875</v>
      </c>
      <c r="AA11" s="2">
        <f t="shared" si="2"/>
        <v>-3.8157608821675071E-3</v>
      </c>
      <c r="AB11" s="2">
        <f t="shared" si="4"/>
        <v>-1.0114251991554809E-6</v>
      </c>
      <c r="AC11" s="2">
        <f t="shared" si="5"/>
        <v>3.0126212310635035E-5</v>
      </c>
      <c r="AD11" s="2">
        <f t="shared" si="6"/>
        <v>7.8125E-3</v>
      </c>
      <c r="AF11" s="2">
        <v>7</v>
      </c>
      <c r="AG11" s="2">
        <f t="shared" si="13"/>
        <v>3242.1875</v>
      </c>
      <c r="AH11" s="2">
        <v>-18.153261329349789</v>
      </c>
      <c r="AI11" s="2">
        <f t="shared" si="14"/>
        <v>3312.5</v>
      </c>
      <c r="AJ11" s="2">
        <v>6.4821425847776482</v>
      </c>
      <c r="AK11" s="2">
        <f t="shared" si="9"/>
        <v>3277.34375</v>
      </c>
      <c r="AL11" s="2">
        <v>-5.768872138180086</v>
      </c>
      <c r="AM11" s="2">
        <f t="shared" si="10"/>
        <v>104.72384349998799</v>
      </c>
      <c r="AN11" s="2">
        <f t="shared" si="11"/>
        <v>-37.394651753034424</v>
      </c>
      <c r="AO11" s="2">
        <f t="shared" si="12"/>
        <v>70.3125</v>
      </c>
    </row>
    <row r="12" spans="2:41" x14ac:dyDescent="0.2">
      <c r="B12" s="6" t="s">
        <v>133</v>
      </c>
      <c r="C12" s="16">
        <v>19.535478449999999</v>
      </c>
      <c r="D12" s="6" t="s">
        <v>11</v>
      </c>
      <c r="F12" s="29" t="s">
        <v>80</v>
      </c>
      <c r="G12" s="30"/>
      <c r="H12" s="30"/>
      <c r="N12" s="6" t="s">
        <v>40</v>
      </c>
      <c r="O12" s="6">
        <f xml:space="preserve"> O5 * O11 * $C$12</f>
        <v>2637.0090051822299</v>
      </c>
      <c r="P12" s="6" t="s">
        <v>21</v>
      </c>
      <c r="U12" s="2">
        <v>8</v>
      </c>
      <c r="V12" s="2">
        <f t="shared" si="7"/>
        <v>0.9765625</v>
      </c>
      <c r="W12" s="2">
        <f t="shared" si="0"/>
        <v>2.6506514176038998E-4</v>
      </c>
      <c r="X12" s="2">
        <f t="shared" si="8"/>
        <v>0.98046875</v>
      </c>
      <c r="Y12" s="2">
        <f t="shared" si="1"/>
        <v>-3.8157608821675071E-3</v>
      </c>
      <c r="Z12" s="2">
        <f t="shared" si="3"/>
        <v>0.978515625</v>
      </c>
      <c r="AA12" s="2">
        <f t="shared" si="2"/>
        <v>-1.7755217084600705E-3</v>
      </c>
      <c r="AB12" s="2">
        <f t="shared" si="4"/>
        <v>-4.7062891335161841E-7</v>
      </c>
      <c r="AC12" s="2">
        <f t="shared" si="5"/>
        <v>6.7749662805811578E-6</v>
      </c>
      <c r="AD12" s="2">
        <f t="shared" si="6"/>
        <v>3.90625E-3</v>
      </c>
      <c r="AF12" s="2">
        <v>8</v>
      </c>
      <c r="AG12" s="2">
        <f t="shared" si="13"/>
        <v>3277.34375</v>
      </c>
      <c r="AH12" s="2">
        <v>-5.768872138180086</v>
      </c>
      <c r="AI12" s="2">
        <f t="shared" si="14"/>
        <v>3312.5</v>
      </c>
      <c r="AJ12" s="2">
        <v>6.4821425847776482</v>
      </c>
      <c r="AK12" s="2">
        <f t="shared" si="9"/>
        <v>3294.921875</v>
      </c>
      <c r="AL12" s="2">
        <v>0.37329356760847077</v>
      </c>
      <c r="AM12" s="2">
        <f t="shared" si="10"/>
        <v>-2.1534828615383512</v>
      </c>
      <c r="AN12" s="2">
        <f t="shared" si="11"/>
        <v>2.4197421312184426</v>
      </c>
      <c r="AO12" s="2">
        <f t="shared" si="12"/>
        <v>35.15625</v>
      </c>
    </row>
    <row r="13" spans="2:41" x14ac:dyDescent="0.2">
      <c r="B13" s="6" t="s">
        <v>134</v>
      </c>
      <c r="C13" s="16">
        <v>12.127610000000001</v>
      </c>
      <c r="F13" s="8" t="s">
        <v>83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138</v>
      </c>
      <c r="O13" s="6">
        <f>O4/O12</f>
        <v>12.241498946658266</v>
      </c>
      <c r="U13" s="2">
        <v>9</v>
      </c>
      <c r="V13" s="2">
        <f t="shared" si="7"/>
        <v>0.9765625</v>
      </c>
      <c r="W13" s="2">
        <f t="shared" si="0"/>
        <v>2.6506514176038998E-4</v>
      </c>
      <c r="X13" s="2">
        <f t="shared" si="8"/>
        <v>0.978515625</v>
      </c>
      <c r="Y13" s="2">
        <f t="shared" si="1"/>
        <v>-1.7755217084600705E-3</v>
      </c>
      <c r="Z13" s="2">
        <f t="shared" si="3"/>
        <v>0.9775390625</v>
      </c>
      <c r="AA13" s="2">
        <f t="shared" si="2"/>
        <v>-7.5527187277368846E-4</v>
      </c>
      <c r="AB13" s="2">
        <f t="shared" si="4"/>
        <v>-2.0019624602439295E-7</v>
      </c>
      <c r="AC13" s="2">
        <f t="shared" si="5"/>
        <v>1.3410016058989763E-6</v>
      </c>
      <c r="AD13" s="2">
        <f t="shared" si="6"/>
        <v>1.953125E-3</v>
      </c>
      <c r="AF13" s="2">
        <v>9</v>
      </c>
      <c r="AG13" s="2">
        <f t="shared" si="13"/>
        <v>3277.34375</v>
      </c>
      <c r="AH13" s="2">
        <v>-5.768872138180086</v>
      </c>
      <c r="AI13" s="2">
        <f t="shared" si="14"/>
        <v>3294.921875</v>
      </c>
      <c r="AJ13" s="2">
        <v>0.37329356760847077</v>
      </c>
      <c r="AK13" s="2">
        <f t="shared" si="9"/>
        <v>3286.1328125</v>
      </c>
      <c r="AL13" s="2">
        <v>-2.6936222109061418</v>
      </c>
      <c r="AM13" s="2">
        <f t="shared" si="10"/>
        <v>15.539162123279485</v>
      </c>
      <c r="AN13" s="2">
        <f t="shared" si="11"/>
        <v>-1.0055118448985703</v>
      </c>
      <c r="AO13" s="2">
        <f t="shared" si="12"/>
        <v>17.578125</v>
      </c>
    </row>
    <row r="14" spans="2:41" x14ac:dyDescent="0.2">
      <c r="F14" s="6" t="s">
        <v>140</v>
      </c>
      <c r="G14" s="6">
        <f>O22*$C$10</f>
        <v>71.816808061062659</v>
      </c>
      <c r="H14" s="6" t="s">
        <v>10</v>
      </c>
      <c r="J14" s="9" t="s">
        <v>73</v>
      </c>
      <c r="K14" s="17">
        <f>C5</f>
        <v>3293.7876842000001</v>
      </c>
      <c r="L14" s="6" t="s">
        <v>7</v>
      </c>
      <c r="N14" s="6" t="s">
        <v>109</v>
      </c>
      <c r="O14" s="6">
        <f>(O11*$C$12)/(0.3048^2)/($C$5*2.20462/1000)^(2/3)</f>
        <v>3.338272348685051</v>
      </c>
      <c r="U14" s="2">
        <v>10</v>
      </c>
      <c r="V14" s="2">
        <f t="shared" si="7"/>
        <v>0.9765625</v>
      </c>
      <c r="W14" s="2">
        <f t="shared" si="0"/>
        <v>2.6506514176038998E-4</v>
      </c>
      <c r="X14" s="2">
        <f t="shared" si="8"/>
        <v>0.9775390625</v>
      </c>
      <c r="Y14" s="2">
        <f t="shared" si="1"/>
        <v>-7.5527187277368846E-4</v>
      </c>
      <c r="Z14" s="2">
        <f t="shared" si="3"/>
        <v>0.97705078125</v>
      </c>
      <c r="AA14" s="2">
        <f t="shared" si="2"/>
        <v>-2.4511427915174799E-4</v>
      </c>
      <c r="AB14" s="2">
        <f t="shared" si="4"/>
        <v>-6.4971251150853885E-8</v>
      </c>
      <c r="AC14" s="2">
        <f t="shared" si="5"/>
        <v>1.8512792065851337E-7</v>
      </c>
      <c r="AD14" s="2">
        <f t="shared" si="6"/>
        <v>9.765625E-4</v>
      </c>
      <c r="AF14" s="2">
        <v>10</v>
      </c>
      <c r="AG14" s="2">
        <f t="shared" si="13"/>
        <v>3286.1328125</v>
      </c>
      <c r="AH14" s="2">
        <v>-2.6936222109061418</v>
      </c>
      <c r="AI14" s="2">
        <f t="shared" si="14"/>
        <v>3294.921875</v>
      </c>
      <c r="AJ14" s="2">
        <v>0.37329356760847077</v>
      </c>
      <c r="AK14" s="2">
        <f t="shared" si="9"/>
        <v>3290.52734375</v>
      </c>
      <c r="AL14" s="2">
        <v>-1.1591227473868457</v>
      </c>
      <c r="AM14" s="2">
        <f t="shared" si="10"/>
        <v>3.1222387775277567</v>
      </c>
      <c r="AN14" s="2">
        <f t="shared" si="11"/>
        <v>-0.4326930656681679</v>
      </c>
      <c r="AO14" s="2">
        <f t="shared" si="12"/>
        <v>8.7890625</v>
      </c>
    </row>
    <row r="15" spans="2:41" x14ac:dyDescent="0.2">
      <c r="B15" s="28" t="s">
        <v>12</v>
      </c>
      <c r="C15" s="28"/>
      <c r="D15" s="28"/>
      <c r="F15" s="6" t="s">
        <v>141</v>
      </c>
      <c r="G15" s="6">
        <f>G14/$C$76</f>
        <v>0.21584644706095835</v>
      </c>
      <c r="H15" s="6" t="s">
        <v>118</v>
      </c>
      <c r="J15" s="10" t="s">
        <v>53</v>
      </c>
      <c r="K15" s="6">
        <f xml:space="preserve"> 1000 * K10 / ($C$63 * $C$64 * $C$65)</f>
        <v>1195.3095508508729</v>
      </c>
      <c r="L15" s="6" t="s">
        <v>7</v>
      </c>
      <c r="N15" s="6" t="s">
        <v>181</v>
      </c>
      <c r="O15" s="6">
        <f>SQRT(1 - ($C$7/$C$76)^2)</f>
        <v>0.97948074366628279</v>
      </c>
      <c r="U15" s="2">
        <v>11</v>
      </c>
      <c r="V15" s="2">
        <f t="shared" si="7"/>
        <v>0.9765625</v>
      </c>
      <c r="W15" s="2">
        <f t="shared" si="0"/>
        <v>2.6506514176038998E-4</v>
      </c>
      <c r="X15" s="2">
        <f t="shared" si="8"/>
        <v>0.97705078125</v>
      </c>
      <c r="Y15" s="2">
        <f t="shared" si="1"/>
        <v>-2.4511427915174799E-4</v>
      </c>
      <c r="Z15" s="2">
        <f t="shared" si="3"/>
        <v>0.976806640625</v>
      </c>
      <c r="AA15" s="2">
        <f t="shared" si="2"/>
        <v>9.9727008533445627E-6</v>
      </c>
      <c r="AB15" s="2">
        <f t="shared" si="4"/>
        <v>2.6434153654257386E-9</v>
      </c>
      <c r="AC15" s="2">
        <f t="shared" si="5"/>
        <v>-2.4444513808635746E-9</v>
      </c>
      <c r="AD15" s="2">
        <f t="shared" si="6"/>
        <v>4.8828125E-4</v>
      </c>
      <c r="AF15" s="2">
        <v>11</v>
      </c>
      <c r="AG15" s="2">
        <f t="shared" si="13"/>
        <v>3290.52734375</v>
      </c>
      <c r="AH15" s="2">
        <v>-1.1591227473868457</v>
      </c>
      <c r="AI15" s="2">
        <f t="shared" si="14"/>
        <v>3294.921875</v>
      </c>
      <c r="AJ15" s="2">
        <v>0.37329356760847077</v>
      </c>
      <c r="AK15" s="2">
        <f t="shared" si="9"/>
        <v>3292.724609375</v>
      </c>
      <c r="AL15" s="2">
        <v>-0.39265422053722432</v>
      </c>
      <c r="AM15" s="2">
        <f t="shared" si="10"/>
        <v>0.45513443888214788</v>
      </c>
      <c r="AN15" s="2">
        <f t="shared" si="11"/>
        <v>-0.14657529482086373</v>
      </c>
      <c r="AO15" s="2">
        <f t="shared" si="12"/>
        <v>4.39453125</v>
      </c>
    </row>
    <row r="16" spans="2:41" x14ac:dyDescent="0.2">
      <c r="B16" s="6" t="s">
        <v>67</v>
      </c>
      <c r="C16" s="6">
        <f>C35*100</f>
        <v>600</v>
      </c>
      <c r="D16" s="6" t="s">
        <v>7</v>
      </c>
      <c r="F16" s="8" t="s">
        <v>20</v>
      </c>
      <c r="G16" s="6">
        <f>O21</f>
        <v>2637.0090051822299</v>
      </c>
      <c r="H16" s="6" t="s">
        <v>21</v>
      </c>
      <c r="J16" s="11" t="s">
        <v>121</v>
      </c>
      <c r="K16" s="6">
        <f xml:space="preserve"> $C$81 * ( $C$21 * (0.0095 * MAX(G7,G26) - 1.9275) +  $C$28 * (0.0095 * MAX(O21) - 1.9275) )</f>
        <v>251.52190385945488</v>
      </c>
      <c r="L16" s="6" t="s">
        <v>7</v>
      </c>
      <c r="N16" s="6" t="s">
        <v>180</v>
      </c>
      <c r="O16" s="6">
        <f>C48/(O15 + (C48/(PI()*O9*$C$13)))</f>
        <v>5.5249848139003799</v>
      </c>
      <c r="U16" s="2">
        <v>12</v>
      </c>
      <c r="V16" s="2">
        <f t="shared" si="7"/>
        <v>0.976806640625</v>
      </c>
      <c r="W16" s="2">
        <f t="shared" si="0"/>
        <v>9.9727008533445627E-6</v>
      </c>
      <c r="X16" s="2">
        <f t="shared" si="8"/>
        <v>0.97705078125</v>
      </c>
      <c r="Y16" s="2">
        <f t="shared" si="1"/>
        <v>-2.4511427915174799E-4</v>
      </c>
      <c r="Z16" s="2">
        <f t="shared" si="3"/>
        <v>0.9769287109375</v>
      </c>
      <c r="AA16" s="2">
        <f t="shared" si="2"/>
        <v>-1.1757147150670555E-4</v>
      </c>
      <c r="AB16" s="2">
        <f t="shared" si="4"/>
        <v>-1.1725051142238984E-9</v>
      </c>
      <c r="AC16" s="2">
        <f t="shared" si="5"/>
        <v>2.881844648717641E-8</v>
      </c>
      <c r="AD16" s="2">
        <f t="shared" si="6"/>
        <v>2.44140625E-4</v>
      </c>
      <c r="AF16" s="2">
        <v>12</v>
      </c>
      <c r="AG16" s="2">
        <f t="shared" si="13"/>
        <v>3292.724609375</v>
      </c>
      <c r="AH16" s="2">
        <v>-0.39265422053722432</v>
      </c>
      <c r="AI16" s="2">
        <f t="shared" si="14"/>
        <v>3294.921875</v>
      </c>
      <c r="AJ16" s="2">
        <v>0.37329356760847077</v>
      </c>
      <c r="AK16" s="2">
        <f t="shared" si="9"/>
        <v>3293.8232421875</v>
      </c>
      <c r="AL16" s="2">
        <v>-9.6153710087492072E-3</v>
      </c>
      <c r="AM16" s="2">
        <f t="shared" si="10"/>
        <v>3.7755160086166443E-3</v>
      </c>
      <c r="AN16" s="2">
        <f t="shared" si="11"/>
        <v>-3.5893561477350518E-3</v>
      </c>
      <c r="AO16" s="2">
        <f t="shared" si="12"/>
        <v>2.197265625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91</v>
      </c>
      <c r="G17" s="6">
        <f xml:space="preserve"> 1/1000 * (O26 + O21 * (O31 * O28 + $C$7 * SIN(O20/180*PI())))</f>
        <v>189.42254776512439</v>
      </c>
      <c r="H17" s="6" t="s">
        <v>95</v>
      </c>
      <c r="J17" s="11" t="s">
        <v>122</v>
      </c>
      <c r="K17" s="6">
        <v>0</v>
      </c>
      <c r="L17" s="6" t="s">
        <v>7</v>
      </c>
      <c r="N17" s="6" t="s">
        <v>159</v>
      </c>
      <c r="O17" s="6">
        <f>(O10-$C$49)/O16*180/PI()</f>
        <v>2.3198809164150815</v>
      </c>
      <c r="P17" s="6" t="s">
        <v>41</v>
      </c>
      <c r="U17" s="2">
        <v>13</v>
      </c>
      <c r="V17" s="2">
        <f t="shared" si="7"/>
        <v>0.976806640625</v>
      </c>
      <c r="W17" s="2">
        <f t="shared" si="0"/>
        <v>9.9727008533445627E-6</v>
      </c>
      <c r="X17" s="2">
        <f t="shared" si="8"/>
        <v>0.9769287109375</v>
      </c>
      <c r="Y17" s="2">
        <f t="shared" si="1"/>
        <v>-1.1757147150670555E-4</v>
      </c>
      <c r="Z17" s="2">
        <f t="shared" si="3"/>
        <v>0.97686767578125</v>
      </c>
      <c r="AA17" s="2">
        <f t="shared" si="2"/>
        <v>-5.3799555947975364E-5</v>
      </c>
      <c r="AB17" s="2">
        <f t="shared" si="4"/>
        <v>-5.365268775119325E-10</v>
      </c>
      <c r="AC17" s="2">
        <f t="shared" si="5"/>
        <v>6.3252929592107962E-9</v>
      </c>
      <c r="AD17" s="2">
        <f t="shared" si="6"/>
        <v>1.220703125E-4</v>
      </c>
      <c r="AF17" s="2">
        <v>13</v>
      </c>
      <c r="AG17" s="2">
        <f t="shared" si="13"/>
        <v>3293.8232421875</v>
      </c>
      <c r="AH17" s="2">
        <v>-9.6153710087492072E-3</v>
      </c>
      <c r="AI17" s="2">
        <f t="shared" si="14"/>
        <v>3294.921875</v>
      </c>
      <c r="AJ17" s="2">
        <v>0.37329356760847077</v>
      </c>
      <c r="AK17" s="2">
        <f t="shared" si="9"/>
        <v>3294.37255859375</v>
      </c>
      <c r="AL17" s="2">
        <v>0.18185627390539594</v>
      </c>
      <c r="AM17" s="2">
        <f t="shared" si="10"/>
        <v>-1.7486155438690991E-3</v>
      </c>
      <c r="AN17" s="2">
        <f t="shared" si="11"/>
        <v>6.7885777278128501E-2</v>
      </c>
      <c r="AO17" s="2">
        <f t="shared" si="12"/>
        <v>1.0986328125</v>
      </c>
    </row>
    <row r="18" spans="2:41" x14ac:dyDescent="0.2">
      <c r="B18" s="6" t="s">
        <v>161</v>
      </c>
      <c r="C18" s="16">
        <v>1</v>
      </c>
      <c r="F18" t="s">
        <v>169</v>
      </c>
      <c r="G18" s="6">
        <f xml:space="preserve"> (G16/$C$77*1000) / (G17*1000)</f>
        <v>1.4204610453535067</v>
      </c>
      <c r="H18" s="6" t="s">
        <v>170</v>
      </c>
      <c r="J18" s="12" t="s">
        <v>54</v>
      </c>
      <c r="K18" s="6">
        <f xml:space="preserve"> $C$81 * (0.2138 * K4 + 0.2138 * K6)</f>
        <v>243.27318862223694</v>
      </c>
      <c r="L18" s="6" t="s">
        <v>7</v>
      </c>
      <c r="U18" s="2">
        <v>14</v>
      </c>
      <c r="V18" s="2">
        <f t="shared" si="7"/>
        <v>0.976806640625</v>
      </c>
      <c r="W18" s="2">
        <f t="shared" si="0"/>
        <v>9.9727008533445627E-6</v>
      </c>
      <c r="X18" s="2">
        <f t="shared" si="8"/>
        <v>0.97686767578125</v>
      </c>
      <c r="Y18" s="2">
        <f t="shared" si="1"/>
        <v>-5.3799555947975364E-5</v>
      </c>
      <c r="Z18" s="2">
        <f t="shared" si="3"/>
        <v>0.976837158203125</v>
      </c>
      <c r="AA18" s="2">
        <f t="shared" si="2"/>
        <v>-2.1913470206635921E-5</v>
      </c>
      <c r="AB18" s="2">
        <f t="shared" si="4"/>
        <v>-2.1853648302945869E-10</v>
      </c>
      <c r="AC18" s="2">
        <f t="shared" si="5"/>
        <v>1.1789349663962005E-9</v>
      </c>
      <c r="AD18" s="2">
        <f t="shared" si="6"/>
        <v>6.103515625E-5</v>
      </c>
      <c r="AF18" s="2">
        <v>14</v>
      </c>
      <c r="AG18" s="2">
        <f t="shared" si="13"/>
        <v>3293.8232421875</v>
      </c>
      <c r="AH18" s="2">
        <v>-9.6153710087492072E-3</v>
      </c>
      <c r="AI18" s="2">
        <f t="shared" si="14"/>
        <v>3294.37255859375</v>
      </c>
      <c r="AJ18" s="2">
        <v>0.18185627390539594</v>
      </c>
      <c r="AK18" s="2">
        <f t="shared" si="9"/>
        <v>3294.097900390625</v>
      </c>
      <c r="AL18" s="2">
        <v>8.612447762152442E-2</v>
      </c>
      <c r="AM18" s="2">
        <f t="shared" si="10"/>
        <v>-8.2811880526567584E-4</v>
      </c>
      <c r="AN18" s="2">
        <f t="shared" si="11"/>
        <v>1.5662276592299088E-2</v>
      </c>
      <c r="AO18" s="2">
        <f t="shared" si="12"/>
        <v>0.54931640625</v>
      </c>
    </row>
    <row r="19" spans="2:41" x14ac:dyDescent="0.2">
      <c r="F19" s="8" t="s">
        <v>171</v>
      </c>
      <c r="G19" s="6">
        <f>O24 / ($C$29*$C$11/PI())</f>
        <v>0.10091351611956736</v>
      </c>
      <c r="J19" s="12" t="s">
        <v>71</v>
      </c>
      <c r="K19" s="6">
        <f xml:space="preserve"> $C$81 * (0.1149 * K4 + 0.1149 * K6)</f>
        <v>130.73942643917221</v>
      </c>
      <c r="L19" s="6" t="s">
        <v>7</v>
      </c>
      <c r="N19" s="24" t="s">
        <v>139</v>
      </c>
      <c r="U19" s="2">
        <v>15</v>
      </c>
      <c r="V19" s="2">
        <f t="shared" si="7"/>
        <v>0.976806640625</v>
      </c>
      <c r="W19" s="2">
        <f t="shared" si="0"/>
        <v>9.9727008533445627E-6</v>
      </c>
      <c r="X19" s="2">
        <f t="shared" si="8"/>
        <v>0.976837158203125</v>
      </c>
      <c r="Y19" s="2">
        <f t="shared" si="1"/>
        <v>-2.1913470206635921E-5</v>
      </c>
      <c r="Z19" s="2">
        <f t="shared" si="3"/>
        <v>0.9768218994140625</v>
      </c>
      <c r="AA19" s="2">
        <f t="shared" si="2"/>
        <v>-5.9703953418921429E-6</v>
      </c>
      <c r="AB19" s="2">
        <f t="shared" si="4"/>
        <v>-5.9540966720892179E-11</v>
      </c>
      <c r="AC19" s="2">
        <f t="shared" si="5"/>
        <v>1.3083208044639137E-10</v>
      </c>
      <c r="AD19" s="2">
        <f t="shared" si="6"/>
        <v>3.0517578125E-5</v>
      </c>
      <c r="AF19" s="2">
        <v>15</v>
      </c>
      <c r="AG19" s="2">
        <f t="shared" si="13"/>
        <v>3293.8232421875</v>
      </c>
      <c r="AH19" s="2">
        <v>-9.6153710087492072E-3</v>
      </c>
      <c r="AI19" s="2">
        <f t="shared" si="14"/>
        <v>3294.097900390625</v>
      </c>
      <c r="AJ19" s="2">
        <v>8.612447762152442E-2</v>
      </c>
      <c r="AK19" s="2">
        <f t="shared" si="9"/>
        <v>3293.9605712890625</v>
      </c>
      <c r="AL19" s="2">
        <v>3.8256095312590332E-2</v>
      </c>
      <c r="AM19" s="2">
        <f t="shared" si="10"/>
        <v>-3.678465497766275E-4</v>
      </c>
      <c r="AN19" s="2">
        <f t="shared" si="11"/>
        <v>3.2947862246360915E-3</v>
      </c>
      <c r="AO19" s="2">
        <f t="shared" si="12"/>
        <v>0.274658203125</v>
      </c>
    </row>
    <row r="20" spans="2:41" x14ac:dyDescent="0.2">
      <c r="B20" s="28" t="s">
        <v>106</v>
      </c>
      <c r="C20" s="28"/>
      <c r="D20" s="28"/>
      <c r="F20" s="23" t="s">
        <v>126</v>
      </c>
      <c r="G20" s="22">
        <f xml:space="preserve"> $C$28 * G17</f>
        <v>189.42254776512439</v>
      </c>
      <c r="H20" s="22" t="s">
        <v>95</v>
      </c>
      <c r="J20" s="13" t="s">
        <v>61</v>
      </c>
      <c r="K20" s="6">
        <f xml:space="preserve"> $C$82 * ( 1.01472161*$C$12 - 0.406758251*$C$13 + 42.5974124*$C$36 + 0.0310575276*$K$15 + 0.0687345416*$C$7 - 116.727769   )</f>
        <v>263.52436758857476</v>
      </c>
      <c r="L20" s="6" t="s">
        <v>7</v>
      </c>
      <c r="N20" s="6" t="s">
        <v>26</v>
      </c>
      <c r="O20" s="6">
        <f xml:space="preserve"> 90 - O17</f>
        <v>87.680119083584913</v>
      </c>
      <c r="U20" s="2">
        <v>16</v>
      </c>
      <c r="V20" s="2">
        <f t="shared" si="7"/>
        <v>0.976806640625</v>
      </c>
      <c r="W20" s="2">
        <f t="shared" si="0"/>
        <v>9.9727008533445627E-6</v>
      </c>
      <c r="X20" s="2">
        <f t="shared" si="8"/>
        <v>0.9768218994140625</v>
      </c>
      <c r="Y20" s="2">
        <f t="shared" si="1"/>
        <v>-5.9703953418921429E-6</v>
      </c>
      <c r="Z20" s="2">
        <f t="shared" si="3"/>
        <v>0.97681427001953125</v>
      </c>
      <c r="AA20" s="2">
        <f t="shared" si="2"/>
        <v>2.0011500893035716E-6</v>
      </c>
      <c r="AB20" s="2">
        <f t="shared" si="4"/>
        <v>1.9956871203268276E-11</v>
      </c>
      <c r="AC20" s="2">
        <f t="shared" si="5"/>
        <v>-1.194765717160509E-11</v>
      </c>
      <c r="AD20" s="2">
        <f t="shared" si="6"/>
        <v>1.52587890625E-5</v>
      </c>
      <c r="AF20" s="2">
        <v>16</v>
      </c>
      <c r="AG20" s="2">
        <f t="shared" si="13"/>
        <v>3293.8232421875</v>
      </c>
      <c r="AH20" s="2">
        <v>-9.6153710087492072E-3</v>
      </c>
      <c r="AI20" s="2">
        <f t="shared" si="14"/>
        <v>3293.9605712890625</v>
      </c>
      <c r="AJ20" s="2">
        <v>3.8256095312590332E-2</v>
      </c>
      <c r="AK20" s="2">
        <f t="shared" si="9"/>
        <v>3293.8919067382812</v>
      </c>
      <c r="AL20" s="2">
        <v>1.4321149234547192E-2</v>
      </c>
      <c r="AM20" s="2">
        <f t="shared" si="10"/>
        <v>-1.3770316316183596E-4</v>
      </c>
      <c r="AN20" s="2">
        <f t="shared" si="11"/>
        <v>5.4787125010266743E-4</v>
      </c>
      <c r="AO20" s="2">
        <f t="shared" si="12"/>
        <v>0.1373291015625</v>
      </c>
    </row>
    <row r="21" spans="2:41" x14ac:dyDescent="0.2">
      <c r="B21" s="6" t="s">
        <v>88</v>
      </c>
      <c r="C21" s="16">
        <v>8</v>
      </c>
      <c r="J21" s="13" t="s">
        <v>62</v>
      </c>
      <c r="K21" s="6">
        <f xml:space="preserve"> $C$82 * C41 * $C$5</f>
        <v>85.638479789200005</v>
      </c>
      <c r="L21" s="6" t="s">
        <v>7</v>
      </c>
      <c r="N21" s="6" t="s">
        <v>20</v>
      </c>
      <c r="O21" s="6">
        <f xml:space="preserve"> O12 / $C$28</f>
        <v>2637.0090051822299</v>
      </c>
      <c r="U21" s="2">
        <v>17</v>
      </c>
      <c r="V21" s="2">
        <f t="shared" si="7"/>
        <v>0.97681427001953125</v>
      </c>
      <c r="W21" s="2">
        <f t="shared" si="0"/>
        <v>2.0011500893035716E-6</v>
      </c>
      <c r="X21" s="2">
        <f t="shared" si="8"/>
        <v>0.9768218994140625</v>
      </c>
      <c r="Y21" s="2">
        <f t="shared" si="1"/>
        <v>-5.9703953418921429E-6</v>
      </c>
      <c r="Z21" s="2">
        <f t="shared" si="3"/>
        <v>0.97681808471679688</v>
      </c>
      <c r="AA21" s="2">
        <f t="shared" si="2"/>
        <v>-1.9846232929277008E-6</v>
      </c>
      <c r="AB21" s="2">
        <f t="shared" si="4"/>
        <v>-3.9715290798762168E-12</v>
      </c>
      <c r="AC21" s="2">
        <f t="shared" si="5"/>
        <v>1.1848985663506191E-11</v>
      </c>
      <c r="AD21" s="2">
        <f t="shared" si="6"/>
        <v>7.62939453125E-6</v>
      </c>
      <c r="AF21" s="2">
        <v>17</v>
      </c>
      <c r="AG21" s="2">
        <f t="shared" si="13"/>
        <v>3293.8232421875</v>
      </c>
      <c r="AH21" s="2">
        <v>-9.6153710087492072E-3</v>
      </c>
      <c r="AI21" s="2">
        <f t="shared" si="14"/>
        <v>3293.8919067382812</v>
      </c>
      <c r="AJ21" s="2">
        <v>1.4321149234547192E-2</v>
      </c>
      <c r="AK21" s="2">
        <f t="shared" si="9"/>
        <v>3293.8575744628906</v>
      </c>
      <c r="AL21" s="2">
        <v>2.3529520203737775E-3</v>
      </c>
      <c r="AM21" s="2">
        <f t="shared" si="10"/>
        <v>-2.2624506641679895E-5</v>
      </c>
      <c r="AN21" s="2">
        <f t="shared" si="11"/>
        <v>3.3696977025502193E-5</v>
      </c>
      <c r="AO21" s="2">
        <f t="shared" si="12"/>
        <v>6.866455078125E-2</v>
      </c>
    </row>
    <row r="22" spans="2:41" x14ac:dyDescent="0.2">
      <c r="B22" s="6" t="s">
        <v>105</v>
      </c>
      <c r="C22" s="16">
        <v>2</v>
      </c>
      <c r="F22" s="28" t="s">
        <v>75</v>
      </c>
      <c r="G22" s="28"/>
      <c r="H22" s="28"/>
      <c r="J22" s="13" t="s">
        <v>142</v>
      </c>
      <c r="K22" s="6">
        <f xml:space="preserve"> $C$82 * (11.1379136*$C$12 +  31.4761829*$C$13 + 0.789132288*$C$36 -0.0214257921*$K$15 + 0.240041303*$C$7 - 320.236992)</f>
        <v>221.42394474751654</v>
      </c>
      <c r="L22" s="6" t="s">
        <v>7</v>
      </c>
      <c r="N22" s="6" t="s">
        <v>27</v>
      </c>
      <c r="O22" s="6">
        <f>$C$6*2*PI()/60</f>
        <v>52.359877559829883</v>
      </c>
      <c r="P22" s="6" t="s">
        <v>41</v>
      </c>
      <c r="U22" s="2">
        <v>18</v>
      </c>
      <c r="V22" s="2">
        <f t="shared" si="7"/>
        <v>0.97681427001953125</v>
      </c>
      <c r="W22" s="2">
        <f t="shared" si="0"/>
        <v>2.0011500893035716E-6</v>
      </c>
      <c r="X22" s="2">
        <f t="shared" si="8"/>
        <v>0.97681808471679688</v>
      </c>
      <c r="Y22" s="2">
        <f t="shared" si="1"/>
        <v>-1.9846232929277008E-6</v>
      </c>
      <c r="Z22" s="2">
        <f t="shared" si="3"/>
        <v>0.97681617736816406</v>
      </c>
      <c r="AA22" s="2">
        <f t="shared" si="2"/>
        <v>8.2632315434594261E-9</v>
      </c>
      <c r="AB22" s="2">
        <f t="shared" si="4"/>
        <v>1.6535966541129922E-14</v>
      </c>
      <c r="AC22" s="2">
        <f t="shared" si="5"/>
        <v>-1.6399401796004494E-14</v>
      </c>
      <c r="AD22" s="2">
        <f t="shared" si="6"/>
        <v>3.814697265625E-6</v>
      </c>
      <c r="AF22" s="2">
        <v>18</v>
      </c>
      <c r="AG22" s="2">
        <f t="shared" si="13"/>
        <v>3293.8232421875</v>
      </c>
      <c r="AH22" s="2">
        <v>-9.6153710087492072E-3</v>
      </c>
      <c r="AI22" s="2">
        <f t="shared" si="14"/>
        <v>3293.8575744628906</v>
      </c>
      <c r="AJ22" s="2">
        <v>2.3529520203737775E-3</v>
      </c>
      <c r="AK22" s="2">
        <f t="shared" si="9"/>
        <v>3293.8404083251953</v>
      </c>
      <c r="AL22" s="2">
        <v>-3.6306583251644042E-3</v>
      </c>
      <c r="AM22" s="2">
        <f t="shared" si="10"/>
        <v>3.4910126802459764E-5</v>
      </c>
      <c r="AN22" s="2">
        <f t="shared" si="11"/>
        <v>-8.5427648414824594E-6</v>
      </c>
      <c r="AO22" s="2">
        <f t="shared" si="12"/>
        <v>3.4332275390625E-2</v>
      </c>
    </row>
    <row r="23" spans="2:41" x14ac:dyDescent="0.2">
      <c r="B23" s="6" t="s">
        <v>117</v>
      </c>
      <c r="C23" s="6">
        <f>$C$22*$C$9/PI()</f>
        <v>0.31022513338460861</v>
      </c>
      <c r="F23" s="6" t="s">
        <v>79</v>
      </c>
      <c r="G23" s="16">
        <f>300*0.3048/60</f>
        <v>1.524</v>
      </c>
      <c r="H23" s="6" t="s">
        <v>10</v>
      </c>
      <c r="J23" s="13" t="s">
        <v>175</v>
      </c>
      <c r="K23" s="6">
        <f xml:space="preserve"> $C$82 * (8.43266623*$C$53 + 10.05410839*$C$58 - 0.199448064794694)</f>
        <v>45.03567173050719</v>
      </c>
      <c r="L23" s="6" t="s">
        <v>7</v>
      </c>
      <c r="N23" s="6" t="s">
        <v>29</v>
      </c>
      <c r="O23" s="6">
        <f xml:space="preserve"> $C$7 * COS(O20/180*PI()) / (O22 * $C$10)</f>
        <v>3.7795137890729621E-2</v>
      </c>
      <c r="P23" s="6" t="s">
        <v>21</v>
      </c>
      <c r="U23" s="2">
        <v>19</v>
      </c>
      <c r="V23" s="2">
        <f t="shared" si="7"/>
        <v>0.97681617736816406</v>
      </c>
      <c r="W23" s="2">
        <f t="shared" si="0"/>
        <v>8.2632315434594261E-9</v>
      </c>
      <c r="X23" s="2">
        <f t="shared" si="8"/>
        <v>0.97681808471679688</v>
      </c>
      <c r="Y23" s="2">
        <f t="shared" si="1"/>
        <v>-1.9846232929277008E-6</v>
      </c>
      <c r="Z23" s="2">
        <f t="shared" si="3"/>
        <v>0.97681713104248047</v>
      </c>
      <c r="AA23" s="2">
        <f t="shared" si="2"/>
        <v>-9.881800723254841E-7</v>
      </c>
      <c r="AB23" s="2">
        <f t="shared" si="4"/>
        <v>-8.165560744257958E-15</v>
      </c>
      <c r="AC23" s="2">
        <f t="shared" si="5"/>
        <v>1.9611651891441356E-12</v>
      </c>
      <c r="AD23" s="2">
        <f t="shared" si="6"/>
        <v>1.9073486328125E-6</v>
      </c>
      <c r="AF23" s="2">
        <v>19</v>
      </c>
      <c r="AG23" s="2">
        <f t="shared" si="13"/>
        <v>3293.8404083251953</v>
      </c>
      <c r="AH23" s="2">
        <v>-3.6306583251644042E-3</v>
      </c>
      <c r="AI23" s="2">
        <f t="shared" si="14"/>
        <v>3293.8575744628906</v>
      </c>
      <c r="AJ23" s="2">
        <v>2.3529520203737775E-3</v>
      </c>
      <c r="AK23" s="2">
        <f t="shared" si="9"/>
        <v>3293.848991394043</v>
      </c>
      <c r="AL23" s="2">
        <v>-6.3938466382751358E-4</v>
      </c>
      <c r="AM23" s="2">
        <f t="shared" si="10"/>
        <v>2.321387252707806E-6</v>
      </c>
      <c r="AN23" s="2">
        <f t="shared" si="11"/>
        <v>-1.5044414365489567E-6</v>
      </c>
      <c r="AO23" s="2">
        <f t="shared" si="12"/>
        <v>1.71661376953125E-2</v>
      </c>
    </row>
    <row r="24" spans="2:41" x14ac:dyDescent="0.2">
      <c r="B24" s="6" t="s">
        <v>143</v>
      </c>
      <c r="C24" s="16">
        <v>0.75</v>
      </c>
      <c r="F24" s="6" t="s">
        <v>85</v>
      </c>
      <c r="G24" s="16">
        <f>1000*0.3048</f>
        <v>304.8</v>
      </c>
      <c r="H24" s="6" t="s">
        <v>8</v>
      </c>
      <c r="J24" s="13" t="s">
        <v>108</v>
      </c>
      <c r="K24" s="6">
        <f xml:space="preserve"> $C$82 * ( 3.33883108*$C$12 + 5.40016118*$C$13 - 0.0917180256*$C$36 + 0.000128646937*$K$15 - 0.00625697773*$C$7 - 11.7008833)</f>
        <v>94.329090741955625</v>
      </c>
      <c r="L24" s="6" t="s">
        <v>7</v>
      </c>
      <c r="N24" s="6" t="s">
        <v>30</v>
      </c>
      <c r="O24" s="6">
        <f xml:space="preserve"> O21 / ( $C$74 * PI() * $C$10^2 * O22^2 * $C$10^2)</f>
        <v>8.5774761978185524E-2</v>
      </c>
      <c r="P24" s="6" t="s">
        <v>28</v>
      </c>
      <c r="U24" s="2">
        <v>20</v>
      </c>
      <c r="V24" s="2">
        <f t="shared" si="7"/>
        <v>0.97681617736816406</v>
      </c>
      <c r="W24" s="2">
        <f t="shared" si="0"/>
        <v>8.2632315434594261E-9</v>
      </c>
      <c r="X24" s="2">
        <f t="shared" si="8"/>
        <v>0.97681713104248047</v>
      </c>
      <c r="Y24" s="2">
        <f t="shared" si="1"/>
        <v>-9.881800723254841E-7</v>
      </c>
      <c r="Z24" s="2">
        <f t="shared" si="3"/>
        <v>0.97681665420532227</v>
      </c>
      <c r="AA24" s="2">
        <f t="shared" si="2"/>
        <v>-4.8995843082710877E-7</v>
      </c>
      <c r="AB24" s="2">
        <f t="shared" si="4"/>
        <v>-4.0486399605944488E-15</v>
      </c>
      <c r="AC24" s="2">
        <f t="shared" si="5"/>
        <v>4.8416715761121306E-13</v>
      </c>
      <c r="AD24" s="2">
        <f t="shared" si="6"/>
        <v>9.5367431640625E-7</v>
      </c>
      <c r="AF24" s="2">
        <v>20</v>
      </c>
      <c r="AG24" s="2">
        <f t="shared" si="13"/>
        <v>3293.848991394043</v>
      </c>
      <c r="AH24" s="2">
        <v>-6.3938466382751358E-4</v>
      </c>
      <c r="AI24" s="2">
        <f t="shared" si="14"/>
        <v>3293.8575744628906</v>
      </c>
      <c r="AJ24" s="2">
        <v>2.3529520203737775E-3</v>
      </c>
      <c r="AK24" s="2">
        <f t="shared" si="9"/>
        <v>3293.8532829284668</v>
      </c>
      <c r="AL24" s="2">
        <v>8.567846612095309E-4</v>
      </c>
      <c r="AM24" s="2">
        <f t="shared" si="10"/>
        <v>-5.47814972580026E-7</v>
      </c>
      <c r="AN24" s="2">
        <f t="shared" si="11"/>
        <v>2.0159731996182283E-6</v>
      </c>
      <c r="AO24" s="2">
        <f t="shared" si="12"/>
        <v>8.58306884765625E-3</v>
      </c>
    </row>
    <row r="25" spans="2:41" x14ac:dyDescent="0.2">
      <c r="B25" s="6" t="s">
        <v>172</v>
      </c>
      <c r="C25" s="16">
        <v>50</v>
      </c>
      <c r="D25" s="6" t="s">
        <v>59</v>
      </c>
      <c r="F25" s="6" t="s">
        <v>84</v>
      </c>
      <c r="G25" s="6">
        <f xml:space="preserve"> $G$24/$G$23</f>
        <v>200</v>
      </c>
      <c r="H25" s="6" t="s">
        <v>14</v>
      </c>
      <c r="J25" s="14" t="s">
        <v>63</v>
      </c>
      <c r="K25" s="6">
        <f xml:space="preserve"> $C$83 * (0.0268 * $C$5)</f>
        <v>70.618807949248009</v>
      </c>
      <c r="L25" s="6" t="s">
        <v>7</v>
      </c>
      <c r="N25" s="6" t="s">
        <v>1</v>
      </c>
      <c r="O25" s="16">
        <v>8.8999999999999999E-3</v>
      </c>
      <c r="U25" s="2">
        <v>21</v>
      </c>
      <c r="V25" s="2">
        <f t="shared" si="7"/>
        <v>0.97681617736816406</v>
      </c>
      <c r="W25" s="2">
        <f t="shared" si="0"/>
        <v>8.2632315434594261E-9</v>
      </c>
      <c r="X25" s="2">
        <f t="shared" si="8"/>
        <v>0.97681665420532227</v>
      </c>
      <c r="Y25" s="2">
        <f t="shared" si="1"/>
        <v>-4.8995843082710877E-7</v>
      </c>
      <c r="Z25" s="2">
        <f t="shared" si="3"/>
        <v>0.97681641578674316</v>
      </c>
      <c r="AA25" s="2">
        <f t="shared" si="2"/>
        <v>-2.4084760219533763E-7</v>
      </c>
      <c r="AB25" s="2">
        <f t="shared" si="4"/>
        <v>-1.9901795036270815E-15</v>
      </c>
      <c r="AC25" s="2">
        <f t="shared" si="5"/>
        <v>1.1800531324009934E-13</v>
      </c>
      <c r="AD25" s="2">
        <f t="shared" si="6"/>
        <v>4.76837158203125E-7</v>
      </c>
      <c r="AF25" s="2">
        <v>21</v>
      </c>
      <c r="AG25" s="2">
        <f t="shared" si="13"/>
        <v>3293.848991394043</v>
      </c>
      <c r="AH25" s="2">
        <v>-6.3938466382751358E-4</v>
      </c>
      <c r="AI25" s="2">
        <f t="shared" si="14"/>
        <v>3293.8532829284668</v>
      </c>
      <c r="AJ25" s="2">
        <v>8.567846612095309E-4</v>
      </c>
      <c r="AK25" s="2">
        <f t="shared" si="9"/>
        <v>3293.8511371612549</v>
      </c>
      <c r="AL25" s="2">
        <v>1.0870024516407284E-4</v>
      </c>
      <c r="AM25" s="2">
        <f t="shared" si="10"/>
        <v>-6.9501269712199018E-8</v>
      </c>
      <c r="AN25" s="2">
        <f t="shared" si="11"/>
        <v>9.3132702726293094E-8</v>
      </c>
      <c r="AO25" s="2">
        <f t="shared" si="12"/>
        <v>4.291534423828125E-3</v>
      </c>
    </row>
    <row r="26" spans="2:41" x14ac:dyDescent="0.2">
      <c r="F26" s="6" t="s">
        <v>20</v>
      </c>
      <c r="G26" s="6">
        <f xml:space="preserve"> $C$5 * $C$71 / $C$21</f>
        <v>4035.5038720406237</v>
      </c>
      <c r="H26" s="6" t="s">
        <v>21</v>
      </c>
      <c r="J26" s="14" t="s">
        <v>64</v>
      </c>
      <c r="K26" s="6">
        <f xml:space="preserve"> $C$83 * (11.5 * ($C$5*2.20462/1000)^0.4 * 0.453592)</f>
        <v>9.2228458805096718</v>
      </c>
      <c r="L26" s="6" t="s">
        <v>7</v>
      </c>
      <c r="N26" s="6" t="s">
        <v>31</v>
      </c>
      <c r="O26" s="6">
        <f xml:space="preserve"> ($C$30 * $O$25 / 8) * (1 + 4.65 * O23^2) * ( PI() * $C$74 * O22^3 * $C$10^5)</f>
        <v>2101.6655742503899</v>
      </c>
      <c r="U26" s="2">
        <v>22</v>
      </c>
      <c r="V26" s="2">
        <f t="shared" si="7"/>
        <v>0.97681617736816406</v>
      </c>
      <c r="W26" s="2">
        <f t="shared" si="0"/>
        <v>8.2632315434594261E-9</v>
      </c>
      <c r="X26" s="2">
        <f t="shared" si="8"/>
        <v>0.97681641578674316</v>
      </c>
      <c r="Y26" s="2">
        <f t="shared" si="1"/>
        <v>-2.4084760219533763E-7</v>
      </c>
      <c r="Z26" s="2">
        <f t="shared" si="3"/>
        <v>0.97681629657745361</v>
      </c>
      <c r="AA26" s="2">
        <f t="shared" si="2"/>
        <v>-1.1629218599207292E-7</v>
      </c>
      <c r="AB26" s="2">
        <f t="shared" si="4"/>
        <v>-9.6094925954754735E-16</v>
      </c>
      <c r="AC26" s="2">
        <f t="shared" si="5"/>
        <v>2.8008694150244994E-14</v>
      </c>
      <c r="AD26" s="2">
        <f t="shared" si="6"/>
        <v>2.384185791015625E-7</v>
      </c>
      <c r="AF26" s="2">
        <v>22</v>
      </c>
      <c r="AG26" s="2">
        <f t="shared" si="13"/>
        <v>3293.848991394043</v>
      </c>
      <c r="AH26" s="2">
        <v>-6.3938466382751358E-4</v>
      </c>
      <c r="AI26" s="2">
        <f t="shared" si="14"/>
        <v>3293.8511371612549</v>
      </c>
      <c r="AJ26" s="2">
        <v>1.0870024516407284E-4</v>
      </c>
      <c r="AK26" s="2">
        <f t="shared" si="9"/>
        <v>3293.8500642776489</v>
      </c>
      <c r="AL26" s="2">
        <v>-2.6534214839557535E-4</v>
      </c>
      <c r="AM26" s="2">
        <f t="shared" si="10"/>
        <v>1.6965570035117517E-7</v>
      </c>
      <c r="AN26" s="2">
        <f t="shared" si="11"/>
        <v>-2.8842756582960838E-8</v>
      </c>
      <c r="AO26" s="2">
        <f t="shared" si="12"/>
        <v>2.1457672119140625E-3</v>
      </c>
    </row>
    <row r="27" spans="2:41" x14ac:dyDescent="0.2">
      <c r="B27" s="28" t="s">
        <v>144</v>
      </c>
      <c r="C27" s="28"/>
      <c r="D27" s="28"/>
      <c r="F27" t="s">
        <v>91</v>
      </c>
      <c r="G27" s="6">
        <f>G29/$C$21</f>
        <v>87.749514469967949</v>
      </c>
      <c r="H27" t="s">
        <v>95</v>
      </c>
      <c r="J27" s="14" t="s">
        <v>65</v>
      </c>
      <c r="K27" s="6">
        <f xml:space="preserve"> $C$83 * (8 * ($C$5/1000))</f>
        <v>21.080241178880001</v>
      </c>
      <c r="L27" s="6" t="s">
        <v>7</v>
      </c>
      <c r="N27" s="6" t="s">
        <v>32</v>
      </c>
      <c r="O27" s="17">
        <f>Z34</f>
        <v>0.97681618528440595</v>
      </c>
      <c r="U27" s="2">
        <v>23</v>
      </c>
      <c r="V27" s="2">
        <f t="shared" si="7"/>
        <v>0.97681617736816406</v>
      </c>
      <c r="W27" s="2">
        <f t="shared" si="0"/>
        <v>8.2632315434594261E-9</v>
      </c>
      <c r="X27" s="2">
        <f t="shared" si="8"/>
        <v>0.97681629657745361</v>
      </c>
      <c r="Y27" s="2">
        <f t="shared" si="1"/>
        <v>-1.1629218599207292E-7</v>
      </c>
      <c r="Z27" s="2">
        <f t="shared" si="3"/>
        <v>0.97681623697280884</v>
      </c>
      <c r="AA27" s="2">
        <f t="shared" si="2"/>
        <v>-5.4014477335329047E-8</v>
      </c>
      <c r="AB27" s="2">
        <f t="shared" si="4"/>
        <v>-4.4633413292076524E-16</v>
      </c>
      <c r="AC27" s="2">
        <f t="shared" si="5"/>
        <v>6.281461644544693E-15</v>
      </c>
      <c r="AD27" s="2">
        <f t="shared" si="6"/>
        <v>1.1920928955078125E-7</v>
      </c>
      <c r="AF27" s="2">
        <v>23</v>
      </c>
      <c r="AG27" s="2">
        <f t="shared" si="13"/>
        <v>3293.8500642776489</v>
      </c>
      <c r="AH27" s="2">
        <v>-2.6534214839557535E-4</v>
      </c>
      <c r="AI27" s="2">
        <f t="shared" si="14"/>
        <v>3293.8511371612549</v>
      </c>
      <c r="AJ27" s="2">
        <v>1.0870024516407284E-4</v>
      </c>
      <c r="AK27" s="2">
        <f t="shared" si="9"/>
        <v>3293.8506007194519</v>
      </c>
      <c r="AL27" s="2">
        <v>-7.8320936154341325E-5</v>
      </c>
      <c r="AM27" s="2">
        <f t="shared" si="10"/>
        <v>2.0781845463545617E-8</v>
      </c>
      <c r="AN27" s="2">
        <f t="shared" si="11"/>
        <v>-8.5135049614565982E-9</v>
      </c>
      <c r="AO27" s="2">
        <f t="shared" si="12"/>
        <v>1.0728836059570312E-3</v>
      </c>
    </row>
    <row r="28" spans="2:41" x14ac:dyDescent="0.2">
      <c r="B28" s="6" t="s">
        <v>145</v>
      </c>
      <c r="C28" s="16">
        <v>1</v>
      </c>
      <c r="F28" t="s">
        <v>169</v>
      </c>
      <c r="G28" s="6">
        <f xml:space="preserve"> (G26/$C$71*1000) / (G27*1000)</f>
        <v>4.6920312096531465</v>
      </c>
      <c r="H28" s="6" t="s">
        <v>170</v>
      </c>
      <c r="J28" s="14" t="s">
        <v>66</v>
      </c>
      <c r="K28" s="6">
        <f xml:space="preserve"> $C$83 * (13 * ($C$5*2.20462/1000)^1.3 * 0.453592)</f>
        <v>62.092175051882037</v>
      </c>
      <c r="L28" s="6" t="s">
        <v>7</v>
      </c>
      <c r="N28" s="6" t="s">
        <v>33</v>
      </c>
      <c r="O28" s="6">
        <f xml:space="preserve"> O22 * $C$10 * O27 - $C$7 * SIN(O20/180*PI())</f>
        <v>3.1507789343373247</v>
      </c>
      <c r="P28" s="6" t="s">
        <v>19</v>
      </c>
      <c r="U28" s="2">
        <v>24</v>
      </c>
      <c r="V28" s="2">
        <f t="shared" si="7"/>
        <v>0.97681617736816406</v>
      </c>
      <c r="W28" s="2">
        <f t="shared" si="0"/>
        <v>8.2632315434594261E-9</v>
      </c>
      <c r="X28" s="2">
        <f t="shared" si="8"/>
        <v>0.97681623697280884</v>
      </c>
      <c r="Y28" s="2">
        <f t="shared" si="1"/>
        <v>-5.4014477335329047E-8</v>
      </c>
      <c r="Z28" s="2">
        <f t="shared" si="3"/>
        <v>0.97681620717048645</v>
      </c>
      <c r="AA28" s="2">
        <f t="shared" si="2"/>
        <v>-2.2875622951445962E-8</v>
      </c>
      <c r="AB28" s="2">
        <f t="shared" si="4"/>
        <v>-1.8902656914867269E-16</v>
      </c>
      <c r="AC28" s="2">
        <f t="shared" si="5"/>
        <v>1.2356148174424109E-15</v>
      </c>
      <c r="AD28" s="2">
        <f t="shared" si="6"/>
        <v>5.9604644775390625E-8</v>
      </c>
      <c r="AF28" s="2">
        <v>24</v>
      </c>
      <c r="AG28" s="2">
        <f t="shared" si="13"/>
        <v>3293.8506007194519</v>
      </c>
      <c r="AH28" s="2">
        <v>-7.8320936154341325E-5</v>
      </c>
      <c r="AI28" s="2">
        <f t="shared" si="14"/>
        <v>3293.8511371612549</v>
      </c>
      <c r="AJ28" s="2">
        <v>1.0870024516407284E-4</v>
      </c>
      <c r="AK28" s="2">
        <f t="shared" si="9"/>
        <v>3293.8508689403534</v>
      </c>
      <c r="AL28" s="2">
        <v>1.5189657460723538E-5</v>
      </c>
      <c r="AM28" s="2">
        <f t="shared" si="10"/>
        <v>-1.1896681921876426E-9</v>
      </c>
      <c r="AN28" s="2">
        <f t="shared" si="11"/>
        <v>1.6511194899389367E-9</v>
      </c>
      <c r="AO28" s="2">
        <f t="shared" si="12"/>
        <v>5.3644180297851562E-4</v>
      </c>
    </row>
    <row r="29" spans="2:41" x14ac:dyDescent="0.2">
      <c r="B29" s="6" t="s">
        <v>146</v>
      </c>
      <c r="C29" s="16">
        <v>6</v>
      </c>
      <c r="F29" s="22" t="s">
        <v>77</v>
      </c>
      <c r="G29" s="22">
        <f xml:space="preserve"> 1/1000 * IF( $G$23&gt;=2*SQRT(($C$5*$C$71)/(2*$C$68*$C$21*PI()*$C$8*$C$8)), ($C$5*$C$71)/$C$24 * ( ($G$23/2) - SQRT( ($G$23/2)^2 - ($C$5*$C$71)/(2*$C$68*$C$21*PI()*$C$8*$C$8 ) ) ), 1/$C$24 * SQRT(($C$5*$C$71)^3/(2*$C$68*$C$21*PI()*$C$8*$C$8)) )</f>
        <v>701.99611575974359</v>
      </c>
      <c r="H29" s="22" t="s">
        <v>95</v>
      </c>
      <c r="J29" s="9" t="s">
        <v>55</v>
      </c>
      <c r="K29" s="9">
        <f>$C$5 - $C$16 - SUM(K15:K28)</f>
        <v>-2.2010230010437226E-2</v>
      </c>
      <c r="L29" s="9" t="s">
        <v>7</v>
      </c>
      <c r="N29" s="6" t="s">
        <v>34</v>
      </c>
      <c r="O29" s="6">
        <f xml:space="preserve"> 1/$C$31 - O26 * SQRT( (2*$C$74*PI()*$C$10^2) / O21^3 )</f>
        <v>1.2797461246136348</v>
      </c>
      <c r="U29" s="2">
        <v>25</v>
      </c>
      <c r="V29" s="2">
        <f t="shared" si="7"/>
        <v>0.97681617736816406</v>
      </c>
      <c r="W29" s="2">
        <f t="shared" si="0"/>
        <v>8.2632315434594261E-9</v>
      </c>
      <c r="X29" s="2">
        <f t="shared" si="8"/>
        <v>0.97681620717048645</v>
      </c>
      <c r="Y29" s="2">
        <f t="shared" si="1"/>
        <v>-2.2875622951445962E-8</v>
      </c>
      <c r="Z29" s="2">
        <f t="shared" si="3"/>
        <v>0.97681619226932526</v>
      </c>
      <c r="AA29" s="2">
        <f t="shared" si="2"/>
        <v>-7.3061956484821167E-9</v>
      </c>
      <c r="AB29" s="2">
        <f t="shared" si="4"/>
        <v>-6.0372786345223424E-17</v>
      </c>
      <c r="AC29" s="2">
        <f t="shared" si="5"/>
        <v>1.6713377686417212E-16</v>
      </c>
      <c r="AD29" s="2">
        <f t="shared" si="6"/>
        <v>2.9802322387695312E-8</v>
      </c>
      <c r="AF29" s="2">
        <v>25</v>
      </c>
      <c r="AG29" s="2">
        <f t="shared" si="13"/>
        <v>3293.8506007194519</v>
      </c>
      <c r="AH29" s="2">
        <v>-7.8320936154341325E-5</v>
      </c>
      <c r="AI29" s="2">
        <f t="shared" si="14"/>
        <v>3293.8508689403534</v>
      </c>
      <c r="AJ29" s="2">
        <v>1.5189657460723538E-5</v>
      </c>
      <c r="AK29" s="2">
        <f t="shared" si="9"/>
        <v>3293.8507348299026</v>
      </c>
      <c r="AL29" s="2">
        <v>-3.1565638892061543E-5</v>
      </c>
      <c r="AM29" s="2">
        <f t="shared" si="10"/>
        <v>2.4722503883361455E-9</v>
      </c>
      <c r="AN29" s="2">
        <f t="shared" si="11"/>
        <v>-4.7947124229930768E-10</v>
      </c>
      <c r="AO29" s="2">
        <f t="shared" si="12"/>
        <v>2.6822090148925781E-4</v>
      </c>
    </row>
    <row r="30" spans="2:41" x14ac:dyDescent="0.2">
      <c r="B30" s="6" t="s">
        <v>147</v>
      </c>
      <c r="C30" s="6">
        <f>$C$29*$C$11/PI()</f>
        <v>0.84998288907657626</v>
      </c>
      <c r="J30" s="6" t="s">
        <v>56</v>
      </c>
      <c r="K30" s="4" t="str">
        <f>IF(ABS(K29)&lt;1, "TRUE", "FALSE")</f>
        <v>TRUE</v>
      </c>
      <c r="N30" s="6" t="s">
        <v>35</v>
      </c>
      <c r="O30" s="16">
        <v>1.1499999999999999</v>
      </c>
      <c r="P30" s="6" t="s">
        <v>10</v>
      </c>
      <c r="U30" s="2">
        <v>26</v>
      </c>
      <c r="V30" s="2">
        <f>IF(AB29&gt;0, Z29, V29)</f>
        <v>0.97681617736816406</v>
      </c>
      <c r="W30" s="2">
        <f t="shared" si="0"/>
        <v>8.2632315434594261E-9</v>
      </c>
      <c r="X30" s="2">
        <f t="shared" si="8"/>
        <v>0.97681619226932526</v>
      </c>
      <c r="Y30" s="2">
        <f t="shared" si="1"/>
        <v>-7.3061956484821167E-9</v>
      </c>
      <c r="Z30" s="2">
        <f t="shared" si="3"/>
        <v>0.97681618481874466</v>
      </c>
      <c r="AA30" s="2">
        <f t="shared" si="2"/>
        <v>4.785178919775035E-10</v>
      </c>
      <c r="AB30" s="2">
        <f t="shared" si="4"/>
        <v>3.9541041390982171E-18</v>
      </c>
      <c r="AC30" s="2">
        <f t="shared" si="5"/>
        <v>-3.4961453400868716E-18</v>
      </c>
      <c r="AD30" s="2">
        <f t="shared" si="6"/>
        <v>1.4901161193847656E-8</v>
      </c>
      <c r="AF30" s="2">
        <v>26</v>
      </c>
      <c r="AG30" s="2">
        <f t="shared" si="13"/>
        <v>3293.8507348299026</v>
      </c>
      <c r="AH30" s="2">
        <v>-3.1565638892061543E-5</v>
      </c>
      <c r="AI30" s="2">
        <f t="shared" si="14"/>
        <v>3293.8508689403534</v>
      </c>
      <c r="AJ30" s="2">
        <v>1.5189657460723538E-5</v>
      </c>
      <c r="AK30" s="2">
        <f t="shared" si="9"/>
        <v>3293.850801885128</v>
      </c>
      <c r="AL30" s="2">
        <v>-7.6525475378730334E-6</v>
      </c>
      <c r="AM30" s="2">
        <f t="shared" si="10"/>
        <v>2.4155755218483483E-10</v>
      </c>
      <c r="AN30" s="2">
        <f t="shared" si="11"/>
        <v>-1.1623957580219466E-10</v>
      </c>
      <c r="AO30" s="2">
        <f t="shared" si="12"/>
        <v>1.3411045074462891E-4</v>
      </c>
    </row>
    <row r="31" spans="2:41" x14ac:dyDescent="0.2">
      <c r="B31" s="6" t="s">
        <v>148</v>
      </c>
      <c r="C31" s="16">
        <v>0.75</v>
      </c>
      <c r="F31" s="29" t="s">
        <v>173</v>
      </c>
      <c r="G31" s="30"/>
      <c r="H31" s="30"/>
      <c r="N31" s="6" t="s">
        <v>36</v>
      </c>
      <c r="O31" s="6">
        <f xml:space="preserve"> 1/$C$80 * LN( EXP($C$80 * O29) + EXP($C$80 * O30) )</f>
        <v>1.2804191726677063</v>
      </c>
      <c r="U31" s="2">
        <v>27</v>
      </c>
      <c r="V31" s="2">
        <f t="shared" si="7"/>
        <v>0.97681618481874466</v>
      </c>
      <c r="W31" s="2">
        <f t="shared" si="0"/>
        <v>4.785178919775035E-10</v>
      </c>
      <c r="X31" s="2">
        <f t="shared" si="8"/>
        <v>0.97681619226932526</v>
      </c>
      <c r="Y31" s="2">
        <f t="shared" si="1"/>
        <v>-7.3061956484821167E-9</v>
      </c>
      <c r="Z31" s="2">
        <f t="shared" si="3"/>
        <v>0.97681618854403496</v>
      </c>
      <c r="AA31" s="2">
        <f t="shared" si="2"/>
        <v>-3.4138388782523066E-9</v>
      </c>
      <c r="AB31" s="2">
        <f t="shared" si="4"/>
        <v>-1.633582983572139E-18</v>
      </c>
      <c r="AC31" s="2">
        <f t="shared" si="5"/>
        <v>2.4942174756906073E-17</v>
      </c>
      <c r="AD31" s="2">
        <f t="shared" si="6"/>
        <v>7.4505805969238281E-9</v>
      </c>
      <c r="AF31" s="2">
        <v>27</v>
      </c>
      <c r="AG31" s="2">
        <f t="shared" si="13"/>
        <v>3293.850801885128</v>
      </c>
      <c r="AH31" s="2">
        <v>-7.6525475378730334E-6</v>
      </c>
      <c r="AI31" s="2">
        <f t="shared" si="14"/>
        <v>3293.8508689403534</v>
      </c>
      <c r="AJ31" s="2">
        <v>1.5189657460723538E-5</v>
      </c>
      <c r="AK31" s="2">
        <f t="shared" si="9"/>
        <v>3293.8508354127407</v>
      </c>
      <c r="AL31" s="2">
        <v>4.3039995034632739E-6</v>
      </c>
      <c r="AM31" s="2">
        <f t="shared" si="10"/>
        <v>-3.2936560803234635E-11</v>
      </c>
      <c r="AN31" s="2">
        <f t="shared" si="11"/>
        <v>6.5376278168731321E-11</v>
      </c>
      <c r="AO31" s="2">
        <f t="shared" si="12"/>
        <v>6.7055225372314453E-5</v>
      </c>
    </row>
    <row r="32" spans="2:41" x14ac:dyDescent="0.2">
      <c r="B32" s="6" t="s">
        <v>172</v>
      </c>
      <c r="C32" s="16">
        <v>50</v>
      </c>
      <c r="D32" s="6" t="s">
        <v>59</v>
      </c>
      <c r="F32" s="8" t="s">
        <v>174</v>
      </c>
      <c r="G32" s="16">
        <f>20*60</f>
        <v>1200</v>
      </c>
      <c r="H32" s="6" t="s">
        <v>14</v>
      </c>
      <c r="J32" s="25" t="s">
        <v>57</v>
      </c>
      <c r="K32" s="25"/>
      <c r="L32" s="25"/>
      <c r="U32" s="2">
        <v>28</v>
      </c>
      <c r="V32" s="2">
        <f t="shared" si="7"/>
        <v>0.97681618481874466</v>
      </c>
      <c r="W32" s="2">
        <f t="shared" si="0"/>
        <v>4.785178919775035E-10</v>
      </c>
      <c r="X32" s="2">
        <f t="shared" si="8"/>
        <v>0.97681618854403496</v>
      </c>
      <c r="Y32" s="2">
        <f t="shared" si="1"/>
        <v>-3.4138388782523066E-9</v>
      </c>
      <c r="Z32" s="2">
        <f t="shared" si="3"/>
        <v>0.97681618668138981</v>
      </c>
      <c r="AA32" s="2">
        <f t="shared" si="2"/>
        <v>-1.4676604376262503E-9</v>
      </c>
      <c r="AB32" s="2">
        <f t="shared" si="4"/>
        <v>-7.0230177875169355E-19</v>
      </c>
      <c r="AC32" s="2">
        <f t="shared" si="5"/>
        <v>5.0103562620412877E-18</v>
      </c>
      <c r="AD32" s="2">
        <f t="shared" si="6"/>
        <v>3.7252902984619141E-9</v>
      </c>
      <c r="AF32" s="2">
        <v>28</v>
      </c>
      <c r="AG32" s="2">
        <f t="shared" si="13"/>
        <v>3293.850801885128</v>
      </c>
      <c r="AH32" s="2">
        <v>-7.6525475378730334E-6</v>
      </c>
      <c r="AI32" s="2">
        <f t="shared" si="14"/>
        <v>3293.8508354127407</v>
      </c>
      <c r="AJ32" s="2">
        <v>4.3039995034632739E-6</v>
      </c>
      <c r="AK32" s="2">
        <f t="shared" si="9"/>
        <v>3293.8508186489344</v>
      </c>
      <c r="AL32" s="2">
        <v>-1.6742733350838535E-6</v>
      </c>
      <c r="AM32" s="2">
        <f t="shared" si="10"/>
        <v>1.2812456288122415E-11</v>
      </c>
      <c r="AN32" s="2">
        <f t="shared" si="11"/>
        <v>-7.2060716028627048E-12</v>
      </c>
      <c r="AO32" s="2">
        <f t="shared" si="12"/>
        <v>3.3527612686157227E-5</v>
      </c>
    </row>
    <row r="33" spans="2:41" x14ac:dyDescent="0.2">
      <c r="F33" s="23" t="s">
        <v>126</v>
      </c>
      <c r="G33" s="22">
        <f xml:space="preserve"> G20</f>
        <v>189.42254776512439</v>
      </c>
      <c r="H33" s="22" t="s">
        <v>95</v>
      </c>
      <c r="J33" s="6" t="s">
        <v>58</v>
      </c>
      <c r="K33" s="6">
        <f>ROUND($C$16/$C$5 * 100, 2)</f>
        <v>18.22</v>
      </c>
      <c r="L33" s="6" t="s">
        <v>59</v>
      </c>
      <c r="U33" s="2">
        <v>29</v>
      </c>
      <c r="V33" s="2">
        <f t="shared" si="7"/>
        <v>0.97681618481874466</v>
      </c>
      <c r="W33" s="2">
        <f t="shared" si="0"/>
        <v>4.785178919775035E-10</v>
      </c>
      <c r="X33" s="2">
        <f t="shared" si="8"/>
        <v>0.97681618668138981</v>
      </c>
      <c r="Y33" s="2">
        <f t="shared" si="1"/>
        <v>-1.4676604376262503E-9</v>
      </c>
      <c r="Z33" s="2">
        <f t="shared" si="3"/>
        <v>0.97681618575006723</v>
      </c>
      <c r="AA33" s="2">
        <f t="shared" si="2"/>
        <v>-4.9457127282437341E-10</v>
      </c>
      <c r="AB33" s="2">
        <f t="shared" si="4"/>
        <v>-2.3666120290454993E-19</v>
      </c>
      <c r="AC33" s="2">
        <f t="shared" si="5"/>
        <v>7.2586269071079152E-19</v>
      </c>
      <c r="AD33" s="2">
        <f t="shared" si="6"/>
        <v>1.862645149230957E-9</v>
      </c>
      <c r="AF33" s="2">
        <v>29</v>
      </c>
      <c r="AG33" s="2">
        <f t="shared" si="13"/>
        <v>3293.8508186489344</v>
      </c>
      <c r="AH33" s="2">
        <v>-1.6742733350838535E-6</v>
      </c>
      <c r="AI33" s="2">
        <f t="shared" si="14"/>
        <v>3293.8508354127407</v>
      </c>
      <c r="AJ33" s="2">
        <v>4.3039995034632739E-6</v>
      </c>
      <c r="AK33" s="2">
        <f t="shared" si="9"/>
        <v>3293.8508270308375</v>
      </c>
      <c r="AL33" s="2">
        <v>1.3148628568160348E-6</v>
      </c>
      <c r="AM33" s="2">
        <f t="shared" si="10"/>
        <v>-2.2014398204592658E-12</v>
      </c>
      <c r="AN33" s="2">
        <f t="shared" si="11"/>
        <v>5.6591690828585154E-12</v>
      </c>
      <c r="AO33" s="2">
        <f t="shared" si="12"/>
        <v>1.6763806343078613E-5</v>
      </c>
    </row>
    <row r="34" spans="2:41" x14ac:dyDescent="0.2">
      <c r="B34" s="28" t="s">
        <v>98</v>
      </c>
      <c r="C34" s="28"/>
      <c r="D34" s="28"/>
      <c r="J34" s="10" t="s">
        <v>53</v>
      </c>
      <c r="K34" s="6">
        <f>ROUND(K15/$C$5 * 100, 2)</f>
        <v>36.29</v>
      </c>
      <c r="L34" s="6" t="s">
        <v>59</v>
      </c>
      <c r="U34" s="2">
        <v>30</v>
      </c>
      <c r="V34" s="2">
        <f t="shared" si="7"/>
        <v>0.97681618481874466</v>
      </c>
      <c r="W34" s="2">
        <f t="shared" si="0"/>
        <v>4.785178919775035E-10</v>
      </c>
      <c r="X34" s="2">
        <f t="shared" si="8"/>
        <v>0.97681618575006723</v>
      </c>
      <c r="Y34" s="2">
        <f t="shared" si="1"/>
        <v>-4.9457127282437341E-10</v>
      </c>
      <c r="Z34" s="2">
        <f t="shared" si="3"/>
        <v>0.97681618528440595</v>
      </c>
      <c r="AA34" s="2">
        <f t="shared" si="2"/>
        <v>-8.0266904234349568E-12</v>
      </c>
      <c r="AB34" s="2">
        <f t="shared" si="4"/>
        <v>-3.8409149809781104E-21</v>
      </c>
      <c r="AC34" s="2">
        <f t="shared" si="5"/>
        <v>3.9697704992854353E-21</v>
      </c>
      <c r="AD34" s="2">
        <f t="shared" si="6"/>
        <v>9.3132257461547852E-10</v>
      </c>
      <c r="AF34" s="2">
        <v>30</v>
      </c>
      <c r="AG34" s="2">
        <f t="shared" si="13"/>
        <v>3293.8508186489344</v>
      </c>
      <c r="AH34" s="2">
        <v>-1.6742733350838535E-6</v>
      </c>
      <c r="AI34" s="2">
        <f t="shared" si="14"/>
        <v>3293.8508270308375</v>
      </c>
      <c r="AJ34" s="2">
        <v>1.3148628568160348E-6</v>
      </c>
      <c r="AK34" s="2">
        <f t="shared" si="9"/>
        <v>3293.850822839886</v>
      </c>
      <c r="AL34" s="2">
        <v>-1.7970569388126023E-7</v>
      </c>
      <c r="AM34" s="2">
        <f t="shared" si="10"/>
        <v>3.008764514281356E-13</v>
      </c>
      <c r="AN34" s="2">
        <f t="shared" si="11"/>
        <v>-2.3628834204282165E-13</v>
      </c>
      <c r="AO34" s="2">
        <f t="shared" si="12"/>
        <v>8.3819031715393066E-6</v>
      </c>
    </row>
    <row r="35" spans="2:41" x14ac:dyDescent="0.2">
      <c r="B35" s="6" t="s">
        <v>99</v>
      </c>
      <c r="C35" s="16">
        <v>6</v>
      </c>
      <c r="J35" s="18" t="s">
        <v>72</v>
      </c>
      <c r="K35" s="6">
        <f>ROUND(SUM(K16:K19)/$C$5 * 100, 2)</f>
        <v>18.989999999999998</v>
      </c>
      <c r="L35" s="6" t="s">
        <v>59</v>
      </c>
      <c r="P35" s="6" t="s">
        <v>41</v>
      </c>
      <c r="AF35" s="2">
        <v>31</v>
      </c>
      <c r="AG35" s="2">
        <f t="shared" si="13"/>
        <v>3293.850822839886</v>
      </c>
      <c r="AH35" s="2">
        <v>-1.7970569388126023E-7</v>
      </c>
      <c r="AI35" s="2">
        <f t="shared" si="14"/>
        <v>3293.8508270308375</v>
      </c>
      <c r="AJ35" s="2">
        <v>1.3148628568160348E-6</v>
      </c>
      <c r="AK35" s="2">
        <f t="shared" si="9"/>
        <v>3293.8508249353617</v>
      </c>
      <c r="AL35" s="2">
        <v>5.6757880884106271E-7</v>
      </c>
      <c r="AM35" s="2">
        <f t="shared" si="10"/>
        <v>-1.0199714367508233E-13</v>
      </c>
      <c r="AN35" s="2">
        <f t="shared" si="11"/>
        <v>7.462882940610018E-13</v>
      </c>
      <c r="AO35" s="2">
        <f t="shared" si="12"/>
        <v>4.1909515857696533E-6</v>
      </c>
    </row>
    <row r="36" spans="2:41" x14ac:dyDescent="0.2">
      <c r="B36" s="6" t="s">
        <v>100</v>
      </c>
      <c r="C36" s="16">
        <v>9.1440000000000001</v>
      </c>
      <c r="D36" s="6" t="s">
        <v>8</v>
      </c>
      <c r="J36" s="19" t="s">
        <v>68</v>
      </c>
      <c r="K36" s="6">
        <f>ROUND(SUM(K20:K24)/$C$5 * 100, 2)</f>
        <v>21.55</v>
      </c>
      <c r="L36" s="6" t="s">
        <v>59</v>
      </c>
      <c r="AF36" s="2">
        <v>32</v>
      </c>
      <c r="AG36" s="2">
        <f t="shared" si="13"/>
        <v>3293.850822839886</v>
      </c>
      <c r="AH36" s="2">
        <v>-1.7970569388126023E-7</v>
      </c>
      <c r="AI36" s="2">
        <f t="shared" si="14"/>
        <v>3293.8508249353617</v>
      </c>
      <c r="AJ36" s="2">
        <v>5.6757880884106271E-7</v>
      </c>
      <c r="AK36" s="2">
        <f t="shared" si="9"/>
        <v>3293.8508238876238</v>
      </c>
      <c r="AL36" s="2">
        <v>1.9393655747990124E-7</v>
      </c>
      <c r="AM36" s="2">
        <f t="shared" si="10"/>
        <v>-3.4851503630868561E-14</v>
      </c>
      <c r="AN36" s="2">
        <f t="shared" si="11"/>
        <v>1.1007428028517864E-13</v>
      </c>
      <c r="AO36" s="2">
        <f t="shared" si="12"/>
        <v>2.0954757928848267E-6</v>
      </c>
    </row>
    <row r="37" spans="2:41" x14ac:dyDescent="0.2">
      <c r="B37" s="6" t="s">
        <v>101</v>
      </c>
      <c r="C37" s="16">
        <v>1.8675309360000001</v>
      </c>
      <c r="D37" s="6" t="s">
        <v>8</v>
      </c>
      <c r="J37" s="14" t="s">
        <v>69</v>
      </c>
      <c r="K37" s="6">
        <f>ROUND(SUM(K25:K28)/$C$5*100, 2)</f>
        <v>4.95</v>
      </c>
      <c r="L37" s="6" t="s">
        <v>59</v>
      </c>
      <c r="AF37" s="2">
        <v>33</v>
      </c>
      <c r="AG37" s="2">
        <f t="shared" si="13"/>
        <v>3293.850822839886</v>
      </c>
      <c r="AH37" s="2">
        <v>-1.7970569388126023E-7</v>
      </c>
      <c r="AI37" s="2">
        <f t="shared" si="14"/>
        <v>3293.8508238876238</v>
      </c>
      <c r="AJ37" s="2">
        <v>1.9393655747990124E-7</v>
      </c>
      <c r="AK37" s="2">
        <f t="shared" si="9"/>
        <v>3293.8508233637549</v>
      </c>
      <c r="AL37" s="2">
        <v>7.116341294022277E-9</v>
      </c>
      <c r="AM37" s="2">
        <f t="shared" si="10"/>
        <v>-1.2788470501381386E-15</v>
      </c>
      <c r="AN37" s="2">
        <f t="shared" si="11"/>
        <v>1.3801187324147461E-15</v>
      </c>
      <c r="AO37" s="2">
        <f t="shared" si="12"/>
        <v>1.0477378964424133E-6</v>
      </c>
    </row>
    <row r="38" spans="2:41" x14ac:dyDescent="0.2">
      <c r="J38" s="9" t="s">
        <v>60</v>
      </c>
      <c r="K38" s="9">
        <f>SUM(K33:K37)</f>
        <v>100</v>
      </c>
      <c r="L38" s="9" t="s">
        <v>59</v>
      </c>
      <c r="AF38" s="2">
        <v>34</v>
      </c>
      <c r="AG38" s="2">
        <f t="shared" si="13"/>
        <v>3293.850822839886</v>
      </c>
      <c r="AH38" s="2">
        <v>-1.7970569388126023E-7</v>
      </c>
      <c r="AI38" s="2">
        <f t="shared" si="14"/>
        <v>3293.8508233637549</v>
      </c>
      <c r="AJ38" s="2">
        <v>7.116341294022277E-9</v>
      </c>
      <c r="AK38" s="2">
        <f t="shared" si="9"/>
        <v>3293.8508231018204</v>
      </c>
      <c r="AL38" s="2">
        <v>-8.6294676293618977E-8</v>
      </c>
      <c r="AM38" s="2">
        <f t="shared" si="10"/>
        <v>1.5507644681603536E-14</v>
      </c>
      <c r="AN38" s="2">
        <f t="shared" si="11"/>
        <v>-6.1410236836256598E-16</v>
      </c>
      <c r="AO38" s="2">
        <f t="shared" si="12"/>
        <v>5.2386894822120667E-7</v>
      </c>
    </row>
    <row r="39" spans="2:41" x14ac:dyDescent="0.2">
      <c r="B39" s="28" t="s">
        <v>102</v>
      </c>
      <c r="C39" s="28"/>
      <c r="D39" s="28"/>
      <c r="AF39" s="2">
        <v>35</v>
      </c>
      <c r="AG39" s="2">
        <f t="shared" si="13"/>
        <v>3293.8508231018204</v>
      </c>
      <c r="AH39" s="2">
        <v>-8.6294676293618977E-8</v>
      </c>
      <c r="AI39" s="2">
        <f t="shared" si="14"/>
        <v>3293.8508233637549</v>
      </c>
      <c r="AJ39" s="2">
        <v>7.116341294022277E-9</v>
      </c>
      <c r="AK39" s="2">
        <f t="shared" si="9"/>
        <v>3293.8508232327877</v>
      </c>
      <c r="AL39" s="2">
        <v>-3.9590304368175566E-8</v>
      </c>
      <c r="AM39" s="2">
        <f t="shared" si="10"/>
        <v>3.4164324998175599E-15</v>
      </c>
      <c r="AN39" s="2">
        <f t="shared" si="11"/>
        <v>-2.8173811781815831E-16</v>
      </c>
      <c r="AO39" s="2">
        <f t="shared" si="12"/>
        <v>2.6193447411060333E-7</v>
      </c>
    </row>
    <row r="40" spans="2:41" x14ac:dyDescent="0.2">
      <c r="B40" s="6" t="s">
        <v>113</v>
      </c>
      <c r="C40" s="20" t="s">
        <v>114</v>
      </c>
      <c r="J40" s="28" t="s">
        <v>107</v>
      </c>
      <c r="K40" s="28"/>
      <c r="L40" s="28"/>
      <c r="AF40" s="2">
        <v>36</v>
      </c>
      <c r="AG40" s="2">
        <f t="shared" si="13"/>
        <v>3293.8508232327877</v>
      </c>
      <c r="AH40" s="2">
        <v>-3.9590304368175566E-8</v>
      </c>
      <c r="AI40" s="2">
        <f t="shared" si="14"/>
        <v>3293.8508233637549</v>
      </c>
      <c r="AJ40" s="2">
        <v>7.116341294022277E-9</v>
      </c>
      <c r="AK40" s="2">
        <f t="shared" si="9"/>
        <v>3293.8508232982713</v>
      </c>
      <c r="AL40" s="2">
        <v>-1.6237208910752088E-8</v>
      </c>
      <c r="AM40" s="2">
        <f t="shared" si="10"/>
        <v>6.4283604286632761E-16</v>
      </c>
      <c r="AN40" s="2">
        <f t="shared" si="11"/>
        <v>-1.1554952027125156E-16</v>
      </c>
      <c r="AO40" s="2">
        <f t="shared" si="12"/>
        <v>1.3096723705530167E-7</v>
      </c>
    </row>
    <row r="41" spans="2:41" x14ac:dyDescent="0.2">
      <c r="B41" s="6" t="s">
        <v>115</v>
      </c>
      <c r="C41" s="6">
        <f>IF(C40="wheeled",0.0325,0.014)</f>
        <v>3.2500000000000001E-2</v>
      </c>
      <c r="J41" s="6" t="s">
        <v>58</v>
      </c>
      <c r="K41" s="6">
        <f>ROUND(C16,2)</f>
        <v>600</v>
      </c>
      <c r="L41" s="6" t="s">
        <v>7</v>
      </c>
      <c r="AF41" s="2">
        <v>37</v>
      </c>
      <c r="AG41" s="2">
        <f t="shared" si="13"/>
        <v>3293.8508232982713</v>
      </c>
      <c r="AH41" s="2">
        <v>-1.6237208910752088E-8</v>
      </c>
      <c r="AI41" s="2">
        <f t="shared" si="14"/>
        <v>3293.8508233637549</v>
      </c>
      <c r="AJ41" s="2">
        <v>7.116341294022277E-9</v>
      </c>
      <c r="AK41" s="2">
        <f t="shared" si="9"/>
        <v>3293.8508233310131</v>
      </c>
      <c r="AL41" s="2">
        <v>-4.5606611820403486E-9</v>
      </c>
      <c r="AM41" s="2">
        <f t="shared" si="10"/>
        <v>7.4052408383946699E-17</v>
      </c>
      <c r="AN41" s="2">
        <f t="shared" si="11"/>
        <v>-3.2455221497798182E-17</v>
      </c>
      <c r="AO41" s="2">
        <f t="shared" si="12"/>
        <v>6.5483618527650833E-8</v>
      </c>
    </row>
    <row r="42" spans="2:41" x14ac:dyDescent="0.2">
      <c r="B42" s="6" t="s">
        <v>103</v>
      </c>
      <c r="C42" s="16">
        <v>0.30480000000000002</v>
      </c>
      <c r="D42" s="6" t="s">
        <v>8</v>
      </c>
      <c r="J42" s="10" t="s">
        <v>53</v>
      </c>
      <c r="K42" s="6">
        <f>ROUND(K15, 2)</f>
        <v>1195.31</v>
      </c>
      <c r="L42" s="6" t="s">
        <v>7</v>
      </c>
      <c r="AF42" s="2">
        <v>38</v>
      </c>
      <c r="AG42" s="2">
        <f t="shared" si="13"/>
        <v>3293.8508233310131</v>
      </c>
      <c r="AH42" s="2">
        <v>-4.5606611820403486E-9</v>
      </c>
      <c r="AI42" s="2">
        <f t="shared" si="14"/>
        <v>3293.8508233637549</v>
      </c>
      <c r="AJ42" s="2">
        <v>7.116341294022277E-9</v>
      </c>
      <c r="AK42" s="2">
        <f t="shared" si="9"/>
        <v>3293.850823347384</v>
      </c>
      <c r="AL42" s="2">
        <v>1.2773853086400777E-9</v>
      </c>
      <c r="AM42" s="2">
        <f t="shared" si="10"/>
        <v>-5.8257215916234324E-18</v>
      </c>
      <c r="AN42" s="2">
        <f t="shared" si="11"/>
        <v>9.0903098202527763E-18</v>
      </c>
      <c r="AO42" s="2">
        <f t="shared" si="12"/>
        <v>3.2741809263825417E-8</v>
      </c>
    </row>
    <row r="43" spans="2:41" x14ac:dyDescent="0.2">
      <c r="B43" s="6" t="s">
        <v>104</v>
      </c>
      <c r="C43" s="16">
        <v>5.7</v>
      </c>
      <c r="J43" s="18" t="s">
        <v>72</v>
      </c>
      <c r="K43" s="6">
        <f>ROUND(SUM(K16:K19), 2)</f>
        <v>625.53</v>
      </c>
      <c r="L43" s="6" t="s">
        <v>7</v>
      </c>
      <c r="AF43" s="2">
        <v>39</v>
      </c>
      <c r="AG43" s="2">
        <f t="shared" si="13"/>
        <v>3293.8508233310131</v>
      </c>
      <c r="AH43" s="2">
        <v>-4.5606611820403486E-9</v>
      </c>
      <c r="AI43" s="2">
        <f t="shared" si="14"/>
        <v>3293.850823347384</v>
      </c>
      <c r="AJ43" s="2">
        <v>1.2773853086400777E-9</v>
      </c>
      <c r="AK43" s="2">
        <f t="shared" si="9"/>
        <v>3293.8508233391985</v>
      </c>
      <c r="AL43" s="2">
        <v>-1.6416379367001355E-9</v>
      </c>
      <c r="AM43" s="2">
        <f t="shared" si="10"/>
        <v>7.4869544128731189E-18</v>
      </c>
      <c r="AN43" s="2">
        <f t="shared" si="11"/>
        <v>-2.0970041824469629E-18</v>
      </c>
      <c r="AO43" s="2">
        <f t="shared" si="12"/>
        <v>1.6370904631912708E-8</v>
      </c>
    </row>
    <row r="44" spans="2:41" x14ac:dyDescent="0.2">
      <c r="J44" s="19" t="s">
        <v>68</v>
      </c>
      <c r="K44" s="6">
        <f>ROUND(SUM(K20:K24), 2)</f>
        <v>709.95</v>
      </c>
      <c r="L44" s="6" t="s">
        <v>7</v>
      </c>
      <c r="AF44" s="2">
        <v>40</v>
      </c>
      <c r="AG44" s="2">
        <f t="shared" si="13"/>
        <v>3293.8508233391985</v>
      </c>
      <c r="AH44" s="2">
        <v>-1.6416379367001355E-9</v>
      </c>
      <c r="AI44" s="2">
        <f t="shared" si="14"/>
        <v>3293.850823347384</v>
      </c>
      <c r="AJ44" s="2">
        <v>1.2773853086400777E-9</v>
      </c>
      <c r="AK44" s="5">
        <f t="shared" si="9"/>
        <v>3293.8508233432913</v>
      </c>
      <c r="AL44" s="2">
        <v>-1.8144419300369918E-10</v>
      </c>
      <c r="AM44" s="2">
        <f t="shared" si="10"/>
        <v>2.9786567062881388E-19</v>
      </c>
      <c r="AN44" s="2">
        <f t="shared" si="11"/>
        <v>-2.3177414648098011E-19</v>
      </c>
      <c r="AO44" s="2">
        <f t="shared" si="12"/>
        <v>8.1854523159563541E-9</v>
      </c>
    </row>
    <row r="45" spans="2:41" x14ac:dyDescent="0.2">
      <c r="B45" s="28" t="s">
        <v>149</v>
      </c>
      <c r="C45" s="28"/>
      <c r="D45" s="28"/>
      <c r="J45" s="14" t="s">
        <v>69</v>
      </c>
      <c r="K45" s="6">
        <f>ROUND(SUM(K25:K28), 2)</f>
        <v>163.01</v>
      </c>
      <c r="L45" s="6" t="s">
        <v>7</v>
      </c>
    </row>
    <row r="46" spans="2:41" x14ac:dyDescent="0.2">
      <c r="B46" s="6" t="s">
        <v>104</v>
      </c>
      <c r="C46" s="16">
        <v>3</v>
      </c>
      <c r="J46" s="9" t="s">
        <v>60</v>
      </c>
      <c r="K46" s="9">
        <f>SUM(K41:K45)</f>
        <v>3293.8</v>
      </c>
      <c r="L46" s="6" t="s">
        <v>7</v>
      </c>
    </row>
    <row r="47" spans="2:41" x14ac:dyDescent="0.2">
      <c r="B47" s="6" t="s">
        <v>176</v>
      </c>
      <c r="C47" s="20" t="s">
        <v>182</v>
      </c>
    </row>
    <row r="48" spans="2:41" x14ac:dyDescent="0.2">
      <c r="B48" s="6" t="s">
        <v>177</v>
      </c>
      <c r="C48" s="27" cm="1">
        <f t="array" ref="C48">IF($C$47="NACA2412",6.51229619414703,IF($C$47="NACA0012",6.56440039480735,IF($C$47="LS417",6.81831554780562,nan)))</f>
        <v>6.8183155478056197</v>
      </c>
      <c r="D48" s="6" t="s">
        <v>178</v>
      </c>
    </row>
    <row r="49" spans="2:4" x14ac:dyDescent="0.2">
      <c r="B49" s="6" t="s">
        <v>179</v>
      </c>
      <c r="C49" s="27" cm="1">
        <f t="array" ref="C49">IF($C$47="NACA2412", 0.239775609756097,IF($C$47="NACA0012",0,IF($C$47="LS417",0.505051219512194,nan)))</f>
        <v>0.50505121951219401</v>
      </c>
    </row>
    <row r="51" spans="2:4" x14ac:dyDescent="0.2">
      <c r="B51" s="28" t="s">
        <v>150</v>
      </c>
      <c r="C51" s="28"/>
      <c r="D51" s="28"/>
    </row>
    <row r="52" spans="2:4" x14ac:dyDescent="0.2">
      <c r="B52" s="6" t="s">
        <v>151</v>
      </c>
      <c r="C52" s="16">
        <v>4.3036300000000001</v>
      </c>
    </row>
    <row r="53" spans="2:4" x14ac:dyDescent="0.2">
      <c r="B53" s="6" t="s">
        <v>152</v>
      </c>
      <c r="C53" s="16">
        <f>39.5112*0.3048^2</f>
        <v>3.6707105940480003</v>
      </c>
      <c r="D53" s="6" t="s">
        <v>11</v>
      </c>
    </row>
    <row r="54" spans="2:4" x14ac:dyDescent="0.2">
      <c r="B54" s="6" t="s">
        <v>153</v>
      </c>
      <c r="C54" s="16">
        <f>0.15*3.7875*0.3048</f>
        <v>0.1731645</v>
      </c>
      <c r="D54" s="6" t="s">
        <v>8</v>
      </c>
    </row>
    <row r="56" spans="2:4" x14ac:dyDescent="0.2">
      <c r="B56" s="28" t="s">
        <v>154</v>
      </c>
      <c r="C56" s="28"/>
      <c r="D56" s="28"/>
    </row>
    <row r="57" spans="2:4" x14ac:dyDescent="0.2">
      <c r="B57" s="6" t="s">
        <v>155</v>
      </c>
      <c r="C57" s="16">
        <v>1.1798999999999999</v>
      </c>
    </row>
    <row r="58" spans="2:4" x14ac:dyDescent="0.2">
      <c r="B58" s="6" t="s">
        <v>156</v>
      </c>
      <c r="C58" s="16">
        <f>27.34325*0.3048^2</f>
        <v>2.5402710484800002</v>
      </c>
      <c r="D58" s="6" t="s">
        <v>11</v>
      </c>
    </row>
    <row r="59" spans="2:4" x14ac:dyDescent="0.2">
      <c r="B59" s="6" t="s">
        <v>157</v>
      </c>
      <c r="C59" s="16">
        <f>0.115*9.73719*0.3048</f>
        <v>0.34130798388000005</v>
      </c>
      <c r="D59" s="6" t="s">
        <v>8</v>
      </c>
    </row>
    <row r="60" spans="2:4" x14ac:dyDescent="0.2">
      <c r="B60" s="6" t="s">
        <v>158</v>
      </c>
      <c r="C60" s="16">
        <v>35</v>
      </c>
      <c r="D60" s="6" t="s">
        <v>41</v>
      </c>
    </row>
    <row r="62" spans="2:4" x14ac:dyDescent="0.2">
      <c r="B62" s="29" t="s">
        <v>2</v>
      </c>
      <c r="C62" s="30"/>
      <c r="D62" s="30"/>
    </row>
    <row r="63" spans="2:4" x14ac:dyDescent="0.2">
      <c r="B63" s="6" t="s">
        <v>3</v>
      </c>
      <c r="C63" s="16">
        <v>250</v>
      </c>
      <c r="D63" s="6" t="s">
        <v>4</v>
      </c>
    </row>
    <row r="64" spans="2:4" x14ac:dyDescent="0.2">
      <c r="B64" s="6" t="s">
        <v>5</v>
      </c>
      <c r="C64" s="16">
        <v>0.85</v>
      </c>
    </row>
    <row r="65" spans="2:4" x14ac:dyDescent="0.2">
      <c r="B65" s="6" t="s">
        <v>6</v>
      </c>
      <c r="C65" s="16">
        <v>0.8</v>
      </c>
    </row>
    <row r="67" spans="2:4" x14ac:dyDescent="0.2">
      <c r="B67" s="28" t="s">
        <v>167</v>
      </c>
      <c r="C67" s="31"/>
      <c r="D67" s="31"/>
    </row>
    <row r="68" spans="2:4" x14ac:dyDescent="0.2">
      <c r="B68" s="6" t="s">
        <v>15</v>
      </c>
      <c r="C68" s="16">
        <v>1.0397562309141399</v>
      </c>
      <c r="D68" s="6" t="s">
        <v>16</v>
      </c>
    </row>
    <row r="69" spans="2:4" x14ac:dyDescent="0.2">
      <c r="B69" s="6" t="s">
        <v>124</v>
      </c>
      <c r="C69" s="21">
        <v>1.7363179204150701E-5</v>
      </c>
      <c r="D69" s="6" t="s">
        <v>123</v>
      </c>
    </row>
    <row r="70" spans="2:4" x14ac:dyDescent="0.2">
      <c r="B70" s="6" t="s">
        <v>119</v>
      </c>
      <c r="C70" s="16">
        <v>333.91694458017901</v>
      </c>
      <c r="D70" s="6" t="s">
        <v>10</v>
      </c>
    </row>
    <row r="71" spans="2:4" x14ac:dyDescent="0.2">
      <c r="B71" s="6" t="s">
        <v>17</v>
      </c>
      <c r="C71" s="1">
        <v>9.80149119240094</v>
      </c>
      <c r="D71" s="6" t="s">
        <v>18</v>
      </c>
    </row>
    <row r="73" spans="2:4" x14ac:dyDescent="0.2">
      <c r="B73" s="28" t="s">
        <v>168</v>
      </c>
      <c r="C73" s="31"/>
      <c r="D73" s="31"/>
    </row>
    <row r="74" spans="2:4" x14ac:dyDescent="0.2">
      <c r="B74" s="6" t="s">
        <v>15</v>
      </c>
      <c r="C74" s="16">
        <v>1.00854450666398</v>
      </c>
      <c r="D74" s="6" t="s">
        <v>16</v>
      </c>
    </row>
    <row r="75" spans="2:4" x14ac:dyDescent="0.2">
      <c r="B75" s="6" t="s">
        <v>124</v>
      </c>
      <c r="C75" s="21">
        <v>1.7265641515845801E-5</v>
      </c>
      <c r="D75" s="6" t="s">
        <v>123</v>
      </c>
    </row>
    <row r="76" spans="2:4" x14ac:dyDescent="0.2">
      <c r="B76" s="6" t="s">
        <v>119</v>
      </c>
      <c r="C76" s="16">
        <v>332.721752148093</v>
      </c>
      <c r="D76" s="6" t="s">
        <v>10</v>
      </c>
    </row>
    <row r="77" spans="2:4" x14ac:dyDescent="0.2">
      <c r="B77" s="6" t="s">
        <v>17</v>
      </c>
      <c r="C77" s="1">
        <v>9.8005536647414697</v>
      </c>
      <c r="D77" s="6" t="s">
        <v>18</v>
      </c>
    </row>
    <row r="79" spans="2:4" x14ac:dyDescent="0.2">
      <c r="B79" s="28" t="s">
        <v>70</v>
      </c>
      <c r="C79" s="28"/>
      <c r="D79" s="28"/>
    </row>
    <row r="80" spans="2:4" x14ac:dyDescent="0.2">
      <c r="B80" s="6" t="s">
        <v>162</v>
      </c>
      <c r="C80" s="16">
        <v>30</v>
      </c>
    </row>
    <row r="81" spans="2:3" x14ac:dyDescent="0.2">
      <c r="B81" s="6" t="s">
        <v>163</v>
      </c>
      <c r="C81" s="16">
        <v>0.8</v>
      </c>
    </row>
    <row r="82" spans="2:3" x14ac:dyDescent="0.2">
      <c r="B82" s="6" t="s">
        <v>164</v>
      </c>
      <c r="C82" s="16">
        <v>0.8</v>
      </c>
    </row>
    <row r="83" spans="2:3" x14ac:dyDescent="0.2">
      <c r="B83" s="6" t="s">
        <v>165</v>
      </c>
      <c r="C83" s="16">
        <v>0.8</v>
      </c>
    </row>
  </sheetData>
  <mergeCells count="22">
    <mergeCell ref="N3:P3"/>
    <mergeCell ref="J9:L9"/>
    <mergeCell ref="F12:H12"/>
    <mergeCell ref="B15:D15"/>
    <mergeCell ref="B20:D20"/>
    <mergeCell ref="B1:D1"/>
    <mergeCell ref="B3:D3"/>
    <mergeCell ref="F3:H3"/>
    <mergeCell ref="J3:L3"/>
    <mergeCell ref="F22:H22"/>
    <mergeCell ref="B27:D27"/>
    <mergeCell ref="B39:D39"/>
    <mergeCell ref="J40:L40"/>
    <mergeCell ref="B45:D45"/>
    <mergeCell ref="B34:D34"/>
    <mergeCell ref="F31:H31"/>
    <mergeCell ref="B51:D51"/>
    <mergeCell ref="B56:D56"/>
    <mergeCell ref="B79:D79"/>
    <mergeCell ref="B62:D62"/>
    <mergeCell ref="B67:D67"/>
    <mergeCell ref="B73:D73"/>
  </mergeCells>
  <conditionalFormatting sqref="K30">
    <cfRule type="containsText" dxfId="5" priority="7" operator="containsText" text="FALSE">
      <formula>NOT(ISERROR(SEARCH("FALSE",K30)))</formula>
    </cfRule>
    <cfRule type="containsText" dxfId="4" priority="8" operator="containsText" text="TRUE">
      <formula>NOT(ISERROR(SEARCH("TRUE",K30)))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NOT(ISERROR(SEARCH("YES",K30)))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2025-06-23T11:14:44Z</dcterms:modified>
</cp:coreProperties>
</file>