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52373BDA-49A0-C54A-8B02-58F7A56D80DF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multirotor_aerofidelity1" sheetId="6" r:id="rId1"/>
    <sheet name="lift+cruise_aerofidelity1" sheetId="5" r:id="rId2"/>
    <sheet name="multirotor_aerofidelity0" sheetId="3" r:id="rId3"/>
    <sheet name="lift+cruise_aerofidelity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6" l="1"/>
  <c r="O16" i="5"/>
  <c r="C26" i="4"/>
  <c r="S4" i="6" l="1"/>
  <c r="S7" i="6" s="1"/>
  <c r="AK74" i="6"/>
  <c r="AG74" i="6"/>
  <c r="AU44" i="6"/>
  <c r="AT44" i="6"/>
  <c r="AU43" i="6"/>
  <c r="AT43" i="6"/>
  <c r="AU42" i="6"/>
  <c r="AT42" i="6"/>
  <c r="G42" i="6"/>
  <c r="AU41" i="6"/>
  <c r="AT41" i="6"/>
  <c r="AU40" i="6"/>
  <c r="AT40" i="6"/>
  <c r="AU39" i="6"/>
  <c r="AT39" i="6"/>
  <c r="AK39" i="6"/>
  <c r="AG39" i="6"/>
  <c r="AU38" i="6"/>
  <c r="AT38" i="6"/>
  <c r="AU37" i="6"/>
  <c r="AT37" i="6"/>
  <c r="AU36" i="6"/>
  <c r="AT36" i="6"/>
  <c r="AU35" i="6"/>
  <c r="AT35" i="6"/>
  <c r="G35" i="6"/>
  <c r="AU34" i="6"/>
  <c r="AT34" i="6"/>
  <c r="AU33" i="6"/>
  <c r="AT33" i="6"/>
  <c r="AU32" i="6"/>
  <c r="AT32" i="6"/>
  <c r="AU31" i="6"/>
  <c r="AT31" i="6"/>
  <c r="AU30" i="6"/>
  <c r="AT30" i="6"/>
  <c r="AU29" i="6"/>
  <c r="AT29" i="6"/>
  <c r="AU28" i="6"/>
  <c r="AT28" i="6"/>
  <c r="AU27" i="6"/>
  <c r="AT27" i="6"/>
  <c r="G27" i="6"/>
  <c r="G30" i="6" s="1"/>
  <c r="AU26" i="6"/>
  <c r="AT26" i="6"/>
  <c r="AU25" i="6"/>
  <c r="AT25" i="6"/>
  <c r="AU24" i="6"/>
  <c r="AT24" i="6"/>
  <c r="AU23" i="6"/>
  <c r="AT23" i="6"/>
  <c r="AU22" i="6"/>
  <c r="AT22" i="6"/>
  <c r="AU21" i="6"/>
  <c r="AT21" i="6"/>
  <c r="K20" i="6"/>
  <c r="AU20" i="6"/>
  <c r="AT20" i="6"/>
  <c r="K19" i="6"/>
  <c r="AU19" i="6"/>
  <c r="AT19" i="6"/>
  <c r="G19" i="6"/>
  <c r="AU18" i="6"/>
  <c r="AT18" i="6"/>
  <c r="AU17" i="6"/>
  <c r="AT17" i="6"/>
  <c r="AU16" i="6"/>
  <c r="AT16" i="6"/>
  <c r="AU15" i="6"/>
  <c r="AT15" i="6"/>
  <c r="AU14" i="6"/>
  <c r="AT14" i="6"/>
  <c r="AU13" i="6"/>
  <c r="AT13" i="6"/>
  <c r="AU12" i="6"/>
  <c r="AT12" i="6"/>
  <c r="AU11" i="6"/>
  <c r="AT11" i="6"/>
  <c r="G11" i="6"/>
  <c r="G14" i="6" s="1"/>
  <c r="AU10" i="6"/>
  <c r="AT10" i="6"/>
  <c r="AU9" i="6"/>
  <c r="AT9" i="6"/>
  <c r="AU8" i="6"/>
  <c r="AT8" i="6"/>
  <c r="G8" i="6"/>
  <c r="AU7" i="6"/>
  <c r="AT7" i="6"/>
  <c r="AU6" i="6"/>
  <c r="AT6" i="6"/>
  <c r="AV5" i="6"/>
  <c r="AU5" i="6"/>
  <c r="AT5" i="6"/>
  <c r="AR5" i="6"/>
  <c r="AK4" i="6"/>
  <c r="AG4" i="6"/>
  <c r="AK74" i="5"/>
  <c r="AG74" i="5"/>
  <c r="C63" i="5"/>
  <c r="C58" i="5"/>
  <c r="AU44" i="5"/>
  <c r="AT44" i="5"/>
  <c r="AU43" i="5"/>
  <c r="AT43" i="5"/>
  <c r="AU42" i="5"/>
  <c r="AT42" i="5"/>
  <c r="G42" i="5"/>
  <c r="AU41" i="5"/>
  <c r="AT41" i="5"/>
  <c r="AU40" i="5"/>
  <c r="AT40" i="5"/>
  <c r="AU39" i="5"/>
  <c r="AT39" i="5"/>
  <c r="AK39" i="5"/>
  <c r="AG39" i="5"/>
  <c r="AU38" i="5"/>
  <c r="AT38" i="5"/>
  <c r="AU37" i="5"/>
  <c r="AT37" i="5"/>
  <c r="AU36" i="5"/>
  <c r="AT36" i="5"/>
  <c r="AU35" i="5"/>
  <c r="AT35" i="5"/>
  <c r="G35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G27" i="5"/>
  <c r="AU26" i="5"/>
  <c r="AT26" i="5"/>
  <c r="C26" i="5"/>
  <c r="K43" i="5" s="1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G19" i="5"/>
  <c r="AU18" i="5"/>
  <c r="AT18" i="5"/>
  <c r="S18" i="5"/>
  <c r="S19" i="5" s="1"/>
  <c r="AU17" i="5"/>
  <c r="AT17" i="5"/>
  <c r="AU16" i="5"/>
  <c r="AT16" i="5"/>
  <c r="W16" i="5"/>
  <c r="S16" i="5"/>
  <c r="AU15" i="5"/>
  <c r="AT15" i="5"/>
  <c r="AU14" i="5"/>
  <c r="AT14" i="5"/>
  <c r="AU13" i="5"/>
  <c r="AT13" i="5"/>
  <c r="AU12" i="5"/>
  <c r="AT12" i="5"/>
  <c r="AU11" i="5"/>
  <c r="AT11" i="5"/>
  <c r="G11" i="5"/>
  <c r="AU10" i="5"/>
  <c r="AT10" i="5"/>
  <c r="AU9" i="5"/>
  <c r="AT9" i="5"/>
  <c r="W9" i="5"/>
  <c r="S9" i="5"/>
  <c r="O9" i="5"/>
  <c r="AU8" i="5"/>
  <c r="AT8" i="5"/>
  <c r="G8" i="5"/>
  <c r="AU7" i="5"/>
  <c r="AT7" i="5"/>
  <c r="AU6" i="5"/>
  <c r="AT6" i="5"/>
  <c r="AV5" i="5"/>
  <c r="AU5" i="5"/>
  <c r="AT5" i="5"/>
  <c r="AN6" i="5" s="1"/>
  <c r="AR5" i="5"/>
  <c r="S5" i="5"/>
  <c r="AK4" i="5"/>
  <c r="AG4" i="5"/>
  <c r="K43" i="4"/>
  <c r="C63" i="4"/>
  <c r="C58" i="4"/>
  <c r="W9" i="4"/>
  <c r="S18" i="4"/>
  <c r="S9" i="4"/>
  <c r="S5" i="4"/>
  <c r="O17" i="4"/>
  <c r="O10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O4" i="3" s="1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AN6" i="6" l="1"/>
  <c r="G16" i="6"/>
  <c r="G15" i="6"/>
  <c r="O4" i="6"/>
  <c r="O7" i="6" s="1"/>
  <c r="W4" i="6"/>
  <c r="W7" i="6" s="1"/>
  <c r="AP6" i="6"/>
  <c r="AP6" i="5"/>
  <c r="G32" i="6"/>
  <c r="G31" i="6"/>
  <c r="G24" i="6" s="1"/>
  <c r="K9" i="6" s="1"/>
  <c r="G14" i="5"/>
  <c r="O5" i="5"/>
  <c r="O18" i="5"/>
  <c r="O19" i="5" s="1"/>
  <c r="W18" i="5"/>
  <c r="W5" i="5"/>
  <c r="G30" i="5"/>
  <c r="S22" i="5"/>
  <c r="O19" i="4"/>
  <c r="W5" i="4"/>
  <c r="S19" i="4"/>
  <c r="S22" i="4" s="1"/>
  <c r="W18" i="4"/>
  <c r="W19" i="4" s="1"/>
  <c r="W22" i="4" s="1"/>
  <c r="O5" i="4"/>
  <c r="O20" i="4"/>
  <c r="O23" i="4" s="1"/>
  <c r="G14" i="3"/>
  <c r="G16" i="3" s="1"/>
  <c r="G30" i="3"/>
  <c r="G32" i="3" s="1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AR6" i="5" l="1"/>
  <c r="AN7" i="5" s="1"/>
  <c r="AV6" i="5"/>
  <c r="AV6" i="6"/>
  <c r="AR6" i="6"/>
  <c r="O22" i="5"/>
  <c r="G31" i="5"/>
  <c r="G32" i="5"/>
  <c r="G15" i="5"/>
  <c r="G24" i="5" s="1"/>
  <c r="K12" i="5" s="1"/>
  <c r="G16" i="5"/>
  <c r="W19" i="5"/>
  <c r="G15" i="3"/>
  <c r="G24" i="4"/>
  <c r="K12" i="4" s="1"/>
  <c r="G31" i="3"/>
  <c r="AR6" i="4"/>
  <c r="AN7" i="4" s="1"/>
  <c r="AV6" i="4"/>
  <c r="AP6" i="3"/>
  <c r="AN6" i="3"/>
  <c r="AP7" i="5" l="1"/>
  <c r="AR7" i="5" s="1"/>
  <c r="AP8" i="5" s="1"/>
  <c r="AP7" i="6"/>
  <c r="AN7" i="6"/>
  <c r="W22" i="5"/>
  <c r="G24" i="3"/>
  <c r="K10" i="3" s="1"/>
  <c r="AP7" i="4"/>
  <c r="AV7" i="4" s="1"/>
  <c r="AV6" i="3"/>
  <c r="AR6" i="3"/>
  <c r="AP7" i="3" s="1"/>
  <c r="AV7" i="5" l="1"/>
  <c r="AN8" i="5"/>
  <c r="AR8" i="5" s="1"/>
  <c r="AV7" i="6"/>
  <c r="AR7" i="6"/>
  <c r="AN8" i="6" s="1"/>
  <c r="AR7" i="4"/>
  <c r="AP8" i="4" s="1"/>
  <c r="AN7" i="3"/>
  <c r="AV8" i="5" l="1"/>
  <c r="AN9" i="5"/>
  <c r="AP9" i="5"/>
  <c r="AP8" i="6"/>
  <c r="AV8" i="6" s="1"/>
  <c r="AN8" i="4"/>
  <c r="AR8" i="4" s="1"/>
  <c r="AN9" i="4" s="1"/>
  <c r="AR7" i="3"/>
  <c r="AV7" i="3"/>
  <c r="AR9" i="5" l="1"/>
  <c r="AN10" i="5" s="1"/>
  <c r="AV9" i="5"/>
  <c r="AR8" i="6"/>
  <c r="AN9" i="6" s="1"/>
  <c r="AV8" i="4"/>
  <c r="AP9" i="4"/>
  <c r="AR9" i="4" s="1"/>
  <c r="AN10" i="4" s="1"/>
  <c r="AP8" i="3"/>
  <c r="AN8" i="3"/>
  <c r="AP10" i="5" l="1"/>
  <c r="AV10" i="5" s="1"/>
  <c r="AP9" i="6"/>
  <c r="AV9" i="6" s="1"/>
  <c r="AP10" i="4"/>
  <c r="AV10" i="4" s="1"/>
  <c r="AV9" i="4"/>
  <c r="AV8" i="3"/>
  <c r="AR8" i="3"/>
  <c r="AR10" i="5" l="1"/>
  <c r="AN11" i="5" s="1"/>
  <c r="AR9" i="6"/>
  <c r="AN10" i="6" s="1"/>
  <c r="AR10" i="4"/>
  <c r="AN11" i="4" s="1"/>
  <c r="AN9" i="3"/>
  <c r="AP9" i="3"/>
  <c r="AP11" i="5" l="1"/>
  <c r="AR11" i="5" s="1"/>
  <c r="AP12" i="5" s="1"/>
  <c r="AP10" i="6"/>
  <c r="AV10" i="6" s="1"/>
  <c r="AP11" i="4"/>
  <c r="AR11" i="4" s="1"/>
  <c r="AP12" i="4" s="1"/>
  <c r="AV9" i="3"/>
  <c r="AR9" i="3"/>
  <c r="AV11" i="5" l="1"/>
  <c r="AN12" i="5"/>
  <c r="AR12" i="5" s="1"/>
  <c r="AP13" i="5" s="1"/>
  <c r="AR10" i="6"/>
  <c r="AN11" i="6" s="1"/>
  <c r="AN12" i="4"/>
  <c r="AR12" i="4" s="1"/>
  <c r="AV11" i="4"/>
  <c r="AN10" i="3"/>
  <c r="AP10" i="3"/>
  <c r="AN13" i="5" l="1"/>
  <c r="AR13" i="5" s="1"/>
  <c r="AN14" i="5" s="1"/>
  <c r="AV12" i="5"/>
  <c r="AP11" i="6"/>
  <c r="AR11" i="6" s="1"/>
  <c r="AP12" i="6" s="1"/>
  <c r="AP13" i="4"/>
  <c r="AN13" i="4"/>
  <c r="AV12" i="4"/>
  <c r="AV10" i="3"/>
  <c r="AR10" i="3"/>
  <c r="AV13" i="5" l="1"/>
  <c r="AP14" i="5"/>
  <c r="AR14" i="5" s="1"/>
  <c r="AV11" i="6"/>
  <c r="AN12" i="6"/>
  <c r="AV13" i="4"/>
  <c r="AR13" i="4"/>
  <c r="AP14" i="4" s="1"/>
  <c r="AP11" i="3"/>
  <c r="AN11" i="3"/>
  <c r="AV14" i="5" l="1"/>
  <c r="AV12" i="6"/>
  <c r="AR12" i="6"/>
  <c r="AP13" i="6" s="1"/>
  <c r="AN15" i="5"/>
  <c r="AP15" i="5"/>
  <c r="AN14" i="4"/>
  <c r="AR14" i="4" s="1"/>
  <c r="AV11" i="3"/>
  <c r="AR11" i="3"/>
  <c r="AN13" i="6" l="1"/>
  <c r="AV15" i="5"/>
  <c r="AR15" i="5"/>
  <c r="AN16" i="5" s="1"/>
  <c r="AN15" i="4"/>
  <c r="AP15" i="4"/>
  <c r="AV14" i="4"/>
  <c r="AN12" i="3"/>
  <c r="AP12" i="3"/>
  <c r="AP16" i="5" l="1"/>
  <c r="AV16" i="5" s="1"/>
  <c r="AR13" i="6"/>
  <c r="AP14" i="6" s="1"/>
  <c r="AV13" i="6"/>
  <c r="AR15" i="4"/>
  <c r="AN16" i="4" s="1"/>
  <c r="AV15" i="4"/>
  <c r="AR12" i="3"/>
  <c r="AN13" i="3" s="1"/>
  <c r="AV12" i="3"/>
  <c r="AR16" i="5" l="1"/>
  <c r="AP17" i="5" s="1"/>
  <c r="AN14" i="6"/>
  <c r="AR14" i="6" s="1"/>
  <c r="AP16" i="4"/>
  <c r="AV16" i="4" s="1"/>
  <c r="AP13" i="3"/>
  <c r="AR13" i="3" s="1"/>
  <c r="AN14" i="3" s="1"/>
  <c r="AN17" i="5" l="1"/>
  <c r="AV17" i="5" s="1"/>
  <c r="AN15" i="6"/>
  <c r="AP15" i="6"/>
  <c r="AV14" i="6"/>
  <c r="AR16" i="4"/>
  <c r="AN17" i="4" s="1"/>
  <c r="AV13" i="3"/>
  <c r="AP14" i="3"/>
  <c r="AV14" i="3" s="1"/>
  <c r="AR17" i="5" l="1"/>
  <c r="AP18" i="5" s="1"/>
  <c r="AR15" i="6"/>
  <c r="AV15" i="6"/>
  <c r="AN18" i="5"/>
  <c r="AP17" i="4"/>
  <c r="AV17" i="4" s="1"/>
  <c r="AR14" i="3"/>
  <c r="AP15" i="3" s="1"/>
  <c r="AN16" i="6" l="1"/>
  <c r="AP16" i="6"/>
  <c r="AR18" i="5"/>
  <c r="AP19" i="5" s="1"/>
  <c r="AV18" i="5"/>
  <c r="AR17" i="4"/>
  <c r="AN15" i="3"/>
  <c r="AV15" i="3" s="1"/>
  <c r="AN19" i="5" l="1"/>
  <c r="AV19" i="5" s="1"/>
  <c r="AR16" i="6"/>
  <c r="AP17" i="6" s="1"/>
  <c r="AV16" i="6"/>
  <c r="AP18" i="4"/>
  <c r="AN18" i="4"/>
  <c r="AR15" i="3"/>
  <c r="AP16" i="3" s="1"/>
  <c r="AR19" i="5" l="1"/>
  <c r="AN20" i="5" s="1"/>
  <c r="AN17" i="6"/>
  <c r="AR18" i="4"/>
  <c r="AN19" i="4" s="1"/>
  <c r="AV18" i="4"/>
  <c r="AN16" i="3"/>
  <c r="AR16" i="3" s="1"/>
  <c r="AP17" i="3" s="1"/>
  <c r="AP20" i="5" l="1"/>
  <c r="AV20" i="5" s="1"/>
  <c r="AR17" i="6"/>
  <c r="AV17" i="6"/>
  <c r="AP19" i="4"/>
  <c r="AV19" i="4" s="1"/>
  <c r="AV16" i="3"/>
  <c r="AN17" i="3"/>
  <c r="AV17" i="3" s="1"/>
  <c r="AR20" i="5" l="1"/>
  <c r="AN21" i="5" s="1"/>
  <c r="AN18" i="6"/>
  <c r="AP18" i="6"/>
  <c r="AR19" i="4"/>
  <c r="AN20" i="4" s="1"/>
  <c r="AR17" i="3"/>
  <c r="AN18" i="3" s="1"/>
  <c r="AP21" i="5" l="1"/>
  <c r="AR21" i="5" s="1"/>
  <c r="AP22" i="5" s="1"/>
  <c r="AV18" i="6"/>
  <c r="AR18" i="6"/>
  <c r="AP20" i="4"/>
  <c r="AP18" i="3"/>
  <c r="AV18" i="3" s="1"/>
  <c r="AV21" i="5" l="1"/>
  <c r="AN22" i="5"/>
  <c r="AR22" i="5" s="1"/>
  <c r="AN23" i="5" s="1"/>
  <c r="AN19" i="6"/>
  <c r="AP19" i="6"/>
  <c r="AV20" i="4"/>
  <c r="AR20" i="4"/>
  <c r="AR18" i="3"/>
  <c r="AN19" i="3" s="1"/>
  <c r="AV22" i="5" l="1"/>
  <c r="AP23" i="5"/>
  <c r="AR23" i="5" s="1"/>
  <c r="AP24" i="5" s="1"/>
  <c r="AV19" i="6"/>
  <c r="AR19" i="6"/>
  <c r="AP21" i="4"/>
  <c r="AN21" i="4"/>
  <c r="AP19" i="3"/>
  <c r="AR19" i="3" s="1"/>
  <c r="AV23" i="5" l="1"/>
  <c r="AN24" i="5"/>
  <c r="AV24" i="5" s="1"/>
  <c r="AN20" i="6"/>
  <c r="AP20" i="6"/>
  <c r="AV21" i="4"/>
  <c r="AR21" i="4"/>
  <c r="AN20" i="3"/>
  <c r="AP20" i="3"/>
  <c r="AV19" i="3"/>
  <c r="AR24" i="5" l="1"/>
  <c r="AN25" i="5" s="1"/>
  <c r="AV20" i="6"/>
  <c r="AR20" i="6"/>
  <c r="AP22" i="4"/>
  <c r="AN22" i="4"/>
  <c r="AV20" i="3"/>
  <c r="AR20" i="3"/>
  <c r="AN21" i="3" s="1"/>
  <c r="AP25" i="5" l="1"/>
  <c r="AR25" i="5" s="1"/>
  <c r="AN26" i="5" s="1"/>
  <c r="AN21" i="6"/>
  <c r="AP21" i="6"/>
  <c r="AV22" i="4"/>
  <c r="AR22" i="4"/>
  <c r="AP21" i="3"/>
  <c r="AV21" i="3" s="1"/>
  <c r="AV25" i="5" l="1"/>
  <c r="AP26" i="5"/>
  <c r="AR26" i="5" s="1"/>
  <c r="AN27" i="5" s="1"/>
  <c r="AV21" i="6"/>
  <c r="AR21" i="6"/>
  <c r="AP23" i="4"/>
  <c r="AN23" i="4"/>
  <c r="AR21" i="3"/>
  <c r="AP22" i="3" s="1"/>
  <c r="AP27" i="5" l="1"/>
  <c r="AV27" i="5" s="1"/>
  <c r="AV26" i="5"/>
  <c r="AP22" i="6"/>
  <c r="AN22" i="6"/>
  <c r="AR23" i="4"/>
  <c r="AN24" i="4" s="1"/>
  <c r="AV23" i="4"/>
  <c r="AN22" i="3"/>
  <c r="AV22" i="3" s="1"/>
  <c r="AR27" i="5" l="1"/>
  <c r="AP28" i="5" s="1"/>
  <c r="AR22" i="6"/>
  <c r="AN23" i="6" s="1"/>
  <c r="AV22" i="6"/>
  <c r="AP24" i="4"/>
  <c r="AV24" i="4" s="1"/>
  <c r="AR22" i="3"/>
  <c r="AP23" i="3" s="1"/>
  <c r="AN28" i="5" l="1"/>
  <c r="AV28" i="5" s="1"/>
  <c r="AP23" i="6"/>
  <c r="AV23" i="6" s="1"/>
  <c r="AR24" i="4"/>
  <c r="AP25" i="4" s="1"/>
  <c r="AN23" i="3"/>
  <c r="AV23" i="3" s="1"/>
  <c r="AR28" i="5" l="1"/>
  <c r="AP29" i="5" s="1"/>
  <c r="AR23" i="6"/>
  <c r="AP24" i="6" s="1"/>
  <c r="AN25" i="4"/>
  <c r="AR25" i="4" s="1"/>
  <c r="AN26" i="4" s="1"/>
  <c r="AR23" i="3"/>
  <c r="AP24" i="3" s="1"/>
  <c r="AN29" i="5" l="1"/>
  <c r="AV29" i="5" s="1"/>
  <c r="AN24" i="6"/>
  <c r="AR24" i="6" s="1"/>
  <c r="AN25" i="6" s="1"/>
  <c r="AV25" i="4"/>
  <c r="AP26" i="4"/>
  <c r="AV26" i="4" s="1"/>
  <c r="AN24" i="3"/>
  <c r="AR24" i="3" s="1"/>
  <c r="AP25" i="3" s="1"/>
  <c r="AR29" i="5" l="1"/>
  <c r="AP30" i="5" s="1"/>
  <c r="AV24" i="6"/>
  <c r="AP25" i="6"/>
  <c r="AV25" i="6" s="1"/>
  <c r="AR26" i="4"/>
  <c r="AN27" i="4" s="1"/>
  <c r="AV24" i="3"/>
  <c r="AN25" i="3"/>
  <c r="AV25" i="3" s="1"/>
  <c r="AN30" i="5" l="1"/>
  <c r="AV30" i="5" s="1"/>
  <c r="AR25" i="6"/>
  <c r="AN26" i="6" s="1"/>
  <c r="AP27" i="4"/>
  <c r="AR27" i="4" s="1"/>
  <c r="AP28" i="4" s="1"/>
  <c r="AR25" i="3"/>
  <c r="AN26" i="3" s="1"/>
  <c r="AR30" i="5" l="1"/>
  <c r="AP26" i="6"/>
  <c r="AR26" i="6" s="1"/>
  <c r="AN27" i="6" s="1"/>
  <c r="AV27" i="4"/>
  <c r="AN28" i="4"/>
  <c r="AR28" i="4" s="1"/>
  <c r="AP26" i="3"/>
  <c r="AV26" i="3" s="1"/>
  <c r="AN31" i="5" l="1"/>
  <c r="AP31" i="5"/>
  <c r="AV26" i="6"/>
  <c r="AP27" i="6"/>
  <c r="AV27" i="6" s="1"/>
  <c r="O8" i="5"/>
  <c r="AN29" i="4"/>
  <c r="AP29" i="4"/>
  <c r="AV28" i="4"/>
  <c r="AR26" i="3"/>
  <c r="AN27" i="3" s="1"/>
  <c r="AR31" i="5" l="1"/>
  <c r="AP32" i="5" s="1"/>
  <c r="AV31" i="5"/>
  <c r="AR27" i="6"/>
  <c r="AN28" i="6" s="1"/>
  <c r="S8" i="6"/>
  <c r="O8" i="6"/>
  <c r="W8" i="6"/>
  <c r="AR29" i="4"/>
  <c r="AV29" i="4"/>
  <c r="AP27" i="3"/>
  <c r="AR27" i="3" s="1"/>
  <c r="AN28" i="3" s="1"/>
  <c r="AN32" i="5" l="1"/>
  <c r="AR32" i="5" s="1"/>
  <c r="AP33" i="5" s="1"/>
  <c r="AP28" i="6"/>
  <c r="AV28" i="6" s="1"/>
  <c r="AN30" i="4"/>
  <c r="AP30" i="4"/>
  <c r="AP28" i="3"/>
  <c r="AR28" i="3" s="1"/>
  <c r="AN29" i="3" s="1"/>
  <c r="AV27" i="3"/>
  <c r="AV32" i="5" l="1"/>
  <c r="AN33" i="5"/>
  <c r="AR33" i="5" s="1"/>
  <c r="AR28" i="6"/>
  <c r="AP29" i="6" s="1"/>
  <c r="AR30" i="4"/>
  <c r="AP31" i="4" s="1"/>
  <c r="AV30" i="4"/>
  <c r="AV28" i="3"/>
  <c r="AP29" i="3"/>
  <c r="AV29" i="3" s="1"/>
  <c r="AV33" i="5" l="1"/>
  <c r="AP34" i="5"/>
  <c r="AN34" i="5"/>
  <c r="AN29" i="6"/>
  <c r="AR29" i="6" s="1"/>
  <c r="AN30" i="6" s="1"/>
  <c r="AN31" i="4"/>
  <c r="AR31" i="4" s="1"/>
  <c r="AR29" i="3"/>
  <c r="AN30" i="3" s="1"/>
  <c r="AR34" i="5" l="1"/>
  <c r="AN35" i="5" s="1"/>
  <c r="AV34" i="5"/>
  <c r="AV29" i="6"/>
  <c r="AP30" i="6"/>
  <c r="AR30" i="6" s="1"/>
  <c r="AN31" i="6" s="1"/>
  <c r="AP32" i="4"/>
  <c r="AN32" i="4"/>
  <c r="AV31" i="4"/>
  <c r="AP30" i="3"/>
  <c r="AR30" i="3" s="1"/>
  <c r="AP35" i="5" l="1"/>
  <c r="AV30" i="6"/>
  <c r="AP31" i="6"/>
  <c r="AV31" i="6" s="1"/>
  <c r="AR32" i="4"/>
  <c r="AN33" i="4" s="1"/>
  <c r="AV32" i="4"/>
  <c r="AV30" i="3"/>
  <c r="AP31" i="3"/>
  <c r="AN31" i="3"/>
  <c r="AR35" i="5" l="1"/>
  <c r="AV35" i="5"/>
  <c r="AR31" i="6"/>
  <c r="AP32" i="6" s="1"/>
  <c r="AP33" i="4"/>
  <c r="AV33" i="4" s="1"/>
  <c r="AR31" i="3"/>
  <c r="AP32" i="3" s="1"/>
  <c r="AV31" i="3"/>
  <c r="AP36" i="5" l="1"/>
  <c r="AN36" i="5"/>
  <c r="AN32" i="6"/>
  <c r="AR32" i="6" s="1"/>
  <c r="AN33" i="6" s="1"/>
  <c r="AR33" i="4"/>
  <c r="AP34" i="4" s="1"/>
  <c r="AN32" i="3"/>
  <c r="AR32" i="3" s="1"/>
  <c r="AN33" i="3" s="1"/>
  <c r="AR36" i="5" l="1"/>
  <c r="AV36" i="5"/>
  <c r="AV32" i="6"/>
  <c r="AP33" i="6"/>
  <c r="AV33" i="6" s="1"/>
  <c r="AN34" i="4"/>
  <c r="AR34" i="4" s="1"/>
  <c r="AV32" i="3"/>
  <c r="AP33" i="3"/>
  <c r="AV33" i="3" s="1"/>
  <c r="AP37" i="5" l="1"/>
  <c r="AN37" i="5"/>
  <c r="AR33" i="6"/>
  <c r="AN34" i="6" s="1"/>
  <c r="AV34" i="4"/>
  <c r="AN35" i="4"/>
  <c r="AP35" i="4"/>
  <c r="AR33" i="3"/>
  <c r="AN34" i="3" s="1"/>
  <c r="AR37" i="5" l="1"/>
  <c r="AN38" i="5" s="1"/>
  <c r="AV37" i="5"/>
  <c r="AP34" i="6"/>
  <c r="AR34" i="6" s="1"/>
  <c r="AP35" i="6" s="1"/>
  <c r="AR35" i="4"/>
  <c r="AN36" i="4" s="1"/>
  <c r="AV35" i="4"/>
  <c r="AP34" i="3"/>
  <c r="AR34" i="3" s="1"/>
  <c r="AP38" i="5" l="1"/>
  <c r="AV38" i="5" s="1"/>
  <c r="AV34" i="6"/>
  <c r="AN35" i="6"/>
  <c r="AV35" i="6" s="1"/>
  <c r="S8" i="5"/>
  <c r="AP36" i="4"/>
  <c r="AV36" i="4" s="1"/>
  <c r="AV34" i="3"/>
  <c r="AN35" i="3"/>
  <c r="AP35" i="3"/>
  <c r="AR38" i="5" l="1"/>
  <c r="AR35" i="6"/>
  <c r="AP36" i="6" s="1"/>
  <c r="AR36" i="4"/>
  <c r="AP37" i="4" s="1"/>
  <c r="AV35" i="3"/>
  <c r="AR35" i="3"/>
  <c r="AP36" i="3" s="1"/>
  <c r="AP39" i="5" l="1"/>
  <c r="AN39" i="5"/>
  <c r="AN36" i="6"/>
  <c r="AV36" i="6" s="1"/>
  <c r="AN37" i="4"/>
  <c r="AV37" i="4" s="1"/>
  <c r="AN36" i="3"/>
  <c r="AR36" i="3" s="1"/>
  <c r="AV39" i="5" l="1"/>
  <c r="AR39" i="5"/>
  <c r="AR36" i="6"/>
  <c r="AN37" i="6" s="1"/>
  <c r="AR37" i="4"/>
  <c r="AN38" i="4" s="1"/>
  <c r="AP37" i="3"/>
  <c r="AN37" i="3"/>
  <c r="AV36" i="3"/>
  <c r="AP40" i="5" l="1"/>
  <c r="AN40" i="5"/>
  <c r="AP37" i="6"/>
  <c r="AV37" i="6" s="1"/>
  <c r="W8" i="5"/>
  <c r="AP38" i="4"/>
  <c r="AV38" i="4" s="1"/>
  <c r="AV37" i="3"/>
  <c r="AR37" i="3"/>
  <c r="AR40" i="5" l="1"/>
  <c r="AN41" i="5" s="1"/>
  <c r="AV40" i="5"/>
  <c r="AR37" i="6"/>
  <c r="AN38" i="6" s="1"/>
  <c r="AR38" i="4"/>
  <c r="AN39" i="4" s="1"/>
  <c r="AN38" i="3"/>
  <c r="AP38" i="3"/>
  <c r="AP41" i="5" l="1"/>
  <c r="AR41" i="5" s="1"/>
  <c r="AN42" i="5" s="1"/>
  <c r="AP38" i="6"/>
  <c r="AV38" i="6" s="1"/>
  <c r="AP39" i="4"/>
  <c r="AV39" i="4" s="1"/>
  <c r="AR38" i="3"/>
  <c r="AV38" i="3"/>
  <c r="AP42" i="5" l="1"/>
  <c r="AR42" i="5" s="1"/>
  <c r="AV41" i="5"/>
  <c r="AR38" i="6"/>
  <c r="AP39" i="6" s="1"/>
  <c r="AR39" i="4"/>
  <c r="AN40" i="4" s="1"/>
  <c r="AN39" i="3"/>
  <c r="AP39" i="3"/>
  <c r="AV42" i="5" l="1"/>
  <c r="AN43" i="5"/>
  <c r="AP43" i="5"/>
  <c r="AN39" i="6"/>
  <c r="AV39" i="6" s="1"/>
  <c r="AP40" i="4"/>
  <c r="AV40" i="4" s="1"/>
  <c r="AV39" i="3"/>
  <c r="AR39" i="3"/>
  <c r="AP40" i="3" s="1"/>
  <c r="AV43" i="5" l="1"/>
  <c r="AR43" i="5"/>
  <c r="AR39" i="6"/>
  <c r="AP40" i="6" s="1"/>
  <c r="AR40" i="4"/>
  <c r="AN41" i="4" s="1"/>
  <c r="AN40" i="3"/>
  <c r="AR40" i="3" s="1"/>
  <c r="AN41" i="3" s="1"/>
  <c r="AN44" i="5" l="1"/>
  <c r="AP44" i="5"/>
  <c r="AN40" i="6"/>
  <c r="AV40" i="6" s="1"/>
  <c r="AP41" i="4"/>
  <c r="AR41" i="4" s="1"/>
  <c r="AP41" i="3"/>
  <c r="AR41" i="3" s="1"/>
  <c r="AV40" i="3"/>
  <c r="AV44" i="5" l="1"/>
  <c r="AR44" i="5"/>
  <c r="C17" i="5" s="1"/>
  <c r="W7" i="5" s="1"/>
  <c r="AR40" i="6"/>
  <c r="AN41" i="6" s="1"/>
  <c r="AV41" i="4"/>
  <c r="AP42" i="4"/>
  <c r="AN42" i="4"/>
  <c r="AV41" i="3"/>
  <c r="AN42" i="3"/>
  <c r="AP42" i="3"/>
  <c r="O7" i="5" l="1"/>
  <c r="S7" i="5"/>
  <c r="S4" i="5"/>
  <c r="S10" i="5" s="1"/>
  <c r="G7" i="5"/>
  <c r="W4" i="5"/>
  <c r="K22" i="5"/>
  <c r="K30" i="5"/>
  <c r="K24" i="5"/>
  <c r="G41" i="5"/>
  <c r="K29" i="5"/>
  <c r="O4" i="5"/>
  <c r="K27" i="5"/>
  <c r="G6" i="5"/>
  <c r="K26" i="5" s="1"/>
  <c r="K23" i="5"/>
  <c r="K16" i="5"/>
  <c r="K35" i="5"/>
  <c r="K25" i="5"/>
  <c r="G40" i="5"/>
  <c r="K28" i="5"/>
  <c r="K21" i="5"/>
  <c r="AP41" i="6"/>
  <c r="AR41" i="6" s="1"/>
  <c r="AN42" i="6" s="1"/>
  <c r="AR42" i="4"/>
  <c r="AP43" i="4" s="1"/>
  <c r="AV42" i="4"/>
  <c r="AV42" i="3"/>
  <c r="AR42" i="3"/>
  <c r="K47" i="5" l="1"/>
  <c r="K46" i="5"/>
  <c r="K38" i="5"/>
  <c r="K4" i="5"/>
  <c r="K5" i="5" s="1"/>
  <c r="K39" i="5"/>
  <c r="O10" i="5"/>
  <c r="O11" i="5" s="1"/>
  <c r="O12" i="5" s="1"/>
  <c r="O17" i="5" s="1"/>
  <c r="W10" i="5"/>
  <c r="W11" i="5" s="1"/>
  <c r="W12" i="5" s="1"/>
  <c r="W17" i="5" s="1"/>
  <c r="S11" i="5"/>
  <c r="S12" i="5" s="1"/>
  <c r="S17" i="5" s="1"/>
  <c r="AV41" i="6"/>
  <c r="AP42" i="6"/>
  <c r="AR42" i="6" s="1"/>
  <c r="AN43" i="6" s="1"/>
  <c r="AN43" i="4"/>
  <c r="AR43" i="4" s="1"/>
  <c r="AP44" i="4" s="1"/>
  <c r="AN43" i="3"/>
  <c r="AP43" i="3"/>
  <c r="S13" i="5" l="1"/>
  <c r="O13" i="5"/>
  <c r="S25" i="5"/>
  <c r="S27" i="5" s="1"/>
  <c r="S20" i="5"/>
  <c r="W13" i="5"/>
  <c r="W25" i="5"/>
  <c r="W27" i="5" s="1"/>
  <c r="W20" i="5"/>
  <c r="O25" i="5"/>
  <c r="O27" i="5" s="1"/>
  <c r="O20" i="5"/>
  <c r="AP43" i="6"/>
  <c r="AR43" i="6" s="1"/>
  <c r="AN44" i="6" s="1"/>
  <c r="AV42" i="6"/>
  <c r="AV43" i="4"/>
  <c r="AN44" i="4"/>
  <c r="AV44" i="4" s="1"/>
  <c r="AR43" i="3"/>
  <c r="AV43" i="3"/>
  <c r="AF39" i="5" l="1"/>
  <c r="AH39" i="5"/>
  <c r="AD39" i="5"/>
  <c r="AD74" i="5"/>
  <c r="AF74" i="5"/>
  <c r="AH74" i="5"/>
  <c r="AH4" i="5"/>
  <c r="AD4" i="5"/>
  <c r="AF4" i="5"/>
  <c r="AV43" i="6"/>
  <c r="AP44" i="6"/>
  <c r="AV44" i="6" s="1"/>
  <c r="AR44" i="4"/>
  <c r="AP44" i="3"/>
  <c r="AN44" i="3"/>
  <c r="AJ4" i="5" l="1"/>
  <c r="AE5" i="5" s="1"/>
  <c r="AF5" i="5" s="1"/>
  <c r="AI39" i="5"/>
  <c r="AC40" i="5" s="1"/>
  <c r="AD40" i="5" s="1"/>
  <c r="AI4" i="5"/>
  <c r="AC5" i="5" s="1"/>
  <c r="AJ74" i="5"/>
  <c r="AE75" i="5" s="1"/>
  <c r="AF75" i="5" s="1"/>
  <c r="AI74" i="5"/>
  <c r="AC75" i="5" s="1"/>
  <c r="AJ39" i="5"/>
  <c r="AE40" i="5" s="1"/>
  <c r="AR44" i="6"/>
  <c r="C15" i="6" s="1"/>
  <c r="K38" i="6" s="1"/>
  <c r="C17" i="4"/>
  <c r="AR44" i="3"/>
  <c r="C15" i="3" s="1"/>
  <c r="AV44" i="3"/>
  <c r="W6" i="6" l="1"/>
  <c r="O6" i="6"/>
  <c r="S6" i="6"/>
  <c r="O5" i="3"/>
  <c r="O7" i="3" s="1"/>
  <c r="W6" i="4"/>
  <c r="W7" i="4" s="1"/>
  <c r="W8" i="4" s="1"/>
  <c r="O6" i="4"/>
  <c r="O8" i="4" s="1"/>
  <c r="AG5" i="5"/>
  <c r="AH5" i="5" s="1"/>
  <c r="AJ5" i="5" s="1"/>
  <c r="AE6" i="5" s="1"/>
  <c r="AD5" i="5"/>
  <c r="AK5" i="5"/>
  <c r="AK75" i="5"/>
  <c r="AK40" i="5"/>
  <c r="AF40" i="5"/>
  <c r="AG40" i="5"/>
  <c r="AH40" i="5" s="1"/>
  <c r="AI40" i="5" s="1"/>
  <c r="AC41" i="5" s="1"/>
  <c r="AG75" i="5"/>
  <c r="AH75" i="5" s="1"/>
  <c r="AJ75" i="5" s="1"/>
  <c r="AE76" i="5" s="1"/>
  <c r="AD75" i="5"/>
  <c r="S6" i="4"/>
  <c r="S7" i="4" s="1"/>
  <c r="S5" i="3"/>
  <c r="S7" i="3" s="1"/>
  <c r="S8" i="3" s="1"/>
  <c r="S12" i="3" s="1"/>
  <c r="S13" i="3" s="1"/>
  <c r="W5" i="3"/>
  <c r="W6" i="3" s="1"/>
  <c r="S29" i="3"/>
  <c r="K19" i="3"/>
  <c r="K17" i="6"/>
  <c r="K18" i="6"/>
  <c r="K21" i="4"/>
  <c r="K22" i="4"/>
  <c r="K18" i="3"/>
  <c r="K24" i="6"/>
  <c r="W12" i="6"/>
  <c r="K23" i="6"/>
  <c r="O12" i="6"/>
  <c r="S12" i="6"/>
  <c r="S13" i="6" s="1"/>
  <c r="K25" i="6"/>
  <c r="K12" i="6"/>
  <c r="G6" i="6"/>
  <c r="K21" i="6" s="1"/>
  <c r="G41" i="6"/>
  <c r="K22" i="6"/>
  <c r="G40" i="6"/>
  <c r="G7" i="6"/>
  <c r="K25" i="4"/>
  <c r="K28" i="4"/>
  <c r="G41" i="4"/>
  <c r="S4" i="4"/>
  <c r="S10" i="4" s="1"/>
  <c r="G7" i="4"/>
  <c r="K30" i="4"/>
  <c r="O4" i="4"/>
  <c r="O11" i="4" s="1"/>
  <c r="K27" i="4"/>
  <c r="K35" i="4"/>
  <c r="W4" i="4"/>
  <c r="W10" i="4" s="1"/>
  <c r="K16" i="4"/>
  <c r="K23" i="4"/>
  <c r="K24" i="4"/>
  <c r="K29" i="4"/>
  <c r="G40" i="4"/>
  <c r="G6" i="4"/>
  <c r="K26" i="4" s="1"/>
  <c r="G40" i="3"/>
  <c r="K23" i="3"/>
  <c r="G6" i="3"/>
  <c r="K22" i="3" s="1"/>
  <c r="G41" i="3"/>
  <c r="K25" i="3"/>
  <c r="K26" i="3"/>
  <c r="K24" i="3"/>
  <c r="G7" i="3"/>
  <c r="K13" i="3"/>
  <c r="K32" i="3"/>
  <c r="K34" i="6" l="1"/>
  <c r="K33" i="6"/>
  <c r="O7" i="4"/>
  <c r="O9" i="4" s="1"/>
  <c r="AI5" i="5"/>
  <c r="AC6" i="5" s="1"/>
  <c r="AD6" i="5" s="1"/>
  <c r="AI75" i="5"/>
  <c r="AC76" i="5" s="1"/>
  <c r="AD76" i="5" s="1"/>
  <c r="AF76" i="5"/>
  <c r="AJ40" i="5"/>
  <c r="AE41" i="5" s="1"/>
  <c r="AG41" i="5" s="1"/>
  <c r="AH41" i="5" s="1"/>
  <c r="AF6" i="5"/>
  <c r="AD41" i="5"/>
  <c r="O6" i="3"/>
  <c r="O8" i="3"/>
  <c r="O9" i="3" s="1"/>
  <c r="K38" i="4"/>
  <c r="K35" i="3"/>
  <c r="K41" i="6"/>
  <c r="K42" i="6"/>
  <c r="O18" i="6"/>
  <c r="O13" i="6"/>
  <c r="O17" i="6" s="1"/>
  <c r="O19" i="6" s="1"/>
  <c r="S18" i="6"/>
  <c r="S17" i="6"/>
  <c r="S19" i="6" s="1"/>
  <c r="S22" i="6" s="1"/>
  <c r="W13" i="6"/>
  <c r="W17" i="6" s="1"/>
  <c r="W19" i="6" s="1"/>
  <c r="W22" i="6" s="1"/>
  <c r="W18" i="6"/>
  <c r="K47" i="4"/>
  <c r="K46" i="4"/>
  <c r="S11" i="4"/>
  <c r="S12" i="4" s="1"/>
  <c r="S17" i="4" s="1"/>
  <c r="S25" i="4" s="1"/>
  <c r="W11" i="4"/>
  <c r="W12" i="4" s="1"/>
  <c r="W13" i="4" s="1"/>
  <c r="K39" i="4"/>
  <c r="S8" i="4"/>
  <c r="K4" i="4"/>
  <c r="K5" i="4" s="1"/>
  <c r="K41" i="3"/>
  <c r="K40" i="3"/>
  <c r="W7" i="3"/>
  <c r="W8" i="3" s="1"/>
  <c r="W12" i="3" s="1"/>
  <c r="S6" i="3"/>
  <c r="K36" i="3"/>
  <c r="S18" i="3"/>
  <c r="S17" i="3"/>
  <c r="O12" i="4" l="1"/>
  <c r="O13" i="4" s="1"/>
  <c r="O14" i="4" s="1"/>
  <c r="AK6" i="5"/>
  <c r="AG6" i="5"/>
  <c r="AH6" i="5" s="1"/>
  <c r="AI6" i="5" s="1"/>
  <c r="AC7" i="5" s="1"/>
  <c r="AD7" i="5" s="1"/>
  <c r="AK76" i="5"/>
  <c r="AG76" i="5"/>
  <c r="AH76" i="5" s="1"/>
  <c r="AJ76" i="5" s="1"/>
  <c r="AE77" i="5" s="1"/>
  <c r="AF77" i="5" s="1"/>
  <c r="AI41" i="5"/>
  <c r="AC42" i="5" s="1"/>
  <c r="AD42" i="5" s="1"/>
  <c r="AF41" i="5"/>
  <c r="AJ41" i="5" s="1"/>
  <c r="AE42" i="5" s="1"/>
  <c r="AK41" i="5"/>
  <c r="S25" i="6"/>
  <c r="S27" i="6" s="1"/>
  <c r="O22" i="6"/>
  <c r="O25" i="6" s="1"/>
  <c r="O27" i="6" s="1"/>
  <c r="W25" i="6"/>
  <c r="W27" i="6" s="1"/>
  <c r="W20" i="6"/>
  <c r="AD74" i="6" s="1"/>
  <c r="S20" i="6"/>
  <c r="AD4" i="6" s="1"/>
  <c r="O20" i="6"/>
  <c r="AD39" i="6" s="1"/>
  <c r="S20" i="4"/>
  <c r="S13" i="4"/>
  <c r="W17" i="4"/>
  <c r="W20" i="4" s="1"/>
  <c r="S19" i="3"/>
  <c r="S22" i="3" s="1"/>
  <c r="W13" i="3"/>
  <c r="W17" i="3" s="1"/>
  <c r="O13" i="3"/>
  <c r="O14" i="3" s="1"/>
  <c r="S27" i="4"/>
  <c r="O18" i="4" l="1"/>
  <c r="O21" i="4" s="1"/>
  <c r="AJ6" i="5"/>
  <c r="AE7" i="5" s="1"/>
  <c r="AK7" i="5" s="1"/>
  <c r="AI76" i="5"/>
  <c r="AC77" i="5" s="1"/>
  <c r="AD77" i="5" s="1"/>
  <c r="AK42" i="5"/>
  <c r="AF42" i="5"/>
  <c r="AG42" i="5"/>
  <c r="AH42" i="5" s="1"/>
  <c r="AI42" i="5" s="1"/>
  <c r="AC43" i="5" s="1"/>
  <c r="AF74" i="6"/>
  <c r="AH74" i="6"/>
  <c r="AF39" i="6"/>
  <c r="AH4" i="6"/>
  <c r="AI4" i="6" s="1"/>
  <c r="AC5" i="6" s="1"/>
  <c r="AH39" i="6"/>
  <c r="AF4" i="6"/>
  <c r="W25" i="4"/>
  <c r="W27" i="4" s="1"/>
  <c r="W19" i="3"/>
  <c r="W18" i="3"/>
  <c r="O18" i="3"/>
  <c r="O19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O26" i="4" l="1"/>
  <c r="O28" i="4" s="1"/>
  <c r="AG7" i="5"/>
  <c r="AH7" i="5" s="1"/>
  <c r="AI7" i="5" s="1"/>
  <c r="AC8" i="5" s="1"/>
  <c r="AD8" i="5" s="1"/>
  <c r="AF7" i="5"/>
  <c r="AG77" i="5"/>
  <c r="AH77" i="5" s="1"/>
  <c r="AJ77" i="5" s="1"/>
  <c r="AE78" i="5" s="1"/>
  <c r="AF78" i="5" s="1"/>
  <c r="AK77" i="5"/>
  <c r="AD43" i="5"/>
  <c r="AJ42" i="5"/>
  <c r="AE43" i="5" s="1"/>
  <c r="AJ74" i="6"/>
  <c r="AE75" i="6" s="1"/>
  <c r="AF75" i="6" s="1"/>
  <c r="AJ4" i="6"/>
  <c r="AE5" i="6" s="1"/>
  <c r="AF5" i="6" s="1"/>
  <c r="AI74" i="6"/>
  <c r="AC75" i="6" s="1"/>
  <c r="AJ39" i="6"/>
  <c r="AE40" i="6" s="1"/>
  <c r="AF40" i="6" s="1"/>
  <c r="AD5" i="6"/>
  <c r="AI39" i="6"/>
  <c r="AC40" i="6" s="1"/>
  <c r="AH4" i="3"/>
  <c r="AF4" i="3"/>
  <c r="AD4" i="3"/>
  <c r="O20" i="3"/>
  <c r="O21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AJ7" i="5" l="1"/>
  <c r="AE8" i="5" s="1"/>
  <c r="AI77" i="5"/>
  <c r="AC78" i="5" s="1"/>
  <c r="AF43" i="5"/>
  <c r="AK43" i="5"/>
  <c r="AG43" i="5"/>
  <c r="AH43" i="5" s="1"/>
  <c r="AI43" i="5" s="1"/>
  <c r="AC44" i="5" s="1"/>
  <c r="AD44" i="5" s="1"/>
  <c r="AK75" i="6"/>
  <c r="AG5" i="6"/>
  <c r="AH5" i="6" s="1"/>
  <c r="AJ5" i="6" s="1"/>
  <c r="AE6" i="6" s="1"/>
  <c r="AF6" i="6" s="1"/>
  <c r="AK5" i="6"/>
  <c r="AD75" i="6"/>
  <c r="AG75" i="6"/>
  <c r="AH75" i="6" s="1"/>
  <c r="AJ75" i="6" s="1"/>
  <c r="AE76" i="6" s="1"/>
  <c r="AF76" i="6" s="1"/>
  <c r="AD40" i="6"/>
  <c r="AG40" i="6"/>
  <c r="AH40" i="6" s="1"/>
  <c r="AJ40" i="6" s="1"/>
  <c r="AE41" i="6" s="1"/>
  <c r="AF41" i="6" s="1"/>
  <c r="AK40" i="6"/>
  <c r="W25" i="3"/>
  <c r="W27" i="3" s="1"/>
  <c r="O23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AK8" i="5" l="1"/>
  <c r="AG8" i="5"/>
  <c r="AH8" i="5" s="1"/>
  <c r="AI8" i="5" s="1"/>
  <c r="AC9" i="5" s="1"/>
  <c r="AD9" i="5" s="1"/>
  <c r="AF8" i="5"/>
  <c r="AD78" i="5"/>
  <c r="AG78" i="5"/>
  <c r="AH78" i="5" s="1"/>
  <c r="AJ78" i="5" s="1"/>
  <c r="AE79" i="5" s="1"/>
  <c r="AF79" i="5" s="1"/>
  <c r="AK78" i="5"/>
  <c r="AJ43" i="5"/>
  <c r="AE44" i="5" s="1"/>
  <c r="AI5" i="6"/>
  <c r="AC6" i="6" s="1"/>
  <c r="AD6" i="6" s="1"/>
  <c r="AI75" i="6"/>
  <c r="AC76" i="6" s="1"/>
  <c r="AI40" i="6"/>
  <c r="AC41" i="6" s="1"/>
  <c r="O26" i="3"/>
  <c r="O28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J8" i="5" l="1"/>
  <c r="AE9" i="5" s="1"/>
  <c r="AK9" i="5" s="1"/>
  <c r="AI78" i="5"/>
  <c r="AC79" i="5" s="1"/>
  <c r="AG44" i="5"/>
  <c r="AH44" i="5" s="1"/>
  <c r="AI44" i="5" s="1"/>
  <c r="AC45" i="5" s="1"/>
  <c r="AK44" i="5"/>
  <c r="AF44" i="5"/>
  <c r="AK6" i="6"/>
  <c r="AG6" i="6"/>
  <c r="AH6" i="6" s="1"/>
  <c r="AI6" i="6" s="1"/>
  <c r="AC7" i="6" s="1"/>
  <c r="AD7" i="6" s="1"/>
  <c r="AD76" i="6"/>
  <c r="AG76" i="6"/>
  <c r="AH76" i="6" s="1"/>
  <c r="AK76" i="6"/>
  <c r="AG41" i="6"/>
  <c r="AH41" i="6" s="1"/>
  <c r="AJ41" i="6" s="1"/>
  <c r="AE42" i="6" s="1"/>
  <c r="AD41" i="6"/>
  <c r="AK41" i="6"/>
  <c r="AI39" i="3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G9" i="5" l="1"/>
  <c r="AH9" i="5" s="1"/>
  <c r="AI9" i="5" s="1"/>
  <c r="AC10" i="5" s="1"/>
  <c r="AD10" i="5" s="1"/>
  <c r="AF9" i="5"/>
  <c r="AJ44" i="5"/>
  <c r="AE45" i="5" s="1"/>
  <c r="AF45" i="5" s="1"/>
  <c r="AG79" i="5"/>
  <c r="AH79" i="5" s="1"/>
  <c r="AJ79" i="5" s="1"/>
  <c r="AE80" i="5" s="1"/>
  <c r="AF80" i="5" s="1"/>
  <c r="AD79" i="5"/>
  <c r="AK79" i="5"/>
  <c r="AD45" i="5"/>
  <c r="AJ6" i="6"/>
  <c r="AE7" i="6" s="1"/>
  <c r="AF7" i="6" s="1"/>
  <c r="AI76" i="6"/>
  <c r="AC77" i="6" s="1"/>
  <c r="AJ76" i="6"/>
  <c r="AE77" i="6" s="1"/>
  <c r="AI41" i="6"/>
  <c r="AC42" i="6" s="1"/>
  <c r="AD42" i="6" s="1"/>
  <c r="AF42" i="6"/>
  <c r="AJ5" i="3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J9" i="5" l="1"/>
  <c r="AE10" i="5" s="1"/>
  <c r="AG10" i="5" s="1"/>
  <c r="AH10" i="5" s="1"/>
  <c r="AI10" i="5" s="1"/>
  <c r="AC11" i="5" s="1"/>
  <c r="AD11" i="5" s="1"/>
  <c r="AG45" i="5"/>
  <c r="AH45" i="5" s="1"/>
  <c r="AI45" i="5" s="1"/>
  <c r="AC46" i="5" s="1"/>
  <c r="AD46" i="5" s="1"/>
  <c r="AK45" i="5"/>
  <c r="AI79" i="5"/>
  <c r="AC80" i="5" s="1"/>
  <c r="AK80" i="5" s="1"/>
  <c r="AK42" i="6"/>
  <c r="AG7" i="6"/>
  <c r="AH7" i="6" s="1"/>
  <c r="AK7" i="6"/>
  <c r="AG42" i="6"/>
  <c r="AH42" i="6" s="1"/>
  <c r="AI42" i="6" s="1"/>
  <c r="AC43" i="6" s="1"/>
  <c r="AD43" i="6" s="1"/>
  <c r="AK77" i="6"/>
  <c r="AF77" i="6"/>
  <c r="AD77" i="6"/>
  <c r="AG77" i="6"/>
  <c r="AH77" i="6" s="1"/>
  <c r="AG6" i="3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F10" i="5" l="1"/>
  <c r="AJ10" i="5" s="1"/>
  <c r="AE11" i="5" s="1"/>
  <c r="AF11" i="5" s="1"/>
  <c r="AK10" i="5"/>
  <c r="AJ45" i="5"/>
  <c r="AE46" i="5" s="1"/>
  <c r="AG46" i="5" s="1"/>
  <c r="AH46" i="5" s="1"/>
  <c r="AI46" i="5" s="1"/>
  <c r="AC47" i="5" s="1"/>
  <c r="AD47" i="5" s="1"/>
  <c r="AD80" i="5"/>
  <c r="AG80" i="5"/>
  <c r="AH80" i="5" s="1"/>
  <c r="AJ42" i="6"/>
  <c r="AE43" i="6" s="1"/>
  <c r="AK43" i="6" s="1"/>
  <c r="AJ7" i="6"/>
  <c r="AE8" i="6" s="1"/>
  <c r="AI7" i="6"/>
  <c r="AC8" i="6" s="1"/>
  <c r="AI77" i="6"/>
  <c r="AC78" i="6" s="1"/>
  <c r="AD78" i="6" s="1"/>
  <c r="AJ77" i="6"/>
  <c r="AE78" i="6" s="1"/>
  <c r="AI40" i="3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K11" i="5" l="1"/>
  <c r="AG11" i="5"/>
  <c r="AH11" i="5" s="1"/>
  <c r="AI11" i="5" s="1"/>
  <c r="AC12" i="5" s="1"/>
  <c r="AD12" i="5" s="1"/>
  <c r="AF46" i="5"/>
  <c r="AJ46" i="5" s="1"/>
  <c r="AE47" i="5" s="1"/>
  <c r="AG47" i="5" s="1"/>
  <c r="AH47" i="5" s="1"/>
  <c r="AI47" i="5" s="1"/>
  <c r="AC48" i="5" s="1"/>
  <c r="AK46" i="5"/>
  <c r="AI80" i="5"/>
  <c r="AC81" i="5" s="1"/>
  <c r="AJ80" i="5"/>
  <c r="AE81" i="5" s="1"/>
  <c r="AG43" i="6"/>
  <c r="AH43" i="6" s="1"/>
  <c r="AI43" i="6" s="1"/>
  <c r="AC44" i="6" s="1"/>
  <c r="AD44" i="6" s="1"/>
  <c r="AF43" i="6"/>
  <c r="AD8" i="6"/>
  <c r="AG8" i="6"/>
  <c r="AH8" i="6" s="1"/>
  <c r="AF8" i="6"/>
  <c r="AK8" i="6"/>
  <c r="AF78" i="6"/>
  <c r="AG78" i="6"/>
  <c r="AH78" i="6" s="1"/>
  <c r="AK78" i="6"/>
  <c r="AH76" i="3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11" i="5" l="1"/>
  <c r="AE12" i="5" s="1"/>
  <c r="AG12" i="5" s="1"/>
  <c r="AH12" i="5" s="1"/>
  <c r="AI12" i="5" s="1"/>
  <c r="AC13" i="5" s="1"/>
  <c r="AD13" i="5" s="1"/>
  <c r="AF47" i="5"/>
  <c r="AJ47" i="5" s="1"/>
  <c r="AE48" i="5" s="1"/>
  <c r="AK47" i="5"/>
  <c r="AF81" i="5"/>
  <c r="AK81" i="5"/>
  <c r="AD81" i="5"/>
  <c r="AG81" i="5"/>
  <c r="AH81" i="5" s="1"/>
  <c r="AD48" i="5"/>
  <c r="AJ43" i="6"/>
  <c r="AE44" i="6" s="1"/>
  <c r="AK44" i="6" s="1"/>
  <c r="AJ8" i="6"/>
  <c r="AE9" i="6" s="1"/>
  <c r="AI8" i="6"/>
  <c r="AC9" i="6" s="1"/>
  <c r="AJ78" i="6"/>
  <c r="AE79" i="6" s="1"/>
  <c r="AF79" i="6" s="1"/>
  <c r="AI78" i="6"/>
  <c r="AC79" i="6" s="1"/>
  <c r="AJ76" i="3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K12" i="5" l="1"/>
  <c r="AF12" i="5"/>
  <c r="AJ12" i="5" s="1"/>
  <c r="AE13" i="5" s="1"/>
  <c r="AG13" i="5" s="1"/>
  <c r="AH13" i="5" s="1"/>
  <c r="AI13" i="5" s="1"/>
  <c r="AC14" i="5" s="1"/>
  <c r="AD14" i="5" s="1"/>
  <c r="AG48" i="5"/>
  <c r="AH48" i="5" s="1"/>
  <c r="AI48" i="5" s="1"/>
  <c r="AC49" i="5" s="1"/>
  <c r="AD49" i="5" s="1"/>
  <c r="AK48" i="5"/>
  <c r="AF48" i="5"/>
  <c r="AI81" i="5"/>
  <c r="AC82" i="5" s="1"/>
  <c r="AD82" i="5" s="1"/>
  <c r="AJ81" i="5"/>
  <c r="AE82" i="5" s="1"/>
  <c r="AG44" i="6"/>
  <c r="AH44" i="6" s="1"/>
  <c r="AI44" i="6" s="1"/>
  <c r="AC45" i="6" s="1"/>
  <c r="AD45" i="6" s="1"/>
  <c r="AF44" i="6"/>
  <c r="AD9" i="6"/>
  <c r="AG9" i="6"/>
  <c r="AH9" i="6" s="1"/>
  <c r="AF9" i="6"/>
  <c r="AK9" i="6"/>
  <c r="AK79" i="6"/>
  <c r="AG79" i="6"/>
  <c r="AH79" i="6" s="1"/>
  <c r="AJ79" i="6" s="1"/>
  <c r="AE80" i="6" s="1"/>
  <c r="AF80" i="6" s="1"/>
  <c r="AD79" i="6"/>
  <c r="AG77" i="3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F13" i="5" l="1"/>
  <c r="AJ13" i="5" s="1"/>
  <c r="AE14" i="5" s="1"/>
  <c r="AG14" i="5" s="1"/>
  <c r="AH14" i="5" s="1"/>
  <c r="AI14" i="5" s="1"/>
  <c r="AC15" i="5" s="1"/>
  <c r="AK13" i="5"/>
  <c r="AJ48" i="5"/>
  <c r="AE49" i="5" s="1"/>
  <c r="AK49" i="5" s="1"/>
  <c r="AK82" i="5"/>
  <c r="AF82" i="5"/>
  <c r="AG82" i="5"/>
  <c r="AH82" i="5" s="1"/>
  <c r="AI82" i="5" s="1"/>
  <c r="AC83" i="5" s="1"/>
  <c r="AJ44" i="6"/>
  <c r="AE45" i="6" s="1"/>
  <c r="AF45" i="6" s="1"/>
  <c r="AI9" i="6"/>
  <c r="AC10" i="6" s="1"/>
  <c r="AD10" i="6" s="1"/>
  <c r="AJ9" i="6"/>
  <c r="AE10" i="6" s="1"/>
  <c r="AI79" i="6"/>
  <c r="AC80" i="6" s="1"/>
  <c r="AG80" i="6" s="1"/>
  <c r="AH80" i="6" s="1"/>
  <c r="AJ80" i="6" s="1"/>
  <c r="AE81" i="6" s="1"/>
  <c r="AF81" i="6" s="1"/>
  <c r="AI42" i="3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K14" i="5" l="1"/>
  <c r="AF14" i="5"/>
  <c r="AJ14" i="5" s="1"/>
  <c r="AE15" i="5" s="1"/>
  <c r="AG15" i="5" s="1"/>
  <c r="AH15" i="5" s="1"/>
  <c r="AF49" i="5"/>
  <c r="AG49" i="5"/>
  <c r="AH49" i="5" s="1"/>
  <c r="AI49" i="5" s="1"/>
  <c r="AC50" i="5" s="1"/>
  <c r="AD50" i="5" s="1"/>
  <c r="AD83" i="5"/>
  <c r="AJ82" i="5"/>
  <c r="AE83" i="5" s="1"/>
  <c r="AD15" i="5"/>
  <c r="AK45" i="6"/>
  <c r="AG45" i="6"/>
  <c r="AH45" i="6" s="1"/>
  <c r="AI45" i="6" s="1"/>
  <c r="AC46" i="6" s="1"/>
  <c r="AD46" i="6" s="1"/>
  <c r="AK10" i="6"/>
  <c r="AG10" i="6"/>
  <c r="AH10" i="6" s="1"/>
  <c r="AI10" i="6" s="1"/>
  <c r="AC11" i="6" s="1"/>
  <c r="AD11" i="6" s="1"/>
  <c r="AF10" i="6"/>
  <c r="AD80" i="6"/>
  <c r="AI80" i="6" s="1"/>
  <c r="AC81" i="6" s="1"/>
  <c r="AK80" i="6"/>
  <c r="AF43" i="3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9" i="5" l="1"/>
  <c r="AE50" i="5" s="1"/>
  <c r="AF50" i="5" s="1"/>
  <c r="AK83" i="5"/>
  <c r="AF83" i="5"/>
  <c r="AG83" i="5"/>
  <c r="AH83" i="5" s="1"/>
  <c r="AI83" i="5" s="1"/>
  <c r="AC84" i="5" s="1"/>
  <c r="AI15" i="5"/>
  <c r="AC16" i="5" s="1"/>
  <c r="AD16" i="5" s="1"/>
  <c r="AF15" i="5"/>
  <c r="AJ15" i="5" s="1"/>
  <c r="AE16" i="5" s="1"/>
  <c r="AK15" i="5"/>
  <c r="AJ45" i="6"/>
  <c r="AE46" i="6" s="1"/>
  <c r="AK46" i="6" s="1"/>
  <c r="AJ10" i="6"/>
  <c r="AE11" i="6" s="1"/>
  <c r="AG81" i="6"/>
  <c r="AH81" i="6" s="1"/>
  <c r="AJ81" i="6" s="1"/>
  <c r="AE82" i="6" s="1"/>
  <c r="AF82" i="6" s="1"/>
  <c r="AD81" i="6"/>
  <c r="AK81" i="6"/>
  <c r="AJ43" i="3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K50" i="5" l="1"/>
  <c r="AG50" i="5"/>
  <c r="AH50" i="5" s="1"/>
  <c r="AI50" i="5" s="1"/>
  <c r="AC51" i="5" s="1"/>
  <c r="AD51" i="5" s="1"/>
  <c r="AD84" i="5"/>
  <c r="AJ83" i="5"/>
  <c r="AE84" i="5" s="1"/>
  <c r="AG16" i="5"/>
  <c r="AH16" i="5" s="1"/>
  <c r="AI16" i="5" s="1"/>
  <c r="AC17" i="5" s="1"/>
  <c r="AD17" i="5" s="1"/>
  <c r="AF16" i="5"/>
  <c r="AK16" i="5"/>
  <c r="AG46" i="6"/>
  <c r="AH46" i="6" s="1"/>
  <c r="AI46" i="6" s="1"/>
  <c r="AC47" i="6" s="1"/>
  <c r="AD47" i="6" s="1"/>
  <c r="AF46" i="6"/>
  <c r="AG11" i="6"/>
  <c r="AH11" i="6" s="1"/>
  <c r="AI11" i="6" s="1"/>
  <c r="AC12" i="6" s="1"/>
  <c r="AF11" i="6"/>
  <c r="AK11" i="6"/>
  <c r="AI81" i="6"/>
  <c r="AC82" i="6" s="1"/>
  <c r="AK82" i="6" s="1"/>
  <c r="AG44" i="3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50" i="5" l="1"/>
  <c r="AE51" i="5" s="1"/>
  <c r="AK51" i="5" s="1"/>
  <c r="AK84" i="5"/>
  <c r="AF84" i="5"/>
  <c r="AG84" i="5"/>
  <c r="AH84" i="5" s="1"/>
  <c r="AI84" i="5" s="1"/>
  <c r="AC85" i="5" s="1"/>
  <c r="AD85" i="5" s="1"/>
  <c r="AJ16" i="5"/>
  <c r="AE17" i="5" s="1"/>
  <c r="AG17" i="5" s="1"/>
  <c r="AH17" i="5" s="1"/>
  <c r="AI17" i="5" s="1"/>
  <c r="AC18" i="5" s="1"/>
  <c r="AD18" i="5" s="1"/>
  <c r="AJ46" i="6"/>
  <c r="AE47" i="6" s="1"/>
  <c r="AG47" i="6" s="1"/>
  <c r="AH47" i="6" s="1"/>
  <c r="AI47" i="6" s="1"/>
  <c r="AC48" i="6" s="1"/>
  <c r="AJ11" i="6"/>
  <c r="AE12" i="6" s="1"/>
  <c r="AK12" i="6" s="1"/>
  <c r="AG82" i="6"/>
  <c r="AH82" i="6" s="1"/>
  <c r="AJ82" i="6" s="1"/>
  <c r="AE83" i="6" s="1"/>
  <c r="AF83" i="6" s="1"/>
  <c r="AD12" i="6"/>
  <c r="AD82" i="6"/>
  <c r="AJ44" i="3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51" i="5" l="1"/>
  <c r="AH51" i="5" s="1"/>
  <c r="AI51" i="5" s="1"/>
  <c r="AC52" i="5" s="1"/>
  <c r="AD52" i="5" s="1"/>
  <c r="AF51" i="5"/>
  <c r="AJ84" i="5"/>
  <c r="AE85" i="5" s="1"/>
  <c r="AF17" i="5"/>
  <c r="AJ17" i="5" s="1"/>
  <c r="AE18" i="5" s="1"/>
  <c r="AK17" i="5"/>
  <c r="AF47" i="6"/>
  <c r="AJ47" i="6" s="1"/>
  <c r="AE48" i="6" s="1"/>
  <c r="AG48" i="6" s="1"/>
  <c r="AH48" i="6" s="1"/>
  <c r="AK47" i="6"/>
  <c r="AI82" i="6"/>
  <c r="AC83" i="6" s="1"/>
  <c r="AD83" i="6" s="1"/>
  <c r="AG12" i="6"/>
  <c r="AH12" i="6" s="1"/>
  <c r="AI12" i="6" s="1"/>
  <c r="AC13" i="6" s="1"/>
  <c r="AD13" i="6" s="1"/>
  <c r="AF12" i="6"/>
  <c r="AD48" i="6"/>
  <c r="AG45" i="3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J51" i="5" l="1"/>
  <c r="AE52" i="5" s="1"/>
  <c r="AG52" i="5" s="1"/>
  <c r="AH52" i="5" s="1"/>
  <c r="AI52" i="5" s="1"/>
  <c r="AC53" i="5" s="1"/>
  <c r="AD53" i="5" s="1"/>
  <c r="AG18" i="5"/>
  <c r="AH18" i="5" s="1"/>
  <c r="AI18" i="5" s="1"/>
  <c r="AC19" i="5" s="1"/>
  <c r="AD19" i="5" s="1"/>
  <c r="AF18" i="5"/>
  <c r="AK18" i="5"/>
  <c r="AG85" i="5"/>
  <c r="AH85" i="5" s="1"/>
  <c r="AI85" i="5" s="1"/>
  <c r="AC86" i="5" s="1"/>
  <c r="AK85" i="5"/>
  <c r="AF85" i="5"/>
  <c r="AJ12" i="6"/>
  <c r="AE13" i="6" s="1"/>
  <c r="AK13" i="6" s="1"/>
  <c r="AG83" i="6"/>
  <c r="AH83" i="6" s="1"/>
  <c r="AI83" i="6" s="1"/>
  <c r="AC84" i="6" s="1"/>
  <c r="AK83" i="6"/>
  <c r="AK48" i="6"/>
  <c r="AI48" i="6"/>
  <c r="AC49" i="6" s="1"/>
  <c r="AD49" i="6" s="1"/>
  <c r="AF48" i="6"/>
  <c r="AJ48" i="6" s="1"/>
  <c r="AE49" i="6" s="1"/>
  <c r="AF10" i="3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52" i="5" l="1"/>
  <c r="AF52" i="5"/>
  <c r="AJ52" i="5" s="1"/>
  <c r="AE53" i="5" s="1"/>
  <c r="AJ18" i="5"/>
  <c r="AE19" i="5" s="1"/>
  <c r="AG19" i="5" s="1"/>
  <c r="AH19" i="5" s="1"/>
  <c r="AI19" i="5" s="1"/>
  <c r="AC20" i="5" s="1"/>
  <c r="AD20" i="5" s="1"/>
  <c r="AJ85" i="5"/>
  <c r="AE86" i="5" s="1"/>
  <c r="AK86" i="5" s="1"/>
  <c r="AD86" i="5"/>
  <c r="AF13" i="6"/>
  <c r="AG13" i="6"/>
  <c r="AH13" i="6" s="1"/>
  <c r="AI13" i="6" s="1"/>
  <c r="AC14" i="6" s="1"/>
  <c r="AD14" i="6" s="1"/>
  <c r="AJ83" i="6"/>
  <c r="AE84" i="6" s="1"/>
  <c r="AF84" i="6" s="1"/>
  <c r="AD84" i="6"/>
  <c r="AG49" i="6"/>
  <c r="AH49" i="6" s="1"/>
  <c r="AI49" i="6" s="1"/>
  <c r="AC50" i="6" s="1"/>
  <c r="AD50" i="6" s="1"/>
  <c r="AK49" i="6"/>
  <c r="AF49" i="6"/>
  <c r="AK80" i="3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G86" i="5" l="1"/>
  <c r="AH86" i="5" s="1"/>
  <c r="AI86" i="5" s="1"/>
  <c r="AC87" i="5" s="1"/>
  <c r="AD87" i="5" s="1"/>
  <c r="AF86" i="5"/>
  <c r="AK19" i="5"/>
  <c r="AF19" i="5"/>
  <c r="AJ19" i="5" s="1"/>
  <c r="AE20" i="5" s="1"/>
  <c r="AG20" i="5" s="1"/>
  <c r="AH20" i="5" s="1"/>
  <c r="AI20" i="5" s="1"/>
  <c r="AC21" i="5" s="1"/>
  <c r="AD21" i="5" s="1"/>
  <c r="AK53" i="5"/>
  <c r="AF53" i="5"/>
  <c r="AG53" i="5"/>
  <c r="AH53" i="5" s="1"/>
  <c r="AI53" i="5" s="1"/>
  <c r="AC54" i="5" s="1"/>
  <c r="AD54" i="5" s="1"/>
  <c r="AJ13" i="6"/>
  <c r="AE14" i="6" s="1"/>
  <c r="AK14" i="6" s="1"/>
  <c r="AG84" i="6"/>
  <c r="AH84" i="6" s="1"/>
  <c r="AI84" i="6" s="1"/>
  <c r="AC85" i="6" s="1"/>
  <c r="AD85" i="6" s="1"/>
  <c r="AK84" i="6"/>
  <c r="AJ49" i="6"/>
  <c r="AE50" i="6" s="1"/>
  <c r="AG50" i="6" s="1"/>
  <c r="AH50" i="6" s="1"/>
  <c r="AI50" i="6" s="1"/>
  <c r="AC51" i="6" s="1"/>
  <c r="AD51" i="6" s="1"/>
  <c r="AI46" i="3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J86" i="5" l="1"/>
  <c r="AE87" i="5" s="1"/>
  <c r="AG87" i="5" s="1"/>
  <c r="AH87" i="5" s="1"/>
  <c r="AI87" i="5" s="1"/>
  <c r="AC88" i="5" s="1"/>
  <c r="AF20" i="5"/>
  <c r="AJ20" i="5" s="1"/>
  <c r="AE21" i="5" s="1"/>
  <c r="AK20" i="5"/>
  <c r="AJ53" i="5"/>
  <c r="AE54" i="5" s="1"/>
  <c r="AJ84" i="6"/>
  <c r="AE85" i="6" s="1"/>
  <c r="AF85" i="6" s="1"/>
  <c r="AF14" i="6"/>
  <c r="AG14" i="6"/>
  <c r="AH14" i="6" s="1"/>
  <c r="AI14" i="6" s="1"/>
  <c r="AC15" i="6" s="1"/>
  <c r="AD15" i="6" s="1"/>
  <c r="AF50" i="6"/>
  <c r="AJ50" i="6" s="1"/>
  <c r="AE51" i="6" s="1"/>
  <c r="AF51" i="6" s="1"/>
  <c r="AK50" i="6"/>
  <c r="AK47" i="3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K87" i="5" l="1"/>
  <c r="AF87" i="5"/>
  <c r="AJ87" i="5" s="1"/>
  <c r="AE88" i="5" s="1"/>
  <c r="AK21" i="5"/>
  <c r="AF21" i="5"/>
  <c r="AG21" i="5"/>
  <c r="AH21" i="5" s="1"/>
  <c r="AI21" i="5" s="1"/>
  <c r="AC22" i="5" s="1"/>
  <c r="AD22" i="5" s="1"/>
  <c r="AD88" i="5"/>
  <c r="AG54" i="5"/>
  <c r="AH54" i="5" s="1"/>
  <c r="AI54" i="5" s="1"/>
  <c r="AC55" i="5" s="1"/>
  <c r="AF54" i="5"/>
  <c r="AK54" i="5"/>
  <c r="AK85" i="6"/>
  <c r="AG85" i="6"/>
  <c r="AH85" i="6" s="1"/>
  <c r="AI85" i="6" s="1"/>
  <c r="AC86" i="6" s="1"/>
  <c r="AD86" i="6" s="1"/>
  <c r="AJ14" i="6"/>
  <c r="AE15" i="6" s="1"/>
  <c r="AF15" i="6" s="1"/>
  <c r="AK51" i="6"/>
  <c r="AG51" i="6"/>
  <c r="AH51" i="6" s="1"/>
  <c r="AI51" i="6" s="1"/>
  <c r="AC52" i="6" s="1"/>
  <c r="AD52" i="6" s="1"/>
  <c r="AF12" i="3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J21" i="5" l="1"/>
  <c r="AE22" i="5" s="1"/>
  <c r="AK88" i="5"/>
  <c r="AF88" i="5"/>
  <c r="AG88" i="5"/>
  <c r="AH88" i="5" s="1"/>
  <c r="AI88" i="5" s="1"/>
  <c r="AC89" i="5" s="1"/>
  <c r="AJ54" i="5"/>
  <c r="AE55" i="5" s="1"/>
  <c r="AF55" i="5" s="1"/>
  <c r="AD55" i="5"/>
  <c r="AJ85" i="6"/>
  <c r="AE86" i="6" s="1"/>
  <c r="AK86" i="6" s="1"/>
  <c r="AG15" i="6"/>
  <c r="AH15" i="6" s="1"/>
  <c r="AI15" i="6" s="1"/>
  <c r="AC16" i="6" s="1"/>
  <c r="AK15" i="6"/>
  <c r="AJ51" i="6"/>
  <c r="AE52" i="6" s="1"/>
  <c r="AK52" i="6" s="1"/>
  <c r="AD12" i="3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G22" i="5" l="1"/>
  <c r="AH22" i="5" s="1"/>
  <c r="AI22" i="5" s="1"/>
  <c r="AC23" i="5" s="1"/>
  <c r="AK22" i="5"/>
  <c r="AF22" i="5"/>
  <c r="AD89" i="5"/>
  <c r="AJ88" i="5"/>
  <c r="AE89" i="5" s="1"/>
  <c r="AG55" i="5"/>
  <c r="AH55" i="5" s="1"/>
  <c r="AI55" i="5" s="1"/>
  <c r="AC56" i="5" s="1"/>
  <c r="AD56" i="5" s="1"/>
  <c r="AK55" i="5"/>
  <c r="AG86" i="6"/>
  <c r="AH86" i="6" s="1"/>
  <c r="AI86" i="6" s="1"/>
  <c r="AC87" i="6" s="1"/>
  <c r="AD87" i="6" s="1"/>
  <c r="AF86" i="6"/>
  <c r="AJ15" i="6"/>
  <c r="AE16" i="6" s="1"/>
  <c r="AF16" i="6" s="1"/>
  <c r="AD16" i="6"/>
  <c r="AG52" i="6"/>
  <c r="AH52" i="6" s="1"/>
  <c r="AI52" i="6" s="1"/>
  <c r="AC53" i="6" s="1"/>
  <c r="AD53" i="6" s="1"/>
  <c r="AF52" i="6"/>
  <c r="AH12" i="3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D23" i="5" l="1"/>
  <c r="AJ22" i="5"/>
  <c r="AE23" i="5" s="1"/>
  <c r="AK89" i="5"/>
  <c r="AF89" i="5"/>
  <c r="AG89" i="5"/>
  <c r="AH89" i="5" s="1"/>
  <c r="AI89" i="5" s="1"/>
  <c r="AC90" i="5" s="1"/>
  <c r="AJ55" i="5"/>
  <c r="AE56" i="5" s="1"/>
  <c r="AG56" i="5" s="1"/>
  <c r="AH56" i="5" s="1"/>
  <c r="AI56" i="5" s="1"/>
  <c r="AC57" i="5" s="1"/>
  <c r="AD57" i="5" s="1"/>
  <c r="AJ86" i="6"/>
  <c r="AE87" i="6" s="1"/>
  <c r="AF87" i="6" s="1"/>
  <c r="AG16" i="6"/>
  <c r="AH16" i="6" s="1"/>
  <c r="AJ16" i="6" s="1"/>
  <c r="AE17" i="6" s="1"/>
  <c r="AK16" i="6"/>
  <c r="AJ52" i="6"/>
  <c r="AE53" i="6" s="1"/>
  <c r="AF53" i="6" s="1"/>
  <c r="AF13" i="3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F23" i="5" l="1"/>
  <c r="AK23" i="5"/>
  <c r="AG23" i="5"/>
  <c r="AH23" i="5" s="1"/>
  <c r="AI23" i="5" s="1"/>
  <c r="AC24" i="5" s="1"/>
  <c r="AD24" i="5" s="1"/>
  <c r="AD90" i="5"/>
  <c r="AJ89" i="5"/>
  <c r="AE90" i="5" s="1"/>
  <c r="AF56" i="5"/>
  <c r="AJ56" i="5" s="1"/>
  <c r="AE57" i="5" s="1"/>
  <c r="AK56" i="5"/>
  <c r="AK87" i="6"/>
  <c r="AG87" i="6"/>
  <c r="AH87" i="6" s="1"/>
  <c r="AI87" i="6" s="1"/>
  <c r="AC88" i="6" s="1"/>
  <c r="AD88" i="6" s="1"/>
  <c r="AI16" i="6"/>
  <c r="AC17" i="6" s="1"/>
  <c r="AD17" i="6" s="1"/>
  <c r="AK53" i="6"/>
  <c r="AG53" i="6"/>
  <c r="AH53" i="6" s="1"/>
  <c r="AI53" i="6" s="1"/>
  <c r="AC54" i="6" s="1"/>
  <c r="AD54" i="6" s="1"/>
  <c r="AF17" i="6"/>
  <c r="AD13" i="3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J23" i="5" l="1"/>
  <c r="AE24" i="5" s="1"/>
  <c r="AF57" i="5"/>
  <c r="AG57" i="5"/>
  <c r="AH57" i="5" s="1"/>
  <c r="AI57" i="5" s="1"/>
  <c r="AC58" i="5" s="1"/>
  <c r="AD58" i="5" s="1"/>
  <c r="AK57" i="5"/>
  <c r="AF90" i="5"/>
  <c r="AK90" i="5"/>
  <c r="AG90" i="5"/>
  <c r="AH90" i="5" s="1"/>
  <c r="AI90" i="5" s="1"/>
  <c r="AC91" i="5" s="1"/>
  <c r="AJ87" i="6"/>
  <c r="AE88" i="6" s="1"/>
  <c r="AG88" i="6" s="1"/>
  <c r="AH88" i="6" s="1"/>
  <c r="AI88" i="6" s="1"/>
  <c r="AC89" i="6" s="1"/>
  <c r="AD89" i="6" s="1"/>
  <c r="AG17" i="6"/>
  <c r="AH17" i="6" s="1"/>
  <c r="AI17" i="6" s="1"/>
  <c r="AC18" i="6" s="1"/>
  <c r="AD18" i="6" s="1"/>
  <c r="AK17" i="6"/>
  <c r="AJ53" i="6"/>
  <c r="AE54" i="6" s="1"/>
  <c r="AK54" i="6" s="1"/>
  <c r="AH13" i="3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24" i="5" l="1"/>
  <c r="AK24" i="5"/>
  <c r="AG24" i="5"/>
  <c r="AH24" i="5" s="1"/>
  <c r="AI24" i="5" s="1"/>
  <c r="AC25" i="5" s="1"/>
  <c r="AD25" i="5" s="1"/>
  <c r="AJ57" i="5"/>
  <c r="AE58" i="5" s="1"/>
  <c r="AF58" i="5" s="1"/>
  <c r="AJ90" i="5"/>
  <c r="AE91" i="5" s="1"/>
  <c r="AG91" i="5" s="1"/>
  <c r="AH91" i="5" s="1"/>
  <c r="AD91" i="5"/>
  <c r="AF88" i="6"/>
  <c r="AJ88" i="6" s="1"/>
  <c r="AE89" i="6" s="1"/>
  <c r="AK88" i="6"/>
  <c r="AJ17" i="6"/>
  <c r="AE18" i="6" s="1"/>
  <c r="AF18" i="6" s="1"/>
  <c r="AF54" i="6"/>
  <c r="AG54" i="6"/>
  <c r="AH54" i="6" s="1"/>
  <c r="AI54" i="6" s="1"/>
  <c r="AC55" i="6" s="1"/>
  <c r="AD55" i="6" s="1"/>
  <c r="AF14" i="3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K58" i="5" l="1"/>
  <c r="AG58" i="5"/>
  <c r="AH58" i="5" s="1"/>
  <c r="AI58" i="5" s="1"/>
  <c r="AC59" i="5" s="1"/>
  <c r="AD59" i="5" s="1"/>
  <c r="AJ24" i="5"/>
  <c r="AE25" i="5" s="1"/>
  <c r="AI91" i="5"/>
  <c r="AC92" i="5" s="1"/>
  <c r="AF91" i="5"/>
  <c r="AJ91" i="5" s="1"/>
  <c r="AE92" i="5" s="1"/>
  <c r="AF92" i="5" s="1"/>
  <c r="AK91" i="5"/>
  <c r="AG18" i="6"/>
  <c r="AH18" i="6" s="1"/>
  <c r="AI18" i="6" s="1"/>
  <c r="AC19" i="6" s="1"/>
  <c r="AD19" i="6" s="1"/>
  <c r="AK18" i="6"/>
  <c r="AJ54" i="6"/>
  <c r="AE55" i="6" s="1"/>
  <c r="AG55" i="6" s="1"/>
  <c r="AH55" i="6" s="1"/>
  <c r="AI55" i="6" s="1"/>
  <c r="AC56" i="6" s="1"/>
  <c r="AD56" i="6" s="1"/>
  <c r="AF89" i="6"/>
  <c r="AG89" i="6"/>
  <c r="AH89" i="6" s="1"/>
  <c r="AI89" i="6" s="1"/>
  <c r="AC90" i="6" s="1"/>
  <c r="AD90" i="6" s="1"/>
  <c r="AK89" i="6"/>
  <c r="AG14" i="3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J58" i="5" l="1"/>
  <c r="AE59" i="5" s="1"/>
  <c r="AF59" i="5" s="1"/>
  <c r="AK25" i="5"/>
  <c r="AF25" i="5"/>
  <c r="AG25" i="5"/>
  <c r="AH25" i="5" s="1"/>
  <c r="AI25" i="5" s="1"/>
  <c r="AC26" i="5" s="1"/>
  <c r="AD26" i="5" s="1"/>
  <c r="AK92" i="5"/>
  <c r="AG92" i="5"/>
  <c r="AH92" i="5" s="1"/>
  <c r="AJ92" i="5" s="1"/>
  <c r="AE93" i="5" s="1"/>
  <c r="AF93" i="5" s="1"/>
  <c r="AD92" i="5"/>
  <c r="AJ18" i="6"/>
  <c r="AE19" i="6" s="1"/>
  <c r="AG19" i="6" s="1"/>
  <c r="AH19" i="6" s="1"/>
  <c r="AI19" i="6" s="1"/>
  <c r="AC20" i="6" s="1"/>
  <c r="AK55" i="6"/>
  <c r="AF55" i="6"/>
  <c r="AJ55" i="6" s="1"/>
  <c r="AE56" i="6" s="1"/>
  <c r="AJ89" i="6"/>
  <c r="AE90" i="6" s="1"/>
  <c r="AH14" i="3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G59" i="5" l="1"/>
  <c r="AH59" i="5" s="1"/>
  <c r="AI59" i="5" s="1"/>
  <c r="AC60" i="5" s="1"/>
  <c r="AD60" i="5" s="1"/>
  <c r="AK59" i="5"/>
  <c r="AJ25" i="5"/>
  <c r="AE26" i="5" s="1"/>
  <c r="AI92" i="5"/>
  <c r="AC93" i="5" s="1"/>
  <c r="AK19" i="6"/>
  <c r="AF19" i="6"/>
  <c r="AJ19" i="6" s="1"/>
  <c r="AE20" i="6" s="1"/>
  <c r="AK20" i="6" s="1"/>
  <c r="AD20" i="6"/>
  <c r="AK90" i="6"/>
  <c r="AF90" i="6"/>
  <c r="AG90" i="6"/>
  <c r="AH90" i="6" s="1"/>
  <c r="AI90" i="6" s="1"/>
  <c r="AC91" i="6" s="1"/>
  <c r="AD91" i="6" s="1"/>
  <c r="AK56" i="6"/>
  <c r="AG56" i="6"/>
  <c r="AH56" i="6" s="1"/>
  <c r="AI56" i="6" s="1"/>
  <c r="AC57" i="6" s="1"/>
  <c r="AD57" i="6" s="1"/>
  <c r="AF56" i="6"/>
  <c r="AD15" i="3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J59" i="5" l="1"/>
  <c r="AE60" i="5" s="1"/>
  <c r="AK60" i="5" s="1"/>
  <c r="AG26" i="5"/>
  <c r="AH26" i="5" s="1"/>
  <c r="AI26" i="5" s="1"/>
  <c r="AC27" i="5" s="1"/>
  <c r="AD27" i="5" s="1"/>
  <c r="AF26" i="5"/>
  <c r="AK26" i="5"/>
  <c r="AD93" i="5"/>
  <c r="AK93" i="5"/>
  <c r="AG93" i="5"/>
  <c r="AH93" i="5" s="1"/>
  <c r="AJ93" i="5" s="1"/>
  <c r="AE94" i="5" s="1"/>
  <c r="AF94" i="5" s="1"/>
  <c r="AG20" i="6"/>
  <c r="AH20" i="6" s="1"/>
  <c r="AI20" i="6" s="1"/>
  <c r="AC21" i="6" s="1"/>
  <c r="AD21" i="6" s="1"/>
  <c r="AF20" i="6"/>
  <c r="AJ90" i="6"/>
  <c r="AE91" i="6" s="1"/>
  <c r="AJ56" i="6"/>
  <c r="AE57" i="6" s="1"/>
  <c r="AF15" i="3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G60" i="5" l="1"/>
  <c r="AH60" i="5" s="1"/>
  <c r="AI60" i="5" s="1"/>
  <c r="AC61" i="5" s="1"/>
  <c r="AD61" i="5" s="1"/>
  <c r="AF60" i="5"/>
  <c r="AJ26" i="5"/>
  <c r="AE27" i="5" s="1"/>
  <c r="AG27" i="5" s="1"/>
  <c r="AH27" i="5" s="1"/>
  <c r="AI27" i="5" s="1"/>
  <c r="AC28" i="5" s="1"/>
  <c r="AI93" i="5"/>
  <c r="AC94" i="5" s="1"/>
  <c r="AJ20" i="6"/>
  <c r="AE21" i="6" s="1"/>
  <c r="AK21" i="6" s="1"/>
  <c r="AK91" i="6"/>
  <c r="AG91" i="6"/>
  <c r="AH91" i="6" s="1"/>
  <c r="AI91" i="6" s="1"/>
  <c r="AC92" i="6" s="1"/>
  <c r="AD92" i="6" s="1"/>
  <c r="AF91" i="6"/>
  <c r="AK57" i="6"/>
  <c r="AG57" i="6"/>
  <c r="AH57" i="6" s="1"/>
  <c r="AI57" i="6" s="1"/>
  <c r="AC58" i="6" s="1"/>
  <c r="AD58" i="6" s="1"/>
  <c r="AF57" i="6"/>
  <c r="AH15" i="3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J60" i="5" l="1"/>
  <c r="AE61" i="5" s="1"/>
  <c r="AK61" i="5" s="1"/>
  <c r="AK27" i="5"/>
  <c r="AF27" i="5"/>
  <c r="AJ27" i="5" s="1"/>
  <c r="AE28" i="5" s="1"/>
  <c r="AF28" i="5" s="1"/>
  <c r="AD28" i="5"/>
  <c r="AD94" i="5"/>
  <c r="AK94" i="5"/>
  <c r="AG94" i="5"/>
  <c r="AH94" i="5" s="1"/>
  <c r="AG21" i="6"/>
  <c r="AH21" i="6" s="1"/>
  <c r="AI21" i="6" s="1"/>
  <c r="AC22" i="6" s="1"/>
  <c r="AD22" i="6" s="1"/>
  <c r="AF21" i="6"/>
  <c r="AJ91" i="6"/>
  <c r="AE92" i="6" s="1"/>
  <c r="AJ57" i="6"/>
  <c r="AE58" i="6" s="1"/>
  <c r="AK58" i="6" s="1"/>
  <c r="AD16" i="3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G61" i="5" l="1"/>
  <c r="AH61" i="5" s="1"/>
  <c r="AI61" i="5" s="1"/>
  <c r="AC62" i="5" s="1"/>
  <c r="AD62" i="5" s="1"/>
  <c r="AF61" i="5"/>
  <c r="AK28" i="5"/>
  <c r="AG28" i="5"/>
  <c r="AH28" i="5" s="1"/>
  <c r="AI28" i="5" s="1"/>
  <c r="AC29" i="5" s="1"/>
  <c r="AD29" i="5" s="1"/>
  <c r="AI94" i="5"/>
  <c r="AC95" i="5" s="1"/>
  <c r="AD95" i="5" s="1"/>
  <c r="AJ94" i="5"/>
  <c r="AE95" i="5" s="1"/>
  <c r="AJ21" i="6"/>
  <c r="AE22" i="6" s="1"/>
  <c r="AF22" i="6" s="1"/>
  <c r="AG92" i="6"/>
  <c r="AH92" i="6" s="1"/>
  <c r="AI92" i="6" s="1"/>
  <c r="AC93" i="6" s="1"/>
  <c r="AD93" i="6" s="1"/>
  <c r="AF92" i="6"/>
  <c r="AK92" i="6"/>
  <c r="AF58" i="6"/>
  <c r="AG58" i="6"/>
  <c r="AH58" i="6" s="1"/>
  <c r="AI58" i="6" s="1"/>
  <c r="AC59" i="6" s="1"/>
  <c r="AD59" i="6" s="1"/>
  <c r="AF16" i="3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J61" i="5" l="1"/>
  <c r="AE62" i="5" s="1"/>
  <c r="AK62" i="5" s="1"/>
  <c r="AJ28" i="5"/>
  <c r="AE29" i="5" s="1"/>
  <c r="AG95" i="5"/>
  <c r="AH95" i="5" s="1"/>
  <c r="AI95" i="5" s="1"/>
  <c r="AC96" i="5" s="1"/>
  <c r="AF95" i="5"/>
  <c r="AK95" i="5"/>
  <c r="AK22" i="6"/>
  <c r="AG22" i="6"/>
  <c r="AH22" i="6" s="1"/>
  <c r="AI22" i="6" s="1"/>
  <c r="AC23" i="6" s="1"/>
  <c r="AD23" i="6" s="1"/>
  <c r="AJ92" i="6"/>
  <c r="AE93" i="6" s="1"/>
  <c r="AJ58" i="6"/>
  <c r="AE59" i="6" s="1"/>
  <c r="AG59" i="6" s="1"/>
  <c r="AH59" i="6" s="1"/>
  <c r="AI59" i="6" s="1"/>
  <c r="AC60" i="6" s="1"/>
  <c r="AD17" i="3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F62" i="5" l="1"/>
  <c r="AG62" i="5"/>
  <c r="AH62" i="5" s="1"/>
  <c r="AI62" i="5" s="1"/>
  <c r="AC63" i="5" s="1"/>
  <c r="AD63" i="5" s="1"/>
  <c r="AF29" i="5"/>
  <c r="AK29" i="5"/>
  <c r="AG29" i="5"/>
  <c r="AH29" i="5" s="1"/>
  <c r="AI29" i="5" s="1"/>
  <c r="AC30" i="5" s="1"/>
  <c r="AJ95" i="5"/>
  <c r="AE96" i="5" s="1"/>
  <c r="AG96" i="5" s="1"/>
  <c r="AH96" i="5" s="1"/>
  <c r="AD96" i="5"/>
  <c r="AJ22" i="6"/>
  <c r="AE23" i="6" s="1"/>
  <c r="AK23" i="6" s="1"/>
  <c r="AF93" i="6"/>
  <c r="AK93" i="6"/>
  <c r="AG93" i="6"/>
  <c r="AH93" i="6" s="1"/>
  <c r="AI93" i="6" s="1"/>
  <c r="AC94" i="6" s="1"/>
  <c r="AK59" i="6"/>
  <c r="AF59" i="6"/>
  <c r="AJ59" i="6" s="1"/>
  <c r="AE60" i="6" s="1"/>
  <c r="AD60" i="6"/>
  <c r="AF17" i="3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F96" i="5" l="1"/>
  <c r="AJ62" i="5"/>
  <c r="AE63" i="5" s="1"/>
  <c r="AF63" i="5" s="1"/>
  <c r="AD30" i="5"/>
  <c r="AJ29" i="5"/>
  <c r="AE30" i="5" s="1"/>
  <c r="AG30" i="5" s="1"/>
  <c r="AH30" i="5" s="1"/>
  <c r="AK96" i="5"/>
  <c r="AI96" i="5"/>
  <c r="AC97" i="5" s="1"/>
  <c r="AD97" i="5" s="1"/>
  <c r="AJ96" i="5"/>
  <c r="AE97" i="5" s="1"/>
  <c r="AF23" i="6"/>
  <c r="AG23" i="6"/>
  <c r="AH23" i="6" s="1"/>
  <c r="AI23" i="6" s="1"/>
  <c r="AC24" i="6" s="1"/>
  <c r="AD24" i="6" s="1"/>
  <c r="AD94" i="6"/>
  <c r="AJ93" i="6"/>
  <c r="AE94" i="6" s="1"/>
  <c r="AG94" i="6" s="1"/>
  <c r="AH94" i="6" s="1"/>
  <c r="AK60" i="6"/>
  <c r="AF60" i="6"/>
  <c r="AG60" i="6"/>
  <c r="AH60" i="6" s="1"/>
  <c r="AI60" i="6" s="1"/>
  <c r="AC61" i="6" s="1"/>
  <c r="AD18" i="3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G63" i="5" l="1"/>
  <c r="AH63" i="5" s="1"/>
  <c r="AK63" i="5"/>
  <c r="AI30" i="5"/>
  <c r="AC31" i="5" s="1"/>
  <c r="AD31" i="5" s="1"/>
  <c r="AF30" i="5"/>
  <c r="AJ30" i="5" s="1"/>
  <c r="AE31" i="5" s="1"/>
  <c r="AK30" i="5"/>
  <c r="AK97" i="5"/>
  <c r="AF97" i="5"/>
  <c r="AG97" i="5"/>
  <c r="AH97" i="5" s="1"/>
  <c r="AI97" i="5" s="1"/>
  <c r="AC98" i="5" s="1"/>
  <c r="AD98" i="5" s="1"/>
  <c r="AJ23" i="6"/>
  <c r="AE24" i="6" s="1"/>
  <c r="AI94" i="6"/>
  <c r="AC95" i="6" s="1"/>
  <c r="AD95" i="6" s="1"/>
  <c r="AF94" i="6"/>
  <c r="AJ94" i="6" s="1"/>
  <c r="AE95" i="6" s="1"/>
  <c r="AK94" i="6"/>
  <c r="AJ60" i="6"/>
  <c r="AE61" i="6" s="1"/>
  <c r="AF61" i="6" s="1"/>
  <c r="AD61" i="6"/>
  <c r="AK18" i="3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I63" i="5" l="1"/>
  <c r="AC64" i="5" s="1"/>
  <c r="AJ63" i="5"/>
  <c r="AE64" i="5" s="1"/>
  <c r="AG31" i="5"/>
  <c r="AH31" i="5" s="1"/>
  <c r="AI31" i="5" s="1"/>
  <c r="AC32" i="5" s="1"/>
  <c r="AF31" i="5"/>
  <c r="AK31" i="5"/>
  <c r="AJ97" i="5"/>
  <c r="AE98" i="5" s="1"/>
  <c r="AK24" i="6"/>
  <c r="AG24" i="6"/>
  <c r="AH24" i="6" s="1"/>
  <c r="AI24" i="6" s="1"/>
  <c r="AC25" i="6" s="1"/>
  <c r="AD25" i="6" s="1"/>
  <c r="AF24" i="6"/>
  <c r="AF95" i="6"/>
  <c r="AK95" i="6"/>
  <c r="AG95" i="6"/>
  <c r="AH95" i="6" s="1"/>
  <c r="AI95" i="6" s="1"/>
  <c r="AC96" i="6" s="1"/>
  <c r="AK61" i="6"/>
  <c r="AG61" i="6"/>
  <c r="AH61" i="6" s="1"/>
  <c r="AI61" i="6" s="1"/>
  <c r="AC62" i="6" s="1"/>
  <c r="AD62" i="6" s="1"/>
  <c r="AD19" i="3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K64" i="5" l="1"/>
  <c r="AF64" i="5"/>
  <c r="AD64" i="5"/>
  <c r="AG64" i="5"/>
  <c r="AH64" i="5" s="1"/>
  <c r="AJ31" i="5"/>
  <c r="AE32" i="5" s="1"/>
  <c r="AF32" i="5" s="1"/>
  <c r="AD32" i="5"/>
  <c r="AG98" i="5"/>
  <c r="AH98" i="5" s="1"/>
  <c r="AI98" i="5" s="1"/>
  <c r="AC99" i="5" s="1"/>
  <c r="AD99" i="5" s="1"/>
  <c r="AF98" i="5"/>
  <c r="AK98" i="5"/>
  <c r="AJ24" i="6"/>
  <c r="AE25" i="6" s="1"/>
  <c r="AD96" i="6"/>
  <c r="AJ95" i="6"/>
  <c r="AE96" i="6" s="1"/>
  <c r="AG96" i="6" s="1"/>
  <c r="AH96" i="6" s="1"/>
  <c r="AJ61" i="6"/>
  <c r="AE62" i="6" s="1"/>
  <c r="AF62" i="6" s="1"/>
  <c r="AF19" i="3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I64" i="5" l="1"/>
  <c r="AC65" i="5" s="1"/>
  <c r="AD65" i="5" s="1"/>
  <c r="AJ64" i="5"/>
  <c r="AE65" i="5" s="1"/>
  <c r="AK32" i="5"/>
  <c r="AG32" i="5"/>
  <c r="AH32" i="5" s="1"/>
  <c r="AI32" i="5" s="1"/>
  <c r="AC33" i="5" s="1"/>
  <c r="AD33" i="5" s="1"/>
  <c r="AJ98" i="5"/>
  <c r="AE99" i="5" s="1"/>
  <c r="AK25" i="6"/>
  <c r="AF25" i="6"/>
  <c r="AG25" i="6"/>
  <c r="AH25" i="6" s="1"/>
  <c r="AI25" i="6" s="1"/>
  <c r="AC26" i="6" s="1"/>
  <c r="AD26" i="6" s="1"/>
  <c r="AK62" i="6"/>
  <c r="AG62" i="6"/>
  <c r="AH62" i="6" s="1"/>
  <c r="AI62" i="6" s="1"/>
  <c r="AC63" i="6" s="1"/>
  <c r="AD63" i="6" s="1"/>
  <c r="AI96" i="6"/>
  <c r="AC97" i="6" s="1"/>
  <c r="AD97" i="6" s="1"/>
  <c r="AK96" i="6"/>
  <c r="AF96" i="6"/>
  <c r="AJ96" i="6" s="1"/>
  <c r="AE97" i="6" s="1"/>
  <c r="AD20" i="3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G65" i="5" l="1"/>
  <c r="AH65" i="5" s="1"/>
  <c r="AI65" i="5" s="1"/>
  <c r="AC66" i="5" s="1"/>
  <c r="AF65" i="5"/>
  <c r="AK65" i="5"/>
  <c r="AJ32" i="5"/>
  <c r="AE33" i="5" s="1"/>
  <c r="AG33" i="5" s="1"/>
  <c r="AH33" i="5" s="1"/>
  <c r="AI33" i="5" s="1"/>
  <c r="AC34" i="5" s="1"/>
  <c r="AG99" i="5"/>
  <c r="AH99" i="5" s="1"/>
  <c r="AI99" i="5" s="1"/>
  <c r="AC100" i="5" s="1"/>
  <c r="AD100" i="5" s="1"/>
  <c r="AF99" i="5"/>
  <c r="AK99" i="5"/>
  <c r="AJ25" i="6"/>
  <c r="AE26" i="6" s="1"/>
  <c r="AJ62" i="6"/>
  <c r="AE63" i="6" s="1"/>
  <c r="AK63" i="6" s="1"/>
  <c r="AG97" i="6"/>
  <c r="AH97" i="6" s="1"/>
  <c r="AI97" i="6" s="1"/>
  <c r="AC98" i="6" s="1"/>
  <c r="AK97" i="6"/>
  <c r="AF97" i="6"/>
  <c r="AF20" i="3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J65" i="5" l="1"/>
  <c r="AE66" i="5" s="1"/>
  <c r="AF66" i="5" s="1"/>
  <c r="AD66" i="5"/>
  <c r="AK33" i="5"/>
  <c r="AF33" i="5"/>
  <c r="AJ33" i="5" s="1"/>
  <c r="AE34" i="5" s="1"/>
  <c r="AF34" i="5" s="1"/>
  <c r="AD34" i="5"/>
  <c r="AJ99" i="5"/>
  <c r="AE100" i="5" s="1"/>
  <c r="AG26" i="6"/>
  <c r="AH26" i="6" s="1"/>
  <c r="AI26" i="6" s="1"/>
  <c r="AC27" i="6" s="1"/>
  <c r="AD27" i="6" s="1"/>
  <c r="AF26" i="6"/>
  <c r="AK26" i="6"/>
  <c r="AG63" i="6"/>
  <c r="AH63" i="6" s="1"/>
  <c r="AI63" i="6" s="1"/>
  <c r="AC64" i="6" s="1"/>
  <c r="AD64" i="6" s="1"/>
  <c r="AF63" i="6"/>
  <c r="AJ97" i="6"/>
  <c r="AE98" i="6" s="1"/>
  <c r="AK98" i="6" s="1"/>
  <c r="AD98" i="6"/>
  <c r="AD21" i="3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G66" i="5" l="1"/>
  <c r="AH66" i="5" s="1"/>
  <c r="AJ66" i="5" s="1"/>
  <c r="AE67" i="5" s="1"/>
  <c r="AF67" i="5" s="1"/>
  <c r="AK66" i="5"/>
  <c r="AG34" i="5"/>
  <c r="S23" i="5" s="1"/>
  <c r="S24" i="5" s="1"/>
  <c r="G22" i="5" s="1"/>
  <c r="G23" i="5" s="1"/>
  <c r="AK34" i="5"/>
  <c r="AF100" i="5"/>
  <c r="AK100" i="5"/>
  <c r="AG100" i="5"/>
  <c r="AH100" i="5" s="1"/>
  <c r="AI100" i="5" s="1"/>
  <c r="AC101" i="5" s="1"/>
  <c r="AD101" i="5" s="1"/>
  <c r="AJ26" i="6"/>
  <c r="AE27" i="6" s="1"/>
  <c r="AJ63" i="6"/>
  <c r="AE64" i="6" s="1"/>
  <c r="AK64" i="6" s="1"/>
  <c r="AG98" i="6"/>
  <c r="AH98" i="6" s="1"/>
  <c r="AI98" i="6" s="1"/>
  <c r="AC99" i="6" s="1"/>
  <c r="AD99" i="6" s="1"/>
  <c r="AF98" i="6"/>
  <c r="AF21" i="3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I66" i="5" l="1"/>
  <c r="AC67" i="5" s="1"/>
  <c r="AD67" i="5" s="1"/>
  <c r="AH34" i="5"/>
  <c r="AI34" i="5" s="1"/>
  <c r="AJ100" i="5"/>
  <c r="AE101" i="5" s="1"/>
  <c r="AG64" i="6"/>
  <c r="AH64" i="6" s="1"/>
  <c r="AI64" i="6" s="1"/>
  <c r="AC65" i="6" s="1"/>
  <c r="AD65" i="6" s="1"/>
  <c r="AF64" i="6"/>
  <c r="AK27" i="6"/>
  <c r="AF27" i="6"/>
  <c r="AG27" i="6"/>
  <c r="AH27" i="6" s="1"/>
  <c r="AI27" i="6" s="1"/>
  <c r="AC28" i="6" s="1"/>
  <c r="AD28" i="6" s="1"/>
  <c r="AJ98" i="6"/>
  <c r="AE99" i="6" s="1"/>
  <c r="AK99" i="6" s="1"/>
  <c r="AH21" i="3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K67" i="5" l="1"/>
  <c r="AG67" i="5"/>
  <c r="AH67" i="5" s="1"/>
  <c r="AI67" i="5" s="1"/>
  <c r="AC68" i="5" s="1"/>
  <c r="AD68" i="5" s="1"/>
  <c r="AJ34" i="5"/>
  <c r="AG101" i="5"/>
  <c r="AH101" i="5" s="1"/>
  <c r="AI101" i="5" s="1"/>
  <c r="AC102" i="5" s="1"/>
  <c r="AF101" i="5"/>
  <c r="AK101" i="5"/>
  <c r="AJ64" i="6"/>
  <c r="AE65" i="6" s="1"/>
  <c r="AK65" i="6" s="1"/>
  <c r="AJ27" i="6"/>
  <c r="AE28" i="6" s="1"/>
  <c r="AF99" i="6"/>
  <c r="AG99" i="6"/>
  <c r="AH99" i="6" s="1"/>
  <c r="AI99" i="6" s="1"/>
  <c r="AC100" i="6" s="1"/>
  <c r="AD100" i="6" s="1"/>
  <c r="AD22" i="3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J67" i="5" l="1"/>
  <c r="AE68" i="5" s="1"/>
  <c r="AG68" i="5" s="1"/>
  <c r="AH68" i="5" s="1"/>
  <c r="AI68" i="5" s="1"/>
  <c r="AC69" i="5" s="1"/>
  <c r="AF68" i="5"/>
  <c r="AK68" i="5"/>
  <c r="AJ101" i="5"/>
  <c r="AE102" i="5" s="1"/>
  <c r="AF102" i="5" s="1"/>
  <c r="AD102" i="5"/>
  <c r="AF65" i="6"/>
  <c r="AG65" i="6"/>
  <c r="AH65" i="6" s="1"/>
  <c r="AI65" i="6" s="1"/>
  <c r="AC66" i="6" s="1"/>
  <c r="AD66" i="6" s="1"/>
  <c r="AG28" i="6"/>
  <c r="AH28" i="6" s="1"/>
  <c r="AI28" i="6" s="1"/>
  <c r="AC29" i="6" s="1"/>
  <c r="AD29" i="6" s="1"/>
  <c r="AF28" i="6"/>
  <c r="AK28" i="6"/>
  <c r="AJ99" i="6"/>
  <c r="AE100" i="6" s="1"/>
  <c r="AF100" i="6" s="1"/>
  <c r="AH56" i="3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68" i="5" l="1"/>
  <c r="AE69" i="5" s="1"/>
  <c r="AF69" i="5" s="1"/>
  <c r="AD69" i="5"/>
  <c r="AG102" i="5"/>
  <c r="AH102" i="5" s="1"/>
  <c r="AI102" i="5" s="1"/>
  <c r="AC103" i="5" s="1"/>
  <c r="AD103" i="5" s="1"/>
  <c r="AK102" i="5"/>
  <c r="AJ65" i="6"/>
  <c r="AE66" i="6" s="1"/>
  <c r="AF66" i="6" s="1"/>
  <c r="AJ28" i="6"/>
  <c r="AE29" i="6" s="1"/>
  <c r="AF29" i="6" s="1"/>
  <c r="AG100" i="6"/>
  <c r="AH100" i="6" s="1"/>
  <c r="AI100" i="6" s="1"/>
  <c r="AC101" i="6" s="1"/>
  <c r="AD101" i="6" s="1"/>
  <c r="AK100" i="6"/>
  <c r="AJ22" i="3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G69" i="5" l="1"/>
  <c r="AK69" i="5"/>
  <c r="AH69" i="5"/>
  <c r="AI69" i="5" s="1"/>
  <c r="O23" i="5"/>
  <c r="O24" i="5" s="1"/>
  <c r="G17" i="5" s="1"/>
  <c r="G18" i="5" s="1"/>
  <c r="AJ102" i="5"/>
  <c r="AE103" i="5" s="1"/>
  <c r="AK103" i="5" s="1"/>
  <c r="AG66" i="6"/>
  <c r="AH66" i="6" s="1"/>
  <c r="AI66" i="6" s="1"/>
  <c r="AC67" i="6" s="1"/>
  <c r="AD67" i="6" s="1"/>
  <c r="AK66" i="6"/>
  <c r="AJ100" i="6"/>
  <c r="AE101" i="6" s="1"/>
  <c r="AK101" i="6" s="1"/>
  <c r="AG29" i="6"/>
  <c r="AH29" i="6" s="1"/>
  <c r="AI29" i="6" s="1"/>
  <c r="AC30" i="6" s="1"/>
  <c r="AD30" i="6" s="1"/>
  <c r="AK29" i="6"/>
  <c r="AK23" i="3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J69" i="5" l="1"/>
  <c r="AG103" i="5"/>
  <c r="AH103" i="5" s="1"/>
  <c r="AI103" i="5" s="1"/>
  <c r="AC104" i="5" s="1"/>
  <c r="AD104" i="5" s="1"/>
  <c r="AF103" i="5"/>
  <c r="AJ66" i="6"/>
  <c r="AE67" i="6" s="1"/>
  <c r="AF67" i="6" s="1"/>
  <c r="AF101" i="6"/>
  <c r="AG101" i="6"/>
  <c r="AH101" i="6" s="1"/>
  <c r="AI101" i="6" s="1"/>
  <c r="AC102" i="6" s="1"/>
  <c r="AD102" i="6" s="1"/>
  <c r="AJ29" i="6"/>
  <c r="AE30" i="6" s="1"/>
  <c r="AF30" i="6" s="1"/>
  <c r="AI57" i="3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103" i="5" l="1"/>
  <c r="AE104" i="5" s="1"/>
  <c r="AF104" i="5" s="1"/>
  <c r="AK67" i="6"/>
  <c r="AG67" i="6"/>
  <c r="AH67" i="6" s="1"/>
  <c r="AI67" i="6" s="1"/>
  <c r="AC68" i="6" s="1"/>
  <c r="AD68" i="6" s="1"/>
  <c r="AG30" i="6"/>
  <c r="AH30" i="6" s="1"/>
  <c r="AI30" i="6" s="1"/>
  <c r="AC31" i="6" s="1"/>
  <c r="AD31" i="6" s="1"/>
  <c r="AK30" i="6"/>
  <c r="AJ101" i="6"/>
  <c r="AE102" i="6" s="1"/>
  <c r="AG102" i="6" s="1"/>
  <c r="AH102" i="6" s="1"/>
  <c r="AI102" i="6" s="1"/>
  <c r="AC103" i="6" s="1"/>
  <c r="AD103" i="6" s="1"/>
  <c r="AJ24" i="3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104" i="5" l="1"/>
  <c r="W23" i="5" s="1"/>
  <c r="W24" i="5" s="1"/>
  <c r="G33" i="5" s="1"/>
  <c r="G34" i="5" s="1"/>
  <c r="AK104" i="5"/>
  <c r="AJ67" i="6"/>
  <c r="AE68" i="6" s="1"/>
  <c r="AK68" i="6" s="1"/>
  <c r="AJ30" i="6"/>
  <c r="AE31" i="6" s="1"/>
  <c r="AK31" i="6" s="1"/>
  <c r="AF102" i="6"/>
  <c r="AJ102" i="6" s="1"/>
  <c r="AE103" i="6" s="1"/>
  <c r="AK102" i="6"/>
  <c r="AG25" i="3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H104" i="5" l="1"/>
  <c r="AI104" i="5" s="1"/>
  <c r="K11" i="5"/>
  <c r="K17" i="5" s="1"/>
  <c r="K44" i="5" s="1"/>
  <c r="K6" i="5"/>
  <c r="AF68" i="6"/>
  <c r="AG68" i="6"/>
  <c r="AH68" i="6" s="1"/>
  <c r="AI68" i="6" s="1"/>
  <c r="AC69" i="6" s="1"/>
  <c r="AD69" i="6" s="1"/>
  <c r="AF31" i="6"/>
  <c r="AG31" i="6"/>
  <c r="AH31" i="6" s="1"/>
  <c r="AI31" i="6" s="1"/>
  <c r="AC32" i="6" s="1"/>
  <c r="AD32" i="6" s="1"/>
  <c r="AK103" i="6"/>
  <c r="AF103" i="6"/>
  <c r="AG103" i="6"/>
  <c r="AH103" i="6" s="1"/>
  <c r="AI103" i="6" s="1"/>
  <c r="AC104" i="6" s="1"/>
  <c r="AD104" i="6" s="1"/>
  <c r="AI25" i="3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J104" i="5" l="1"/>
  <c r="K19" i="5"/>
  <c r="K7" i="5"/>
  <c r="K36" i="5"/>
  <c r="AJ68" i="6"/>
  <c r="AE69" i="6" s="1"/>
  <c r="AG69" i="6" s="1"/>
  <c r="O23" i="6" s="1"/>
  <c r="O24" i="6" s="1"/>
  <c r="G17" i="6" s="1"/>
  <c r="G18" i="6" s="1"/>
  <c r="AJ31" i="6"/>
  <c r="AE32" i="6" s="1"/>
  <c r="AF32" i="6" s="1"/>
  <c r="AJ103" i="6"/>
  <c r="AE104" i="6" s="1"/>
  <c r="AG26" i="3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K20" i="5" l="1"/>
  <c r="K18" i="5"/>
  <c r="AK69" i="6"/>
  <c r="AH69" i="6"/>
  <c r="AI69" i="6" s="1"/>
  <c r="AF69" i="6"/>
  <c r="AK32" i="6"/>
  <c r="AG32" i="6"/>
  <c r="AH32" i="6" s="1"/>
  <c r="AI32" i="6" s="1"/>
  <c r="AC33" i="6" s="1"/>
  <c r="AD33" i="6" s="1"/>
  <c r="AF104" i="6"/>
  <c r="AG104" i="6"/>
  <c r="AK104" i="6"/>
  <c r="AI26" i="3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K45" i="5" l="1"/>
  <c r="K48" i="5" s="1"/>
  <c r="K31" i="5"/>
  <c r="K37" i="5"/>
  <c r="K40" i="5" s="1"/>
  <c r="AJ69" i="6"/>
  <c r="AJ32" i="6"/>
  <c r="AE33" i="6" s="1"/>
  <c r="AG33" i="6" s="1"/>
  <c r="AH33" i="6" s="1"/>
  <c r="AI33" i="6" s="1"/>
  <c r="AC34" i="6" s="1"/>
  <c r="AD34" i="6" s="1"/>
  <c r="AH104" i="6"/>
  <c r="W23" i="6"/>
  <c r="W24" i="6" s="1"/>
  <c r="G33" i="6" s="1"/>
  <c r="G34" i="6" s="1"/>
  <c r="AG27" i="3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S4" i="5" l="1"/>
  <c r="AQ4" i="5"/>
  <c r="AO4" i="5"/>
  <c r="K32" i="5"/>
  <c r="AF33" i="6"/>
  <c r="AJ33" i="6" s="1"/>
  <c r="AE34" i="6" s="1"/>
  <c r="AK34" i="6" s="1"/>
  <c r="AK33" i="6"/>
  <c r="K4" i="6"/>
  <c r="AI104" i="6"/>
  <c r="AJ104" i="6"/>
  <c r="AG94" i="3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F34" i="6" l="1"/>
  <c r="AG34" i="6"/>
  <c r="K5" i="6"/>
  <c r="K14" i="6" s="1"/>
  <c r="K15" i="6"/>
  <c r="AD28" i="3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S23" i="6" l="1"/>
  <c r="S24" i="6" s="1"/>
  <c r="G22" i="6" s="1"/>
  <c r="G23" i="6" s="1"/>
  <c r="K8" i="6" s="1"/>
  <c r="AH34" i="6"/>
  <c r="K16" i="6"/>
  <c r="K40" i="6" s="1"/>
  <c r="AG95" i="3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K32" i="6" l="1"/>
  <c r="K13" i="6"/>
  <c r="K26" i="6" s="1"/>
  <c r="AJ34" i="6"/>
  <c r="AI34" i="6"/>
  <c r="AG29" i="3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K31" i="6" l="1"/>
  <c r="K35" i="6" s="1"/>
  <c r="K39" i="6"/>
  <c r="K43" i="6" s="1"/>
  <c r="AO4" i="6"/>
  <c r="K27" i="6"/>
  <c r="AQ4" i="6"/>
  <c r="AS4" i="6"/>
  <c r="AI29" i="3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4" i="3" l="1"/>
  <c r="O25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4" i="4" s="1"/>
  <c r="O25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44" i="4" s="1"/>
  <c r="K6" i="4"/>
  <c r="K19" i="4" s="1"/>
  <c r="K5" i="3"/>
  <c r="K15" i="3" s="1"/>
  <c r="AI69" i="4"/>
  <c r="K33" i="3"/>
  <c r="K17" i="3" l="1"/>
  <c r="K36" i="4"/>
  <c r="K7" i="4"/>
  <c r="K18" i="4" s="1"/>
  <c r="K39" i="3" l="1"/>
  <c r="K20" i="4"/>
  <c r="K45" i="4" s="1"/>
  <c r="K34" i="3"/>
  <c r="K37" i="3" s="1"/>
  <c r="K27" i="3"/>
  <c r="K31" i="4" l="1"/>
  <c r="AQ4" i="3"/>
  <c r="AO4" i="3"/>
  <c r="AS4" i="3"/>
  <c r="K28" i="3"/>
  <c r="K37" i="4"/>
  <c r="K40" i="4" l="1"/>
  <c r="AS4" i="4"/>
  <c r="AQ4" i="4"/>
  <c r="K32" i="4"/>
  <c r="K48" i="4" s="1"/>
  <c r="AO4" i="4"/>
</calcChain>
</file>

<file path=xl/sharedStrings.xml><?xml version="1.0" encoding="utf-8"?>
<sst xmlns="http://schemas.openxmlformats.org/spreadsheetml/2006/main" count="1465" uniqueCount="197">
  <si>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</si>
  <si>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</si>
  <si>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</si>
  <si>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</si>
  <si>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</si>
  <si>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</si>
  <si>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</si>
  <si>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</si>
  <si>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</si>
  <si>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</si>
  <si>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</si>
  <si>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</si>
  <si>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</si>
  <si>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</si>
  <si>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</si>
  <si>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</si>
  <si>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</si>
  <si>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</si>
  <si>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</si>
  <si>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</si>
  <si>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</si>
  <si>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</si>
  <si>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</si>
  <si>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</si>
  <si>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</si>
  <si>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</si>
  <si>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</si>
  <si>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</si>
  <si>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</si>
  <si>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</si>
  <si>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</si>
  <si>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</si>
  <si>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</si>
  <si>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</si>
  <si>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</si>
  <si>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</si>
  <si>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</si>
  <si>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</si>
  <si>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</si>
  <si>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</si>
  <si>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</si>
  <si>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</si>
  <si>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</si>
  <si>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</si>
  <si>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</si>
  <si>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</si>
  <si>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</si>
  <si>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</si>
  <si>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</si>
  <si>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</si>
  <si>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</si>
  <si>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</si>
  <si>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</si>
  <si>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</si>
  <si>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</si>
  <si>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</si>
  <si>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</si>
  <si>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</si>
  <si>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</si>
  <si>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</si>
  <si>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</si>
  <si>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</si>
  <si>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</si>
  <si>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</si>
  <si>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</si>
  <si>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</si>
  <si>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</si>
  <si>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</si>
  <si>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</si>
  <si>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</si>
  <si>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</si>
  <si>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</si>
  <si>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</si>
  <si>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</si>
  <si>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</si>
  <si>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</si>
  <si>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</si>
  <si>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</si>
  <si>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</si>
  <si>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</si>
  <si>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</si>
  <si>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</si>
  <si>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</si>
  <si>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</si>
  <si>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</si>
  <si>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</si>
  <si>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</si>
  <si>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</si>
  <si>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</si>
  <si>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</si>
  <si>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</si>
  <si>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</si>
  <si>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</si>
  <si>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</si>
  <si>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</si>
  <si>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</si>
  <si>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</si>
  <si>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</si>
  <si>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</si>
  <si>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</si>
  <si>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</si>
  <si>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</si>
  <si>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</si>
  <si>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</si>
  <si>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</si>
  <si>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</si>
  <si>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</si>
  <si>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</si>
  <si>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</si>
  <si>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</si>
  <si>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</si>
  <si>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</si>
  <si>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</si>
  <si>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</si>
  <si>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</si>
  <si>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</si>
  <si>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</si>
  <si>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</si>
  <si>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</si>
  <si>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</si>
  <si>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</si>
  <si>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</si>
  <si>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</si>
  <si>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</si>
  <si>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</si>
  <si>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</si>
  <si>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</si>
  <si>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</si>
  <si>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</si>
  <si>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</si>
  <si>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</si>
  <si>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</si>
  <si>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</si>
  <si>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</si>
  <si>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</si>
  <si>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</si>
  <si>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</si>
  <si>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</si>
  <si>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</si>
  <si>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</si>
  <si>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</si>
  <si>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</si>
  <si>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</si>
  <si>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</si>
  <si>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</si>
  <si>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</si>
  <si>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</si>
  <si>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</si>
  <si>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</si>
  <si>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</si>
  <si>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</si>
  <si>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</si>
  <si>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</si>
  <si>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</si>
  <si>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</si>
  <si>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</si>
  <si>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</si>
  <si>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</si>
  <si>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</si>
  <si>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</si>
  <si>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</si>
  <si>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</si>
  <si>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</si>
  <si>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</si>
  <si>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</si>
  <si>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</si>
  <si>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</si>
  <si>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</si>
  <si>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</si>
  <si>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</si>
  <si>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</si>
  <si>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</si>
  <si>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</si>
  <si>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</si>
  <si>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</si>
  <si>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</si>
  <si>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</si>
  <si>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</si>
  <si>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</si>
  <si>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</si>
  <si>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</si>
  <si>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</si>
  <si>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</si>
  <si>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</si>
  <si>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</si>
  <si>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</si>
  <si>
    <t>Initial</t>
  </si>
  <si>
    <t>Optimal</t>
  </si>
  <si>
    <t>Weight breakdown</t>
  </si>
  <si>
    <t>Optimal weights</t>
  </si>
  <si>
    <t>Initial weights</t>
  </si>
  <si>
    <t>N_blade_rotor</t>
  </si>
  <si>
    <t>W_booms</t>
  </si>
  <si>
    <t>silva</t>
  </si>
  <si>
    <t>kadhiresan</t>
  </si>
  <si>
    <t>f/(W/1000)^2/3</t>
  </si>
  <si>
    <t>Weight by subsystems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</si>
</sst>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D-014F-88D9-2076AFF020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D-014F-88D9-2076AFF020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D-014F-88D9-2076AFF020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5D-014F-88D9-2076AFF020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5D-014F-88D9-2076AFF02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multirotor_aerofidelity1!$J$38:$J$42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multirotor_aerofidelity1!$K$38:$K$42</c:f>
              <c:numCache>
                <c:formatCode>General</c:formatCode>
                <c:ptCount val="5"/>
                <c:pt idx="0">
                  <c:v>39.15</c:v>
                </c:pt>
                <c:pt idx="1">
                  <c:v>33.89</c:v>
                </c:pt>
                <c:pt idx="2">
                  <c:v>11.5</c:v>
                </c:pt>
                <c:pt idx="3">
                  <c:v>10.79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5D-014F-88D9-2076AFF020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7-1341-B8D5-6C6E74D4F4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7-1341-B8D5-6C6E74D4F4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7-1341-B8D5-6C6E74D4F4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27-1341-B8D5-6C6E74D4F4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27-1341-B8D5-6C6E74D4F4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'lift+cruise_aerofidelity1'!$K$43:$K$47</c:f>
              <c:numCache>
                <c:formatCode>General</c:formatCode>
                <c:ptCount val="5"/>
                <c:pt idx="0">
                  <c:v>400</c:v>
                </c:pt>
                <c:pt idx="1">
                  <c:v>208.61</c:v>
                </c:pt>
                <c:pt idx="2">
                  <c:v>156.97</c:v>
                </c:pt>
                <c:pt idx="3">
                  <c:v>324.12</c:v>
                </c:pt>
                <c:pt idx="4">
                  <c:v>53.56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7-1341-B8D5-6C6E74D4F4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C0-A945-8913-3A4E0E513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C0-A945-8913-3A4E0E513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C0-A945-8913-3A4E0E513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C0-A945-8913-3A4E0E513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C0-A945-8913-3A4E0E513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'lift+cruise_aerofidelity1'!$K$35:$K$39</c:f>
              <c:numCache>
                <c:formatCode>General</c:formatCode>
                <c:ptCount val="5"/>
                <c:pt idx="0">
                  <c:v>34.99</c:v>
                </c:pt>
                <c:pt idx="1">
                  <c:v>18.25</c:v>
                </c:pt>
                <c:pt idx="2">
                  <c:v>13.73</c:v>
                </c:pt>
                <c:pt idx="3">
                  <c:v>28.35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C0-A945-8913-3A4E0E513D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multirotor_aerofidelity0!$J$32:$J$36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multirotor_aerofidelity0!$K$32:$K$36</c:f>
              <c:numCache>
                <c:formatCode>General</c:formatCode>
                <c:ptCount val="5"/>
                <c:pt idx="0">
                  <c:v>33.33</c:v>
                </c:pt>
                <c:pt idx="1">
                  <c:v>33.01</c:v>
                </c:pt>
                <c:pt idx="2">
                  <c:v>19.23</c:v>
                </c:pt>
                <c:pt idx="3">
                  <c:v>9.74</c:v>
                </c:pt>
                <c:pt idx="4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54-B949-A059-A09FED0D59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54-B949-A059-A09FED0D59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54-B949-A059-A09FED0D59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54-B949-A059-A09FED0D59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54-B949-A059-A09FED0D5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'lift+cruise_aerofidelity0'!$K$43:$K$47</c:f>
              <c:numCache>
                <c:formatCode>General</c:formatCode>
                <c:ptCount val="5"/>
                <c:pt idx="0">
                  <c:v>400</c:v>
                </c:pt>
                <c:pt idx="1">
                  <c:v>161.33000000000001</c:v>
                </c:pt>
                <c:pt idx="2">
                  <c:v>138.61000000000001</c:v>
                </c:pt>
                <c:pt idx="3">
                  <c:v>302.72000000000003</c:v>
                </c:pt>
                <c:pt idx="4">
                  <c:v>49.89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54-B949-A059-A09FED0D5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16-EB47-9D7E-995E1E547D7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16-EB47-9D7E-995E1E547D7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16-EB47-9D7E-995E1E547D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16-EB47-9D7E-995E1E547D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F16-EB47-9D7E-995E1E547D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'lift+cruise_aerofidelity0'!$K$35:$K$39</c:f>
              <c:numCache>
                <c:formatCode>General</c:formatCode>
                <c:ptCount val="5"/>
                <c:pt idx="0">
                  <c:v>37.520000000000003</c:v>
                </c:pt>
                <c:pt idx="1">
                  <c:v>15.13</c:v>
                </c:pt>
                <c:pt idx="2">
                  <c:v>13</c:v>
                </c:pt>
                <c:pt idx="3">
                  <c:v>29.67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16-EB47-9D7E-995E1E547D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4F577-B9C5-CF47-A5BC-B0AB668D2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42</xdr:row>
      <xdr:rowOff>12700</xdr:rowOff>
    </xdr:from>
    <xdr:to>
      <xdr:col>17</xdr:col>
      <xdr:colOff>393700</xdr:colOff>
      <xdr:row>53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4BEC7-7CE3-E946-8E51-4A945783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29</xdr:row>
      <xdr:rowOff>0</xdr:rowOff>
    </xdr:from>
    <xdr:to>
      <xdr:col>17</xdr:col>
      <xdr:colOff>368300</xdr:colOff>
      <xdr:row>40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42642-9F27-1E4E-ABDB-16BC76FBE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43</xdr:row>
      <xdr:rowOff>12700</xdr:rowOff>
    </xdr:from>
    <xdr:to>
      <xdr:col>17</xdr:col>
      <xdr:colOff>393700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E8ED7-F4CC-3D4D-AAF3-D2DD76682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30</xdr:row>
      <xdr:rowOff>0</xdr:rowOff>
    </xdr:from>
    <xdr:to>
      <xdr:col>17</xdr:col>
      <xdr:colOff>368300</xdr:colOff>
      <xdr:row>41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3F081-6B24-2547-8FAB-2B233CB45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79C-1BC3-3C43-BDF1-7040343899A3}">
  <dimension ref="B1:AV104"/>
  <sheetViews>
    <sheetView tabSelected="1" zoomScale="91" workbookViewId="0">
      <selection activeCell="R11" sqref="R11:T11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6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3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16406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38" t="s">
        <v>0</v>
      </c>
      <c r="C1" s="38"/>
      <c r="D1" s="38"/>
    </row>
    <row r="2" spans="2:48" x14ac:dyDescent="0.2">
      <c r="AB2" s="32" t="s">
        <v>141</v>
      </c>
      <c r="AM2" s="32" t="s">
        <v>104</v>
      </c>
    </row>
    <row r="3" spans="2:48" x14ac:dyDescent="0.2">
      <c r="B3" s="39" t="s">
        <v>98</v>
      </c>
      <c r="C3" s="40"/>
      <c r="D3" s="40"/>
      <c r="F3" s="39" t="s">
        <v>110</v>
      </c>
      <c r="G3" s="40"/>
      <c r="H3" s="40"/>
      <c r="J3" s="41" t="s">
        <v>157</v>
      </c>
      <c r="K3" s="41"/>
      <c r="L3" s="41"/>
      <c r="N3" s="41" t="s">
        <v>136</v>
      </c>
      <c r="O3" s="41"/>
      <c r="P3" s="41"/>
      <c r="R3" s="41" t="s">
        <v>134</v>
      </c>
      <c r="S3" s="41"/>
      <c r="T3" s="41"/>
      <c r="V3" s="41" t="s">
        <v>148</v>
      </c>
      <c r="W3" s="41"/>
      <c r="X3" s="41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178508.37531883034</v>
      </c>
      <c r="L4" s="20" t="s">
        <v>29</v>
      </c>
      <c r="N4" s="20" t="s">
        <v>37</v>
      </c>
      <c r="O4" s="20">
        <f xml:space="preserve"> 0.5 * $C$25 * $G$11^2</f>
        <v>1531.25</v>
      </c>
      <c r="P4" s="20" t="s">
        <v>38</v>
      </c>
      <c r="R4" s="20" t="s">
        <v>37</v>
      </c>
      <c r="S4" s="20">
        <f xml:space="preserve"> 0.5 * $C$25 * $C$17^2</f>
        <v>1531.25</v>
      </c>
      <c r="T4" s="20" t="s">
        <v>38</v>
      </c>
      <c r="V4" s="20" t="s">
        <v>37</v>
      </c>
      <c r="W4" s="20">
        <f xml:space="preserve"> 0.5 * $C$25 * $G$27^2</f>
        <v>1531.25</v>
      </c>
      <c r="X4" s="20" t="s">
        <v>38</v>
      </c>
      <c r="AB4" s="8">
        <v>0</v>
      </c>
      <c r="AC4" s="9">
        <v>0</v>
      </c>
      <c r="AD4" s="8">
        <f t="shared" ref="AD4:AD34" si="0" xml:space="preserve"> $C$18 * TAN($S$17/180*PI()) + $S$20 / (2 * SQRT($C$18^2 + AC4^2)) - AC4</f>
        <v>2.8706837770776886E-2</v>
      </c>
      <c r="AE4" s="9">
        <v>1</v>
      </c>
      <c r="AF4" s="8">
        <f t="shared" ref="AF4:AF34" si="1" xml:space="preserve"> $C$18 * TAN($S$17/180*PI()) + $S$20 / (2 * SQRT($C$18^2 + AE4^2)) - AE4</f>
        <v>-0.98368798700222282</v>
      </c>
      <c r="AG4" s="8">
        <f xml:space="preserve"> (AC4 + AE4)/2</f>
        <v>0.5</v>
      </c>
      <c r="AH4" s="8">
        <f t="shared" ref="AH4:AH34" si="2" xml:space="preserve"> $C$18 * TAN($S$17/180*PI()) + $S$20 / (2 * SQRT($C$18^2 + AG4^2)) - AG4</f>
        <v>-0.47973731038530587</v>
      </c>
      <c r="AI4" s="8">
        <f>AD4*AH4</f>
        <v>-1.3771741141819813E-2</v>
      </c>
      <c r="AJ4" s="8">
        <f>AF4*AH4</f>
        <v>0.47191182914278207</v>
      </c>
      <c r="AK4" s="8">
        <f>AE4-AC4</f>
        <v>1</v>
      </c>
      <c r="AM4" s="8">
        <v>0</v>
      </c>
      <c r="AN4" s="8"/>
      <c r="AO4" s="8">
        <f>K26</f>
        <v>-2.1907453628955409E-10</v>
      </c>
      <c r="AP4" s="8"/>
      <c r="AQ4" s="8">
        <f>K26</f>
        <v>-2.1907453628955409E-10</v>
      </c>
      <c r="AR4" s="8"/>
      <c r="AS4" s="8">
        <f>K26</f>
        <v>-2.1907453628955409E-10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44627.093829707585</v>
      </c>
      <c r="L5" s="20" t="s">
        <v>29</v>
      </c>
      <c r="N5" s="20" t="s">
        <v>56</v>
      </c>
      <c r="O5" s="33">
        <v>3.4909389999999998E-2</v>
      </c>
      <c r="R5" s="20" t="s">
        <v>56</v>
      </c>
      <c r="S5" s="33">
        <v>3.4909389999999998E-2</v>
      </c>
      <c r="V5" s="20" t="s">
        <v>56</v>
      </c>
      <c r="W5" s="33">
        <v>3.4909389999999998E-2</v>
      </c>
      <c r="AB5" s="8">
        <v>1</v>
      </c>
      <c r="AC5" s="8">
        <f>IF(AI4&gt;0, AG4, AC4)</f>
        <v>0</v>
      </c>
      <c r="AD5" s="8">
        <f t="shared" si="0"/>
        <v>2.8706837770776886E-2</v>
      </c>
      <c r="AE5" s="8">
        <f>IF(AJ4&gt;0, AG4, AE4)</f>
        <v>0.5</v>
      </c>
      <c r="AF5" s="8">
        <f t="shared" si="1"/>
        <v>-0.47973731038530587</v>
      </c>
      <c r="AG5" s="8">
        <f t="shared" ref="AG5:AG34" si="3" xml:space="preserve"> (AC5 + AE5)/2</f>
        <v>0.25</v>
      </c>
      <c r="AH5" s="8">
        <f t="shared" si="2"/>
        <v>-0.22532438106281022</v>
      </c>
      <c r="AI5" s="8">
        <f t="shared" ref="AI5:AI34" si="4">AD5*AH5</f>
        <v>-6.4683504529708044E-3</v>
      </c>
      <c r="AJ5" s="8">
        <f t="shared" ref="AJ5:AJ34" si="5">AF5*AH5</f>
        <v>0.10809651253530632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 ca="1"/>
        <v>-309.32133054325118</v>
      </c>
      <c r="AP5" s="9">
        <v>2500</v>
      </c>
      <c r="AQ5" s="8">
        <f t="dataTable" ref="AQ5:AQ44" dt2D="0" dtr="0" r1="C15" ca="1"/>
        <v>400.95040733290216</v>
      </c>
      <c r="AR5" s="8">
        <f>(AN5+AP5)/2</f>
        <v>1500</v>
      </c>
      <c r="AS5" s="8">
        <f t="dataTable" ref="AS5:AS44" dt2D="0" dtr="0" r1="C15"/>
        <v>204.68205784302359</v>
      </c>
      <c r="AT5" s="8">
        <f>AO5*AS5</f>
        <v>-63312.526470334757</v>
      </c>
      <c r="AU5" s="8">
        <f>AQ5*AS5</f>
        <v>82067.354465896948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178.50837531883033</v>
      </c>
      <c r="H6" s="20" t="s">
        <v>162</v>
      </c>
      <c r="N6" s="20" t="s">
        <v>195</v>
      </c>
      <c r="O6" s="20">
        <f>($O$5*PI()*$C$16^2)/(0.3048^2)/($C$15*2.20462/1000)^(2/3)</f>
        <v>1.5458236507460821</v>
      </c>
      <c r="R6" s="20" t="s">
        <v>195</v>
      </c>
      <c r="S6" s="20">
        <f>($O$5*PI()*$C$16^2)/(0.3048^2)/($C$15*2.20462/1000)^(2/3)</f>
        <v>1.5458236507460821</v>
      </c>
      <c r="V6" s="20" t="s">
        <v>195</v>
      </c>
      <c r="W6" s="20">
        <f>($O$5*PI()*$C$16^2)/(0.3048^2)/($C$15*2.20462/1000)^(2/3)</f>
        <v>1.5458236507460821</v>
      </c>
      <c r="AB6" s="8">
        <v>2</v>
      </c>
      <c r="AC6" s="8">
        <f t="shared" ref="AC6:AC34" si="7">IF(AI5&gt;0, AG5, AC5)</f>
        <v>0</v>
      </c>
      <c r="AD6" s="8">
        <f t="shared" si="0"/>
        <v>2.8706837770776886E-2</v>
      </c>
      <c r="AE6" s="8">
        <f t="shared" ref="AE6:AE34" si="8">IF(AJ5&gt;0, AG5, AE5)</f>
        <v>0.25</v>
      </c>
      <c r="AF6" s="8">
        <f t="shared" si="1"/>
        <v>-0.22532438106281022</v>
      </c>
      <c r="AG6" s="8">
        <f t="shared" si="3"/>
        <v>0.125</v>
      </c>
      <c r="AH6" s="8">
        <f t="shared" si="2"/>
        <v>-9.7631049313469304E-2</v>
      </c>
      <c r="AI6" s="8">
        <f t="shared" si="4"/>
        <v>-2.8026786940324815E-3</v>
      </c>
      <c r="AJ6" s="8">
        <f t="shared" si="5"/>
        <v>2.1998655759070174E-2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-309.32133054325118</v>
      </c>
      <c r="AP6" s="8">
        <f>IF(AU5&gt;0, AR5, AP5)</f>
        <v>1500</v>
      </c>
      <c r="AQ6" s="8">
        <v>204.68205784302359</v>
      </c>
      <c r="AR6" s="8">
        <f t="shared" ref="AR6:AR44" si="9">(AN6+AP6)/2</f>
        <v>1000</v>
      </c>
      <c r="AS6" s="8">
        <v>-10.830386660018121</v>
      </c>
      <c r="AT6" s="8">
        <f t="shared" ref="AT6:AT44" si="10">AO6*AS6</f>
        <v>3350.0696119746831</v>
      </c>
      <c r="AU6" s="8">
        <f t="shared" ref="AU6:AU44" si="11">AQ6*AS6</f>
        <v>-2216.7858288081402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2504.6907288372699</v>
      </c>
      <c r="H7" s="20" t="s">
        <v>31</v>
      </c>
      <c r="J7" s="41" t="s">
        <v>34</v>
      </c>
      <c r="K7" s="41"/>
      <c r="L7" s="41"/>
      <c r="N7" s="20" t="s">
        <v>57</v>
      </c>
      <c r="O7" s="20">
        <f xml:space="preserve"> O4 *$O$5 * PI() * $C$16 * $C$16</f>
        <v>377.85115371795098</v>
      </c>
      <c r="P7" s="20" t="s">
        <v>31</v>
      </c>
      <c r="R7" s="20" t="s">
        <v>57</v>
      </c>
      <c r="S7" s="20">
        <f xml:space="preserve"> S4 *$O$5 * PI() * $C$16 * $C$16</f>
        <v>377.85115371795098</v>
      </c>
      <c r="T7" s="20" t="s">
        <v>31</v>
      </c>
      <c r="V7" s="20" t="s">
        <v>57</v>
      </c>
      <c r="W7" s="20">
        <f xml:space="preserve"> W4 *$O$5 * PI() * $C$16 * $C$16</f>
        <v>377.85115371795098</v>
      </c>
      <c r="X7" s="20" t="s">
        <v>31</v>
      </c>
      <c r="AB7" s="8">
        <v>3</v>
      </c>
      <c r="AC7" s="8">
        <f t="shared" si="7"/>
        <v>0</v>
      </c>
      <c r="AD7" s="8">
        <f t="shared" si="0"/>
        <v>2.8706837770776886E-2</v>
      </c>
      <c r="AE7" s="8">
        <f t="shared" si="8"/>
        <v>0.125</v>
      </c>
      <c r="AF7" s="8">
        <f t="shared" si="1"/>
        <v>-9.7631049313469304E-2</v>
      </c>
      <c r="AG7" s="8">
        <f t="shared" si="3"/>
        <v>6.25E-2</v>
      </c>
      <c r="AH7" s="8">
        <f t="shared" si="2"/>
        <v>-3.4158745953564461E-2</v>
      </c>
      <c r="AI7" s="8">
        <f t="shared" si="4"/>
        <v>-9.8058957854215627E-4</v>
      </c>
      <c r="AJ7" s="8">
        <f t="shared" si="5"/>
        <v>3.3349542106787221E-3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-10.830386660018121</v>
      </c>
      <c r="AP7" s="8">
        <f t="shared" ref="AP7:AP44" si="14">IF(AU6&gt;0, AR6, AP6)</f>
        <v>1500</v>
      </c>
      <c r="AQ7" s="8">
        <v>204.68205784302359</v>
      </c>
      <c r="AR7" s="8">
        <f t="shared" si="9"/>
        <v>1250</v>
      </c>
      <c r="AS7" s="8">
        <v>106.32298266023145</v>
      </c>
      <c r="AT7" s="8">
        <f t="shared" si="10"/>
        <v>-1151.5190130567087</v>
      </c>
      <c r="AU7" s="8">
        <f t="shared" si="11"/>
        <v>21762.406886904286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20" t="s">
        <v>153</v>
      </c>
      <c r="K8" s="20">
        <f xml:space="preserve"> (G6*G8 + G18*G19 + G23*G24 + G34*G35 + G40*G42)/3600</f>
        <v>58.850608823382295</v>
      </c>
      <c r="L8" s="20" t="s">
        <v>163</v>
      </c>
      <c r="N8" s="20" t="s">
        <v>60</v>
      </c>
      <c r="O8" s="20">
        <f xml:space="preserve"> O7</f>
        <v>377.85115371795098</v>
      </c>
      <c r="P8" s="20" t="s">
        <v>31</v>
      </c>
      <c r="R8" s="20" t="s">
        <v>60</v>
      </c>
      <c r="S8" s="20">
        <f xml:space="preserve"> S7</f>
        <v>377.85115371795098</v>
      </c>
      <c r="T8" s="20" t="s">
        <v>31</v>
      </c>
      <c r="V8" s="20" t="s">
        <v>60</v>
      </c>
      <c r="W8" s="20">
        <f xml:space="preserve"> W7</f>
        <v>377.85115371795098</v>
      </c>
      <c r="X8" s="20" t="s">
        <v>31</v>
      </c>
      <c r="AB8" s="8">
        <v>4</v>
      </c>
      <c r="AC8" s="8">
        <f t="shared" si="7"/>
        <v>0</v>
      </c>
      <c r="AD8" s="8">
        <f t="shared" si="0"/>
        <v>2.8706837770776886E-2</v>
      </c>
      <c r="AE8" s="8">
        <f t="shared" si="8"/>
        <v>6.25E-2</v>
      </c>
      <c r="AF8" s="8">
        <f t="shared" si="1"/>
        <v>-3.4158745953564461E-2</v>
      </c>
      <c r="AG8" s="8">
        <f t="shared" si="3"/>
        <v>3.125E-2</v>
      </c>
      <c r="AH8" s="8">
        <f t="shared" si="2"/>
        <v>-2.636761725313512E-3</v>
      </c>
      <c r="AI8" s="8">
        <f t="shared" si="4"/>
        <v>-7.5693091088768752E-5</v>
      </c>
      <c r="AJ8" s="8">
        <f t="shared" si="5"/>
        <v>9.0068473915066579E-5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-10.830386660018121</v>
      </c>
      <c r="AP8" s="8">
        <f t="shared" si="14"/>
        <v>1250</v>
      </c>
      <c r="AQ8" s="8">
        <v>106.32298266023145</v>
      </c>
      <c r="AR8" s="8">
        <f t="shared" si="9"/>
        <v>1125</v>
      </c>
      <c r="AS8" s="8">
        <v>49.962109648883484</v>
      </c>
      <c r="AT8" s="8">
        <f t="shared" si="10"/>
        <v>-541.10896584763032</v>
      </c>
      <c r="AU8" s="8">
        <f t="shared" si="11"/>
        <v>5312.1205178668206</v>
      </c>
      <c r="AV8" s="8">
        <f t="shared" si="12"/>
        <v>250</v>
      </c>
    </row>
    <row r="9" spans="2:48" x14ac:dyDescent="0.2">
      <c r="B9" s="39" t="s">
        <v>6</v>
      </c>
      <c r="C9" s="40"/>
      <c r="D9" s="40"/>
      <c r="F9"/>
      <c r="G9" s="24"/>
      <c r="J9" s="20" t="s">
        <v>35</v>
      </c>
      <c r="K9" s="20">
        <f xml:space="preserve"> (G8 + G19 + G24 + G35 + G42)/60</f>
        <v>34.67079771753523</v>
      </c>
      <c r="L9" s="20" t="s">
        <v>164</v>
      </c>
      <c r="AB9" s="8">
        <v>5</v>
      </c>
      <c r="AC9" s="8">
        <f t="shared" si="7"/>
        <v>0</v>
      </c>
      <c r="AD9" s="8">
        <f t="shared" si="0"/>
        <v>2.8706837770776886E-2</v>
      </c>
      <c r="AE9" s="8">
        <f t="shared" si="8"/>
        <v>3.125E-2</v>
      </c>
      <c r="AF9" s="8">
        <f t="shared" si="1"/>
        <v>-2.636761725313512E-3</v>
      </c>
      <c r="AG9" s="8">
        <f t="shared" si="3"/>
        <v>1.5625E-2</v>
      </c>
      <c r="AH9" s="8">
        <f t="shared" si="2"/>
        <v>1.3058295525362557E-2</v>
      </c>
      <c r="AI9" s="8">
        <f t="shared" si="4"/>
        <v>3.7486237120944464E-4</v>
      </c>
      <c r="AJ9" s="8">
        <f t="shared" si="5"/>
        <v>-3.4431613839108689E-5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-10.830386660018121</v>
      </c>
      <c r="AP9" s="8">
        <f t="shared" si="14"/>
        <v>1125</v>
      </c>
      <c r="AQ9" s="8">
        <v>49.962109648883484</v>
      </c>
      <c r="AR9" s="8">
        <f t="shared" si="9"/>
        <v>1062.5</v>
      </c>
      <c r="AS9" s="8">
        <v>20.11044976734479</v>
      </c>
      <c r="AT9" s="8">
        <f t="shared" si="10"/>
        <v>-217.80394688721555</v>
      </c>
      <c r="AU9" s="8">
        <f t="shared" si="11"/>
        <v>1004.7604963644437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3" t="s">
        <v>124</v>
      </c>
      <c r="G10" s="44"/>
      <c r="H10" s="44"/>
      <c r="AB10" s="8">
        <v>6</v>
      </c>
      <c r="AC10" s="8">
        <f t="shared" si="7"/>
        <v>1.5625E-2</v>
      </c>
      <c r="AD10" s="8">
        <f t="shared" si="0"/>
        <v>1.3058295525362557E-2</v>
      </c>
      <c r="AE10" s="8">
        <f t="shared" si="8"/>
        <v>3.125E-2</v>
      </c>
      <c r="AF10" s="8">
        <f t="shared" si="1"/>
        <v>-2.636761725313512E-3</v>
      </c>
      <c r="AG10" s="8">
        <f t="shared" si="3"/>
        <v>2.34375E-2</v>
      </c>
      <c r="AH10" s="8">
        <f t="shared" si="2"/>
        <v>5.2165017166929187E-3</v>
      </c>
      <c r="AI10" s="8">
        <f t="shared" si="4"/>
        <v>6.811862102513724E-5</v>
      </c>
      <c r="AJ10" s="8">
        <f t="shared" si="5"/>
        <v>-1.3754672066608117E-5</v>
      </c>
      <c r="AK10" s="8">
        <f t="shared" si="6"/>
        <v>1.5625E-2</v>
      </c>
      <c r="AM10" s="8">
        <v>6</v>
      </c>
      <c r="AN10" s="8">
        <f t="shared" si="13"/>
        <v>1000</v>
      </c>
      <c r="AO10" s="8">
        <v>-10.830386660018121</v>
      </c>
      <c r="AP10" s="8">
        <f t="shared" si="14"/>
        <v>1062.5</v>
      </c>
      <c r="AQ10" s="8">
        <v>20.11044976734479</v>
      </c>
      <c r="AR10" s="8">
        <f t="shared" si="9"/>
        <v>1031.25</v>
      </c>
      <c r="AS10" s="8">
        <v>4.7755418700108976</v>
      </c>
      <c r="AT10" s="8">
        <f t="shared" si="10"/>
        <v>-51.720964963324015</v>
      </c>
      <c r="AU10" s="8">
        <f t="shared" si="11"/>
        <v>96.038294888705963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50</v>
      </c>
      <c r="H11" t="s">
        <v>16</v>
      </c>
      <c r="J11" s="39" t="s">
        <v>73</v>
      </c>
      <c r="K11" s="39"/>
      <c r="L11" s="39"/>
      <c r="N11" s="39" t="s">
        <v>101</v>
      </c>
      <c r="O11" s="45"/>
      <c r="P11" s="45"/>
      <c r="R11" s="39" t="s">
        <v>101</v>
      </c>
      <c r="S11" s="45"/>
      <c r="T11" s="45"/>
      <c r="V11" s="39" t="s">
        <v>101</v>
      </c>
      <c r="W11" s="45"/>
      <c r="X11" s="45"/>
      <c r="AB11" s="8">
        <v>7</v>
      </c>
      <c r="AC11" s="8">
        <f t="shared" si="7"/>
        <v>2.34375E-2</v>
      </c>
      <c r="AD11" s="8">
        <f t="shared" si="0"/>
        <v>5.2165017166929187E-3</v>
      </c>
      <c r="AE11" s="8">
        <f t="shared" si="8"/>
        <v>3.125E-2</v>
      </c>
      <c r="AF11" s="8">
        <f t="shared" si="1"/>
        <v>-2.636761725313512E-3</v>
      </c>
      <c r="AG11" s="8">
        <f t="shared" si="3"/>
        <v>2.734375E-2</v>
      </c>
      <c r="AH11" s="8">
        <f t="shared" si="2"/>
        <v>1.2912900330459554E-3</v>
      </c>
      <c r="AI11" s="8">
        <f t="shared" si="4"/>
        <v>6.7360166741326815E-6</v>
      </c>
      <c r="AJ11" s="8">
        <f t="shared" si="5"/>
        <v>-3.4048241354143952E-6</v>
      </c>
      <c r="AK11" s="8">
        <f t="shared" si="6"/>
        <v>7.8125E-3</v>
      </c>
      <c r="AM11" s="8">
        <v>7</v>
      </c>
      <c r="AN11" s="8">
        <f t="shared" si="13"/>
        <v>1000</v>
      </c>
      <c r="AO11" s="8">
        <v>-10.830386660018121</v>
      </c>
      <c r="AP11" s="8">
        <f t="shared" si="14"/>
        <v>1031.25</v>
      </c>
      <c r="AQ11" s="8">
        <v>4.7755418700108976</v>
      </c>
      <c r="AR11" s="8">
        <f t="shared" si="9"/>
        <v>1015.625</v>
      </c>
      <c r="AS11" s="8">
        <v>-2.9935964222864868</v>
      </c>
      <c r="AT11" s="8">
        <f t="shared" si="10"/>
        <v>32.421806757409541</v>
      </c>
      <c r="AU11" s="8">
        <f t="shared" si="11"/>
        <v>-14.296045056543942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26" t="s">
        <v>109</v>
      </c>
      <c r="K12" s="20">
        <f>C15</f>
        <v>1021.6294978763472</v>
      </c>
      <c r="L12" s="20" t="s">
        <v>12</v>
      </c>
      <c r="N12" s="20" t="s">
        <v>102</v>
      </c>
      <c r="O12" s="20">
        <f>SQRT((O8*COS(G16/180*PI()))^2 + (O8*SIN(G16/180*PI())+$C$15*$C$26)^2)</f>
        <v>10045.048477871142</v>
      </c>
      <c r="P12" s="20" t="s">
        <v>31</v>
      </c>
      <c r="R12" s="20" t="s">
        <v>102</v>
      </c>
      <c r="S12" s="20">
        <f xml:space="preserve"> SQRT( ($C$15*$C$26)^2 + S8^2)</f>
        <v>10025.885589230509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10014.370254972358</v>
      </c>
      <c r="X12" s="20" t="s">
        <v>31</v>
      </c>
      <c r="AB12" s="8">
        <v>8</v>
      </c>
      <c r="AC12" s="8">
        <f t="shared" si="7"/>
        <v>2.734375E-2</v>
      </c>
      <c r="AD12" s="8">
        <f t="shared" si="0"/>
        <v>1.2912900330459554E-3</v>
      </c>
      <c r="AE12" s="8">
        <f t="shared" si="8"/>
        <v>3.125E-2</v>
      </c>
      <c r="AF12" s="8">
        <f t="shared" si="1"/>
        <v>-2.636761725313512E-3</v>
      </c>
      <c r="AG12" s="8">
        <f t="shared" si="3"/>
        <v>2.9296875E-2</v>
      </c>
      <c r="AH12" s="8">
        <f t="shared" si="2"/>
        <v>-6.7238276966445631E-4</v>
      </c>
      <c r="AI12" s="8">
        <f t="shared" si="4"/>
        <v>-8.6824116885954675E-7</v>
      </c>
      <c r="AJ12" s="8">
        <f t="shared" si="5"/>
        <v>1.7729131518115295E-6</v>
      </c>
      <c r="AK12" s="8">
        <f t="shared" si="6"/>
        <v>3.90625E-3</v>
      </c>
      <c r="AM12" s="8">
        <v>8</v>
      </c>
      <c r="AN12" s="8">
        <f t="shared" si="13"/>
        <v>1015.625</v>
      </c>
      <c r="AO12" s="8">
        <v>-2.9935964222864868</v>
      </c>
      <c r="AP12" s="8">
        <f t="shared" si="14"/>
        <v>1031.25</v>
      </c>
      <c r="AQ12" s="8">
        <v>4.7755418700108976</v>
      </c>
      <c r="AR12" s="8">
        <f t="shared" si="9"/>
        <v>1023.4375</v>
      </c>
      <c r="AS12" s="8">
        <v>0.89943697913440701</v>
      </c>
      <c r="AT12" s="8">
        <f t="shared" si="10"/>
        <v>-2.6925513228089262</v>
      </c>
      <c r="AU12" s="8">
        <f t="shared" si="11"/>
        <v>4.2952989532924786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7" t="s">
        <v>74</v>
      </c>
      <c r="K13" s="20">
        <f xml:space="preserve"> K8 * 1000 / ($C$10 * $C$11 * $C$12)</f>
        <v>346.18005190224881</v>
      </c>
      <c r="L13" s="20" t="s">
        <v>12</v>
      </c>
      <c r="N13" s="20" t="s">
        <v>156</v>
      </c>
      <c r="O13" s="20">
        <f>ACOS(O8*COS(G16/180*PI())/O12) /PI() *180</f>
        <v>87.847057405444389</v>
      </c>
      <c r="P13" s="20" t="s">
        <v>62</v>
      </c>
      <c r="R13" s="20" t="s">
        <v>103</v>
      </c>
      <c r="S13" s="20">
        <f>$C$15*$C$26/S12</f>
        <v>0.99928957159763721</v>
      </c>
      <c r="V13" s="20" t="s">
        <v>156</v>
      </c>
      <c r="W13" s="20">
        <f xml:space="preserve"> ACOS(W8*COS(G32/180*PI())/W12) /PI() * 180</f>
        <v>87.838670835899649</v>
      </c>
      <c r="X13" s="20" t="s">
        <v>62</v>
      </c>
      <c r="AB13" s="8">
        <v>9</v>
      </c>
      <c r="AC13" s="8">
        <f t="shared" si="7"/>
        <v>2.734375E-2</v>
      </c>
      <c r="AD13" s="8">
        <f t="shared" si="0"/>
        <v>1.2912900330459554E-3</v>
      </c>
      <c r="AE13" s="8">
        <f t="shared" si="8"/>
        <v>2.9296875E-2</v>
      </c>
      <c r="AF13" s="8">
        <f t="shared" si="1"/>
        <v>-6.7238276966445631E-4</v>
      </c>
      <c r="AG13" s="8">
        <f t="shared" si="3"/>
        <v>2.83203125E-2</v>
      </c>
      <c r="AH13" s="8">
        <f t="shared" si="2"/>
        <v>3.0954215225145049E-4</v>
      </c>
      <c r="AI13" s="8">
        <f t="shared" si="4"/>
        <v>3.9970869600989166E-7</v>
      </c>
      <c r="AJ13" s="8">
        <f t="shared" si="5"/>
        <v>-2.0813080965872709E-7</v>
      </c>
      <c r="AK13" s="8">
        <f t="shared" si="6"/>
        <v>1.953125E-3</v>
      </c>
      <c r="AM13" s="8">
        <v>9</v>
      </c>
      <c r="AN13" s="8">
        <f t="shared" si="13"/>
        <v>1015.625</v>
      </c>
      <c r="AO13" s="8">
        <v>-2.9935964222864868</v>
      </c>
      <c r="AP13" s="8">
        <f t="shared" si="14"/>
        <v>1023.4375</v>
      </c>
      <c r="AQ13" s="8">
        <v>0.89943697913440701</v>
      </c>
      <c r="AR13" s="8">
        <f t="shared" si="9"/>
        <v>1019.53125</v>
      </c>
      <c r="AS13" s="8">
        <v>-1.0449636903816781</v>
      </c>
      <c r="AT13" s="8">
        <f t="shared" si="10"/>
        <v>3.1281995649458758</v>
      </c>
      <c r="AU13" s="8">
        <f t="shared" si="11"/>
        <v>-0.93987898498203837</v>
      </c>
      <c r="AV13" s="8">
        <f t="shared" si="12"/>
        <v>7.8125</v>
      </c>
    </row>
    <row r="14" spans="2:48" x14ac:dyDescent="0.2">
      <c r="B14" s="41" t="s">
        <v>11</v>
      </c>
      <c r="C14" s="41"/>
      <c r="D14" s="41"/>
      <c r="F14" t="s">
        <v>127</v>
      </c>
      <c r="G14" s="24">
        <f>SQRT($G$11^2-$G$12^2)</f>
        <v>49.935442323063484</v>
      </c>
      <c r="H14" t="s">
        <v>16</v>
      </c>
      <c r="J14" s="28" t="s">
        <v>75</v>
      </c>
      <c r="K14" s="20">
        <f xml:space="preserve"> $C$27 * ($C$5 * $C$34 * (2*$C$16*3.28084 * (K5*0.00134102) * $C$33^0.5)^0.782 * 0.453592)</f>
        <v>57.507533214130845</v>
      </c>
      <c r="L14" s="20" t="s">
        <v>12</v>
      </c>
      <c r="AB14" s="8">
        <v>10</v>
      </c>
      <c r="AC14" s="8">
        <f t="shared" si="7"/>
        <v>2.83203125E-2</v>
      </c>
      <c r="AD14" s="8">
        <f t="shared" si="0"/>
        <v>3.0954215225145049E-4</v>
      </c>
      <c r="AE14" s="8">
        <f t="shared" si="8"/>
        <v>2.9296875E-2</v>
      </c>
      <c r="AF14" s="8">
        <f t="shared" si="1"/>
        <v>-6.7238276966445631E-4</v>
      </c>
      <c r="AG14" s="8">
        <f t="shared" si="3"/>
        <v>2.880859375E-2</v>
      </c>
      <c r="AH14" s="8">
        <f t="shared" si="2"/>
        <v>-1.8139820938743723E-4</v>
      </c>
      <c r="AI14" s="8">
        <f t="shared" si="4"/>
        <v>-5.6150392148346587E-8</v>
      </c>
      <c r="AJ14" s="8">
        <f t="shared" si="5"/>
        <v>1.2196903044009802E-7</v>
      </c>
      <c r="AK14" s="8">
        <f t="shared" si="6"/>
        <v>9.765625E-4</v>
      </c>
      <c r="AM14" s="8">
        <v>10</v>
      </c>
      <c r="AN14" s="8">
        <f t="shared" si="13"/>
        <v>1019.53125</v>
      </c>
      <c r="AO14" s="8">
        <v>-1.0449636903816781</v>
      </c>
      <c r="AP14" s="8">
        <f t="shared" si="14"/>
        <v>1023.4375</v>
      </c>
      <c r="AQ14" s="8">
        <v>0.89943697913440701</v>
      </c>
      <c r="AR14" s="8">
        <f t="shared" si="9"/>
        <v>1021.484375</v>
      </c>
      <c r="AS14" s="8">
        <v>-7.2233018184761022E-2</v>
      </c>
      <c r="AT14" s="8">
        <f t="shared" si="10"/>
        <v>7.5480881249754744E-2</v>
      </c>
      <c r="AU14" s="8">
        <f t="shared" si="11"/>
        <v>-6.496904766986214E-2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1021.6294978763472</v>
      </c>
      <c r="D15" s="26" t="s">
        <v>12</v>
      </c>
      <c r="F15" t="s">
        <v>128</v>
      </c>
      <c r="G15" s="24">
        <f>$G$14*($G$13/$G$12)</f>
        <v>5992.2530787676178</v>
      </c>
      <c r="H15" t="s">
        <v>14</v>
      </c>
      <c r="J15" s="29" t="s">
        <v>76</v>
      </c>
      <c r="K15" s="20">
        <f xml:space="preserve"> 0.2138 * (K4/1000)</f>
        <v>38.165090643165925</v>
      </c>
      <c r="L15" s="20" t="s">
        <v>12</v>
      </c>
      <c r="AB15" s="8">
        <v>11</v>
      </c>
      <c r="AC15" s="8">
        <f t="shared" si="7"/>
        <v>2.83203125E-2</v>
      </c>
      <c r="AD15" s="8">
        <f t="shared" si="0"/>
        <v>3.0954215225145049E-4</v>
      </c>
      <c r="AE15" s="8">
        <f t="shared" si="8"/>
        <v>2.880859375E-2</v>
      </c>
      <c r="AF15" s="8">
        <f t="shared" si="1"/>
        <v>-1.8139820938743723E-4</v>
      </c>
      <c r="AG15" s="8">
        <f t="shared" si="3"/>
        <v>2.8564453125E-2</v>
      </c>
      <c r="AH15" s="8">
        <f t="shared" si="2"/>
        <v>6.4077500152665001E-5</v>
      </c>
      <c r="AI15" s="8">
        <f t="shared" si="4"/>
        <v>1.9834687308148573E-8</v>
      </c>
      <c r="AJ15" s="8">
        <f t="shared" si="5"/>
        <v>-1.1623543789716667E-8</v>
      </c>
      <c r="AK15" s="8">
        <f t="shared" si="6"/>
        <v>4.8828125E-4</v>
      </c>
      <c r="AM15" s="8">
        <v>11</v>
      </c>
      <c r="AN15" s="8">
        <f t="shared" si="13"/>
        <v>1021.484375</v>
      </c>
      <c r="AO15" s="8">
        <v>-7.2233018184761022E-2</v>
      </c>
      <c r="AP15" s="8">
        <f t="shared" si="14"/>
        <v>1023.4375</v>
      </c>
      <c r="AQ15" s="8">
        <v>0.89943697913440701</v>
      </c>
      <c r="AR15" s="8">
        <f t="shared" si="9"/>
        <v>1022.4609375</v>
      </c>
      <c r="AS15" s="8">
        <v>0.41373456625535709</v>
      </c>
      <c r="AT15" s="8">
        <f t="shared" si="10"/>
        <v>-2.9885296447987424E-2</v>
      </c>
      <c r="AU15" s="8">
        <f t="shared" si="11"/>
        <v>0.37212816843620256</v>
      </c>
      <c r="AV15" s="8">
        <f t="shared" si="12"/>
        <v>1.953125</v>
      </c>
    </row>
    <row r="16" spans="2:48" x14ac:dyDescent="0.2">
      <c r="B16" s="20" t="s">
        <v>13</v>
      </c>
      <c r="C16" s="33">
        <v>1.5</v>
      </c>
      <c r="D16" s="20" t="s">
        <v>14</v>
      </c>
      <c r="F16" t="s">
        <v>152</v>
      </c>
      <c r="G16" s="24">
        <f>ATAN(G12/G14)/PI()*180</f>
        <v>2.9118789347687013</v>
      </c>
      <c r="H16" t="s">
        <v>62</v>
      </c>
      <c r="J16" s="29" t="s">
        <v>107</v>
      </c>
      <c r="K16" s="20">
        <f xml:space="preserve"> 2.20462 * (49.9/398 * (K5/1000 - 2) + 0.1) * 0.453592 * $C$5</f>
        <v>21.777765201715173</v>
      </c>
      <c r="L16" s="20" t="s">
        <v>12</v>
      </c>
      <c r="N16" s="39" t="s">
        <v>40</v>
      </c>
      <c r="O16" s="45"/>
      <c r="P16" s="45"/>
      <c r="R16" s="39" t="s">
        <v>40</v>
      </c>
      <c r="S16" s="45"/>
      <c r="T16" s="45"/>
      <c r="V16" s="39" t="s">
        <v>40</v>
      </c>
      <c r="W16" s="45"/>
      <c r="X16" s="45"/>
      <c r="AB16" s="8">
        <v>12</v>
      </c>
      <c r="AC16" s="8">
        <f t="shared" si="7"/>
        <v>2.8564453125E-2</v>
      </c>
      <c r="AD16" s="8">
        <f t="shared" si="0"/>
        <v>6.4077500152665001E-5</v>
      </c>
      <c r="AE16" s="8">
        <f t="shared" si="8"/>
        <v>2.880859375E-2</v>
      </c>
      <c r="AF16" s="8">
        <f t="shared" si="1"/>
        <v>-1.8139820938743723E-4</v>
      </c>
      <c r="AG16" s="8">
        <f t="shared" si="3"/>
        <v>2.86865234375E-2</v>
      </c>
      <c r="AH16" s="8">
        <f t="shared" si="2"/>
        <v>-5.8658972921198094E-5</v>
      </c>
      <c r="AI16" s="8">
        <f t="shared" si="4"/>
        <v>-3.7587203463132429E-9</v>
      </c>
      <c r="AJ16" s="8">
        <f t="shared" si="5"/>
        <v>1.0640632652411501E-8</v>
      </c>
      <c r="AK16" s="8">
        <f t="shared" si="6"/>
        <v>2.44140625E-4</v>
      </c>
      <c r="AM16" s="8">
        <v>12</v>
      </c>
      <c r="AN16" s="8">
        <f t="shared" si="13"/>
        <v>1021.484375</v>
      </c>
      <c r="AO16" s="8">
        <v>-7.2233018184761022E-2</v>
      </c>
      <c r="AP16" s="8">
        <f t="shared" si="14"/>
        <v>1022.4609375</v>
      </c>
      <c r="AQ16" s="8">
        <v>0.41373456625535709</v>
      </c>
      <c r="AR16" s="8">
        <f t="shared" si="9"/>
        <v>1021.97265625</v>
      </c>
      <c r="AS16" s="8">
        <v>0.17078237639623239</v>
      </c>
      <c r="AT16" s="8">
        <f t="shared" si="10"/>
        <v>-1.2336126499865756E-2</v>
      </c>
      <c r="AU16" s="8">
        <f t="shared" si="11"/>
        <v>7.0658572422354349E-2</v>
      </c>
      <c r="AV16" s="8">
        <f t="shared" si="12"/>
        <v>0.9765625</v>
      </c>
    </row>
    <row r="17" spans="2:48" x14ac:dyDescent="0.2">
      <c r="B17" s="20" t="s">
        <v>15</v>
      </c>
      <c r="C17" s="33">
        <v>50</v>
      </c>
      <c r="D17" s="20" t="s">
        <v>16</v>
      </c>
      <c r="F17" t="s">
        <v>155</v>
      </c>
      <c r="G17" s="20">
        <f xml:space="preserve"> 1/1000 * (O22 + O18 * (O27 * O24 + $G$11 * SIN(O17/180*PI())))</f>
        <v>30.365053389313442</v>
      </c>
      <c r="H17" t="s">
        <v>162</v>
      </c>
      <c r="J17" s="30" t="s">
        <v>84</v>
      </c>
      <c r="K17" s="20">
        <f xml:space="preserve"> $C$27 * (14.86 * ($C$15*2.20462)^0.144 * ($C$38/(PI()*$C$39))^0.778 * ($C$38*3.28084)^0.383 * $C$37^0.455 * 0.453592)</f>
        <v>85.508115947843535</v>
      </c>
      <c r="L17" s="20" t="s">
        <v>12</v>
      </c>
      <c r="N17" s="20" t="s">
        <v>41</v>
      </c>
      <c r="O17" s="20">
        <f xml:space="preserve"> 90 + G16 - O13</f>
        <v>5.0648215293243197</v>
      </c>
      <c r="P17" s="20" t="s">
        <v>62</v>
      </c>
      <c r="R17" s="20" t="s">
        <v>41</v>
      </c>
      <c r="S17" s="20">
        <f xml:space="preserve"> ACOS(S13)/PI()*180</f>
        <v>2.1598495624548435</v>
      </c>
      <c r="T17" s="20" t="s">
        <v>62</v>
      </c>
      <c r="V17" s="20" t="s">
        <v>41</v>
      </c>
      <c r="W17" s="20">
        <f>90-G32-W13</f>
        <v>0.41468328546565658</v>
      </c>
      <c r="X17" s="20" t="s">
        <v>62</v>
      </c>
      <c r="AB17" s="8">
        <v>13</v>
      </c>
      <c r="AC17" s="8">
        <f t="shared" si="7"/>
        <v>2.8564453125E-2</v>
      </c>
      <c r="AD17" s="8">
        <f t="shared" si="0"/>
        <v>6.4077500152665001E-5</v>
      </c>
      <c r="AE17" s="8">
        <f t="shared" si="8"/>
        <v>2.86865234375E-2</v>
      </c>
      <c r="AF17" s="8">
        <f t="shared" si="1"/>
        <v>-5.8658972921198094E-5</v>
      </c>
      <c r="AG17" s="8">
        <f t="shared" si="3"/>
        <v>2.862548828125E-2</v>
      </c>
      <c r="AH17" s="8">
        <f t="shared" si="2"/>
        <v>2.7096091004263911E-6</v>
      </c>
      <c r="AI17" s="8">
        <f t="shared" si="4"/>
        <v>1.7362497754623455E-10</v>
      </c>
      <c r="AJ17" s="8">
        <f t="shared" si="5"/>
        <v>-1.589428868489436E-10</v>
      </c>
      <c r="AK17" s="8">
        <f t="shared" si="6"/>
        <v>1.220703125E-4</v>
      </c>
      <c r="AM17" s="8">
        <v>13</v>
      </c>
      <c r="AN17" s="8">
        <f t="shared" si="13"/>
        <v>1021.484375</v>
      </c>
      <c r="AO17" s="8">
        <v>-7.2233018184761022E-2</v>
      </c>
      <c r="AP17" s="8">
        <f t="shared" si="14"/>
        <v>1021.97265625</v>
      </c>
      <c r="AQ17" s="8">
        <v>0.17078237639623239</v>
      </c>
      <c r="AR17" s="8">
        <f t="shared" si="9"/>
        <v>1021.728515625</v>
      </c>
      <c r="AS17" s="8">
        <v>4.9279829024044375E-2</v>
      </c>
      <c r="AT17" s="8">
        <f t="shared" si="10"/>
        <v>-3.5596307860357112E-3</v>
      </c>
      <c r="AU17" s="8">
        <f t="shared" si="11"/>
        <v>8.4161263091263247E-3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121.46021355725377</v>
      </c>
      <c r="H18" t="s">
        <v>162</v>
      </c>
      <c r="J18" s="30" t="s">
        <v>85</v>
      </c>
      <c r="K18" s="20">
        <f xml:space="preserve"> $C$27 * (0.054 * ($C$42*3.28084)^0.501 * ($C$15*2.20462*$C$43)^0.684 * 0.453592)</f>
        <v>12.557719436458369</v>
      </c>
      <c r="L18" s="20" t="s">
        <v>12</v>
      </c>
      <c r="N18" s="20" t="s">
        <v>30</v>
      </c>
      <c r="O18" s="20">
        <f xml:space="preserve"> O12 / $C$5</f>
        <v>2511.2621194677854</v>
      </c>
      <c r="P18" s="20" t="s">
        <v>31</v>
      </c>
      <c r="R18" s="20" t="s">
        <v>30</v>
      </c>
      <c r="S18" s="20">
        <f xml:space="preserve"> S12 / $C$5</f>
        <v>2506.4713973076273</v>
      </c>
      <c r="T18" s="20" t="s">
        <v>31</v>
      </c>
      <c r="V18" s="20" t="s">
        <v>30</v>
      </c>
      <c r="W18" s="20">
        <f xml:space="preserve"> W12 / $C$5</f>
        <v>2503.5925637430896</v>
      </c>
      <c r="X18" s="20" t="s">
        <v>31</v>
      </c>
      <c r="AB18" s="8">
        <v>14</v>
      </c>
      <c r="AC18" s="8">
        <f t="shared" si="7"/>
        <v>2.862548828125E-2</v>
      </c>
      <c r="AD18" s="8">
        <f t="shared" si="0"/>
        <v>2.7096091004263911E-6</v>
      </c>
      <c r="AE18" s="8">
        <f t="shared" si="8"/>
        <v>2.86865234375E-2</v>
      </c>
      <c r="AF18" s="8">
        <f t="shared" si="1"/>
        <v>-5.8658972921198094E-5</v>
      </c>
      <c r="AG18" s="8">
        <f t="shared" si="3"/>
        <v>2.8656005859375E-2</v>
      </c>
      <c r="AH18" s="8">
        <f t="shared" si="2"/>
        <v>-2.7974595546785552E-5</v>
      </c>
      <c r="AI18" s="8">
        <f t="shared" si="4"/>
        <v>-7.5800218674317722E-11</v>
      </c>
      <c r="AJ18" s="8">
        <f t="shared" si="5"/>
        <v>1.6409610426603625E-9</v>
      </c>
      <c r="AK18" s="8">
        <f t="shared" si="6"/>
        <v>6.103515625E-5</v>
      </c>
      <c r="AM18" s="8">
        <v>14</v>
      </c>
      <c r="AN18" s="8">
        <f t="shared" si="13"/>
        <v>1021.484375</v>
      </c>
      <c r="AO18" s="8">
        <v>-7.2233018184761022E-2</v>
      </c>
      <c r="AP18" s="8">
        <f t="shared" si="14"/>
        <v>1021.728515625</v>
      </c>
      <c r="AQ18" s="8">
        <v>4.9279829024044375E-2</v>
      </c>
      <c r="AR18" s="8">
        <f t="shared" si="9"/>
        <v>1021.6064453125</v>
      </c>
      <c r="AS18" s="8">
        <v>-1.1472983564431161E-2</v>
      </c>
      <c r="AT18" s="8">
        <f t="shared" si="10"/>
        <v>8.2872823044302039E-4</v>
      </c>
      <c r="AU18" s="8">
        <f t="shared" si="11"/>
        <v>-5.6538666845083881E-4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86</v>
      </c>
      <c r="K19" s="20">
        <f xml:space="preserve"> $C$27 * 0</f>
        <v>0</v>
      </c>
      <c r="L19" s="20" t="s">
        <v>12</v>
      </c>
      <c r="N19" s="20" t="s">
        <v>42</v>
      </c>
      <c r="O19" s="20">
        <f xml:space="preserve"> $G$11 * COS(O17/180*PI()) / ($C$18 * $C$16)</f>
        <v>110.67727300005552</v>
      </c>
      <c r="P19" s="20" t="s">
        <v>43</v>
      </c>
      <c r="R19" s="20" t="s">
        <v>42</v>
      </c>
      <c r="S19" s="20">
        <f xml:space="preserve"> $C$17 * COS(S17/180*PI()) / ($C$18 * $C$16)</f>
        <v>111.03217462195971</v>
      </c>
      <c r="T19" s="20" t="s">
        <v>43</v>
      </c>
      <c r="V19" s="20" t="s">
        <v>42</v>
      </c>
      <c r="W19" s="20">
        <f xml:space="preserve"> $G$27 * COS(W17/180*PI()) / ($C$18 * $C$16)</f>
        <v>111.10820097437211</v>
      </c>
      <c r="X19" s="20" t="s">
        <v>43</v>
      </c>
      <c r="AB19" s="8">
        <v>15</v>
      </c>
      <c r="AC19" s="8">
        <f t="shared" si="7"/>
        <v>2.862548828125E-2</v>
      </c>
      <c r="AD19" s="8">
        <f t="shared" si="0"/>
        <v>2.7096091004263911E-6</v>
      </c>
      <c r="AE19" s="8">
        <f t="shared" si="8"/>
        <v>2.8656005859375E-2</v>
      </c>
      <c r="AF19" s="8">
        <f t="shared" si="1"/>
        <v>-2.7974595546785552E-5</v>
      </c>
      <c r="AG19" s="8">
        <f t="shared" si="3"/>
        <v>2.86407470703125E-2</v>
      </c>
      <c r="AH19" s="8">
        <f t="shared" si="2"/>
        <v>-1.2632471631329745E-5</v>
      </c>
      <c r="AI19" s="8">
        <f t="shared" si="4"/>
        <v>-3.4229060093129294E-11</v>
      </c>
      <c r="AJ19" s="8">
        <f t="shared" si="5"/>
        <v>3.5338828464269191E-10</v>
      </c>
      <c r="AK19" s="8">
        <f t="shared" si="6"/>
        <v>3.0517578125E-5</v>
      </c>
      <c r="AM19" s="8">
        <v>15</v>
      </c>
      <c r="AN19" s="8">
        <f t="shared" si="13"/>
        <v>1021.6064453125</v>
      </c>
      <c r="AO19" s="8">
        <v>-1.1472983564431161E-2</v>
      </c>
      <c r="AP19" s="8">
        <f t="shared" si="14"/>
        <v>1021.728515625</v>
      </c>
      <c r="AQ19" s="8">
        <v>4.9279829024044375E-2</v>
      </c>
      <c r="AR19" s="8">
        <f t="shared" si="9"/>
        <v>1021.66748046875</v>
      </c>
      <c r="AS19" s="8">
        <v>1.8906210810314406E-2</v>
      </c>
      <c r="AT19" s="8">
        <f t="shared" si="10"/>
        <v>-2.169106458924079E-4</v>
      </c>
      <c r="AU19" s="8">
        <f t="shared" si="11"/>
        <v>9.3169483622483336E-4</v>
      </c>
      <c r="AV19" s="8">
        <f t="shared" si="12"/>
        <v>0.1220703125</v>
      </c>
    </row>
    <row r="20" spans="2:48" x14ac:dyDescent="0.2">
      <c r="B20" s="41" t="s">
        <v>20</v>
      </c>
      <c r="C20" s="41"/>
      <c r="D20" s="41"/>
      <c r="J20" s="30" t="s">
        <v>87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1.0522626325393566E-2</v>
      </c>
      <c r="R20" s="20" t="s">
        <v>45</v>
      </c>
      <c r="S20" s="20">
        <f xml:space="preserve"> S18 / ($C$25 * PI() * $C$16^2 * S19^2 * $C$16^2)</f>
        <v>1.0435519257120204E-2</v>
      </c>
      <c r="V20" s="20" t="s">
        <v>45</v>
      </c>
      <c r="W20" s="20">
        <f xml:space="preserve"> W18 / ($C$25 * PI() * $C$16^2 * W19^2 * $C$16^2)</f>
        <v>1.0409273602557933E-2</v>
      </c>
      <c r="AB20" s="8">
        <v>16</v>
      </c>
      <c r="AC20" s="8">
        <f t="shared" si="7"/>
        <v>2.862548828125E-2</v>
      </c>
      <c r="AD20" s="8">
        <f t="shared" si="0"/>
        <v>2.7096091004263911E-6</v>
      </c>
      <c r="AE20" s="8">
        <f t="shared" si="8"/>
        <v>2.86407470703125E-2</v>
      </c>
      <c r="AF20" s="8">
        <f t="shared" si="1"/>
        <v>-1.2632471631329745E-5</v>
      </c>
      <c r="AG20" s="8">
        <f t="shared" si="3"/>
        <v>2.863311767578125E-2</v>
      </c>
      <c r="AH20" s="8">
        <f t="shared" si="2"/>
        <v>-4.9614258673738587E-6</v>
      </c>
      <c r="AI20" s="8">
        <f t="shared" si="4"/>
        <v>-1.3443524681327108E-11</v>
      </c>
      <c r="AJ20" s="8">
        <f t="shared" si="5"/>
        <v>6.2675071520545847E-11</v>
      </c>
      <c r="AK20" s="8">
        <f t="shared" si="6"/>
        <v>1.52587890625E-5</v>
      </c>
      <c r="AM20" s="8">
        <v>16</v>
      </c>
      <c r="AN20" s="8">
        <f t="shared" si="13"/>
        <v>1021.6064453125</v>
      </c>
      <c r="AO20" s="8">
        <v>-1.1472983564431161E-2</v>
      </c>
      <c r="AP20" s="8">
        <f t="shared" si="14"/>
        <v>1021.66748046875</v>
      </c>
      <c r="AQ20" s="8">
        <v>1.8906210810314406E-2</v>
      </c>
      <c r="AR20" s="8">
        <f t="shared" si="9"/>
        <v>1021.636962890625</v>
      </c>
      <c r="AS20" s="8">
        <v>3.7166822020253676E-3</v>
      </c>
      <c r="AT20" s="8">
        <f t="shared" si="10"/>
        <v>-4.2641433818050859E-5</v>
      </c>
      <c r="AU20" s="8">
        <f t="shared" si="11"/>
        <v>7.026837722643516E-5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9" t="s">
        <v>118</v>
      </c>
      <c r="G21" s="40"/>
      <c r="H21" s="40"/>
      <c r="J21" s="30" t="s">
        <v>192</v>
      </c>
      <c r="K21" s="20">
        <f>$C$27*(0.14*$G$6*1000/745.7)*0.453592</f>
        <v>12.16124010928432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2.862548828125E-2</v>
      </c>
      <c r="AD21" s="8">
        <f t="shared" si="0"/>
        <v>2.7096091004263911E-6</v>
      </c>
      <c r="AE21" s="8">
        <f t="shared" si="8"/>
        <v>2.863311767578125E-2</v>
      </c>
      <c r="AF21" s="8">
        <f t="shared" si="1"/>
        <v>-4.9614258673738587E-6</v>
      </c>
      <c r="AG21" s="8">
        <f t="shared" si="3"/>
        <v>2.8629302978515625E-2</v>
      </c>
      <c r="AH21" s="8">
        <f t="shared" si="2"/>
        <v>-1.1259070339386668E-6</v>
      </c>
      <c r="AI21" s="8">
        <f t="shared" si="4"/>
        <v>-3.0507679453942971E-12</v>
      </c>
      <c r="AJ21" s="8">
        <f t="shared" si="5"/>
        <v>5.5861042824414786E-12</v>
      </c>
      <c r="AK21" s="8">
        <f t="shared" si="6"/>
        <v>7.62939453125E-6</v>
      </c>
      <c r="AM21" s="8">
        <v>17</v>
      </c>
      <c r="AN21" s="8">
        <f t="shared" si="13"/>
        <v>1021.6064453125</v>
      </c>
      <c r="AO21" s="8">
        <v>-1.1472983564431161E-2</v>
      </c>
      <c r="AP21" s="8">
        <f t="shared" si="14"/>
        <v>1021.636962890625</v>
      </c>
      <c r="AQ21" s="8">
        <v>3.7166822020253676E-3</v>
      </c>
      <c r="AR21" s="8">
        <f t="shared" si="9"/>
        <v>1021.6217041015625</v>
      </c>
      <c r="AS21" s="8">
        <v>-3.880764026689576E-3</v>
      </c>
      <c r="AT21" s="8">
        <f t="shared" si="10"/>
        <v>4.4523941895645193E-5</v>
      </c>
      <c r="AU21" s="8">
        <f t="shared" si="11"/>
        <v>-1.4423566588257445E-5</v>
      </c>
      <c r="AV21" s="8">
        <f t="shared" si="12"/>
        <v>3.0517578125E-2</v>
      </c>
    </row>
    <row r="22" spans="2:48" x14ac:dyDescent="0.2">
      <c r="B22" s="20" t="s">
        <v>21</v>
      </c>
      <c r="C22" s="33">
        <v>96000</v>
      </c>
      <c r="D22" s="20" t="s">
        <v>14</v>
      </c>
      <c r="F22" s="25" t="s">
        <v>32</v>
      </c>
      <c r="G22" s="20">
        <f xml:space="preserve"> 1/1000 * (S22 + S18 * (S24 * S27 + $C$17 * SIN(S17/180*PI())))</f>
        <v>24.100946565523191</v>
      </c>
      <c r="H22" s="20" t="s">
        <v>162</v>
      </c>
      <c r="J22" s="31" t="s">
        <v>88</v>
      </c>
      <c r="K22" s="20">
        <f xml:space="preserve"> $C$27 * (0.0268 * $C$15)</f>
        <v>21.903736434468883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10959.268266929981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11065.033815545303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11087.778852492032</v>
      </c>
      <c r="X22" s="20" t="s">
        <v>29</v>
      </c>
      <c r="AB22" s="8">
        <v>18</v>
      </c>
      <c r="AC22" s="8">
        <f t="shared" si="7"/>
        <v>2.862548828125E-2</v>
      </c>
      <c r="AD22" s="8">
        <f t="shared" si="0"/>
        <v>2.7096091004263911E-6</v>
      </c>
      <c r="AE22" s="8">
        <f t="shared" si="8"/>
        <v>2.8629302978515625E-2</v>
      </c>
      <c r="AF22" s="8">
        <f t="shared" si="1"/>
        <v>-1.1259070339386668E-6</v>
      </c>
      <c r="AG22" s="8">
        <f t="shared" si="3"/>
        <v>2.8627395629882812E-2</v>
      </c>
      <c r="AH22" s="8">
        <f t="shared" si="2"/>
        <v>7.9185137062676159E-7</v>
      </c>
      <c r="AI22" s="8">
        <f t="shared" si="4"/>
        <v>2.1456076800353845E-12</v>
      </c>
      <c r="AJ22" s="8">
        <f t="shared" si="5"/>
        <v>-8.9155102802264504E-13</v>
      </c>
      <c r="AK22" s="8">
        <f t="shared" si="6"/>
        <v>3.814697265625E-6</v>
      </c>
      <c r="AM22" s="8">
        <v>18</v>
      </c>
      <c r="AN22" s="8">
        <f t="shared" si="13"/>
        <v>1021.6217041015625</v>
      </c>
      <c r="AO22" s="8">
        <v>-3.880764026689576E-3</v>
      </c>
      <c r="AP22" s="8">
        <f t="shared" si="14"/>
        <v>1021.636962890625</v>
      </c>
      <c r="AQ22" s="8">
        <v>3.7166822020253676E-3</v>
      </c>
      <c r="AR22" s="8">
        <f t="shared" si="9"/>
        <v>1021.6293334960938</v>
      </c>
      <c r="AS22" s="8">
        <v>-8.1919648323491856E-5</v>
      </c>
      <c r="AT22" s="8">
        <f t="shared" si="10"/>
        <v>3.1791082429286825E-7</v>
      </c>
      <c r="AU22" s="8">
        <f t="shared" si="11"/>
        <v>-3.0446929892009941E-7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96.403786262092765</v>
      </c>
      <c r="H23" s="20" t="s">
        <v>162</v>
      </c>
      <c r="J23" s="31" t="s">
        <v>89</v>
      </c>
      <c r="K23" s="20">
        <f xml:space="preserve"> $C$27 * (11.5 * ($C$15*2.20462/1000)^0.4 * 0.453592)</f>
        <v>5.7743629800013512</v>
      </c>
      <c r="L23" s="20" t="s">
        <v>12</v>
      </c>
      <c r="N23" s="20" t="s">
        <v>47</v>
      </c>
      <c r="O23" s="34">
        <f>AG69</f>
        <v>4.3941196519881487E-2</v>
      </c>
      <c r="R23" s="20" t="s">
        <v>47</v>
      </c>
      <c r="S23" s="34">
        <f>AG34</f>
        <v>2.862818306311965E-2</v>
      </c>
      <c r="V23" s="20" t="s">
        <v>47</v>
      </c>
      <c r="W23" s="34">
        <f>AG104</f>
        <v>1.9483631011098623E-2</v>
      </c>
      <c r="AB23" s="8">
        <v>19</v>
      </c>
      <c r="AC23" s="8">
        <f t="shared" si="7"/>
        <v>2.8627395629882812E-2</v>
      </c>
      <c r="AD23" s="8">
        <f t="shared" si="0"/>
        <v>7.9185137062676159E-7</v>
      </c>
      <c r="AE23" s="8">
        <f t="shared" si="8"/>
        <v>2.8629302978515625E-2</v>
      </c>
      <c r="AF23" s="8">
        <f t="shared" si="1"/>
        <v>-1.1259070339386668E-6</v>
      </c>
      <c r="AG23" s="8">
        <f t="shared" si="3"/>
        <v>2.8628349304199219E-2</v>
      </c>
      <c r="AH23" s="8">
        <f t="shared" si="2"/>
        <v>-1.6702774730675829E-7</v>
      </c>
      <c r="AI23" s="8">
        <f t="shared" si="4"/>
        <v>-1.3226115063755695E-13</v>
      </c>
      <c r="AJ23" s="8">
        <f t="shared" si="5"/>
        <v>1.8805771555560935E-13</v>
      </c>
      <c r="AK23" s="8">
        <f t="shared" si="6"/>
        <v>1.9073486328125E-6</v>
      </c>
      <c r="AM23" s="8">
        <v>19</v>
      </c>
      <c r="AN23" s="8">
        <f t="shared" si="13"/>
        <v>1021.6293334960938</v>
      </c>
      <c r="AO23" s="8">
        <v>-8.1919648323491856E-5</v>
      </c>
      <c r="AP23" s="8">
        <f t="shared" si="14"/>
        <v>1021.636962890625</v>
      </c>
      <c r="AQ23" s="8">
        <v>3.7166822020253676E-3</v>
      </c>
      <c r="AR23" s="8">
        <f t="shared" si="9"/>
        <v>1021.6331481933594</v>
      </c>
      <c r="AS23" s="8">
        <v>1.8150439443616051E-3</v>
      </c>
      <c r="AT23" s="8">
        <f t="shared" si="10"/>
        <v>-1.4868776161378622E-7</v>
      </c>
      <c r="AU23" s="8">
        <f t="shared" si="11"/>
        <v>6.7459415239026991E-6</v>
      </c>
      <c r="AV23" s="8">
        <f t="shared" si="12"/>
        <v>7.62939453125E-3</v>
      </c>
    </row>
    <row r="24" spans="2:48" x14ac:dyDescent="0.2">
      <c r="B24" s="41" t="s">
        <v>97</v>
      </c>
      <c r="C24" s="42"/>
      <c r="D24" s="42"/>
      <c r="F24" s="25" t="s">
        <v>121</v>
      </c>
      <c r="G24" s="20">
        <f xml:space="preserve"> ($C$22-G15-G31)/$C$17</f>
        <v>1600.2478630521136</v>
      </c>
      <c r="H24" s="20" t="s">
        <v>22</v>
      </c>
      <c r="J24" s="31" t="s">
        <v>90</v>
      </c>
      <c r="K24" s="20">
        <f xml:space="preserve"> $C$27 * (8 * ($C$15/1000))</f>
        <v>6.5384287864086224</v>
      </c>
      <c r="L24" s="20" t="s">
        <v>12</v>
      </c>
      <c r="N24" s="20" t="s">
        <v>48</v>
      </c>
      <c r="O24" s="20">
        <f xml:space="preserve"> O19 * $C$16 * O23 - $C$17 * SIN(O17/180*PI())</f>
        <v>2.8808011688872908</v>
      </c>
      <c r="P24" s="20" t="s">
        <v>16</v>
      </c>
      <c r="R24" s="20" t="s">
        <v>48</v>
      </c>
      <c r="S24" s="20">
        <f xml:space="preserve"> S19 * $C$16 * S23 - $C$17 * SIN(S17/180*PI())</f>
        <v>2.8835961862153301</v>
      </c>
      <c r="T24" s="20" t="s">
        <v>16</v>
      </c>
      <c r="V24" s="20" t="s">
        <v>48</v>
      </c>
      <c r="W24" s="20">
        <f xml:space="preserve"> W19 * $C$16 * W23 - $C$17 * SIN(W17/180*PI())</f>
        <v>2.8853105102807461</v>
      </c>
      <c r="X24" s="20" t="s">
        <v>16</v>
      </c>
      <c r="AB24" s="8">
        <v>20</v>
      </c>
      <c r="AC24" s="8">
        <f t="shared" si="7"/>
        <v>2.8627395629882812E-2</v>
      </c>
      <c r="AD24" s="8">
        <f t="shared" si="0"/>
        <v>7.9185137062676159E-7</v>
      </c>
      <c r="AE24" s="8">
        <f t="shared" si="8"/>
        <v>2.8628349304199219E-2</v>
      </c>
      <c r="AF24" s="8">
        <f t="shared" si="1"/>
        <v>-1.6702774730675829E-7</v>
      </c>
      <c r="AG24" s="8">
        <f t="shared" si="3"/>
        <v>2.8627872467041016E-2</v>
      </c>
      <c r="AH24" s="8">
        <f t="shared" si="2"/>
        <v>3.1241183275076967E-7</v>
      </c>
      <c r="AI24" s="8">
        <f t="shared" si="4"/>
        <v>2.4738373796371555E-13</v>
      </c>
      <c r="AJ24" s="8">
        <f t="shared" si="5"/>
        <v>-5.2181444656336789E-14</v>
      </c>
      <c r="AK24" s="8">
        <f t="shared" si="6"/>
        <v>9.5367431640625E-7</v>
      </c>
      <c r="AM24" s="8">
        <v>20</v>
      </c>
      <c r="AN24" s="8">
        <f t="shared" si="13"/>
        <v>1021.6293334960938</v>
      </c>
      <c r="AO24" s="8">
        <v>-8.1919648323491856E-5</v>
      </c>
      <c r="AP24" s="8">
        <f t="shared" si="14"/>
        <v>1021.6331481933594</v>
      </c>
      <c r="AQ24" s="8">
        <v>1.8150439443616051E-3</v>
      </c>
      <c r="AR24" s="8">
        <f t="shared" si="9"/>
        <v>1021.6312408447266</v>
      </c>
      <c r="AS24" s="8">
        <v>8.6673754708499473E-4</v>
      </c>
      <c r="AT24" s="8">
        <f t="shared" si="10"/>
        <v>-7.100283504596873E-8</v>
      </c>
      <c r="AU24" s="8">
        <f t="shared" si="11"/>
        <v>1.5731667361874512E-6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13.5554532208404</v>
      </c>
      <c r="L25" s="20" t="s">
        <v>12</v>
      </c>
      <c r="N25" s="20" t="s">
        <v>49</v>
      </c>
      <c r="O25" s="20">
        <f xml:space="preserve"> 1/$C$7 - O22 * SQRT( (2*$C$25*PI()*$C$16^2) / O18^3 )</f>
        <v>0.97092954654140839</v>
      </c>
      <c r="R25" s="20" t="s">
        <v>49</v>
      </c>
      <c r="S25" s="20">
        <f xml:space="preserve"> 1/$C$7 - S22 * SQRT( (2*$C$25*PI()*$C$16^2) / S18^3 )</f>
        <v>0.966382520898599</v>
      </c>
      <c r="V25" s="20" t="s">
        <v>49</v>
      </c>
      <c r="W25" s="20">
        <f xml:space="preserve"> 1/$C$7 - W22 * SQRT( (2*$C$25*PI()*$C$16^2) / W18^3 )</f>
        <v>0.9649938170131318</v>
      </c>
      <c r="AB25" s="8">
        <v>21</v>
      </c>
      <c r="AC25" s="8">
        <f t="shared" si="7"/>
        <v>2.8627872467041016E-2</v>
      </c>
      <c r="AD25" s="8">
        <f t="shared" si="0"/>
        <v>3.1241183275076967E-7</v>
      </c>
      <c r="AE25" s="8">
        <f t="shared" si="8"/>
        <v>2.8628349304199219E-2</v>
      </c>
      <c r="AF25" s="8">
        <f t="shared" si="1"/>
        <v>-1.6702774730675829E-7</v>
      </c>
      <c r="AG25" s="8">
        <f t="shared" si="3"/>
        <v>2.8628110885620117E-2</v>
      </c>
      <c r="AH25" s="8">
        <f t="shared" si="2"/>
        <v>7.269204799209561E-8</v>
      </c>
      <c r="AI25" s="8">
        <f t="shared" si="4"/>
        <v>2.2709855939617496E-14</v>
      </c>
      <c r="AJ25" s="8">
        <f t="shared" si="5"/>
        <v>-1.2141589023234493E-14</v>
      </c>
      <c r="AK25" s="8">
        <f t="shared" si="6"/>
        <v>4.76837158203125E-7</v>
      </c>
      <c r="AM25" s="8">
        <v>21</v>
      </c>
      <c r="AN25" s="8">
        <f t="shared" si="13"/>
        <v>1021.6293334960938</v>
      </c>
      <c r="AO25" s="8">
        <v>-8.1919648323491856E-5</v>
      </c>
      <c r="AP25" s="8">
        <f t="shared" si="14"/>
        <v>1021.6312408447266</v>
      </c>
      <c r="AQ25" s="8">
        <v>8.6673754708499473E-4</v>
      </c>
      <c r="AR25" s="8">
        <f t="shared" si="9"/>
        <v>1021.6302871704102</v>
      </c>
      <c r="AS25" s="8">
        <v>3.9258414540199738E-4</v>
      </c>
      <c r="AT25" s="8">
        <f t="shared" si="10"/>
        <v>-3.2160355128710219E-8</v>
      </c>
      <c r="AU25" s="8">
        <f t="shared" si="11"/>
        <v>3.4026741921018611E-7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3" t="s">
        <v>131</v>
      </c>
      <c r="G26" s="44"/>
      <c r="H26" s="44"/>
      <c r="J26" s="26" t="s">
        <v>78</v>
      </c>
      <c r="K26" s="26">
        <f>$C$15 - $C$21 - SUM(K13:K25)</f>
        <v>-2.1907453628955409E-10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2.8628110885620117E-2</v>
      </c>
      <c r="AD26" s="8">
        <f t="shared" si="0"/>
        <v>7.269204799209561E-8</v>
      </c>
      <c r="AE26" s="8">
        <f t="shared" si="8"/>
        <v>2.8628349304199219E-2</v>
      </c>
      <c r="AF26" s="8">
        <f t="shared" si="1"/>
        <v>-1.6702774730675829E-7</v>
      </c>
      <c r="AG26" s="8">
        <f t="shared" si="3"/>
        <v>2.8628230094909668E-2</v>
      </c>
      <c r="AH26" s="8">
        <f t="shared" si="2"/>
        <v>-4.7167848342410945E-8</v>
      </c>
      <c r="AI26" s="8">
        <f t="shared" si="4"/>
        <v>-3.4287274953904239E-15</v>
      </c>
      <c r="AJ26" s="8">
        <f t="shared" si="5"/>
        <v>7.8783394539397128E-15</v>
      </c>
      <c r="AK26" s="8">
        <f t="shared" si="6"/>
        <v>2.384185791015625E-7</v>
      </c>
      <c r="AM26" s="8">
        <v>22</v>
      </c>
      <c r="AN26" s="8">
        <f t="shared" si="13"/>
        <v>1021.6293334960938</v>
      </c>
      <c r="AO26" s="8">
        <v>-8.1919648323491856E-5</v>
      </c>
      <c r="AP26" s="8">
        <f t="shared" si="14"/>
        <v>1021.6302871704102</v>
      </c>
      <c r="AQ26" s="8">
        <v>3.9258414540199738E-4</v>
      </c>
      <c r="AR26" s="8">
        <f t="shared" si="9"/>
        <v>1021.629810333252</v>
      </c>
      <c r="AS26" s="8">
        <v>1.555073945382901E-4</v>
      </c>
      <c r="AT26" s="8">
        <f t="shared" si="10"/>
        <v>-1.2739111072279224E-8</v>
      </c>
      <c r="AU26" s="8">
        <f t="shared" si="11"/>
        <v>6.1049737588505859E-8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50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1.1501544517734057</v>
      </c>
      <c r="R27" s="20" t="s">
        <v>51</v>
      </c>
      <c r="S27" s="20">
        <f xml:space="preserve"> 1/$C$30 * LN( EXP($C$30 * S25) + EXP($C$30 * S26) )</f>
        <v>1.1501347964920137</v>
      </c>
      <c r="V27" s="20" t="s">
        <v>51</v>
      </c>
      <c r="W27" s="20">
        <f xml:space="preserve"> 1/$C$30 * LN( EXP($C$30 * W25) + EXP($C$30 * W26) )</f>
        <v>1.1501293067461085</v>
      </c>
      <c r="AB27" s="8">
        <v>23</v>
      </c>
      <c r="AC27" s="8">
        <f t="shared" si="7"/>
        <v>2.8628110885620117E-2</v>
      </c>
      <c r="AD27" s="8">
        <f t="shared" si="0"/>
        <v>7.269204799209561E-8</v>
      </c>
      <c r="AE27" s="8">
        <f t="shared" si="8"/>
        <v>2.8628230094909668E-2</v>
      </c>
      <c r="AF27" s="8">
        <f t="shared" si="1"/>
        <v>-4.7167848342410945E-8</v>
      </c>
      <c r="AG27" s="8">
        <f t="shared" si="3"/>
        <v>2.8628170490264893E-2</v>
      </c>
      <c r="AH27" s="8">
        <f t="shared" si="2"/>
        <v>1.2762100154439793E-8</v>
      </c>
      <c r="AI27" s="8">
        <f t="shared" si="4"/>
        <v>9.2770319690646824E-16</v>
      </c>
      <c r="AJ27" s="8">
        <f t="shared" si="5"/>
        <v>-6.0196080461527547E-16</v>
      </c>
      <c r="AK27" s="8">
        <f t="shared" si="6"/>
        <v>1.1920928955078125E-7</v>
      </c>
      <c r="AM27" s="8">
        <v>23</v>
      </c>
      <c r="AN27" s="8">
        <f t="shared" si="13"/>
        <v>1021.6293334960938</v>
      </c>
      <c r="AO27" s="8">
        <v>-8.1919648323491856E-5</v>
      </c>
      <c r="AP27" s="8">
        <f t="shared" si="14"/>
        <v>1021.629810333252</v>
      </c>
      <c r="AQ27" s="8">
        <v>1.555073945382901E-4</v>
      </c>
      <c r="AR27" s="8">
        <f t="shared" si="9"/>
        <v>1021.6295719146729</v>
      </c>
      <c r="AS27" s="8">
        <v>3.416336710415635E-5</v>
      </c>
      <c r="AT27" s="8">
        <f t="shared" si="10"/>
        <v>-2.7986510187188387E-9</v>
      </c>
      <c r="AU27" s="8">
        <f t="shared" si="11"/>
        <v>5.3126562070224827E-9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2.8628170490264893E-2</v>
      </c>
      <c r="AD28" s="8">
        <f t="shared" si="0"/>
        <v>1.2762100154439793E-8</v>
      </c>
      <c r="AE28" s="8">
        <f t="shared" si="8"/>
        <v>2.8628230094909668E-2</v>
      </c>
      <c r="AF28" s="8">
        <f t="shared" si="1"/>
        <v>-4.7167848342410945E-8</v>
      </c>
      <c r="AG28" s="8">
        <f t="shared" si="3"/>
        <v>2.862820029258728E-2</v>
      </c>
      <c r="AH28" s="8">
        <f t="shared" si="2"/>
        <v>-1.7202874014188296E-8</v>
      </c>
      <c r="AI28" s="8">
        <f t="shared" si="4"/>
        <v>-2.1954480111328075E-16</v>
      </c>
      <c r="AJ28" s="8">
        <f t="shared" si="5"/>
        <v>8.1142255255483571E-16</v>
      </c>
      <c r="AK28" s="8">
        <f t="shared" si="6"/>
        <v>5.9604644775390625E-8</v>
      </c>
      <c r="AM28" s="8">
        <v>24</v>
      </c>
      <c r="AN28" s="8">
        <f t="shared" si="13"/>
        <v>1021.6293334960938</v>
      </c>
      <c r="AO28" s="8">
        <v>-8.1919648323491856E-5</v>
      </c>
      <c r="AP28" s="8">
        <f t="shared" si="14"/>
        <v>1021.6295719146729</v>
      </c>
      <c r="AQ28" s="8">
        <v>3.416336710415635E-5</v>
      </c>
      <c r="AR28" s="8">
        <f t="shared" si="9"/>
        <v>1021.6294527053833</v>
      </c>
      <c r="AS28" s="8">
        <v>-2.3703011265752139E-5</v>
      </c>
      <c r="AT28" s="8">
        <f t="shared" si="10"/>
        <v>1.9417423470981808E-9</v>
      </c>
      <c r="AU28" s="8">
        <f t="shared" si="11"/>
        <v>-8.0977467534584404E-10</v>
      </c>
      <c r="AV28" s="8">
        <f t="shared" si="12"/>
        <v>2.384185791015625E-4</v>
      </c>
    </row>
    <row r="29" spans="2:48" x14ac:dyDescent="0.2">
      <c r="B29" s="41" t="s">
        <v>27</v>
      </c>
      <c r="C29" s="41"/>
      <c r="D29" s="41"/>
      <c r="F29" t="s">
        <v>125</v>
      </c>
      <c r="G29" s="1">
        <v>304.8</v>
      </c>
      <c r="H29" t="s">
        <v>14</v>
      </c>
      <c r="J29" s="41" t="s">
        <v>196</v>
      </c>
      <c r="K29" s="41"/>
      <c r="L29" s="41"/>
      <c r="AB29" s="8">
        <v>25</v>
      </c>
      <c r="AC29" s="8">
        <f t="shared" si="7"/>
        <v>2.8628170490264893E-2</v>
      </c>
      <c r="AD29" s="8">
        <f t="shared" si="0"/>
        <v>1.2762100154439793E-8</v>
      </c>
      <c r="AE29" s="8">
        <f t="shared" si="8"/>
        <v>2.862820029258728E-2</v>
      </c>
      <c r="AF29" s="8">
        <f t="shared" si="1"/>
        <v>-1.7202874014188296E-8</v>
      </c>
      <c r="AG29" s="8">
        <f t="shared" si="3"/>
        <v>2.8628185391426086E-2</v>
      </c>
      <c r="AH29" s="8">
        <f t="shared" si="2"/>
        <v>-2.2203869090575701E-9</v>
      </c>
      <c r="AI29" s="8">
        <f t="shared" si="4"/>
        <v>-2.833680011499971E-17</v>
      </c>
      <c r="AJ29" s="8">
        <f t="shared" si="5"/>
        <v>3.8197036259270343E-17</v>
      </c>
      <c r="AK29" s="8">
        <f t="shared" si="6"/>
        <v>2.9802322387695312E-8</v>
      </c>
      <c r="AM29" s="8">
        <v>25</v>
      </c>
      <c r="AN29" s="8">
        <f t="shared" si="13"/>
        <v>1021.6294527053833</v>
      </c>
      <c r="AO29" s="8">
        <v>-2.3703011265752139E-5</v>
      </c>
      <c r="AP29" s="8">
        <f t="shared" si="14"/>
        <v>1021.6295719146729</v>
      </c>
      <c r="AQ29" s="8">
        <v>3.416336710415635E-5</v>
      </c>
      <c r="AR29" s="8">
        <f t="shared" si="9"/>
        <v>1021.6295123100281</v>
      </c>
      <c r="AS29" s="8">
        <v>7.6855591260027722E-6</v>
      </c>
      <c r="AT29" s="8">
        <f t="shared" si="10"/>
        <v>-1.8217089454724787E-10</v>
      </c>
      <c r="AU29" s="8">
        <f t="shared" si="11"/>
        <v>2.6256457782233175E-10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49.976768843133506</v>
      </c>
      <c r="H30" t="s">
        <v>16</v>
      </c>
      <c r="J30" s="20" t="s">
        <v>81</v>
      </c>
      <c r="K30" s="20">
        <f>$C$21</f>
        <v>400</v>
      </c>
      <c r="L30" s="20" t="s">
        <v>12</v>
      </c>
      <c r="AB30" s="8">
        <v>26</v>
      </c>
      <c r="AC30" s="8">
        <f t="shared" si="7"/>
        <v>2.8628170490264893E-2</v>
      </c>
      <c r="AD30" s="8">
        <f t="shared" si="0"/>
        <v>1.2762100154439793E-8</v>
      </c>
      <c r="AE30" s="8">
        <f t="shared" si="8"/>
        <v>2.8628185391426086E-2</v>
      </c>
      <c r="AF30" s="8">
        <f t="shared" si="1"/>
        <v>-2.2203869090575701E-9</v>
      </c>
      <c r="AG30" s="8">
        <f t="shared" si="3"/>
        <v>2.862817794084549E-2</v>
      </c>
      <c r="AH30" s="8">
        <f t="shared" si="2"/>
        <v>5.2708566261605583E-9</v>
      </c>
      <c r="AI30" s="8">
        <f t="shared" si="4"/>
        <v>6.726720016275367E-17</v>
      </c>
      <c r="AJ30" s="8">
        <f t="shared" si="5"/>
        <v>-1.1703341052246255E-17</v>
      </c>
      <c r="AK30" s="8">
        <f t="shared" si="6"/>
        <v>1.4901161193847656E-8</v>
      </c>
      <c r="AM30" s="8">
        <v>26</v>
      </c>
      <c r="AN30" s="8">
        <f t="shared" si="13"/>
        <v>1021.6294527053833</v>
      </c>
      <c r="AO30" s="8">
        <v>-2.3703011265752139E-5</v>
      </c>
      <c r="AP30" s="8">
        <f t="shared" si="14"/>
        <v>1021.6295123100281</v>
      </c>
      <c r="AQ30" s="8">
        <v>7.6855591260027722E-6</v>
      </c>
      <c r="AR30" s="8">
        <f t="shared" si="9"/>
        <v>1021.6294825077057</v>
      </c>
      <c r="AS30" s="8">
        <v>-7.8335967828024877E-6</v>
      </c>
      <c r="AT30" s="8">
        <f t="shared" si="10"/>
        <v>1.8567983279412708E-10</v>
      </c>
      <c r="AU30" s="8">
        <f t="shared" si="11"/>
        <v>-6.0205571243493616E-11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9995.3537686267009</v>
      </c>
      <c r="H31" t="s">
        <v>14</v>
      </c>
      <c r="J31" s="27" t="s">
        <v>74</v>
      </c>
      <c r="K31" s="20">
        <f>K13</f>
        <v>346.18005190224881</v>
      </c>
      <c r="L31" s="20" t="s">
        <v>12</v>
      </c>
      <c r="AB31" s="8">
        <v>27</v>
      </c>
      <c r="AC31" s="8">
        <f t="shared" si="7"/>
        <v>2.862817794084549E-2</v>
      </c>
      <c r="AD31" s="8">
        <f t="shared" si="0"/>
        <v>5.2708566261605583E-9</v>
      </c>
      <c r="AE31" s="8">
        <f t="shared" si="8"/>
        <v>2.8628185391426086E-2</v>
      </c>
      <c r="AF31" s="8">
        <f t="shared" si="1"/>
        <v>-2.2203869090575701E-9</v>
      </c>
      <c r="AG31" s="8">
        <f t="shared" si="3"/>
        <v>2.8628181666135788E-2</v>
      </c>
      <c r="AH31" s="8">
        <f t="shared" si="2"/>
        <v>1.5252348620209411E-9</v>
      </c>
      <c r="AI31" s="8">
        <f t="shared" si="4"/>
        <v>8.0392942789341625E-18</v>
      </c>
      <c r="AJ31" s="8">
        <f t="shared" si="5"/>
        <v>-3.3866115208695266E-18</v>
      </c>
      <c r="AK31" s="8">
        <f t="shared" si="6"/>
        <v>7.4505805969238281E-9</v>
      </c>
      <c r="AM31" s="8">
        <v>27</v>
      </c>
      <c r="AN31" s="8">
        <f t="shared" si="13"/>
        <v>1021.6294825077057</v>
      </c>
      <c r="AO31" s="8">
        <v>-7.8335967828024877E-6</v>
      </c>
      <c r="AP31" s="8">
        <f t="shared" si="14"/>
        <v>1021.6295123100281</v>
      </c>
      <c r="AQ31" s="8">
        <v>7.6855591260027722E-6</v>
      </c>
      <c r="AR31" s="8">
        <f t="shared" si="9"/>
        <v>1021.6294974088669</v>
      </c>
      <c r="AS31" s="8">
        <v>-2.4914788809837773E-7</v>
      </c>
      <c r="AT31" s="8">
        <f t="shared" si="10"/>
        <v>1.951724094649486E-12</v>
      </c>
      <c r="AU31" s="8">
        <f t="shared" si="11"/>
        <v>-1.9148408250988045E-12</v>
      </c>
      <c r="AV31" s="8">
        <f t="shared" si="12"/>
        <v>2.9802322387695312E-5</v>
      </c>
    </row>
    <row r="32" spans="2:48" x14ac:dyDescent="0.2">
      <c r="B32" s="37" t="s">
        <v>184</v>
      </c>
      <c r="C32" s="37"/>
      <c r="D32" s="37"/>
      <c r="F32" t="s">
        <v>152</v>
      </c>
      <c r="G32" s="20">
        <f>ATAN(G28/G30)/PI()*180</f>
        <v>1.7466458786346903</v>
      </c>
      <c r="H32" t="s">
        <v>62</v>
      </c>
      <c r="J32" s="35" t="s">
        <v>94</v>
      </c>
      <c r="K32" s="20">
        <f>SUM(K14:K16)</f>
        <v>117.45038905901194</v>
      </c>
      <c r="L32" s="20" t="s">
        <v>12</v>
      </c>
      <c r="V32" s="33">
        <v>3.5000000000000003E-2</v>
      </c>
      <c r="AB32" s="8">
        <v>28</v>
      </c>
      <c r="AC32" s="8">
        <f t="shared" si="7"/>
        <v>2.8628181666135788E-2</v>
      </c>
      <c r="AD32" s="8">
        <f t="shared" si="0"/>
        <v>1.5252348620209411E-9</v>
      </c>
      <c r="AE32" s="8">
        <f t="shared" si="8"/>
        <v>2.8628185391426086E-2</v>
      </c>
      <c r="AF32" s="8">
        <f t="shared" si="1"/>
        <v>-2.2203869090575701E-9</v>
      </c>
      <c r="AG32" s="8">
        <f t="shared" si="3"/>
        <v>2.8628183528780937E-2</v>
      </c>
      <c r="AH32" s="8">
        <f t="shared" si="2"/>
        <v>-3.4757602351831451E-10</v>
      </c>
      <c r="AI32" s="8">
        <f t="shared" si="4"/>
        <v>-5.301350682727438E-19</v>
      </c>
      <c r="AJ32" s="8">
        <f t="shared" si="5"/>
        <v>7.7175325252235165E-19</v>
      </c>
      <c r="AK32" s="8">
        <f t="shared" si="6"/>
        <v>3.7252902984619141E-9</v>
      </c>
      <c r="AM32" s="8">
        <v>28</v>
      </c>
      <c r="AN32" s="8">
        <f t="shared" si="13"/>
        <v>1021.6294974088669</v>
      </c>
      <c r="AO32" s="8">
        <v>-2.4914788809837773E-7</v>
      </c>
      <c r="AP32" s="8">
        <f t="shared" si="14"/>
        <v>1021.6295123100281</v>
      </c>
      <c r="AQ32" s="8">
        <v>7.6855591260027722E-6</v>
      </c>
      <c r="AR32" s="8">
        <f t="shared" si="9"/>
        <v>1021.6295048594475</v>
      </c>
      <c r="AS32" s="8">
        <v>3.7182064716034802E-6</v>
      </c>
      <c r="AT32" s="8">
        <f t="shared" si="10"/>
        <v>-9.2638328991372779E-13</v>
      </c>
      <c r="AU32" s="8">
        <f t="shared" si="11"/>
        <v>2.8576495680194695E-11</v>
      </c>
      <c r="AV32" s="8">
        <f t="shared" si="12"/>
        <v>1.4901161193847656E-5</v>
      </c>
    </row>
    <row r="33" spans="2:48" x14ac:dyDescent="0.2">
      <c r="B33" t="s">
        <v>182</v>
      </c>
      <c r="C33" s="1">
        <v>5</v>
      </c>
      <c r="D33"/>
      <c r="F33" t="s">
        <v>155</v>
      </c>
      <c r="G33" s="20">
        <f xml:space="preserve"> 1/1000 * (W22 + W18 * (W27 * W24 + $G$27 * SIN(W17/180*PI())))</f>
        <v>20.301891897125365</v>
      </c>
      <c r="H33" t="s">
        <v>162</v>
      </c>
      <c r="J33" s="36" t="s">
        <v>95</v>
      </c>
      <c r="K33" s="20">
        <f>SUM(K17:K21)</f>
        <v>110.22707549358623</v>
      </c>
      <c r="L33" s="20" t="s">
        <v>12</v>
      </c>
      <c r="AB33" s="8">
        <v>29</v>
      </c>
      <c r="AC33" s="8">
        <f t="shared" si="7"/>
        <v>2.8628181666135788E-2</v>
      </c>
      <c r="AD33" s="8">
        <f t="shared" si="0"/>
        <v>1.5252348620209411E-9</v>
      </c>
      <c r="AE33" s="8">
        <f t="shared" si="8"/>
        <v>2.8628183528780937E-2</v>
      </c>
      <c r="AF33" s="8">
        <f t="shared" si="1"/>
        <v>-3.4757602351831451E-10</v>
      </c>
      <c r="AG33" s="8">
        <f t="shared" si="3"/>
        <v>2.8628182597458363E-2</v>
      </c>
      <c r="AH33" s="8">
        <f t="shared" si="2"/>
        <v>5.8882942272076022E-10</v>
      </c>
      <c r="AI33" s="8">
        <f t="shared" si="4"/>
        <v>8.9810316331736913E-19</v>
      </c>
      <c r="AJ33" s="8">
        <f t="shared" si="5"/>
        <v>-2.0466298927986651E-19</v>
      </c>
      <c r="AK33" s="8">
        <f t="shared" si="6"/>
        <v>1.862645149230957E-9</v>
      </c>
      <c r="AM33" s="8">
        <v>29</v>
      </c>
      <c r="AN33" s="8">
        <f t="shared" si="13"/>
        <v>1021.6294974088669</v>
      </c>
      <c r="AO33" s="8">
        <v>-2.4914788809837773E-7</v>
      </c>
      <c r="AP33" s="8">
        <f t="shared" si="14"/>
        <v>1021.6295048594475</v>
      </c>
      <c r="AQ33" s="8">
        <v>3.7182064716034802E-6</v>
      </c>
      <c r="AR33" s="8">
        <f t="shared" si="9"/>
        <v>1021.6295011341572</v>
      </c>
      <c r="AS33" s="8">
        <v>1.7345294054393889E-6</v>
      </c>
      <c r="AT33" s="8">
        <f t="shared" si="10"/>
        <v>-4.3215433820975854E-13</v>
      </c>
      <c r="AU33" s="8">
        <f t="shared" si="11"/>
        <v>6.4493384604912726E-12</v>
      </c>
      <c r="AV33" s="8">
        <f t="shared" si="12"/>
        <v>7.4505805969238281E-6</v>
      </c>
    </row>
    <row r="34" spans="2:48" x14ac:dyDescent="0.2">
      <c r="B34" t="s">
        <v>185</v>
      </c>
      <c r="C34" s="1">
        <v>0.14399999999999999</v>
      </c>
      <c r="D34"/>
      <c r="F34" t="s">
        <v>133</v>
      </c>
      <c r="G34" s="20">
        <f>$C$5*G33</f>
        <v>81.207567588501462</v>
      </c>
      <c r="H34" t="s">
        <v>162</v>
      </c>
      <c r="J34" s="31" t="s">
        <v>96</v>
      </c>
      <c r="K34" s="20">
        <f>SUM(K22:K25)</f>
        <v>47.771981421719254</v>
      </c>
      <c r="L34" s="20" t="s">
        <v>12</v>
      </c>
      <c r="V34" s="33">
        <v>3.4909389999999998E-2</v>
      </c>
      <c r="AB34" s="8">
        <v>30</v>
      </c>
      <c r="AC34" s="8">
        <f t="shared" si="7"/>
        <v>2.8628182597458363E-2</v>
      </c>
      <c r="AD34" s="8">
        <f t="shared" si="0"/>
        <v>5.8882942272076022E-10</v>
      </c>
      <c r="AE34" s="8">
        <f t="shared" si="8"/>
        <v>2.8628183528780937E-2</v>
      </c>
      <c r="AF34" s="8">
        <f t="shared" si="1"/>
        <v>-3.4757602351831451E-10</v>
      </c>
      <c r="AG34" s="8">
        <f t="shared" si="3"/>
        <v>2.862818306311965E-2</v>
      </c>
      <c r="AH34" s="8">
        <f t="shared" si="2"/>
        <v>1.206266961317759E-10</v>
      </c>
      <c r="AI34" s="8">
        <f t="shared" si="4"/>
        <v>7.1028547847986164E-20</v>
      </c>
      <c r="AJ34" s="8">
        <f t="shared" si="5"/>
        <v>-4.1926947371634719E-20</v>
      </c>
      <c r="AK34" s="8">
        <f t="shared" si="6"/>
        <v>9.3132257461547852E-10</v>
      </c>
      <c r="AM34" s="8">
        <v>30</v>
      </c>
      <c r="AN34" s="8">
        <f t="shared" si="13"/>
        <v>1021.6294974088669</v>
      </c>
      <c r="AO34" s="8">
        <v>-2.4914788809837773E-7</v>
      </c>
      <c r="AP34" s="8">
        <f t="shared" si="14"/>
        <v>1021.6295011341572</v>
      </c>
      <c r="AQ34" s="8">
        <v>1.7345294054393889E-6</v>
      </c>
      <c r="AR34" s="8">
        <f t="shared" si="9"/>
        <v>1021.629499271512</v>
      </c>
      <c r="AS34" s="8">
        <v>7.4269087235734332E-7</v>
      </c>
      <c r="AT34" s="8">
        <f t="shared" si="10"/>
        <v>-1.8503986235777392E-13</v>
      </c>
      <c r="AU34" s="8">
        <f t="shared" si="11"/>
        <v>1.2882191572552438E-12</v>
      </c>
      <c r="AV34" s="8">
        <f t="shared" si="12"/>
        <v>3.7252902984619141E-6</v>
      </c>
    </row>
    <row r="35" spans="2:48" x14ac:dyDescent="0.2">
      <c r="B35"/>
      <c r="C35"/>
      <c r="D35"/>
      <c r="F35" t="s">
        <v>132</v>
      </c>
      <c r="G35" s="20">
        <f>$G$29/$G$28</f>
        <v>200</v>
      </c>
      <c r="H35" t="s">
        <v>22</v>
      </c>
      <c r="J35" s="26" t="s">
        <v>83</v>
      </c>
      <c r="K35" s="26">
        <f>SUM(K30:K34)</f>
        <v>1021.6294978765662</v>
      </c>
      <c r="L35" s="20" t="s">
        <v>12</v>
      </c>
      <c r="AM35" s="8">
        <v>31</v>
      </c>
      <c r="AN35" s="8">
        <f t="shared" si="13"/>
        <v>1021.6294974088669</v>
      </c>
      <c r="AO35" s="20">
        <v>-2.4914788809837773E-7</v>
      </c>
      <c r="AP35" s="8">
        <f t="shared" si="14"/>
        <v>1021.629499271512</v>
      </c>
      <c r="AQ35" s="20">
        <v>7.4269087235734332E-7</v>
      </c>
      <c r="AR35" s="8">
        <f t="shared" si="9"/>
        <v>1021.6294983401895</v>
      </c>
      <c r="AS35" s="20">
        <v>2.4677160581632052E-7</v>
      </c>
      <c r="AT35" s="8">
        <f t="shared" si="10"/>
        <v>-6.1482624431781604E-14</v>
      </c>
      <c r="AU35" s="8">
        <f t="shared" si="11"/>
        <v>1.8327501919674554E-13</v>
      </c>
      <c r="AV35" s="8">
        <f t="shared" si="12"/>
        <v>1.862645149230957E-6</v>
      </c>
    </row>
    <row r="36" spans="2:48" x14ac:dyDescent="0.2">
      <c r="B36" s="37" t="s">
        <v>165</v>
      </c>
      <c r="C36" s="37"/>
      <c r="D36" s="37"/>
      <c r="AM36" s="8">
        <v>32</v>
      </c>
      <c r="AN36" s="8">
        <f t="shared" si="13"/>
        <v>1021.6294974088669</v>
      </c>
      <c r="AO36" s="20">
        <v>-2.4914788809837773E-7</v>
      </c>
      <c r="AP36" s="8">
        <f t="shared" si="14"/>
        <v>1021.6294983401895</v>
      </c>
      <c r="AQ36" s="20">
        <v>2.4677160581632052E-7</v>
      </c>
      <c r="AR36" s="8">
        <f t="shared" si="9"/>
        <v>1021.6294978745282</v>
      </c>
      <c r="AS36" s="20">
        <v>-1.187572706840001E-9</v>
      </c>
      <c r="AT36" s="8">
        <f t="shared" si="10"/>
        <v>2.9588123187246013E-16</v>
      </c>
      <c r="AU36" s="8">
        <f t="shared" si="11"/>
        <v>-2.930592238905415E-16</v>
      </c>
      <c r="AV36" s="8">
        <f t="shared" si="12"/>
        <v>9.3132257461547852E-7</v>
      </c>
    </row>
    <row r="37" spans="2:48" x14ac:dyDescent="0.2">
      <c r="B37" t="s">
        <v>166</v>
      </c>
      <c r="C37" s="1">
        <v>4</v>
      </c>
      <c r="D37"/>
      <c r="F37" s="39" t="s">
        <v>111</v>
      </c>
      <c r="G37" s="40"/>
      <c r="H37" s="40"/>
      <c r="J37" s="41" t="s">
        <v>80</v>
      </c>
      <c r="K37" s="41"/>
      <c r="L37" s="41"/>
      <c r="AB37" s="32" t="s">
        <v>142</v>
      </c>
      <c r="AM37" s="8">
        <v>33</v>
      </c>
      <c r="AN37" s="8">
        <f t="shared" si="13"/>
        <v>1021.6294978745282</v>
      </c>
      <c r="AO37" s="20">
        <v>-1.187572706840001E-9</v>
      </c>
      <c r="AP37" s="8">
        <f t="shared" si="14"/>
        <v>1021.6294983401895</v>
      </c>
      <c r="AQ37" s="20">
        <v>2.4677160581632052E-7</v>
      </c>
      <c r="AR37" s="8">
        <f t="shared" si="9"/>
        <v>1021.6294981073588</v>
      </c>
      <c r="AS37" s="20">
        <v>1.2279213024157798E-7</v>
      </c>
      <c r="AT37" s="8">
        <f t="shared" si="10"/>
        <v>-1.4582458248964071E-16</v>
      </c>
      <c r="AU37" s="8">
        <f t="shared" si="11"/>
        <v>3.0301611161320971E-14</v>
      </c>
      <c r="AV37" s="8">
        <f t="shared" si="12"/>
        <v>4.6566128730773926E-7</v>
      </c>
    </row>
    <row r="38" spans="2:48" x14ac:dyDescent="0.2">
      <c r="B38" t="s">
        <v>167</v>
      </c>
      <c r="C38" s="1">
        <v>5.2</v>
      </c>
      <c r="D38" t="s">
        <v>14</v>
      </c>
      <c r="F38" t="s">
        <v>117</v>
      </c>
      <c r="G38" s="1">
        <v>1.524</v>
      </c>
      <c r="H38" t="s">
        <v>16</v>
      </c>
      <c r="J38" s="20" t="s">
        <v>81</v>
      </c>
      <c r="K38" s="20">
        <f>ROUND($C$21/$C$15 * 100, 2)</f>
        <v>39.15</v>
      </c>
      <c r="L38" s="20" t="s">
        <v>82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1021.6294978745282</v>
      </c>
      <c r="AO38" s="20">
        <v>-1.187572706840001E-9</v>
      </c>
      <c r="AP38" s="8">
        <f t="shared" si="14"/>
        <v>1021.6294981073588</v>
      </c>
      <c r="AQ38" s="20">
        <v>1.2279213024157798E-7</v>
      </c>
      <c r="AR38" s="8">
        <f t="shared" si="9"/>
        <v>1021.6294979909435</v>
      </c>
      <c r="AS38" s="20">
        <v>6.0802562984463293E-8</v>
      </c>
      <c r="AT38" s="8">
        <f t="shared" si="10"/>
        <v>-7.2207464306268725E-17</v>
      </c>
      <c r="AU38" s="8">
        <f t="shared" si="11"/>
        <v>7.466076233009965E-15</v>
      </c>
      <c r="AV38" s="8">
        <f t="shared" si="12"/>
        <v>2.3283064365386963E-7</v>
      </c>
    </row>
    <row r="39" spans="2:48" x14ac:dyDescent="0.2">
      <c r="B39" t="s">
        <v>168</v>
      </c>
      <c r="C39" s="1">
        <v>1.8</v>
      </c>
      <c r="D39" t="s">
        <v>14</v>
      </c>
      <c r="F39" t="s">
        <v>123</v>
      </c>
      <c r="G39" s="1">
        <v>152.4</v>
      </c>
      <c r="H39" t="s">
        <v>14</v>
      </c>
      <c r="J39" s="27" t="s">
        <v>74</v>
      </c>
      <c r="K39" s="20">
        <f>ROUND(K13/$C$15 * 100, 2)</f>
        <v>33.89</v>
      </c>
      <c r="L39" s="20" t="s">
        <v>82</v>
      </c>
      <c r="AB39" s="8">
        <v>0</v>
      </c>
      <c r="AC39" s="9">
        <v>0</v>
      </c>
      <c r="AD39" s="8">
        <f t="shared" ref="AD39:AD69" si="15" xml:space="preserve"> $C$18 * TAN($O$17/180*PI()) + $O$20 / (2 * SQRT($C$18^2 + AC39^2)) - AC39</f>
        <v>4.4126346228955497E-2</v>
      </c>
      <c r="AE39" s="9">
        <v>1</v>
      </c>
      <c r="AF39" s="8">
        <f t="shared" ref="AF39:AF69" si="16" xml:space="preserve"> $C$18 * TAN($O$17/180*PI()) + $O$20 / (2 * SQRT($C$18^2 + AE39^2)) - AE39</f>
        <v>-0.96837194027135609</v>
      </c>
      <c r="AG39" s="8">
        <f xml:space="preserve"> (AC39 + AE39)/2</f>
        <v>0.5</v>
      </c>
      <c r="AH39" s="8">
        <f t="shared" ref="AH39:AH69" si="17" xml:space="preserve"> $C$18 * TAN($O$17/180*PI()) + $O$20 / (2 * SQRT($C$18^2 + AG39^2)) - AG39</f>
        <v>-0.46438828667942555</v>
      </c>
      <c r="AI39" s="8">
        <f>AD39*AH39</f>
        <v>-2.0491758322687775E-2</v>
      </c>
      <c r="AJ39" s="8">
        <f>AF39*AH39</f>
        <v>0.44970058621104608</v>
      </c>
      <c r="AK39" s="8">
        <f>AE39-AC39</f>
        <v>1</v>
      </c>
      <c r="AM39" s="8">
        <v>35</v>
      </c>
      <c r="AN39" s="8">
        <f t="shared" si="13"/>
        <v>1021.6294978745282</v>
      </c>
      <c r="AO39" s="20">
        <v>-1.187572706840001E-9</v>
      </c>
      <c r="AP39" s="8">
        <f t="shared" si="14"/>
        <v>1021.6294979909435</v>
      </c>
      <c r="AQ39" s="20">
        <v>6.0802562984463293E-8</v>
      </c>
      <c r="AR39" s="8">
        <f t="shared" si="9"/>
        <v>1021.6294979327358</v>
      </c>
      <c r="AS39" s="20">
        <v>2.9807210921717342E-8</v>
      </c>
      <c r="AT39" s="8">
        <f t="shared" si="10"/>
        <v>-3.5398230157654706E-17</v>
      </c>
      <c r="AU39" s="8">
        <f t="shared" si="11"/>
        <v>1.8123548194589009E-15</v>
      </c>
      <c r="AV39" s="8">
        <f t="shared" si="12"/>
        <v>1.1641532182693481E-7</v>
      </c>
    </row>
    <row r="40" spans="2:48" x14ac:dyDescent="0.2">
      <c r="B40"/>
      <c r="C40"/>
      <c r="D40"/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160.64997144429074</v>
      </c>
      <c r="H40" t="s">
        <v>162</v>
      </c>
      <c r="J40" s="35" t="s">
        <v>94</v>
      </c>
      <c r="K40" s="20">
        <f>ROUND(SUM(K14:K16)/$C$15 * 100, 2)</f>
        <v>11.5</v>
      </c>
      <c r="L40" s="20" t="s">
        <v>82</v>
      </c>
      <c r="AB40" s="8">
        <v>1</v>
      </c>
      <c r="AC40" s="8">
        <f>IF(AI39&gt;0, AG39, AC39)</f>
        <v>0</v>
      </c>
      <c r="AD40" s="8">
        <f t="shared" si="15"/>
        <v>4.4126346228955497E-2</v>
      </c>
      <c r="AE40" s="8">
        <f>IF(AJ39&gt;0, AG39, AE39)</f>
        <v>0.5</v>
      </c>
      <c r="AF40" s="8">
        <f t="shared" si="16"/>
        <v>-0.46438828667942555</v>
      </c>
      <c r="AG40" s="8">
        <f t="shared" ref="AG40:AG69" si="18" xml:space="preserve"> (AC40 + AE40)/2</f>
        <v>0.25</v>
      </c>
      <c r="AH40" s="8">
        <f t="shared" si="17"/>
        <v>-0.20993852187933565</v>
      </c>
      <c r="AI40" s="8">
        <f t="shared" ref="AI40:AI69" si="19">AD40*AH40</f>
        <v>-9.2638199032427145E-3</v>
      </c>
      <c r="AJ40" s="8">
        <f t="shared" ref="AJ40:AJ69" si="20">AF40*AH40</f>
        <v>9.749299048355578E-2</v>
      </c>
      <c r="AK40" s="8">
        <f t="shared" ref="AK40:AK69" si="21">AE40-AC40</f>
        <v>0.5</v>
      </c>
      <c r="AM40" s="8">
        <v>36</v>
      </c>
      <c r="AN40" s="8">
        <f t="shared" si="13"/>
        <v>1021.6294978745282</v>
      </c>
      <c r="AO40" s="20">
        <v>-1.187572706840001E-9</v>
      </c>
      <c r="AP40" s="8">
        <f t="shared" si="14"/>
        <v>1021.6294979327358</v>
      </c>
      <c r="AQ40" s="20">
        <v>2.9807210921717342E-8</v>
      </c>
      <c r="AR40" s="8">
        <f t="shared" si="9"/>
        <v>1021.629497903632</v>
      </c>
      <c r="AS40" s="20">
        <v>1.4309421203506645E-8</v>
      </c>
      <c r="AT40" s="8">
        <f t="shared" si="10"/>
        <v>-1.6993478071962092E-17</v>
      </c>
      <c r="AU40" s="8">
        <f t="shared" si="11"/>
        <v>4.2652393598061698E-16</v>
      </c>
      <c r="AV40" s="8">
        <f t="shared" si="12"/>
        <v>5.8207660913467407E-8</v>
      </c>
    </row>
    <row r="41" spans="2:48" x14ac:dyDescent="0.2">
      <c r="B41" s="37" t="s">
        <v>169</v>
      </c>
      <c r="C41" s="37"/>
      <c r="D41" s="37"/>
      <c r="F41" t="s">
        <v>30</v>
      </c>
      <c r="G41" s="20">
        <f xml:space="preserve"> $C$15 * $C$26 / $C$5</f>
        <v>2504.6907288372699</v>
      </c>
      <c r="H41" t="s">
        <v>31</v>
      </c>
      <c r="J41" s="36" t="s">
        <v>95</v>
      </c>
      <c r="K41" s="20">
        <f>ROUND(SUM(K17:K21)/$C$15 * 100, 2)</f>
        <v>10.79</v>
      </c>
      <c r="L41" s="20" t="s">
        <v>82</v>
      </c>
      <c r="AB41" s="8">
        <v>2</v>
      </c>
      <c r="AC41" s="8">
        <f t="shared" ref="AC41:AC69" si="22">IF(AI40&gt;0, AG40, AC40)</f>
        <v>0</v>
      </c>
      <c r="AD41" s="8">
        <f t="shared" si="15"/>
        <v>4.4126346228955497E-2</v>
      </c>
      <c r="AE41" s="8">
        <f t="shared" ref="AE41:AE69" si="23">IF(AJ40&gt;0, AG40, AE40)</f>
        <v>0.25</v>
      </c>
      <c r="AF41" s="8">
        <f t="shared" si="16"/>
        <v>-0.20993852187933565</v>
      </c>
      <c r="AG41" s="8">
        <f t="shared" si="18"/>
        <v>0.125</v>
      </c>
      <c r="AH41" s="8">
        <f t="shared" si="17"/>
        <v>-8.2222708428146246E-2</v>
      </c>
      <c r="AI41" s="8">
        <f t="shared" si="19"/>
        <v>-3.6281876999828384E-3</v>
      </c>
      <c r="AJ41" s="8">
        <f t="shared" si="20"/>
        <v>1.7261713872320616E-2</v>
      </c>
      <c r="AK41" s="8">
        <f t="shared" si="21"/>
        <v>0.25</v>
      </c>
      <c r="AM41" s="8">
        <v>37</v>
      </c>
      <c r="AN41" s="8">
        <f t="shared" si="13"/>
        <v>1021.6294978745282</v>
      </c>
      <c r="AO41" s="20">
        <v>-1.187572706840001E-9</v>
      </c>
      <c r="AP41" s="8">
        <f t="shared" si="14"/>
        <v>1021.629497903632</v>
      </c>
      <c r="AQ41" s="20">
        <v>1.4309421203506645E-8</v>
      </c>
      <c r="AR41" s="8">
        <f t="shared" si="9"/>
        <v>1021.6294978890801</v>
      </c>
      <c r="AS41" s="20">
        <v>6.5605263444012962E-9</v>
      </c>
      <c r="AT41" s="8">
        <f t="shared" si="10"/>
        <v>-7.7911020291157843E-18</v>
      </c>
      <c r="AU41" s="8">
        <f t="shared" si="11"/>
        <v>9.3877334778739845E-17</v>
      </c>
      <c r="AV41" s="8">
        <f t="shared" si="12"/>
        <v>2.9103830456733704E-8</v>
      </c>
    </row>
    <row r="42" spans="2:48" x14ac:dyDescent="0.2">
      <c r="B42" t="s">
        <v>170</v>
      </c>
      <c r="C42" s="1">
        <v>0.3</v>
      </c>
      <c r="D42" t="s">
        <v>14</v>
      </c>
      <c r="F42" t="s">
        <v>122</v>
      </c>
      <c r="G42" s="24">
        <f>$G$39/$G$38</f>
        <v>100</v>
      </c>
      <c r="H42" t="s">
        <v>22</v>
      </c>
      <c r="J42" s="31" t="s">
        <v>96</v>
      </c>
      <c r="K42" s="20">
        <f>ROUND(SUM(K22:K25)/$C$15*100, 2)</f>
        <v>4.68</v>
      </c>
      <c r="L42" s="20" t="s">
        <v>82</v>
      </c>
      <c r="AB42" s="8">
        <v>3</v>
      </c>
      <c r="AC42" s="8">
        <f t="shared" si="22"/>
        <v>0</v>
      </c>
      <c r="AD42" s="8">
        <f t="shared" si="15"/>
        <v>4.4126346228955497E-2</v>
      </c>
      <c r="AE42" s="8">
        <f t="shared" si="23"/>
        <v>0.125</v>
      </c>
      <c r="AF42" s="8">
        <f t="shared" si="16"/>
        <v>-8.2222708428146246E-2</v>
      </c>
      <c r="AG42" s="8">
        <f t="shared" si="18"/>
        <v>6.25E-2</v>
      </c>
      <c r="AH42" s="8">
        <f t="shared" si="17"/>
        <v>-1.8742289085407503E-2</v>
      </c>
      <c r="AI42" s="8">
        <f t="shared" si="19"/>
        <v>-8.2702873730586518E-4</v>
      </c>
      <c r="AJ42" s="8">
        <f t="shared" si="20"/>
        <v>1.5410417707454889E-3</v>
      </c>
      <c r="AK42" s="8">
        <f t="shared" si="21"/>
        <v>0.125</v>
      </c>
      <c r="AM42" s="8">
        <v>38</v>
      </c>
      <c r="AN42" s="8">
        <f t="shared" si="13"/>
        <v>1021.6294978745282</v>
      </c>
      <c r="AO42" s="20">
        <v>-1.187572706840001E-9</v>
      </c>
      <c r="AP42" s="8">
        <f t="shared" si="14"/>
        <v>1021.6294978890801</v>
      </c>
      <c r="AQ42" s="20">
        <v>6.5605263444012962E-9</v>
      </c>
      <c r="AR42" s="8">
        <f t="shared" si="9"/>
        <v>1021.6294978818041</v>
      </c>
      <c r="AS42" s="20">
        <v>2.6867610358749516E-9</v>
      </c>
      <c r="AT42" s="8">
        <f t="shared" si="10"/>
        <v>-3.1907240760062615E-18</v>
      </c>
      <c r="AU42" s="8">
        <f t="shared" si="11"/>
        <v>1.7626566556968536E-17</v>
      </c>
      <c r="AV42" s="8">
        <f t="shared" si="12"/>
        <v>1.4551915228366852E-8</v>
      </c>
    </row>
    <row r="43" spans="2:48" x14ac:dyDescent="0.2">
      <c r="B43" t="s">
        <v>171</v>
      </c>
      <c r="C43" s="1">
        <v>5.7</v>
      </c>
      <c r="D43"/>
      <c r="J43" s="26" t="s">
        <v>83</v>
      </c>
      <c r="K43" s="26">
        <f>SUM(K38:K42)</f>
        <v>100.00999999999999</v>
      </c>
      <c r="L43" s="26" t="s">
        <v>82</v>
      </c>
      <c r="AB43" s="8">
        <v>4</v>
      </c>
      <c r="AC43" s="8">
        <f t="shared" si="22"/>
        <v>0</v>
      </c>
      <c r="AD43" s="8">
        <f t="shared" si="15"/>
        <v>4.4126346228955497E-2</v>
      </c>
      <c r="AE43" s="8">
        <f t="shared" si="23"/>
        <v>6.25E-2</v>
      </c>
      <c r="AF43" s="8">
        <f t="shared" si="16"/>
        <v>-1.8742289085407503E-2</v>
      </c>
      <c r="AG43" s="8">
        <f t="shared" si="18"/>
        <v>3.125E-2</v>
      </c>
      <c r="AH43" s="8">
        <f t="shared" si="17"/>
        <v>1.2781965441824819E-2</v>
      </c>
      <c r="AI43" s="8">
        <f t="shared" si="19"/>
        <v>5.6402143257250608E-4</v>
      </c>
      <c r="AJ43" s="8">
        <f t="shared" si="20"/>
        <v>-2.395632913903692E-4</v>
      </c>
      <c r="AK43" s="8">
        <f t="shared" si="21"/>
        <v>6.25E-2</v>
      </c>
      <c r="AM43" s="8">
        <v>39</v>
      </c>
      <c r="AN43" s="8">
        <f t="shared" si="13"/>
        <v>1021.6294978745282</v>
      </c>
      <c r="AO43" s="20">
        <v>-1.187572706840001E-9</v>
      </c>
      <c r="AP43" s="8">
        <f t="shared" si="14"/>
        <v>1021.6294978818041</v>
      </c>
      <c r="AQ43" s="20">
        <v>2.6867610358749516E-9</v>
      </c>
      <c r="AR43" s="8">
        <f t="shared" si="9"/>
        <v>1021.6294978781661</v>
      </c>
      <c r="AS43" s="20">
        <v>7.4942363426089287E-10</v>
      </c>
      <c r="AT43" s="8">
        <f t="shared" si="10"/>
        <v>-8.8999505390907949E-19</v>
      </c>
      <c r="AU43" s="8">
        <f t="shared" si="11"/>
        <v>2.0135222198959674E-18</v>
      </c>
      <c r="AV43" s="8">
        <f t="shared" si="12"/>
        <v>7.2759576141834259E-9</v>
      </c>
    </row>
    <row r="44" spans="2:48" x14ac:dyDescent="0.2">
      <c r="AB44" s="8">
        <v>5</v>
      </c>
      <c r="AC44" s="8">
        <f t="shared" si="22"/>
        <v>3.125E-2</v>
      </c>
      <c r="AD44" s="8">
        <f t="shared" si="15"/>
        <v>1.2781965441824819E-2</v>
      </c>
      <c r="AE44" s="8">
        <f t="shared" si="23"/>
        <v>6.25E-2</v>
      </c>
      <c r="AF44" s="8">
        <f t="shared" si="16"/>
        <v>-1.8742289085407503E-2</v>
      </c>
      <c r="AG44" s="8">
        <f t="shared" si="18"/>
        <v>4.6875E-2</v>
      </c>
      <c r="AH44" s="8">
        <f t="shared" si="17"/>
        <v>-2.9588952531088217E-3</v>
      </c>
      <c r="AI44" s="8">
        <f t="shared" si="19"/>
        <v>-3.782049687121646E-5</v>
      </c>
      <c r="AJ44" s="8">
        <f t="shared" si="20"/>
        <v>5.5456470207205541E-5</v>
      </c>
      <c r="AK44" s="8">
        <f t="shared" si="21"/>
        <v>3.125E-2</v>
      </c>
      <c r="AM44" s="8">
        <v>40</v>
      </c>
      <c r="AN44" s="8">
        <f t="shared" si="13"/>
        <v>1021.6294978745282</v>
      </c>
      <c r="AO44" s="20">
        <v>-1.187572706840001E-9</v>
      </c>
      <c r="AP44" s="8">
        <f t="shared" si="14"/>
        <v>1021.6294978781661</v>
      </c>
      <c r="AQ44" s="20">
        <v>7.4942363426089287E-10</v>
      </c>
      <c r="AR44" s="11">
        <f t="shared" si="9"/>
        <v>1021.6294978763472</v>
      </c>
      <c r="AS44" s="20">
        <v>-2.1907453628955409E-10</v>
      </c>
      <c r="AT44" s="8">
        <f t="shared" si="10"/>
        <v>2.6016694006110379E-19</v>
      </c>
      <c r="AU44" s="8">
        <f t="shared" si="11"/>
        <v>-1.6417963516013749E-19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3.125E-2</v>
      </c>
      <c r="AD45" s="8">
        <f t="shared" si="15"/>
        <v>1.2781965441824819E-2</v>
      </c>
      <c r="AE45" s="8">
        <f t="shared" si="23"/>
        <v>4.6875E-2</v>
      </c>
      <c r="AF45" s="8">
        <f t="shared" si="16"/>
        <v>-2.9588952531088217E-3</v>
      </c>
      <c r="AG45" s="8">
        <f t="shared" si="18"/>
        <v>3.90625E-2</v>
      </c>
      <c r="AH45" s="8">
        <f t="shared" si="17"/>
        <v>4.9170413202903399E-3</v>
      </c>
      <c r="AI45" s="8">
        <f t="shared" si="19"/>
        <v>6.2849452231975806E-5</v>
      </c>
      <c r="AJ45" s="8">
        <f t="shared" si="20"/>
        <v>-1.454901022194702E-5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3.90625E-2</v>
      </c>
      <c r="AD46" s="8">
        <f t="shared" si="15"/>
        <v>4.9170413202903399E-3</v>
      </c>
      <c r="AE46" s="8">
        <f t="shared" si="23"/>
        <v>4.6875E-2</v>
      </c>
      <c r="AF46" s="8">
        <f t="shared" si="16"/>
        <v>-2.9588952531088217E-3</v>
      </c>
      <c r="AG46" s="8">
        <f t="shared" si="18"/>
        <v>4.296875E-2</v>
      </c>
      <c r="AH46" s="8">
        <f t="shared" si="17"/>
        <v>9.8042800933836188E-4</v>
      </c>
      <c r="AI46" s="8">
        <f t="shared" si="19"/>
        <v>4.8208050334867284E-6</v>
      </c>
      <c r="AJ46" s="8">
        <f t="shared" si="20"/>
        <v>-2.9009837828462106E-6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4.296875E-2</v>
      </c>
      <c r="AD47" s="8">
        <f t="shared" si="15"/>
        <v>9.8042800933836188E-4</v>
      </c>
      <c r="AE47" s="8">
        <f t="shared" si="23"/>
        <v>4.6875E-2</v>
      </c>
      <c r="AF47" s="8">
        <f t="shared" si="16"/>
        <v>-2.9588952531088217E-3</v>
      </c>
      <c r="AG47" s="8">
        <f t="shared" si="18"/>
        <v>4.4921875E-2</v>
      </c>
      <c r="AH47" s="8">
        <f t="shared" si="17"/>
        <v>-9.8889776979017158E-4</v>
      </c>
      <c r="AI47" s="8">
        <f t="shared" si="19"/>
        <v>-9.6954307187452367E-7</v>
      </c>
      <c r="AJ47" s="8">
        <f t="shared" si="20"/>
        <v>2.9260449168420392E-6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4.296875E-2</v>
      </c>
      <c r="AD48" s="8">
        <f t="shared" si="15"/>
        <v>9.8042800933836188E-4</v>
      </c>
      <c r="AE48" s="8">
        <f t="shared" si="23"/>
        <v>4.4921875E-2</v>
      </c>
      <c r="AF48" s="8">
        <f t="shared" si="16"/>
        <v>-9.8889776979017158E-4</v>
      </c>
      <c r="AG48" s="8">
        <f t="shared" si="18"/>
        <v>4.39453125E-2</v>
      </c>
      <c r="AH48" s="8">
        <f t="shared" si="17"/>
        <v>-4.150547327066989E-6</v>
      </c>
      <c r="AI48" s="8">
        <f t="shared" si="19"/>
        <v>-4.0693128535409472E-9</v>
      </c>
      <c r="AJ48" s="8">
        <f t="shared" si="20"/>
        <v>4.1044669951451031E-9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4.296875E-2</v>
      </c>
      <c r="AD49" s="8">
        <f t="shared" si="15"/>
        <v>9.8042800933836188E-4</v>
      </c>
      <c r="AE49" s="8">
        <f t="shared" si="23"/>
        <v>4.39453125E-2</v>
      </c>
      <c r="AF49" s="8">
        <f t="shared" si="16"/>
        <v>-4.150547327066989E-6</v>
      </c>
      <c r="AG49" s="8">
        <f t="shared" si="18"/>
        <v>4.345703125E-2</v>
      </c>
      <c r="AH49" s="8">
        <f t="shared" si="17"/>
        <v>4.8815985973886533E-4</v>
      </c>
      <c r="AI49" s="8">
        <f t="shared" si="19"/>
        <v>4.7860559952266967E-7</v>
      </c>
      <c r="AJ49" s="8">
        <f t="shared" si="20"/>
        <v>-2.0261306010205437E-9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4.345703125E-2</v>
      </c>
      <c r="AD50" s="8">
        <f t="shared" si="15"/>
        <v>4.8815985973886533E-4</v>
      </c>
      <c r="AE50" s="8">
        <f t="shared" si="23"/>
        <v>4.39453125E-2</v>
      </c>
      <c r="AF50" s="8">
        <f t="shared" si="16"/>
        <v>-4.150547327066989E-6</v>
      </c>
      <c r="AG50" s="8">
        <f t="shared" si="18"/>
        <v>4.3701171875E-2</v>
      </c>
      <c r="AH50" s="8">
        <f t="shared" si="17"/>
        <v>2.420099327333225E-4</v>
      </c>
      <c r="AI50" s="8">
        <f t="shared" si="19"/>
        <v>1.1813953481851094E-7</v>
      </c>
      <c r="AJ50" s="8">
        <f t="shared" si="20"/>
        <v>-1.0044736794299534E-9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4.3701171875E-2</v>
      </c>
      <c r="AD51" s="8">
        <f t="shared" si="15"/>
        <v>2.420099327333225E-4</v>
      </c>
      <c r="AE51" s="8">
        <f t="shared" si="23"/>
        <v>4.39453125E-2</v>
      </c>
      <c r="AF51" s="8">
        <f t="shared" si="16"/>
        <v>-4.150547327066989E-6</v>
      </c>
      <c r="AG51" s="8">
        <f t="shared" si="18"/>
        <v>4.38232421875E-2</v>
      </c>
      <c r="AH51" s="8">
        <f t="shared" si="17"/>
        <v>1.1893101112513127E-4</v>
      </c>
      <c r="AI51" s="8">
        <f t="shared" si="19"/>
        <v>2.8782486002299048E-8</v>
      </c>
      <c r="AJ51" s="8">
        <f t="shared" si="20"/>
        <v>-4.9362879033078794E-10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4.38232421875E-2</v>
      </c>
      <c r="AD52" s="8">
        <f t="shared" si="15"/>
        <v>1.1893101112513127E-4</v>
      </c>
      <c r="AE52" s="8">
        <f t="shared" si="23"/>
        <v>4.39453125E-2</v>
      </c>
      <c r="AF52" s="8">
        <f t="shared" si="16"/>
        <v>-4.150547327066989E-6</v>
      </c>
      <c r="AG52" s="8">
        <f t="shared" si="18"/>
        <v>4.388427734375E-2</v>
      </c>
      <c r="AH52" s="8">
        <f t="shared" si="17"/>
        <v>5.7390561415626706E-5</v>
      </c>
      <c r="AI52" s="8">
        <f t="shared" si="19"/>
        <v>6.8255174981994291E-9</v>
      </c>
      <c r="AJ52" s="8">
        <f t="shared" si="20"/>
        <v>-2.3820224128250328E-10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4.388427734375E-2</v>
      </c>
      <c r="AD53" s="8">
        <f t="shared" si="15"/>
        <v>5.7390561415626706E-5</v>
      </c>
      <c r="AE53" s="8">
        <f t="shared" si="23"/>
        <v>4.39453125E-2</v>
      </c>
      <c r="AF53" s="8">
        <f t="shared" si="16"/>
        <v>-4.150547327066989E-6</v>
      </c>
      <c r="AG53" s="8">
        <f t="shared" si="18"/>
        <v>4.3914794921875E-2</v>
      </c>
      <c r="AH53" s="8">
        <f t="shared" si="17"/>
        <v>2.6620089412301984E-5</v>
      </c>
      <c r="AI53" s="8">
        <f t="shared" si="19"/>
        <v>1.5277418763061913E-9</v>
      </c>
      <c r="AJ53" s="8">
        <f t="shared" si="20"/>
        <v>-1.1048794095651425E-10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4.3914794921875E-2</v>
      </c>
      <c r="AD54" s="8">
        <f t="shared" si="15"/>
        <v>2.6620089412301984E-5</v>
      </c>
      <c r="AE54" s="8">
        <f t="shared" si="23"/>
        <v>4.39453125E-2</v>
      </c>
      <c r="AF54" s="8">
        <f t="shared" si="16"/>
        <v>-4.150547327066989E-6</v>
      </c>
      <c r="AG54" s="8">
        <f t="shared" si="18"/>
        <v>4.39300537109375E-2</v>
      </c>
      <c r="AH54" s="8">
        <f t="shared" si="17"/>
        <v>1.1234791633230046E-5</v>
      </c>
      <c r="AI54" s="8">
        <f t="shared" si="19"/>
        <v>2.9907115780516608E-10</v>
      </c>
      <c r="AJ54" s="8">
        <f t="shared" si="20"/>
        <v>-4.6630534383457541E-11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4.39300537109375E-2</v>
      </c>
      <c r="AD55" s="8">
        <f t="shared" si="15"/>
        <v>1.1234791633230046E-5</v>
      </c>
      <c r="AE55" s="8">
        <f t="shared" si="23"/>
        <v>4.39453125E-2</v>
      </c>
      <c r="AF55" s="8">
        <f t="shared" si="16"/>
        <v>-4.150547327066989E-6</v>
      </c>
      <c r="AG55" s="8">
        <f t="shared" si="18"/>
        <v>4.393768310546875E-2</v>
      </c>
      <c r="AH55" s="8">
        <f t="shared" si="17"/>
        <v>3.5421273005611931E-6</v>
      </c>
      <c r="AI55" s="8">
        <f t="shared" si="19"/>
        <v>3.9795062160180618E-11</v>
      </c>
      <c r="AJ55" s="8">
        <f t="shared" si="20"/>
        <v>-1.4701766999475271E-11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4.393768310546875E-2</v>
      </c>
      <c r="AD56" s="8">
        <f t="shared" si="15"/>
        <v>3.5421273005611931E-6</v>
      </c>
      <c r="AE56" s="8">
        <f t="shared" si="23"/>
        <v>4.39453125E-2</v>
      </c>
      <c r="AF56" s="8">
        <f t="shared" si="16"/>
        <v>-4.150547327066989E-6</v>
      </c>
      <c r="AG56" s="8">
        <f t="shared" si="18"/>
        <v>4.3941497802734375E-2</v>
      </c>
      <c r="AH56" s="8">
        <f t="shared" si="17"/>
        <v>-3.0420872640379848E-7</v>
      </c>
      <c r="AI56" s="8">
        <f t="shared" si="19"/>
        <v>-1.0775460348638452E-12</v>
      </c>
      <c r="AJ56" s="8">
        <f t="shared" si="20"/>
        <v>1.2626327162457388E-12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4.393768310546875E-2</v>
      </c>
      <c r="AD57" s="8">
        <f t="shared" si="15"/>
        <v>3.5421273005611931E-6</v>
      </c>
      <c r="AE57" s="8">
        <f t="shared" si="23"/>
        <v>4.3941497802734375E-2</v>
      </c>
      <c r="AF57" s="8">
        <f t="shared" si="16"/>
        <v>-3.0420872640379848E-7</v>
      </c>
      <c r="AG57" s="8">
        <f t="shared" si="18"/>
        <v>4.3939590454101562E-2</v>
      </c>
      <c r="AH57" s="8">
        <f t="shared" si="17"/>
        <v>1.6189596087970437E-6</v>
      </c>
      <c r="AI57" s="8">
        <f t="shared" si="19"/>
        <v>5.7345610288258779E-12</v>
      </c>
      <c r="AJ57" s="8">
        <f t="shared" si="20"/>
        <v>-4.9250164069134046E-13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4.3939590454101562E-2</v>
      </c>
      <c r="AD58" s="8">
        <f t="shared" si="15"/>
        <v>1.6189596087970437E-6</v>
      </c>
      <c r="AE58" s="8">
        <f t="shared" si="23"/>
        <v>4.3941497802734375E-2</v>
      </c>
      <c r="AF58" s="8">
        <f t="shared" si="16"/>
        <v>-3.0420872640379848E-7</v>
      </c>
      <c r="AG58" s="8">
        <f t="shared" si="18"/>
        <v>4.3940544128417969E-2</v>
      </c>
      <c r="AH58" s="8">
        <f t="shared" si="17"/>
        <v>6.573755216288113E-7</v>
      </c>
      <c r="AI58" s="8">
        <f t="shared" si="19"/>
        <v>1.0642644173289329E-12</v>
      </c>
      <c r="AJ58" s="8">
        <f t="shared" si="20"/>
        <v>-1.9997937020373336E-13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4.3940544128417969E-2</v>
      </c>
      <c r="AD59" s="8">
        <f t="shared" si="15"/>
        <v>6.573755216288113E-7</v>
      </c>
      <c r="AE59" s="8">
        <f t="shared" si="23"/>
        <v>4.3941497802734375E-2</v>
      </c>
      <c r="AF59" s="8">
        <f t="shared" si="16"/>
        <v>-3.0420872640379848E-7</v>
      </c>
      <c r="AG59" s="8">
        <f t="shared" si="18"/>
        <v>4.3941020965576172E-2</v>
      </c>
      <c r="AH59" s="8">
        <f t="shared" si="17"/>
        <v>1.7658341772142094E-7</v>
      </c>
      <c r="AI59" s="8">
        <f t="shared" si="19"/>
        <v>1.1608161633561738E-13</v>
      </c>
      <c r="AJ59" s="8">
        <f t="shared" si="20"/>
        <v>-5.3718216609063402E-14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4.3941020965576172E-2</v>
      </c>
      <c r="AD60" s="8">
        <f t="shared" si="15"/>
        <v>1.7658341772142094E-7</v>
      </c>
      <c r="AE60" s="8">
        <f t="shared" si="23"/>
        <v>4.3941497802734375E-2</v>
      </c>
      <c r="AF60" s="8">
        <f t="shared" si="16"/>
        <v>-3.0420872640379848E-7</v>
      </c>
      <c r="AG60" s="8">
        <f t="shared" si="18"/>
        <v>4.3941259384155273E-2</v>
      </c>
      <c r="AH60" s="8">
        <f t="shared" si="17"/>
        <v>-6.3812649317429582E-8</v>
      </c>
      <c r="AI60" s="8">
        <f t="shared" si="19"/>
        <v>-1.1268255710330215E-14</v>
      </c>
      <c r="AJ60" s="8">
        <f t="shared" si="20"/>
        <v>1.9412364777307472E-14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4.3941020965576172E-2</v>
      </c>
      <c r="AD61" s="8">
        <f t="shared" si="15"/>
        <v>1.7658341772142094E-7</v>
      </c>
      <c r="AE61" s="8">
        <f t="shared" si="23"/>
        <v>4.3941259384155273E-2</v>
      </c>
      <c r="AF61" s="8">
        <f t="shared" si="16"/>
        <v>-6.3812649317429582E-8</v>
      </c>
      <c r="AG61" s="8">
        <f t="shared" si="18"/>
        <v>4.3941140174865723E-2</v>
      </c>
      <c r="AH61" s="8">
        <f t="shared" si="17"/>
        <v>5.6385385457935477E-8</v>
      </c>
      <c r="AI61" s="8">
        <f t="shared" si="19"/>
        <v>9.9567240737019545E-15</v>
      </c>
      <c r="AJ61" s="8">
        <f t="shared" si="20"/>
        <v>-3.5981008288553302E-15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4.3941140174865723E-2</v>
      </c>
      <c r="AD62" s="8">
        <f t="shared" si="15"/>
        <v>5.6385385457935477E-8</v>
      </c>
      <c r="AE62" s="8">
        <f t="shared" si="23"/>
        <v>4.3941259384155273E-2</v>
      </c>
      <c r="AF62" s="8">
        <f t="shared" si="16"/>
        <v>-6.3812649317429582E-8</v>
      </c>
      <c r="AG62" s="8">
        <f t="shared" si="18"/>
        <v>4.3941199779510498E-2</v>
      </c>
      <c r="AH62" s="8">
        <f t="shared" si="17"/>
        <v>-3.7136316105579326E-9</v>
      </c>
      <c r="AI62" s="8">
        <f t="shared" si="19"/>
        <v>-2.0939454981008275E-16</v>
      </c>
      <c r="AJ62" s="8">
        <f t="shared" si="20"/>
        <v>2.3697667165865457E-16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4.3941140174865723E-2</v>
      </c>
      <c r="AD63" s="8">
        <f t="shared" si="15"/>
        <v>5.6385385457935477E-8</v>
      </c>
      <c r="AE63" s="8">
        <f t="shared" si="23"/>
        <v>4.3941199779510498E-2</v>
      </c>
      <c r="AF63" s="8">
        <f t="shared" si="16"/>
        <v>-3.7136316105579326E-9</v>
      </c>
      <c r="AG63" s="8">
        <f t="shared" si="18"/>
        <v>4.394116997718811E-2</v>
      </c>
      <c r="AH63" s="8">
        <f t="shared" si="17"/>
        <v>2.6335877000016605E-8</v>
      </c>
      <c r="AI63" s="8">
        <f t="shared" si="19"/>
        <v>1.4849585760187137E-15</v>
      </c>
      <c r="AJ63" s="8">
        <f t="shared" si="20"/>
        <v>-9.7801745319027282E-17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4.394116997718811E-2</v>
      </c>
      <c r="AD64" s="8">
        <f t="shared" si="15"/>
        <v>2.6335877000016605E-8</v>
      </c>
      <c r="AE64" s="8">
        <f t="shared" si="23"/>
        <v>4.3941199779510498E-2</v>
      </c>
      <c r="AF64" s="8">
        <f t="shared" si="16"/>
        <v>-3.7136316105579326E-9</v>
      </c>
      <c r="AG64" s="8">
        <f t="shared" si="18"/>
        <v>4.3941184878349304E-2</v>
      </c>
      <c r="AH64" s="8">
        <f t="shared" si="17"/>
        <v>1.1311122712076571E-8</v>
      </c>
      <c r="AI64" s="8">
        <f t="shared" si="19"/>
        <v>2.9788833647734281E-16</v>
      </c>
      <c r="AJ64" s="8">
        <f t="shared" si="20"/>
        <v>-4.2005342854467324E-17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4.3941184878349304E-2</v>
      </c>
      <c r="AD65" s="8">
        <f t="shared" si="15"/>
        <v>1.1311122712076571E-8</v>
      </c>
      <c r="AE65" s="8">
        <f t="shared" si="23"/>
        <v>4.3941199779510498E-2</v>
      </c>
      <c r="AF65" s="8">
        <f t="shared" si="16"/>
        <v>-3.7136316105579326E-9</v>
      </c>
      <c r="AG65" s="8">
        <f t="shared" si="18"/>
        <v>4.3941192328929901E-2</v>
      </c>
      <c r="AH65" s="8">
        <f t="shared" si="17"/>
        <v>3.7987455542287663E-9</v>
      </c>
      <c r="AI65" s="8">
        <f t="shared" si="19"/>
        <v>4.2968077115836898E-17</v>
      </c>
      <c r="AJ65" s="8">
        <f t="shared" si="20"/>
        <v>-1.410714157065036E-17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4.3941192328929901E-2</v>
      </c>
      <c r="AD66" s="8">
        <f t="shared" si="15"/>
        <v>3.7987455542287663E-9</v>
      </c>
      <c r="AE66" s="8">
        <f t="shared" si="23"/>
        <v>4.3941199779510498E-2</v>
      </c>
      <c r="AF66" s="8">
        <f t="shared" si="16"/>
        <v>-3.7136316105579326E-9</v>
      </c>
      <c r="AG66" s="8">
        <f t="shared" si="18"/>
        <v>4.39411960542202E-2</v>
      </c>
      <c r="AH66" s="8">
        <f t="shared" si="17"/>
        <v>4.2556971835416846E-11</v>
      </c>
      <c r="AI66" s="8">
        <f t="shared" si="19"/>
        <v>1.6166310756122856E-19</v>
      </c>
      <c r="AJ66" s="8">
        <f t="shared" si="20"/>
        <v>-1.5804091585762764E-19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4.39411960542202E-2</v>
      </c>
      <c r="AD67" s="8">
        <f t="shared" si="15"/>
        <v>4.2556971835416846E-11</v>
      </c>
      <c r="AE67" s="8">
        <f t="shared" si="23"/>
        <v>4.3941199779510498E-2</v>
      </c>
      <c r="AF67" s="8">
        <f t="shared" si="16"/>
        <v>-3.7136316105579326E-9</v>
      </c>
      <c r="AG67" s="8">
        <f t="shared" si="18"/>
        <v>4.3941197916865349E-2</v>
      </c>
      <c r="AH67" s="8">
        <f t="shared" si="17"/>
        <v>-1.8355373193612579E-9</v>
      </c>
      <c r="AI67" s="8">
        <f t="shared" si="19"/>
        <v>-7.8114910002913587E-20</v>
      </c>
      <c r="AJ67" s="8">
        <f t="shared" si="20"/>
        <v>6.816509411538738E-18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4.39411960542202E-2</v>
      </c>
      <c r="AD68" s="8">
        <f t="shared" si="15"/>
        <v>4.2556971835416846E-11</v>
      </c>
      <c r="AE68" s="8">
        <f t="shared" si="23"/>
        <v>4.3941197916865349E-2</v>
      </c>
      <c r="AF68" s="8">
        <f t="shared" si="16"/>
        <v>-1.8355373193612579E-9</v>
      </c>
      <c r="AG68" s="8">
        <f t="shared" si="18"/>
        <v>4.3941196985542774E-2</v>
      </c>
      <c r="AH68" s="8">
        <f t="shared" si="17"/>
        <v>-8.9649017376292051E-10</v>
      </c>
      <c r="AI68" s="8">
        <f t="shared" si="19"/>
        <v>-3.8151907075556562E-20</v>
      </c>
      <c r="AJ68" s="8">
        <f t="shared" si="20"/>
        <v>1.6455411703824994E-18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4.39411960542202E-2</v>
      </c>
      <c r="AD69" s="8">
        <f t="shared" si="15"/>
        <v>4.2556971835416846E-11</v>
      </c>
      <c r="AE69" s="8">
        <f t="shared" si="23"/>
        <v>4.3941196985542774E-2</v>
      </c>
      <c r="AF69" s="8">
        <f t="shared" si="16"/>
        <v>-8.9649017376292051E-10</v>
      </c>
      <c r="AG69" s="8">
        <f t="shared" si="18"/>
        <v>4.3941196519881487E-2</v>
      </c>
      <c r="AH69" s="8">
        <f t="shared" si="17"/>
        <v>-4.2696660096375183E-10</v>
      </c>
      <c r="AI69" s="8">
        <f t="shared" si="19"/>
        <v>-1.817040561187805E-20</v>
      </c>
      <c r="AJ69" s="8">
        <f t="shared" si="20"/>
        <v>3.8277136228895742E-19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t="shared" ref="AD74:AD104" si="24" xml:space="preserve"> $C$18 * TAN($W$17/180*PI()) + $W$20 / (2 * SQRT($C$18^2 + AC74^2)) - AC74</f>
        <v>1.9520103856136343E-2</v>
      </c>
      <c r="AE74" s="9">
        <v>1</v>
      </c>
      <c r="AF74" s="8">
        <f t="shared" ref="AF74:AF104" si="25" xml:space="preserve"> $C$18 * TAN($W$17/180*PI()) + $W$20 / (2 * SQRT($C$18^2 + AE74^2)) - AE74</f>
        <v>-0.99284354754816584</v>
      </c>
      <c r="AG74" s="8">
        <f xml:space="preserve"> (AC74 + AE74)/2</f>
        <v>0.5</v>
      </c>
      <c r="AH74" s="8">
        <f t="shared" ref="AH74:AH104" si="26" xml:space="preserve"> $C$18 * TAN($W$17/180*PI()) + $W$20 / (2 * SQRT($C$18^2 + AG74^2)) - AG74</f>
        <v>-0.48890280700546046</v>
      </c>
      <c r="AI74" s="8">
        <f>AD74*AH74</f>
        <v>-9.5434335683031706E-3</v>
      </c>
      <c r="AJ74" s="8">
        <f>AF74*AH74</f>
        <v>0.48540399731355766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si="24"/>
        <v>1.9520103856136343E-2</v>
      </c>
      <c r="AE75" s="8">
        <f>IF(AJ74&gt;0, AG74, AE74)</f>
        <v>0.5</v>
      </c>
      <c r="AF75" s="8">
        <f t="shared" si="25"/>
        <v>-0.48890280700546046</v>
      </c>
      <c r="AG75" s="8">
        <f t="shared" ref="AG75:AG104" si="27" xml:space="preserve"> (AC75 + AE75)/2</f>
        <v>0.25</v>
      </c>
      <c r="AH75" s="8">
        <f t="shared" si="26"/>
        <v>-0.23450097633706649</v>
      </c>
      <c r="AI75" s="8">
        <f t="shared" ref="AI75:AI104" si="28">AD75*AH75</f>
        <v>-4.5774834124649088E-3</v>
      </c>
      <c r="AJ75" s="8">
        <f t="shared" ref="AJ75:AJ104" si="29">AF75*AH75</f>
        <v>0.11464818557671287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1.9520103856136343E-2</v>
      </c>
      <c r="AE76" s="8">
        <f t="shared" ref="AE76:AE104" si="32">IF(AJ75&gt;0, AG75, AE75)</f>
        <v>0.25</v>
      </c>
      <c r="AF76" s="8">
        <f t="shared" si="25"/>
        <v>-0.23450097633706649</v>
      </c>
      <c r="AG76" s="8">
        <f t="shared" si="27"/>
        <v>0.125</v>
      </c>
      <c r="AH76" s="8">
        <f t="shared" si="26"/>
        <v>-0.10681441840060185</v>
      </c>
      <c r="AI76" s="8">
        <f t="shared" si="28"/>
        <v>-2.0850285405125488E-3</v>
      </c>
      <c r="AJ76" s="8">
        <f t="shared" si="29"/>
        <v>2.5048085401817053E-2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1.9520103856136343E-2</v>
      </c>
      <c r="AE77" s="8">
        <f t="shared" si="32"/>
        <v>0.125</v>
      </c>
      <c r="AF77" s="8">
        <f t="shared" si="25"/>
        <v>-0.10681441840060185</v>
      </c>
      <c r="AG77" s="8">
        <f t="shared" si="27"/>
        <v>6.25E-2</v>
      </c>
      <c r="AH77" s="8">
        <f t="shared" si="26"/>
        <v>-4.3344560413800651E-2</v>
      </c>
      <c r="AI77" s="8">
        <f t="shared" si="28"/>
        <v>-8.4609032087596477E-4</v>
      </c>
      <c r="AJ77" s="8">
        <f t="shared" si="29"/>
        <v>4.6298240114298669E-3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</v>
      </c>
      <c r="AD78" s="8">
        <f t="shared" si="24"/>
        <v>1.9520103856136343E-2</v>
      </c>
      <c r="AE78" s="8">
        <f t="shared" si="32"/>
        <v>6.25E-2</v>
      </c>
      <c r="AF78" s="8">
        <f t="shared" si="25"/>
        <v>-4.3344560413800651E-2</v>
      </c>
      <c r="AG78" s="8">
        <f t="shared" si="27"/>
        <v>3.125E-2</v>
      </c>
      <c r="AH78" s="8">
        <f t="shared" si="26"/>
        <v>-1.1823260234318636E-2</v>
      </c>
      <c r="AI78" s="8">
        <f t="shared" si="28"/>
        <v>-2.3079126769202669E-4</v>
      </c>
      <c r="AJ78" s="8">
        <f t="shared" si="29"/>
        <v>5.1247401751451096E-4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</v>
      </c>
      <c r="AD79" s="8">
        <f t="shared" si="24"/>
        <v>1.9520103856136343E-2</v>
      </c>
      <c r="AE79" s="8">
        <f t="shared" si="32"/>
        <v>3.125E-2</v>
      </c>
      <c r="AF79" s="8">
        <f t="shared" si="25"/>
        <v>-1.1823260234318636E-2</v>
      </c>
      <c r="AG79" s="8">
        <f t="shared" si="27"/>
        <v>1.5625E-2</v>
      </c>
      <c r="AH79" s="8">
        <f t="shared" si="26"/>
        <v>3.8716208201993382E-3</v>
      </c>
      <c r="AI79" s="8">
        <f t="shared" si="28"/>
        <v>7.5574440501870852E-5</v>
      </c>
      <c r="AJ79" s="8">
        <f t="shared" si="29"/>
        <v>-4.5775180485822937E-5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1.5625E-2</v>
      </c>
      <c r="AD80" s="8">
        <f t="shared" si="24"/>
        <v>3.8716208201993382E-3</v>
      </c>
      <c r="AE80" s="8">
        <f t="shared" si="32"/>
        <v>3.125E-2</v>
      </c>
      <c r="AF80" s="8">
        <f t="shared" si="25"/>
        <v>-1.1823260234318636E-2</v>
      </c>
      <c r="AG80" s="8">
        <f t="shared" si="27"/>
        <v>2.34375E-2</v>
      </c>
      <c r="AH80" s="8">
        <f t="shared" si="26"/>
        <v>-3.970099313633027E-3</v>
      </c>
      <c r="AI80" s="8">
        <f t="shared" si="28"/>
        <v>-1.5370719160920729E-5</v>
      </c>
      <c r="AJ80" s="8">
        <f t="shared" si="29"/>
        <v>4.693951734117308E-5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1.5625E-2</v>
      </c>
      <c r="AD81" s="8">
        <f t="shared" si="24"/>
        <v>3.8716208201993382E-3</v>
      </c>
      <c r="AE81" s="8">
        <f t="shared" si="32"/>
        <v>2.34375E-2</v>
      </c>
      <c r="AF81" s="8">
        <f t="shared" si="25"/>
        <v>-3.970099313633027E-3</v>
      </c>
      <c r="AG81" s="8">
        <f t="shared" si="27"/>
        <v>1.953125E-2</v>
      </c>
      <c r="AH81" s="8">
        <f t="shared" si="26"/>
        <v>-4.779655377359221E-5</v>
      </c>
      <c r="AI81" s="8">
        <f t="shared" si="28"/>
        <v>-1.8505013272361684E-7</v>
      </c>
      <c r="AJ81" s="8">
        <f t="shared" si="29"/>
        <v>1.8975706533056249E-7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1.5625E-2</v>
      </c>
      <c r="AD82" s="8">
        <f t="shared" si="24"/>
        <v>3.8716208201993382E-3</v>
      </c>
      <c r="AE82" s="8">
        <f t="shared" si="32"/>
        <v>1.953125E-2</v>
      </c>
      <c r="AF82" s="8">
        <f t="shared" si="25"/>
        <v>-4.779655377359221E-5</v>
      </c>
      <c r="AG82" s="8">
        <f t="shared" si="27"/>
        <v>1.7578125E-2</v>
      </c>
      <c r="AH82" s="8">
        <f t="shared" si="26"/>
        <v>1.9122741508881061E-3</v>
      </c>
      <c r="AI82" s="8">
        <f t="shared" si="28"/>
        <v>7.4036004165074028E-6</v>
      </c>
      <c r="AJ82" s="8">
        <f t="shared" si="29"/>
        <v>-9.1400114282773745E-8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1.7578125E-2</v>
      </c>
      <c r="AD83" s="8">
        <f t="shared" si="24"/>
        <v>1.9122741508881061E-3</v>
      </c>
      <c r="AE83" s="8">
        <f t="shared" si="32"/>
        <v>1.953125E-2</v>
      </c>
      <c r="AF83" s="8">
        <f t="shared" si="25"/>
        <v>-4.779655377359221E-5</v>
      </c>
      <c r="AG83" s="8">
        <f t="shared" si="27"/>
        <v>1.85546875E-2</v>
      </c>
      <c r="AH83" s="8">
        <f t="shared" si="26"/>
        <v>9.32329145339552E-4</v>
      </c>
      <c r="AI83" s="8">
        <f t="shared" si="28"/>
        <v>1.7828689247524256E-6</v>
      </c>
      <c r="AJ83" s="8">
        <f t="shared" si="29"/>
        <v>-4.4562120129909163E-8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1.85546875E-2</v>
      </c>
      <c r="AD84" s="8">
        <f t="shared" si="24"/>
        <v>9.32329145339552E-4</v>
      </c>
      <c r="AE84" s="8">
        <f t="shared" si="32"/>
        <v>1.953125E-2</v>
      </c>
      <c r="AF84" s="8">
        <f t="shared" si="25"/>
        <v>-4.779655377359221E-5</v>
      </c>
      <c r="AG84" s="8">
        <f t="shared" si="27"/>
        <v>1.904296875E-2</v>
      </c>
      <c r="AH84" s="8">
        <f t="shared" si="26"/>
        <v>4.4228886185808045E-4</v>
      </c>
      <c r="AI84" s="8">
        <f t="shared" si="28"/>
        <v>4.1235879656934733E-7</v>
      </c>
      <c r="AJ84" s="8">
        <f t="shared" si="29"/>
        <v>-2.1139883369260637E-8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1.904296875E-2</v>
      </c>
      <c r="AD85" s="8">
        <f t="shared" si="24"/>
        <v>4.4228886185808045E-4</v>
      </c>
      <c r="AE85" s="8">
        <f t="shared" si="32"/>
        <v>1.953125E-2</v>
      </c>
      <c r="AF85" s="8">
        <f t="shared" si="25"/>
        <v>-4.779655377359221E-5</v>
      </c>
      <c r="AG85" s="8">
        <f t="shared" si="27"/>
        <v>1.9287109375E-2</v>
      </c>
      <c r="AH85" s="8">
        <f t="shared" si="26"/>
        <v>1.9725179292643183E-4</v>
      </c>
      <c r="AI85" s="8">
        <f t="shared" si="28"/>
        <v>8.7242270992897296E-8</v>
      </c>
      <c r="AJ85" s="8">
        <f t="shared" si="29"/>
        <v>-9.4279559275456745E-9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1.9287109375E-2</v>
      </c>
      <c r="AD86" s="8">
        <f t="shared" si="24"/>
        <v>1.9725179292643183E-4</v>
      </c>
      <c r="AE86" s="8">
        <f t="shared" si="32"/>
        <v>1.953125E-2</v>
      </c>
      <c r="AF86" s="8">
        <f t="shared" si="25"/>
        <v>-4.779655377359221E-5</v>
      </c>
      <c r="AG86" s="8">
        <f t="shared" si="27"/>
        <v>1.94091796875E-2</v>
      </c>
      <c r="AH86" s="8">
        <f t="shared" si="26"/>
        <v>7.4729028964586747E-5</v>
      </c>
      <c r="AI86" s="8">
        <f t="shared" si="28"/>
        <v>1.4740434946915992E-8</v>
      </c>
      <c r="AJ86" s="8">
        <f t="shared" si="29"/>
        <v>-3.5717900513542003E-9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1.94091796875E-2</v>
      </c>
      <c r="AD87" s="8">
        <f t="shared" si="24"/>
        <v>7.4729028964586747E-5</v>
      </c>
      <c r="AE87" s="8">
        <f t="shared" si="32"/>
        <v>1.953125E-2</v>
      </c>
      <c r="AF87" s="8">
        <f t="shared" si="25"/>
        <v>-4.779655377359221E-5</v>
      </c>
      <c r="AG87" s="8">
        <f t="shared" si="27"/>
        <v>1.947021484375E-2</v>
      </c>
      <c r="AH87" s="8">
        <f t="shared" si="26"/>
        <v>1.3466589900704845E-5</v>
      </c>
      <c r="AI87" s="8">
        <f t="shared" si="28"/>
        <v>1.0063451867439837E-9</v>
      </c>
      <c r="AJ87" s="8">
        <f t="shared" si="29"/>
        <v>-6.4365658833595294E-10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1.947021484375E-2</v>
      </c>
      <c r="AD88" s="8">
        <f t="shared" si="24"/>
        <v>1.3466589900704845E-5</v>
      </c>
      <c r="AE88" s="8">
        <f t="shared" si="32"/>
        <v>1.953125E-2</v>
      </c>
      <c r="AF88" s="8">
        <f t="shared" si="25"/>
        <v>-4.779655377359221E-5</v>
      </c>
      <c r="AG88" s="8">
        <f t="shared" si="27"/>
        <v>1.9500732421875E-2</v>
      </c>
      <c r="AH88" s="8">
        <f t="shared" si="26"/>
        <v>-1.7164893865381087E-5</v>
      </c>
      <c r="AI88" s="8">
        <f t="shared" si="28"/>
        <v>-2.311525863742115E-10</v>
      </c>
      <c r="AJ88" s="8">
        <f t="shared" si="29"/>
        <v>8.2042277265469016E-10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1.947021484375E-2</v>
      </c>
      <c r="AD89" s="8">
        <f t="shared" si="24"/>
        <v>1.3466589900704845E-5</v>
      </c>
      <c r="AE89" s="8">
        <f t="shared" si="32"/>
        <v>1.9500732421875E-2</v>
      </c>
      <c r="AF89" s="8">
        <f t="shared" si="25"/>
        <v>-1.7164893865381087E-5</v>
      </c>
      <c r="AG89" s="8">
        <f t="shared" si="27"/>
        <v>1.94854736328125E-2</v>
      </c>
      <c r="AH89" s="8">
        <f t="shared" si="26"/>
        <v>-1.8491299639163128E-6</v>
      </c>
      <c r="AI89" s="8">
        <f t="shared" si="28"/>
        <v>-2.4901474897166132E-11</v>
      </c>
      <c r="AJ89" s="8">
        <f t="shared" si="29"/>
        <v>3.174011957391947E-11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1.947021484375E-2</v>
      </c>
      <c r="AD90" s="8">
        <f t="shared" si="24"/>
        <v>1.3466589900704845E-5</v>
      </c>
      <c r="AE90" s="8">
        <f t="shared" si="32"/>
        <v>1.94854736328125E-2</v>
      </c>
      <c r="AF90" s="8">
        <f t="shared" si="25"/>
        <v>-1.8491299639163128E-6</v>
      </c>
      <c r="AG90" s="8">
        <f t="shared" si="27"/>
        <v>1.947784423828125E-2</v>
      </c>
      <c r="AH90" s="8">
        <f t="shared" si="26"/>
        <v>5.8087354730812502E-6</v>
      </c>
      <c r="AI90" s="8">
        <f t="shared" si="28"/>
        <v>7.822385845766194E-11</v>
      </c>
      <c r="AJ90" s="8">
        <f t="shared" si="29"/>
        <v>-1.0741106815738138E-11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1.947784423828125E-2</v>
      </c>
      <c r="AD91" s="8">
        <f t="shared" si="24"/>
        <v>5.8087354730812502E-6</v>
      </c>
      <c r="AE91" s="8">
        <f t="shared" si="32"/>
        <v>1.94854736328125E-2</v>
      </c>
      <c r="AF91" s="8">
        <f t="shared" si="25"/>
        <v>-1.8491299639163128E-6</v>
      </c>
      <c r="AG91" s="8">
        <f t="shared" si="27"/>
        <v>1.9481658935546875E-2</v>
      </c>
      <c r="AH91" s="8">
        <f t="shared" si="26"/>
        <v>1.9798041307438063E-6</v>
      </c>
      <c r="AI91" s="8">
        <f t="shared" si="28"/>
        <v>1.1500158484004337E-11</v>
      </c>
      <c r="AJ91" s="8">
        <f t="shared" si="29"/>
        <v>-3.6609151408436617E-12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1.9481658935546875E-2</v>
      </c>
      <c r="AD92" s="8">
        <f t="shared" si="24"/>
        <v>1.9798041307438063E-6</v>
      </c>
      <c r="AE92" s="8">
        <f t="shared" si="32"/>
        <v>1.94854736328125E-2</v>
      </c>
      <c r="AF92" s="8">
        <f t="shared" si="25"/>
        <v>-1.8491299639163128E-6</v>
      </c>
      <c r="AG92" s="8">
        <f t="shared" si="27"/>
        <v>1.9483566284179688E-2</v>
      </c>
      <c r="AH92" s="8">
        <f t="shared" si="26"/>
        <v>6.5337427451045427E-8</v>
      </c>
      <c r="AI92" s="8">
        <f t="shared" si="28"/>
        <v>1.2935530875975351E-13</v>
      </c>
      <c r="AJ92" s="8">
        <f t="shared" si="29"/>
        <v>-1.2081739486493634E-13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1.9483566284179688E-2</v>
      </c>
      <c r="AD93" s="8">
        <f t="shared" si="24"/>
        <v>6.5337427451045427E-8</v>
      </c>
      <c r="AE93" s="8">
        <f t="shared" si="32"/>
        <v>1.94854736328125E-2</v>
      </c>
      <c r="AF93" s="8">
        <f t="shared" si="25"/>
        <v>-1.8491299639163128E-6</v>
      </c>
      <c r="AG93" s="8">
        <f t="shared" si="27"/>
        <v>1.9484519958496094E-2</v>
      </c>
      <c r="AH93" s="8">
        <f t="shared" si="26"/>
        <v>-8.9189618222504374E-7</v>
      </c>
      <c r="AI93" s="8">
        <f t="shared" si="28"/>
        <v>-5.8274202099993182E-14</v>
      </c>
      <c r="AJ93" s="8">
        <f t="shared" si="29"/>
        <v>1.6492319552548922E-12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1.9483566284179688E-2</v>
      </c>
      <c r="AD94" s="8">
        <f t="shared" si="24"/>
        <v>6.5337427451045427E-8</v>
      </c>
      <c r="AE94" s="8">
        <f t="shared" si="32"/>
        <v>1.9484519958496094E-2</v>
      </c>
      <c r="AF94" s="8">
        <f t="shared" si="25"/>
        <v>-8.9189618222504374E-7</v>
      </c>
      <c r="AG94" s="8">
        <f t="shared" si="27"/>
        <v>1.9484043121337891E-2</v>
      </c>
      <c r="AH94" s="8">
        <f t="shared" si="26"/>
        <v>-4.1327935588336695E-7</v>
      </c>
      <c r="AI94" s="8">
        <f t="shared" si="28"/>
        <v>-2.7002609932044273E-14</v>
      </c>
      <c r="AJ94" s="8">
        <f t="shared" si="29"/>
        <v>3.6860227970480013E-13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1.9483566284179688E-2</v>
      </c>
      <c r="AD95" s="8">
        <f t="shared" si="24"/>
        <v>6.5337427451045427E-8</v>
      </c>
      <c r="AE95" s="8">
        <f t="shared" si="32"/>
        <v>1.9484043121337891E-2</v>
      </c>
      <c r="AF95" s="8">
        <f t="shared" si="25"/>
        <v>-4.1327935588336695E-7</v>
      </c>
      <c r="AG95" s="8">
        <f t="shared" si="27"/>
        <v>1.9483804702758789E-2</v>
      </c>
      <c r="AH95" s="8">
        <f t="shared" si="26"/>
        <v>-1.7397095883678326E-7</v>
      </c>
      <c r="AI95" s="8">
        <f t="shared" si="28"/>
        <v>-1.1366814901587137E-14</v>
      </c>
      <c r="AJ95" s="8">
        <f t="shared" si="29"/>
        <v>7.1898605810477531E-14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1.9483566284179688E-2</v>
      </c>
      <c r="AD96" s="8">
        <f t="shared" si="24"/>
        <v>6.5337427451045427E-8</v>
      </c>
      <c r="AE96" s="8">
        <f t="shared" si="32"/>
        <v>1.9483804702758789E-2</v>
      </c>
      <c r="AF96" s="8">
        <f t="shared" si="25"/>
        <v>-1.7397095883678326E-7</v>
      </c>
      <c r="AG96" s="8">
        <f t="shared" si="27"/>
        <v>1.9483685493469238E-2</v>
      </c>
      <c r="AH96" s="8">
        <f t="shared" si="26"/>
        <v>-5.4316764350192948E-8</v>
      </c>
      <c r="AI96" s="8">
        <f t="shared" si="28"/>
        <v>-3.5489176501062624E-15</v>
      </c>
      <c r="AJ96" s="8">
        <f t="shared" si="29"/>
        <v>9.4495395749146738E-15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1.9483566284179688E-2</v>
      </c>
      <c r="AD97" s="8">
        <f t="shared" si="24"/>
        <v>6.5337427451045427E-8</v>
      </c>
      <c r="AE97" s="8">
        <f t="shared" si="32"/>
        <v>1.9483685493469238E-2</v>
      </c>
      <c r="AF97" s="8">
        <f t="shared" si="25"/>
        <v>-5.4316764350192948E-8</v>
      </c>
      <c r="AG97" s="8">
        <f t="shared" si="27"/>
        <v>1.9483625888824463E-2</v>
      </c>
      <c r="AH97" s="8">
        <f t="shared" si="26"/>
        <v>5.5103318852278704E-9</v>
      </c>
      <c r="AI97" s="8">
        <f t="shared" si="28"/>
        <v>3.6003090978225836E-16</v>
      </c>
      <c r="AJ97" s="8">
        <f t="shared" si="29"/>
        <v>-2.9930339850127667E-16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1.9483625888824463E-2</v>
      </c>
      <c r="AD98" s="8">
        <f t="shared" si="24"/>
        <v>5.5103318852278704E-9</v>
      </c>
      <c r="AE98" s="8">
        <f t="shared" si="32"/>
        <v>1.9483685493469238E-2</v>
      </c>
      <c r="AF98" s="8">
        <f t="shared" si="25"/>
        <v>-5.4316764350192948E-8</v>
      </c>
      <c r="AG98" s="8">
        <f t="shared" si="27"/>
        <v>1.9483655691146851E-2</v>
      </c>
      <c r="AH98" s="8">
        <f t="shared" si="26"/>
        <v>-2.4403216145746365E-8</v>
      </c>
      <c r="AI98" s="8">
        <f t="shared" si="28"/>
        <v>-1.3446982003001377E-16</v>
      </c>
      <c r="AJ98" s="8">
        <f t="shared" si="29"/>
        <v>1.325503740775329E-15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1.9483625888824463E-2</v>
      </c>
      <c r="AD99" s="8">
        <f t="shared" si="24"/>
        <v>5.5103318852278704E-9</v>
      </c>
      <c r="AE99" s="8">
        <f t="shared" si="32"/>
        <v>1.9483655691146851E-2</v>
      </c>
      <c r="AF99" s="8">
        <f t="shared" si="25"/>
        <v>-2.4403216145746365E-8</v>
      </c>
      <c r="AG99" s="8">
        <f t="shared" si="27"/>
        <v>1.9483640789985657E-2</v>
      </c>
      <c r="AH99" s="8">
        <f t="shared" si="26"/>
        <v>-9.446442107707842E-9</v>
      </c>
      <c r="AI99" s="8">
        <f t="shared" si="28"/>
        <v>-5.2053031148061692E-17</v>
      </c>
      <c r="AJ99" s="8">
        <f t="shared" si="29"/>
        <v>2.3052356856267432E-16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1.9483625888824463E-2</v>
      </c>
      <c r="AD100" s="8">
        <f t="shared" si="24"/>
        <v>5.5103318852278704E-9</v>
      </c>
      <c r="AE100" s="8">
        <f t="shared" si="32"/>
        <v>1.9483640789985657E-2</v>
      </c>
      <c r="AF100" s="8">
        <f t="shared" si="25"/>
        <v>-9.446442107707842E-9</v>
      </c>
      <c r="AG100" s="8">
        <f t="shared" si="27"/>
        <v>1.948363333940506E-2</v>
      </c>
      <c r="AH100" s="8">
        <f t="shared" si="26"/>
        <v>-1.9680551077705388E-9</v>
      </c>
      <c r="AI100" s="8">
        <f t="shared" si="28"/>
        <v>-1.0844636812233573E-17</v>
      </c>
      <c r="AJ100" s="8">
        <f t="shared" si="29"/>
        <v>1.8591118640333114E-17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1.9483625888824463E-2</v>
      </c>
      <c r="AD101" s="8">
        <f t="shared" si="24"/>
        <v>5.5103318852278704E-9</v>
      </c>
      <c r="AE101" s="8">
        <f t="shared" si="32"/>
        <v>1.948363333940506E-2</v>
      </c>
      <c r="AF101" s="8">
        <f t="shared" si="25"/>
        <v>-1.9680551077705388E-9</v>
      </c>
      <c r="AG101" s="8">
        <f t="shared" si="27"/>
        <v>1.9483629614114761E-2</v>
      </c>
      <c r="AH101" s="8">
        <f t="shared" si="26"/>
        <v>1.7711383921981128E-9</v>
      </c>
      <c r="AI101" s="8">
        <f t="shared" si="28"/>
        <v>9.7595603556804859E-18</v>
      </c>
      <c r="AJ101" s="8">
        <f t="shared" si="29"/>
        <v>-3.4856979593339955E-18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1.9483629614114761E-2</v>
      </c>
      <c r="AD102" s="8">
        <f t="shared" si="24"/>
        <v>1.7711383921981128E-9</v>
      </c>
      <c r="AE102" s="8">
        <f t="shared" si="32"/>
        <v>1.948363333940506E-2</v>
      </c>
      <c r="AF102" s="8">
        <f t="shared" si="25"/>
        <v>-1.9680551077705388E-9</v>
      </c>
      <c r="AG102" s="8">
        <f t="shared" si="27"/>
        <v>1.9483631476759911E-2</v>
      </c>
      <c r="AH102" s="8">
        <f t="shared" si="26"/>
        <v>-9.8458356051489559E-11</v>
      </c>
      <c r="AI102" s="8">
        <f t="shared" si="28"/>
        <v>-1.7438337443550453E-19</v>
      </c>
      <c r="AJ102" s="8">
        <f t="shared" si="29"/>
        <v>1.9377147052982437E-19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1.9483629614114761E-2</v>
      </c>
      <c r="AD103" s="8">
        <f t="shared" si="24"/>
        <v>1.7711383921981128E-9</v>
      </c>
      <c r="AE103" s="8">
        <f t="shared" si="32"/>
        <v>1.9483631476759911E-2</v>
      </c>
      <c r="AF103" s="8">
        <f t="shared" si="25"/>
        <v>-9.8458356051489559E-11</v>
      </c>
      <c r="AG103" s="8">
        <f t="shared" si="27"/>
        <v>1.9483630545437336E-2</v>
      </c>
      <c r="AH103" s="8">
        <f t="shared" si="26"/>
        <v>8.363400180733116E-10</v>
      </c>
      <c r="AI103" s="8">
        <f t="shared" si="28"/>
        <v>1.4812739149413057E-18</v>
      </c>
      <c r="AJ103" s="8">
        <f t="shared" si="29"/>
        <v>-8.2344663279571326E-20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1.9483630545437336E-2</v>
      </c>
      <c r="AD104" s="8">
        <f t="shared" si="24"/>
        <v>8.363400180733116E-10</v>
      </c>
      <c r="AE104" s="8">
        <f t="shared" si="32"/>
        <v>1.9483631476759911E-2</v>
      </c>
      <c r="AF104" s="8">
        <f t="shared" si="25"/>
        <v>-9.8458356051489559E-11</v>
      </c>
      <c r="AG104" s="8">
        <f t="shared" si="27"/>
        <v>1.9483631011098623E-2</v>
      </c>
      <c r="AH104" s="8">
        <f t="shared" si="26"/>
        <v>3.6894083274563449E-10</v>
      </c>
      <c r="AI104" s="8">
        <f t="shared" si="28"/>
        <v>3.0855998272646656E-19</v>
      </c>
      <c r="AJ104" s="8">
        <f t="shared" si="29"/>
        <v>-3.632530787240274E-20</v>
      </c>
      <c r="AK104" s="8">
        <f t="shared" si="30"/>
        <v>9.3132257461547852E-10</v>
      </c>
    </row>
  </sheetData>
  <mergeCells count="29">
    <mergeCell ref="N3:P3"/>
    <mergeCell ref="V16:X16"/>
    <mergeCell ref="B20:D20"/>
    <mergeCell ref="V3:X3"/>
    <mergeCell ref="J7:L7"/>
    <mergeCell ref="B9:D9"/>
    <mergeCell ref="F10:H10"/>
    <mergeCell ref="N11:P11"/>
    <mergeCell ref="R11:T11"/>
    <mergeCell ref="V11:X11"/>
    <mergeCell ref="R3:T3"/>
    <mergeCell ref="J11:L11"/>
    <mergeCell ref="B14:D14"/>
    <mergeCell ref="N16:P16"/>
    <mergeCell ref="R16:T16"/>
    <mergeCell ref="B41:D41"/>
    <mergeCell ref="B1:D1"/>
    <mergeCell ref="B3:D3"/>
    <mergeCell ref="F3:H3"/>
    <mergeCell ref="J3:L3"/>
    <mergeCell ref="F37:H37"/>
    <mergeCell ref="B32:D32"/>
    <mergeCell ref="B36:D36"/>
    <mergeCell ref="F21:H21"/>
    <mergeCell ref="B24:D24"/>
    <mergeCell ref="F26:H26"/>
    <mergeCell ref="B29:D29"/>
    <mergeCell ref="J37:L37"/>
    <mergeCell ref="J29:L29"/>
  </mergeCells>
  <conditionalFormatting sqref="K27">
    <cfRule type="containsText" dxfId="23" priority="1" operator="containsText" text="FALSE">
      <formula>NOT(ISERROR(SEARCH("FALSE",K27)))</formula>
    </cfRule>
    <cfRule type="containsText" dxfId="22" priority="2" operator="containsText" text="TRUE">
      <formula>NOT(ISERROR(SEARCH("TRUE",K27)))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NOT(ISERROR(SEARCH("YES",K27)))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2F2-2FDE-5A44-A0C0-5755377D5D47}">
  <dimension ref="B1:AV104"/>
  <sheetViews>
    <sheetView zoomScale="90" workbookViewId="0">
      <selection activeCell="C28" sqref="C28"/>
    </sheetView>
  </sheetViews>
  <sheetFormatPr baseColWidth="10" defaultRowHeight="16" x14ac:dyDescent="0.2"/>
  <cols>
    <col min="1" max="1" width="4.1640625" customWidth="1"/>
    <col min="2" max="2" width="20.5" customWidth="1"/>
    <col min="3" max="3" width="11" bestFit="1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3.83203125" customWidth="1"/>
    <col min="19" max="19" width="11" bestFit="1" customWidth="1"/>
    <col min="20" max="20" width="6.33203125" customWidth="1"/>
    <col min="21" max="21" width="6.1640625" customWidth="1"/>
    <col min="22" max="22" width="14.16406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0" max="40" width="11" bestFit="1" customWidth="1"/>
    <col min="41" max="41" width="13.1640625" bestFit="1" customWidth="1"/>
    <col min="42" max="42" width="11" bestFit="1" customWidth="1"/>
    <col min="43" max="43" width="13.1640625" bestFit="1" customWidth="1"/>
    <col min="44" max="44" width="18.33203125" customWidth="1"/>
    <col min="45" max="48" width="11" bestFit="1" customWidth="1"/>
  </cols>
  <sheetData>
    <row r="1" spans="2:48" x14ac:dyDescent="0.2">
      <c r="B1" s="38" t="s">
        <v>0</v>
      </c>
      <c r="C1" s="38"/>
      <c r="D1" s="38"/>
    </row>
    <row r="2" spans="2:48" x14ac:dyDescent="0.2">
      <c r="AB2" s="6" t="s">
        <v>141</v>
      </c>
      <c r="AM2" s="6" t="s">
        <v>93</v>
      </c>
    </row>
    <row r="3" spans="2:48" x14ac:dyDescent="0.2">
      <c r="B3" s="41" t="s">
        <v>98</v>
      </c>
      <c r="C3" s="42"/>
      <c r="D3" s="42"/>
      <c r="F3" s="43" t="s">
        <v>110</v>
      </c>
      <c r="G3" s="44"/>
      <c r="H3" s="44"/>
      <c r="J3" s="41" t="s">
        <v>157</v>
      </c>
      <c r="K3" s="41"/>
      <c r="L3" s="41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221.5892920895611</v>
      </c>
      <c r="L4" t="s">
        <v>162</v>
      </c>
      <c r="N4" t="s">
        <v>36</v>
      </c>
      <c r="O4">
        <f>$C$17*$C$31*COS(G16/180*PI())</f>
        <v>11197.066846327778</v>
      </c>
      <c r="P4" t="s">
        <v>31</v>
      </c>
      <c r="R4" t="s">
        <v>36</v>
      </c>
      <c r="S4">
        <f xml:space="preserve"> $C$17 * $C$31</f>
        <v>11211.542669319897</v>
      </c>
      <c r="T4" t="s">
        <v>31</v>
      </c>
      <c r="V4" t="s">
        <v>36</v>
      </c>
      <c r="W4">
        <f>$C$17*$C$31*COS(G32/180*PI())</f>
        <v>11206.333527190571</v>
      </c>
      <c r="X4" t="s">
        <v>31</v>
      </c>
      <c r="AB4" s="8">
        <v>0</v>
      </c>
      <c r="AC4" s="9">
        <v>0</v>
      </c>
      <c r="AD4" s="8">
        <f t="shared" ref="AD4:AD34" si="0" xml:space="preserve"> $S$19 * TAN($S$16/180*PI()) + $S$20 / (2 * SQRT($S$19^2 + AC4^2)) - AC4</f>
        <v>0.48409815410748491</v>
      </c>
      <c r="AE4" s="9">
        <v>1</v>
      </c>
      <c r="AF4" s="8">
        <f t="shared" ref="AF4:AF34" si="1" xml:space="preserve"> $S$19 * TAN($S$16/180*PI()) + $S$20 / (2 * SQRT($S$19^2 + AE4^2)) - AE4</f>
        <v>-0.67827017057270655</v>
      </c>
      <c r="AG4" s="8">
        <f xml:space="preserve"> (AC4 + AE4)/2</f>
        <v>0.5</v>
      </c>
      <c r="AH4" s="8">
        <f t="shared" ref="AH4:AH34" si="2" xml:space="preserve"> $S$19 * TAN($S$16/180*PI()) + $S$20 / (2 * SQRT($S$19^2 + AG4^2)) - AG4</f>
        <v>-0.17364962863874445</v>
      </c>
      <c r="AI4" s="8">
        <f>AD4*AH4</f>
        <v>-8.4063464685466438E-2</v>
      </c>
      <c r="AJ4" s="8">
        <f>AF4*AH4</f>
        <v>0.11778136323668835</v>
      </c>
      <c r="AK4" s="8">
        <f>AE4-AC4</f>
        <v>1</v>
      </c>
      <c r="AM4" s="8">
        <v>0</v>
      </c>
      <c r="AN4" s="8"/>
      <c r="AO4" s="8">
        <f>K31</f>
        <v>-6.3323568610940129E-11</v>
      </c>
      <c r="AP4" s="8"/>
      <c r="AQ4" s="8">
        <f>K31</f>
        <v>-6.3323568610940129E-11</v>
      </c>
      <c r="AR4" s="8"/>
      <c r="AS4" s="8">
        <f>K31</f>
        <v>-6.3323568610940129E-11</v>
      </c>
      <c r="AT4" s="8"/>
      <c r="AU4" s="8"/>
      <c r="AV4" s="8"/>
    </row>
    <row r="5" spans="2:48" x14ac:dyDescent="0.2">
      <c r="B5" t="s">
        <v>144</v>
      </c>
      <c r="C5" s="1">
        <v>8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27.698661511195137</v>
      </c>
      <c r="L5" t="s">
        <v>162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si="0"/>
        <v>0.48409815410748491</v>
      </c>
      <c r="AE5" s="8">
        <f>IF(AJ4&gt;0, AG4, AE4)</f>
        <v>0.5</v>
      </c>
      <c r="AF5" s="8">
        <f t="shared" si="1"/>
        <v>-0.17364962863874445</v>
      </c>
      <c r="AG5" s="8">
        <f t="shared" ref="AG5:AG34" si="3" xml:space="preserve"> (AC5 + AE5)/2</f>
        <v>0.25</v>
      </c>
      <c r="AH5" s="8">
        <f t="shared" si="2"/>
        <v>8.5517520659467883E-2</v>
      </c>
      <c r="AI5" s="8">
        <f t="shared" ref="AI5:AI34" si="4">AD5*AH5</f>
        <v>4.139887389509711E-2</v>
      </c>
      <c r="AJ5" s="8">
        <f t="shared" ref="AJ5:AJ34" si="5">AF5*AH5</f>
        <v>-1.4850085704622753E-2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/>
        <v>-371.36439259173994</v>
      </c>
      <c r="AP5" s="9">
        <v>2500</v>
      </c>
      <c r="AQ5" s="8">
        <f t="dataTable" ref="AQ5:AQ44" dt2D="0" dtr="0" r1="C17" ca="1"/>
        <v>598.50830554112144</v>
      </c>
      <c r="AR5" s="8">
        <f>(AN5+AP5)/2</f>
        <v>1500</v>
      </c>
      <c r="AS5" s="8">
        <f t="dataTable" ref="AS5:AS44" dt2D="0" dtr="0" r1="C17" ca="1"/>
        <v>183.44935803668727</v>
      </c>
      <c r="AT5" s="8">
        <f>AO5*AS5</f>
        <v>-68126.559418638994</v>
      </c>
      <c r="AU5" s="8">
        <f>AQ5*AS5</f>
        <v>109795.96443114421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221.5892920895611</v>
      </c>
      <c r="H6" t="s">
        <v>162</v>
      </c>
      <c r="J6" t="s">
        <v>160</v>
      </c>
      <c r="K6">
        <f>MAX(G18,G23,G34)</f>
        <v>81.17551749922265</v>
      </c>
      <c r="L6" t="s">
        <v>162</v>
      </c>
      <c r="N6" t="s">
        <v>56</v>
      </c>
      <c r="O6" s="1">
        <v>2.476619E-2</v>
      </c>
      <c r="R6" t="s">
        <v>56</v>
      </c>
      <c r="S6" s="1">
        <v>2.476619E-2</v>
      </c>
      <c r="V6" t="s">
        <v>56</v>
      </c>
      <c r="W6" s="1">
        <v>2.476619E-2</v>
      </c>
      <c r="AB6" s="8">
        <v>2</v>
      </c>
      <c r="AC6" s="8">
        <f t="shared" ref="AC6:AC34" si="7">IF(AI5&gt;0, AG5, AC5)</f>
        <v>0.25</v>
      </c>
      <c r="AD6" s="8">
        <f t="shared" si="0"/>
        <v>8.5517520659467883E-2</v>
      </c>
      <c r="AE6" s="8">
        <f t="shared" ref="AE6:AE34" si="8">IF(AJ5&gt;0, AG5, AE5)</f>
        <v>0.5</v>
      </c>
      <c r="AF6" s="8">
        <f t="shared" si="1"/>
        <v>-0.17364962863874445</v>
      </c>
      <c r="AG6" s="8">
        <f t="shared" si="3"/>
        <v>0.375</v>
      </c>
      <c r="AH6" s="8">
        <f t="shared" si="2"/>
        <v>-4.5580408843949982E-2</v>
      </c>
      <c r="AI6" s="8">
        <f t="shared" si="4"/>
        <v>-3.8979235549794853E-3</v>
      </c>
      <c r="AJ6" s="8">
        <f t="shared" si="5"/>
        <v>7.9150210689540573E-3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-371.36439259173994</v>
      </c>
      <c r="AP6" s="8">
        <f>IF(AU5&gt;0,AR5,AP5)</f>
        <v>1500</v>
      </c>
      <c r="AQ6" s="8">
        <v>183.44935803668727</v>
      </c>
      <c r="AR6" s="8">
        <f t="shared" ref="AR6:AR44" si="9">(AN6+AP6)/2</f>
        <v>1000</v>
      </c>
      <c r="AS6" s="8">
        <v>-78.504650704898154</v>
      </c>
      <c r="AT6" s="8">
        <f t="shared" ref="AT6:AT44" si="10">AO6*AS6</f>
        <v>29153.831924651211</v>
      </c>
      <c r="AU6" s="8">
        <f t="shared" ref="AU6:AU44" si="11">AQ6*AS6</f>
        <v>-14401.627774707935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1401.4428336649871</v>
      </c>
      <c r="H7" t="s">
        <v>31</v>
      </c>
      <c r="J7" t="s">
        <v>161</v>
      </c>
      <c r="K7">
        <f>K6/$C$6</f>
        <v>81.17551749922265</v>
      </c>
      <c r="L7" t="s">
        <v>162</v>
      </c>
      <c r="N7" s="20" t="s">
        <v>195</v>
      </c>
      <c r="O7" s="20">
        <f>($O$6*$C$21)/(0.3048^2)/($C$17*2.20462/1000)^(2/3)</f>
        <v>2.3318037439894859</v>
      </c>
      <c r="P7" s="20"/>
      <c r="R7" s="20" t="s">
        <v>195</v>
      </c>
      <c r="S7" s="20">
        <f>($O$6*$C$21)/(0.3048^2)/($C$17*2.20462/1000)^(2/3)</f>
        <v>2.3318037439894859</v>
      </c>
      <c r="V7" s="20" t="s">
        <v>195</v>
      </c>
      <c r="W7" s="20">
        <f>($O$6*$C$21)/(0.3048^2)/($C$17*2.20462/1000)^(2/3)</f>
        <v>2.3318037439894859</v>
      </c>
      <c r="AB7" s="8">
        <v>3</v>
      </c>
      <c r="AC7" s="8">
        <f t="shared" si="7"/>
        <v>0.25</v>
      </c>
      <c r="AD7" s="8">
        <f t="shared" si="0"/>
        <v>8.5517520659467883E-2</v>
      </c>
      <c r="AE7" s="8">
        <f t="shared" si="8"/>
        <v>0.375</v>
      </c>
      <c r="AF7" s="8">
        <f t="shared" si="1"/>
        <v>-4.5580408843949982E-2</v>
      </c>
      <c r="AG7" s="8">
        <f t="shared" si="3"/>
        <v>0.3125</v>
      </c>
      <c r="AH7" s="8">
        <f t="shared" si="2"/>
        <v>1.9366111437140288E-2</v>
      </c>
      <c r="AI7" s="8">
        <f t="shared" si="4"/>
        <v>1.6561418349192018E-3</v>
      </c>
      <c r="AJ7" s="8">
        <f t="shared" si="5"/>
        <v>-8.8271527702235011E-4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-78.504650704898154</v>
      </c>
      <c r="AP7" s="8">
        <f t="shared" ref="AP7:AP44" si="14">IF(AU6&gt;0,AR6,AP6)</f>
        <v>1500</v>
      </c>
      <c r="AQ7" s="8">
        <v>183.44935803668727</v>
      </c>
      <c r="AR7" s="8">
        <f t="shared" si="9"/>
        <v>1250</v>
      </c>
      <c r="AS7" s="8">
        <v>56.724049670922</v>
      </c>
      <c r="AT7" s="8">
        <f t="shared" si="10"/>
        <v>-4453.1017059830247</v>
      </c>
      <c r="AU7" s="8">
        <f t="shared" si="11"/>
        <v>10405.990497371802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O6</f>
        <v>614.35630068750004</v>
      </c>
      <c r="P8" t="s">
        <v>31</v>
      </c>
      <c r="R8" t="s">
        <v>57</v>
      </c>
      <c r="S8">
        <f xml:space="preserve"> S5 * $C$21 * S6</f>
        <v>614.35630068750004</v>
      </c>
      <c r="T8" t="s">
        <v>31</v>
      </c>
      <c r="V8" t="s">
        <v>57</v>
      </c>
      <c r="W8">
        <f xml:space="preserve"> W5*W6*$C$21</f>
        <v>614.35630068750004</v>
      </c>
      <c r="X8" t="s">
        <v>31</v>
      </c>
      <c r="AB8" s="8">
        <v>4</v>
      </c>
      <c r="AC8" s="8">
        <f t="shared" si="7"/>
        <v>0.3125</v>
      </c>
      <c r="AD8" s="8">
        <f t="shared" si="0"/>
        <v>1.9366111437140288E-2</v>
      </c>
      <c r="AE8" s="8">
        <f t="shared" si="8"/>
        <v>0.375</v>
      </c>
      <c r="AF8" s="8">
        <f t="shared" si="1"/>
        <v>-4.5580408843949982E-2</v>
      </c>
      <c r="AG8" s="8">
        <f t="shared" si="3"/>
        <v>0.34375</v>
      </c>
      <c r="AH8" s="8">
        <f t="shared" si="2"/>
        <v>-1.3217268782063807E-2</v>
      </c>
      <c r="AI8" s="8">
        <f t="shared" si="4"/>
        <v>-2.5596710012808319E-4</v>
      </c>
      <c r="AJ8" s="8">
        <f t="shared" si="5"/>
        <v>6.0244851488684519E-4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-78.504650704898154</v>
      </c>
      <c r="AP8" s="8">
        <f t="shared" si="14"/>
        <v>1250</v>
      </c>
      <c r="AQ8" s="8">
        <v>56.724049670922</v>
      </c>
      <c r="AR8" s="8">
        <f t="shared" si="9"/>
        <v>1125</v>
      </c>
      <c r="AS8" s="8">
        <v>-9.8561756335783457</v>
      </c>
      <c r="AT8" s="8">
        <f t="shared" si="10"/>
        <v>773.75562540019632</v>
      </c>
      <c r="AU8" s="8">
        <f t="shared" si="11"/>
        <v>-559.08219620442924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0.82990122458567595</v>
      </c>
      <c r="R9" t="s">
        <v>58</v>
      </c>
      <c r="S9">
        <f xml:space="preserve"> 1.78 * (1 - 0.045 * $C$22^0.68) - 0.64</f>
        <v>0.82990122458567595</v>
      </c>
      <c r="V9" t="s">
        <v>58</v>
      </c>
      <c r="W9">
        <f xml:space="preserve"> 1.78 * (1 - 0.045 * $C$22^0.68) - 0.64</f>
        <v>0.82990122458567595</v>
      </c>
      <c r="AB9" s="8">
        <v>5</v>
      </c>
      <c r="AC9" s="8">
        <f t="shared" si="7"/>
        <v>0.3125</v>
      </c>
      <c r="AD9" s="8">
        <f t="shared" si="0"/>
        <v>1.9366111437140288E-2</v>
      </c>
      <c r="AE9" s="8">
        <f t="shared" si="8"/>
        <v>0.34375</v>
      </c>
      <c r="AF9" s="8">
        <f t="shared" si="1"/>
        <v>-1.3217268782063807E-2</v>
      </c>
      <c r="AG9" s="8">
        <f t="shared" si="3"/>
        <v>0.328125</v>
      </c>
      <c r="AH9" s="8">
        <f t="shared" si="2"/>
        <v>3.0430126852085126E-3</v>
      </c>
      <c r="AI9" s="8">
        <f t="shared" si="4"/>
        <v>5.8931322766379557E-5</v>
      </c>
      <c r="AJ9" s="8">
        <f t="shared" si="5"/>
        <v>-4.0220316567630634E-5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-9.8561756335783457</v>
      </c>
      <c r="AP9" s="8">
        <f t="shared" si="14"/>
        <v>1250</v>
      </c>
      <c r="AQ9" s="8">
        <v>56.724049670922</v>
      </c>
      <c r="AR9" s="8">
        <f t="shared" si="9"/>
        <v>1187.5</v>
      </c>
      <c r="AS9" s="8">
        <v>23.696514532022547</v>
      </c>
      <c r="AT9" s="8">
        <f t="shared" si="10"/>
        <v>-233.5570091312558</v>
      </c>
      <c r="AU9" s="8">
        <f t="shared" si="11"/>
        <v>1344.1622673421721</v>
      </c>
      <c r="AV9" s="8">
        <f t="shared" si="12"/>
        <v>125</v>
      </c>
    </row>
    <row r="10" spans="2:48" x14ac:dyDescent="0.2">
      <c r="F10" s="43" t="s">
        <v>124</v>
      </c>
      <c r="G10" s="44"/>
      <c r="H10" s="44"/>
      <c r="J10" s="41" t="s">
        <v>34</v>
      </c>
      <c r="K10" s="41"/>
      <c r="L10" s="41"/>
      <c r="N10" t="s">
        <v>138</v>
      </c>
      <c r="O10">
        <f>O4/(O5*$C$21)</f>
        <v>0.45138087563931584</v>
      </c>
      <c r="R10" t="s">
        <v>39</v>
      </c>
      <c r="S10">
        <f xml:space="preserve"> S4 / (S5 * $C$21)</f>
        <v>0.45196443111392881</v>
      </c>
      <c r="V10" t="s">
        <v>138</v>
      </c>
      <c r="W10">
        <f>W4 / ( W5 * $C$21)</f>
        <v>0.45175443798198323</v>
      </c>
      <c r="AB10" s="8">
        <v>6</v>
      </c>
      <c r="AC10" s="8">
        <f t="shared" si="7"/>
        <v>0.328125</v>
      </c>
      <c r="AD10" s="8">
        <f t="shared" si="0"/>
        <v>3.0430126852085126E-3</v>
      </c>
      <c r="AE10" s="8">
        <f t="shared" si="8"/>
        <v>0.34375</v>
      </c>
      <c r="AF10" s="8">
        <f t="shared" si="1"/>
        <v>-1.3217268782063807E-2</v>
      </c>
      <c r="AG10" s="8">
        <f t="shared" si="3"/>
        <v>0.3359375</v>
      </c>
      <c r="AH10" s="8">
        <f t="shared" si="2"/>
        <v>-5.094439959954622E-3</v>
      </c>
      <c r="AI10" s="8">
        <f t="shared" si="4"/>
        <v>-1.550244542217506E-5</v>
      </c>
      <c r="AJ10" s="8">
        <f t="shared" si="5"/>
        <v>6.7334582244806611E-5</v>
      </c>
      <c r="AK10" s="8">
        <f t="shared" si="6"/>
        <v>1.5625E-2</v>
      </c>
      <c r="AM10" s="8">
        <v>6</v>
      </c>
      <c r="AN10" s="8">
        <f t="shared" si="13"/>
        <v>1125</v>
      </c>
      <c r="AO10" s="8">
        <v>-9.8561756335783457</v>
      </c>
      <c r="AP10" s="8">
        <f t="shared" si="14"/>
        <v>1187.5</v>
      </c>
      <c r="AQ10" s="8">
        <v>23.696514532022547</v>
      </c>
      <c r="AR10" s="8">
        <f t="shared" si="9"/>
        <v>1156.25</v>
      </c>
      <c r="AS10" s="8">
        <v>6.9853493582429564</v>
      </c>
      <c r="AT10" s="8">
        <f t="shared" si="10"/>
        <v>-68.848830136746358</v>
      </c>
      <c r="AU10" s="8">
        <f t="shared" si="11"/>
        <v>165.5284325788586</v>
      </c>
      <c r="AV10" s="8">
        <f t="shared" si="12"/>
        <v>62.5</v>
      </c>
    </row>
    <row r="11" spans="2:48" x14ac:dyDescent="0.2">
      <c r="B11" s="39" t="s">
        <v>6</v>
      </c>
      <c r="C11" s="40"/>
      <c r="D11" s="40"/>
      <c r="F11" s="4" t="s">
        <v>154</v>
      </c>
      <c r="G11" s="1">
        <f>$C$20</f>
        <v>50</v>
      </c>
      <c r="H11" t="s">
        <v>16</v>
      </c>
      <c r="J11" t="s">
        <v>153</v>
      </c>
      <c r="K11">
        <f xml:space="preserve"> (G6*G8 + G18*G19 + G23*G24 + G34*G35 + G40*G42)/3600</f>
        <v>35.464218537354647</v>
      </c>
      <c r="L11" t="s">
        <v>163</v>
      </c>
      <c r="N11" t="s">
        <v>137</v>
      </c>
      <c r="O11">
        <f>O6+O10^2/(PI()*O9*$C$22)</f>
        <v>3.5441953645353366E-2</v>
      </c>
      <c r="R11" t="s">
        <v>59</v>
      </c>
      <c r="S11">
        <f xml:space="preserve"> S6 + S10^2 / ( PI() * S9 * $C$22 )</f>
        <v>3.5469575229411791E-2</v>
      </c>
      <c r="V11" t="s">
        <v>137</v>
      </c>
      <c r="W11">
        <f xml:space="preserve"> W6 + W10^2 / (PI() * W9 * $C$22)</f>
        <v>3.5459631459150764E-2</v>
      </c>
      <c r="AB11" s="8">
        <v>7</v>
      </c>
      <c r="AC11" s="8">
        <f t="shared" si="7"/>
        <v>0.328125</v>
      </c>
      <c r="AD11" s="8">
        <f t="shared" si="0"/>
        <v>3.0430126852085126E-3</v>
      </c>
      <c r="AE11" s="8">
        <f t="shared" si="8"/>
        <v>0.3359375</v>
      </c>
      <c r="AF11" s="8">
        <f t="shared" si="1"/>
        <v>-5.094439959954622E-3</v>
      </c>
      <c r="AG11" s="8">
        <f t="shared" si="3"/>
        <v>0.33203125</v>
      </c>
      <c r="AH11" s="8">
        <f t="shared" si="2"/>
        <v>-1.0276052435843064E-3</v>
      </c>
      <c r="AI11" s="8">
        <f t="shared" si="4"/>
        <v>-3.1270157916138279E-6</v>
      </c>
      <c r="AJ11" s="8">
        <f t="shared" si="5"/>
        <v>5.2350732159747935E-6</v>
      </c>
      <c r="AK11" s="8">
        <f t="shared" si="6"/>
        <v>7.8125E-3</v>
      </c>
      <c r="AM11" s="8">
        <v>7</v>
      </c>
      <c r="AN11" s="8">
        <f t="shared" si="13"/>
        <v>1125</v>
      </c>
      <c r="AO11" s="8">
        <v>-9.8561756335783457</v>
      </c>
      <c r="AP11" s="8">
        <f t="shared" si="14"/>
        <v>1156.25</v>
      </c>
      <c r="AQ11" s="8">
        <v>6.9853493582429564</v>
      </c>
      <c r="AR11" s="8">
        <f t="shared" si="9"/>
        <v>1140.625</v>
      </c>
      <c r="AS11" s="8">
        <v>-1.4191793349249338</v>
      </c>
      <c r="AT11" s="8">
        <f t="shared" si="10"/>
        <v>13.987680780565054</v>
      </c>
      <c r="AU11" s="8">
        <f t="shared" si="11"/>
        <v>-9.9134634564495521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34.67079771753523</v>
      </c>
      <c r="L12" t="s">
        <v>164</v>
      </c>
      <c r="N12" t="s">
        <v>139</v>
      </c>
      <c r="O12">
        <f>O5*O11*$C$21</f>
        <v>879.18196261504681</v>
      </c>
      <c r="P12" t="s">
        <v>31</v>
      </c>
      <c r="R12" t="s">
        <v>60</v>
      </c>
      <c r="S12">
        <f xml:space="preserve"> S5 * S11 * $C$21</f>
        <v>879.86715053459625</v>
      </c>
      <c r="T12" t="s">
        <v>31</v>
      </c>
      <c r="V12" t="s">
        <v>139</v>
      </c>
      <c r="W12">
        <f xml:space="preserve"> W5 * $C$21 * W11</f>
        <v>879.62048288355868</v>
      </c>
      <c r="X12" t="s">
        <v>31</v>
      </c>
      <c r="AB12" s="8">
        <v>8</v>
      </c>
      <c r="AC12" s="8">
        <f t="shared" si="7"/>
        <v>0.328125</v>
      </c>
      <c r="AD12" s="8">
        <f t="shared" si="0"/>
        <v>3.0430126852085126E-3</v>
      </c>
      <c r="AE12" s="8">
        <f t="shared" si="8"/>
        <v>0.33203125</v>
      </c>
      <c r="AF12" s="8">
        <f t="shared" si="1"/>
        <v>-1.0276052435843064E-3</v>
      </c>
      <c r="AG12" s="8">
        <f t="shared" si="3"/>
        <v>0.330078125</v>
      </c>
      <c r="AH12" s="8">
        <f t="shared" si="2"/>
        <v>1.0072225420222902E-3</v>
      </c>
      <c r="AI12" s="8">
        <f t="shared" si="4"/>
        <v>3.0649909722017935E-6</v>
      </c>
      <c r="AJ12" s="8">
        <f t="shared" si="5"/>
        <v>-1.0350271656384198E-6</v>
      </c>
      <c r="AK12" s="8">
        <f t="shared" si="6"/>
        <v>3.90625E-3</v>
      </c>
      <c r="AM12" s="8">
        <v>8</v>
      </c>
      <c r="AN12" s="8">
        <f t="shared" si="13"/>
        <v>1140.625</v>
      </c>
      <c r="AO12" s="8">
        <v>-1.4191793349249338</v>
      </c>
      <c r="AP12" s="8">
        <f t="shared" si="14"/>
        <v>1156.25</v>
      </c>
      <c r="AQ12" s="8">
        <v>6.9853493582429564</v>
      </c>
      <c r="AR12" s="8">
        <f t="shared" si="9"/>
        <v>1148.4375</v>
      </c>
      <c r="AS12" s="8">
        <v>2.7871513534948917</v>
      </c>
      <c r="AT12" s="8">
        <f t="shared" si="10"/>
        <v>-3.9554676041880095</v>
      </c>
      <c r="AU12" s="8">
        <f t="shared" si="11"/>
        <v>19.469225918461529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12.735778624282874</v>
      </c>
      <c r="R13" t="s">
        <v>106</v>
      </c>
      <c r="S13">
        <f>S10/S11</f>
        <v>12.742313044086149</v>
      </c>
      <c r="V13" t="s">
        <v>106</v>
      </c>
      <c r="W13">
        <f>W4/W12</f>
        <v>12.739964274654151</v>
      </c>
      <c r="AB13" s="8">
        <v>9</v>
      </c>
      <c r="AC13" s="8">
        <f t="shared" si="7"/>
        <v>0.330078125</v>
      </c>
      <c r="AD13" s="8">
        <f t="shared" si="0"/>
        <v>1.0072225420222902E-3</v>
      </c>
      <c r="AE13" s="8">
        <f t="shared" si="8"/>
        <v>0.33203125</v>
      </c>
      <c r="AF13" s="8">
        <f t="shared" si="1"/>
        <v>-1.0276052435843064E-3</v>
      </c>
      <c r="AG13" s="8">
        <f t="shared" si="3"/>
        <v>0.3310546875</v>
      </c>
      <c r="AH13" s="8">
        <f t="shared" si="2"/>
        <v>-1.0310595830620439E-5</v>
      </c>
      <c r="AI13" s="8">
        <f t="shared" si="4"/>
        <v>-1.0385064542281947E-8</v>
      </c>
      <c r="AJ13" s="8">
        <f t="shared" si="5"/>
        <v>1.059522234002405E-8</v>
      </c>
      <c r="AK13" s="8">
        <f t="shared" si="6"/>
        <v>1.953125E-3</v>
      </c>
      <c r="AM13" s="8">
        <v>9</v>
      </c>
      <c r="AN13" s="8">
        <f t="shared" si="13"/>
        <v>1140.625</v>
      </c>
      <c r="AO13" s="8">
        <v>-1.4191793349249338</v>
      </c>
      <c r="AP13" s="8">
        <f t="shared" si="14"/>
        <v>1148.4375</v>
      </c>
      <c r="AQ13" s="8">
        <v>2.7871513534948917</v>
      </c>
      <c r="AR13" s="8">
        <f t="shared" si="9"/>
        <v>1144.53125</v>
      </c>
      <c r="AS13" s="8">
        <v>0.68500173512165929</v>
      </c>
      <c r="AT13" s="8">
        <f t="shared" si="10"/>
        <v>-0.97214030687238207</v>
      </c>
      <c r="AU13" s="8">
        <f t="shared" si="11"/>
        <v>1.9092035131906819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49.935442323063484</v>
      </c>
      <c r="H14" t="s">
        <v>16</v>
      </c>
      <c r="AB14" s="8">
        <v>10</v>
      </c>
      <c r="AC14" s="8">
        <f t="shared" si="7"/>
        <v>0.330078125</v>
      </c>
      <c r="AD14" s="8">
        <f t="shared" si="0"/>
        <v>1.0072225420222902E-3</v>
      </c>
      <c r="AE14" s="8">
        <f t="shared" si="8"/>
        <v>0.3310546875</v>
      </c>
      <c r="AF14" s="8">
        <f t="shared" si="1"/>
        <v>-1.0310595830620439E-5</v>
      </c>
      <c r="AG14" s="8">
        <f t="shared" si="3"/>
        <v>0.33056640625</v>
      </c>
      <c r="AH14" s="8">
        <f t="shared" si="2"/>
        <v>4.9842603157945753E-4</v>
      </c>
      <c r="AI14" s="8">
        <f t="shared" si="4"/>
        <v>5.0202593453754349E-7</v>
      </c>
      <c r="AJ14" s="8">
        <f t="shared" si="5"/>
        <v>-5.1390693630758465E-9</v>
      </c>
      <c r="AK14" s="8">
        <f t="shared" si="6"/>
        <v>9.765625E-4</v>
      </c>
      <c r="AM14" s="8">
        <v>10</v>
      </c>
      <c r="AN14" s="8">
        <f t="shared" si="13"/>
        <v>1140.625</v>
      </c>
      <c r="AO14" s="8">
        <v>-1.4191793349249338</v>
      </c>
      <c r="AP14" s="8">
        <f t="shared" si="14"/>
        <v>1144.53125</v>
      </c>
      <c r="AQ14" s="8">
        <v>0.68500173512165929</v>
      </c>
      <c r="AR14" s="8">
        <f t="shared" si="9"/>
        <v>1142.578125</v>
      </c>
      <c r="AS14" s="8">
        <v>-0.36683510866839697</v>
      </c>
      <c r="AT14" s="8">
        <f t="shared" si="10"/>
        <v>0.5206048055471314</v>
      </c>
      <c r="AU14" s="8">
        <f t="shared" si="11"/>
        <v>-0.25128268594139436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5992.2530787676178</v>
      </c>
      <c r="H15" t="s">
        <v>14</v>
      </c>
      <c r="J15" s="21" t="s">
        <v>73</v>
      </c>
      <c r="K15" s="21"/>
      <c r="L15" s="21"/>
      <c r="N15" s="43" t="s">
        <v>140</v>
      </c>
      <c r="O15" s="46"/>
      <c r="P15" s="46"/>
      <c r="R15" s="43" t="s">
        <v>135</v>
      </c>
      <c r="S15" s="46"/>
      <c r="T15" s="46"/>
      <c r="V15" s="43" t="s">
        <v>149</v>
      </c>
      <c r="W15" s="46"/>
      <c r="X15" s="46"/>
      <c r="AB15" s="8">
        <v>11</v>
      </c>
      <c r="AC15" s="8">
        <f t="shared" si="7"/>
        <v>0.33056640625</v>
      </c>
      <c r="AD15" s="8">
        <f t="shared" si="0"/>
        <v>4.9842603157945753E-4</v>
      </c>
      <c r="AE15" s="8">
        <f t="shared" si="8"/>
        <v>0.3310546875</v>
      </c>
      <c r="AF15" s="8">
        <f t="shared" si="1"/>
        <v>-1.0310595830620439E-5</v>
      </c>
      <c r="AG15" s="8">
        <f t="shared" si="3"/>
        <v>0.330810546875</v>
      </c>
      <c r="AH15" s="8">
        <f t="shared" si="2"/>
        <v>2.4405024883611404E-4</v>
      </c>
      <c r="AI15" s="8">
        <f t="shared" si="4"/>
        <v>1.2164099703336345E-7</v>
      </c>
      <c r="AJ15" s="8">
        <f t="shared" si="5"/>
        <v>-2.516303478111518E-9</v>
      </c>
      <c r="AK15" s="8">
        <f t="shared" si="6"/>
        <v>4.8828125E-4</v>
      </c>
      <c r="AM15" s="8">
        <v>11</v>
      </c>
      <c r="AN15" s="8">
        <f t="shared" si="13"/>
        <v>1142.578125</v>
      </c>
      <c r="AO15" s="8">
        <v>-0.36683510866839697</v>
      </c>
      <c r="AP15" s="8">
        <f t="shared" si="14"/>
        <v>1144.53125</v>
      </c>
      <c r="AQ15" s="8">
        <v>0.68500173512165929</v>
      </c>
      <c r="AR15" s="8">
        <f t="shared" si="9"/>
        <v>1143.5546875</v>
      </c>
      <c r="AS15" s="8">
        <v>0.15914657199357407</v>
      </c>
      <c r="AT15" s="8">
        <f t="shared" si="10"/>
        <v>-5.8380550031465604E-2</v>
      </c>
      <c r="AU15" s="8">
        <f t="shared" si="11"/>
        <v>0.10901567795426231</v>
      </c>
      <c r="AV15" s="8">
        <f t="shared" si="12"/>
        <v>1.953125</v>
      </c>
    </row>
    <row r="16" spans="2:48" x14ac:dyDescent="0.2">
      <c r="B16" s="41" t="s">
        <v>11</v>
      </c>
      <c r="C16" s="41"/>
      <c r="D16" s="41"/>
      <c r="F16" t="s">
        <v>152</v>
      </c>
      <c r="G16">
        <f>ATAN(G12/G14)/PI()*180</f>
        <v>2.9118789347687013</v>
      </c>
      <c r="H16" t="s">
        <v>62</v>
      </c>
      <c r="J16" s="3" t="s">
        <v>109</v>
      </c>
      <c r="K16" s="5">
        <f>C17</f>
        <v>1143.2591832399339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0.330810546875</v>
      </c>
      <c r="AD16" s="8">
        <f t="shared" si="0"/>
        <v>2.4405024883611404E-4</v>
      </c>
      <c r="AE16" s="8">
        <f t="shared" si="8"/>
        <v>0.3310546875</v>
      </c>
      <c r="AF16" s="8">
        <f t="shared" si="1"/>
        <v>-1.0310595830620439E-5</v>
      </c>
      <c r="AG16" s="8">
        <f t="shared" si="3"/>
        <v>0.3309326171875</v>
      </c>
      <c r="AH16" s="8">
        <f t="shared" si="2"/>
        <v>1.1686796128057564E-4</v>
      </c>
      <c r="AI16" s="8">
        <f t="shared" si="4"/>
        <v>2.8521655031493825E-8</v>
      </c>
      <c r="AJ16" s="8">
        <f t="shared" si="5"/>
        <v>-1.2049783143126141E-9</v>
      </c>
      <c r="AK16" s="8">
        <f t="shared" si="6"/>
        <v>2.44140625E-4</v>
      </c>
      <c r="AM16" s="8">
        <v>12</v>
      </c>
      <c r="AN16" s="8">
        <f t="shared" si="13"/>
        <v>1142.578125</v>
      </c>
      <c r="AO16" s="8">
        <v>-0.36683510866839697</v>
      </c>
      <c r="AP16" s="8">
        <f t="shared" si="14"/>
        <v>1143.5546875</v>
      </c>
      <c r="AQ16" s="8">
        <v>0.15914657199357407</v>
      </c>
      <c r="AR16" s="8">
        <f t="shared" si="9"/>
        <v>1143.06640625</v>
      </c>
      <c r="AS16" s="8">
        <v>-0.10382851818337713</v>
      </c>
      <c r="AT16" s="8">
        <f t="shared" si="10"/>
        <v>3.8087945750677782E-2</v>
      </c>
      <c r="AU16" s="8">
        <f t="shared" si="11"/>
        <v>-1.6523952744056943E-2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1143.2591832399339</v>
      </c>
      <c r="D17" s="3" t="s">
        <v>12</v>
      </c>
      <c r="F17" t="s">
        <v>143</v>
      </c>
      <c r="G17">
        <f xml:space="preserve"> 1/1000 * (O22 + O17 * (O27 * O24 + $G$11 * SIN(O16/180*PI())))</f>
        <v>81.17551749922265</v>
      </c>
      <c r="H17" t="s">
        <v>162</v>
      </c>
      <c r="J17" s="16" t="s">
        <v>74</v>
      </c>
      <c r="K17">
        <f xml:space="preserve"> 1000 * K11 / ($C$12 * $C$13 * $C$14)</f>
        <v>208.6130502197332</v>
      </c>
      <c r="L17" t="s">
        <v>12</v>
      </c>
      <c r="N17" t="s">
        <v>30</v>
      </c>
      <c r="O17">
        <f>(O12+$C$17*$C$31*SIN(G16/180*PI()))/$C$6</f>
        <v>1448.7283302164976</v>
      </c>
      <c r="P17" t="s">
        <v>31</v>
      </c>
      <c r="R17" t="s">
        <v>30</v>
      </c>
      <c r="S17">
        <f xml:space="preserve"> S12 / $C$6</f>
        <v>879.86715053459625</v>
      </c>
      <c r="T17" t="s">
        <v>31</v>
      </c>
      <c r="V17" t="s">
        <v>30</v>
      </c>
      <c r="W17">
        <f>(W12-$C$17*$C$31*SIN(G32/180*PI()))/$C$6</f>
        <v>537.89266232268812</v>
      </c>
      <c r="X17" t="s">
        <v>31</v>
      </c>
      <c r="AB17" s="8">
        <v>13</v>
      </c>
      <c r="AC17" s="8">
        <f t="shared" si="7"/>
        <v>0.3309326171875</v>
      </c>
      <c r="AD17" s="8">
        <f t="shared" si="0"/>
        <v>1.1686796128057564E-4</v>
      </c>
      <c r="AE17" s="8">
        <f t="shared" si="8"/>
        <v>0.3310546875</v>
      </c>
      <c r="AF17" s="8">
        <f t="shared" si="1"/>
        <v>-1.0310595830620439E-5</v>
      </c>
      <c r="AG17" s="8">
        <f t="shared" si="3"/>
        <v>0.33099365234375</v>
      </c>
      <c r="AH17" s="8">
        <f t="shared" si="2"/>
        <v>5.3278216673779966E-5</v>
      </c>
      <c r="AI17" s="8">
        <f t="shared" si="4"/>
        <v>6.2265165633294364E-9</v>
      </c>
      <c r="AJ17" s="8">
        <f t="shared" si="5"/>
        <v>-5.4933015869956805E-10</v>
      </c>
      <c r="AK17" s="8">
        <f t="shared" si="6"/>
        <v>1.220703125E-4</v>
      </c>
      <c r="AM17" s="8">
        <v>13</v>
      </c>
      <c r="AN17" s="8">
        <f t="shared" si="13"/>
        <v>1143.06640625</v>
      </c>
      <c r="AO17" s="8">
        <v>-0.10382851818337713</v>
      </c>
      <c r="AP17" s="8">
        <f t="shared" si="14"/>
        <v>1143.5546875</v>
      </c>
      <c r="AQ17" s="8">
        <v>0.15914657199357407</v>
      </c>
      <c r="AR17" s="8">
        <f t="shared" si="9"/>
        <v>1143.310546875</v>
      </c>
      <c r="AS17" s="8">
        <v>2.7663182220976523E-2</v>
      </c>
      <c r="AT17" s="8">
        <f t="shared" si="10"/>
        <v>-2.872227218240736E-3</v>
      </c>
      <c r="AU17" s="8">
        <f t="shared" si="11"/>
        <v>4.4025006209019984E-3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81.17551749922265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55.635460137652252</v>
      </c>
      <c r="L18" t="s">
        <v>12</v>
      </c>
      <c r="N18" t="s">
        <v>42</v>
      </c>
      <c r="O18">
        <f xml:space="preserve"> PI() * $G$11 / ($C$19 * $C$23)</f>
        <v>157.07963267948966</v>
      </c>
      <c r="P18" t="s">
        <v>43</v>
      </c>
      <c r="R18" t="s">
        <v>42</v>
      </c>
      <c r="S18">
        <f xml:space="preserve"> PI() * $C$20 / ($C$19 * $C$23)</f>
        <v>157.07963267948966</v>
      </c>
      <c r="T18" t="s">
        <v>43</v>
      </c>
      <c r="V18" t="s">
        <v>42</v>
      </c>
      <c r="W18">
        <f xml:space="preserve"> PI() * $G$27 / ($C$19 * $C$23)</f>
        <v>157.07963267948966</v>
      </c>
      <c r="X18" t="s">
        <v>43</v>
      </c>
      <c r="AB18" s="8">
        <v>14</v>
      </c>
      <c r="AC18" s="8">
        <f t="shared" si="7"/>
        <v>0.33099365234375</v>
      </c>
      <c r="AD18" s="8">
        <f t="shared" si="0"/>
        <v>5.3278216673779966E-5</v>
      </c>
      <c r="AE18" s="8">
        <f t="shared" si="8"/>
        <v>0.3310546875</v>
      </c>
      <c r="AF18" s="8">
        <f t="shared" si="1"/>
        <v>-1.0310595830620439E-5</v>
      </c>
      <c r="AG18" s="8">
        <f t="shared" si="3"/>
        <v>0.331024169921875</v>
      </c>
      <c r="AH18" s="8">
        <f t="shared" si="2"/>
        <v>2.1483693940560489E-5</v>
      </c>
      <c r="AI18" s="8">
        <f t="shared" si="4"/>
        <v>1.1446129007183554E-9</v>
      </c>
      <c r="AJ18" s="8">
        <f t="shared" si="5"/>
        <v>-2.2150968516986858E-10</v>
      </c>
      <c r="AK18" s="8">
        <f t="shared" si="6"/>
        <v>6.103515625E-5</v>
      </c>
      <c r="AM18" s="8">
        <v>14</v>
      </c>
      <c r="AN18" s="8">
        <f t="shared" si="13"/>
        <v>1143.06640625</v>
      </c>
      <c r="AO18" s="8">
        <v>-0.10382851818337713</v>
      </c>
      <c r="AP18" s="8">
        <f t="shared" si="14"/>
        <v>1143.310546875</v>
      </c>
      <c r="AQ18" s="8">
        <v>2.7663182220976523E-2</v>
      </c>
      <c r="AR18" s="8">
        <f t="shared" si="9"/>
        <v>1143.1884765625</v>
      </c>
      <c r="AS18" s="8">
        <v>-3.8081717721638597E-2</v>
      </c>
      <c r="AT18" s="8">
        <f t="shared" si="10"/>
        <v>3.9539683209153884E-3</v>
      </c>
      <c r="AU18" s="8">
        <f t="shared" si="11"/>
        <v>-1.0534614966214795E-3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64.731116290081957</v>
      </c>
      <c r="L19" t="s">
        <v>12</v>
      </c>
      <c r="N19" t="s">
        <v>44</v>
      </c>
      <c r="O19">
        <f xml:space="preserve"> $G$11 * COS(O16/180*PI()) / (O18 * $C$19)</f>
        <v>2.7742534554270868E-2</v>
      </c>
      <c r="R19" t="s">
        <v>44</v>
      </c>
      <c r="S19">
        <f xml:space="preserve"> $C$20 * COS(S16/180*PI()) / (S18 * $C$19)</f>
        <v>2.7742534554270868E-2</v>
      </c>
      <c r="V19" t="s">
        <v>44</v>
      </c>
      <c r="W19">
        <f xml:space="preserve"> $G$27 * COS(W16/180*PI()) / (W18 * $C$19)</f>
        <v>2.7742534554270868E-2</v>
      </c>
      <c r="AB19" s="8">
        <v>15</v>
      </c>
      <c r="AC19" s="8">
        <f t="shared" si="7"/>
        <v>0.331024169921875</v>
      </c>
      <c r="AD19" s="8">
        <f t="shared" si="0"/>
        <v>2.1483693940560489E-5</v>
      </c>
      <c r="AE19" s="8">
        <f t="shared" si="8"/>
        <v>0.3310546875</v>
      </c>
      <c r="AF19" s="8">
        <f t="shared" si="1"/>
        <v>-1.0310595830620439E-5</v>
      </c>
      <c r="AG19" s="8">
        <f t="shared" si="3"/>
        <v>0.3310394287109375</v>
      </c>
      <c r="AH19" s="8">
        <f t="shared" si="2"/>
        <v>5.5865199387050701E-6</v>
      </c>
      <c r="AI19" s="8">
        <f t="shared" si="4"/>
        <v>1.2001908455597847E-10</v>
      </c>
      <c r="AJ19" s="8">
        <f t="shared" si="5"/>
        <v>-5.7600349187690449E-11</v>
      </c>
      <c r="AK19" s="8">
        <f t="shared" si="6"/>
        <v>3.0517578125E-5</v>
      </c>
      <c r="AM19" s="8">
        <v>15</v>
      </c>
      <c r="AN19" s="8">
        <f t="shared" si="13"/>
        <v>1143.1884765625</v>
      </c>
      <c r="AO19" s="8">
        <v>-3.8081717721638597E-2</v>
      </c>
      <c r="AP19" s="8">
        <f t="shared" si="14"/>
        <v>1143.310546875</v>
      </c>
      <c r="AQ19" s="8">
        <v>2.7663182220976523E-2</v>
      </c>
      <c r="AR19" s="8">
        <f t="shared" si="9"/>
        <v>1143.24951171875</v>
      </c>
      <c r="AS19" s="8">
        <v>-5.2090116993213087E-3</v>
      </c>
      <c r="AT19" s="8">
        <f t="shared" si="10"/>
        <v>1.9836811314226708E-4</v>
      </c>
      <c r="AU19" s="8">
        <f t="shared" si="11"/>
        <v>-1.4409783982952394E-4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36.60285123189751</v>
      </c>
      <c r="L20" t="s">
        <v>12</v>
      </c>
      <c r="N20" t="s">
        <v>45</v>
      </c>
      <c r="O20">
        <f xml:space="preserve"> O17 / ( $C$30 * PI() * $C$19^2 * O18^2 * $C$19^2)</f>
        <v>1.5256722163699256E-2</v>
      </c>
      <c r="R20" t="s">
        <v>45</v>
      </c>
      <c r="S20">
        <f xml:space="preserve"> S17 / ( $C$30 * PI() * $C$19^2 * S18^2 * $C$19^2)</f>
        <v>9.2659806374229044E-3</v>
      </c>
      <c r="V20" t="s">
        <v>45</v>
      </c>
      <c r="W20">
        <f xml:space="preserve"> W17 / ( $C$30 * PI() * $C$19^2 * W18^2 * $C$19^2)</f>
        <v>5.664608561719354E-3</v>
      </c>
      <c r="AB20" s="8">
        <v>16</v>
      </c>
      <c r="AC20" s="8">
        <f t="shared" si="7"/>
        <v>0.3310394287109375</v>
      </c>
      <c r="AD20" s="8">
        <f t="shared" si="0"/>
        <v>5.5865199387050701E-6</v>
      </c>
      <c r="AE20" s="8">
        <f t="shared" si="8"/>
        <v>0.3310546875</v>
      </c>
      <c r="AF20" s="8">
        <f t="shared" si="1"/>
        <v>-1.0310595830620439E-5</v>
      </c>
      <c r="AG20" s="8">
        <f t="shared" si="3"/>
        <v>0.33104705810546875</v>
      </c>
      <c r="AH20" s="8">
        <f t="shared" si="2"/>
        <v>-2.3620452245243229E-6</v>
      </c>
      <c r="AI20" s="8">
        <f t="shared" si="4"/>
        <v>-1.3195612742928224E-11</v>
      </c>
      <c r="AJ20" s="8">
        <f t="shared" si="5"/>
        <v>2.4354093643717403E-11</v>
      </c>
      <c r="AK20" s="8">
        <f t="shared" si="6"/>
        <v>1.52587890625E-5</v>
      </c>
      <c r="AM20" s="8">
        <v>16</v>
      </c>
      <c r="AN20" s="8">
        <f t="shared" si="13"/>
        <v>1143.24951171875</v>
      </c>
      <c r="AO20" s="8">
        <v>-5.2090116993213087E-3</v>
      </c>
      <c r="AP20" s="8">
        <f t="shared" si="14"/>
        <v>1143.310546875</v>
      </c>
      <c r="AQ20" s="8">
        <v>2.7663182220976523E-2</v>
      </c>
      <c r="AR20" s="8">
        <f t="shared" si="9"/>
        <v>1143.280029296875</v>
      </c>
      <c r="AS20" s="8">
        <v>1.1227339229321842E-2</v>
      </c>
      <c r="AT20" s="8">
        <f t="shared" si="10"/>
        <v>-5.8483341397786562E-5</v>
      </c>
      <c r="AU20" s="8">
        <f t="shared" si="11"/>
        <v>3.1058393095744825E-4</v>
      </c>
      <c r="AV20" s="8">
        <f t="shared" si="12"/>
        <v>6.103515625E-2</v>
      </c>
    </row>
    <row r="21" spans="2:48" x14ac:dyDescent="0.2">
      <c r="B21" t="s">
        <v>17</v>
      </c>
      <c r="C21" s="1">
        <v>16.2</v>
      </c>
      <c r="D21" t="s">
        <v>18</v>
      </c>
      <c r="F21" s="43" t="s">
        <v>118</v>
      </c>
      <c r="G21" s="44"/>
      <c r="H21" s="44"/>
      <c r="J21" s="14" t="s">
        <v>84</v>
      </c>
      <c r="K21">
        <f xml:space="preserve"> $C$33 * (14.86 * ($C$17*2.20462)^0.144 * ($C$45/(PI()*$C$46))^0.778 * ($C$45*3.28084)^0.383 * $C$44^0.455 * 0.453592)</f>
        <v>164.30001099655033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0.3310394287109375</v>
      </c>
      <c r="AD21" s="8">
        <f t="shared" si="0"/>
        <v>5.5865199387050701E-6</v>
      </c>
      <c r="AE21" s="8">
        <f t="shared" si="8"/>
        <v>0.33104705810546875</v>
      </c>
      <c r="AF21" s="8">
        <f t="shared" si="1"/>
        <v>-2.3620452245243229E-6</v>
      </c>
      <c r="AG21" s="8">
        <f t="shared" si="3"/>
        <v>0.33104324340820312</v>
      </c>
      <c r="AH21" s="8">
        <f t="shared" si="2"/>
        <v>1.6122355374070807E-6</v>
      </c>
      <c r="AI21" s="8">
        <f t="shared" si="4"/>
        <v>9.0067859756135402E-12</v>
      </c>
      <c r="AJ21" s="8">
        <f t="shared" si="5"/>
        <v>-3.8081732519408006E-12</v>
      </c>
      <c r="AK21" s="8">
        <f t="shared" si="6"/>
        <v>7.62939453125E-6</v>
      </c>
      <c r="AM21" s="8">
        <v>17</v>
      </c>
      <c r="AN21" s="8">
        <f t="shared" si="13"/>
        <v>1143.24951171875</v>
      </c>
      <c r="AO21" s="8">
        <v>-5.2090116993213087E-3</v>
      </c>
      <c r="AP21" s="8">
        <f t="shared" si="14"/>
        <v>1143.280029296875</v>
      </c>
      <c r="AQ21" s="8">
        <v>1.1227339229321842E-2</v>
      </c>
      <c r="AR21" s="8">
        <f t="shared" si="9"/>
        <v>1143.2647705078125</v>
      </c>
      <c r="AS21" s="8">
        <v>3.0088838573192334E-3</v>
      </c>
      <c r="AT21" s="8">
        <f t="shared" si="10"/>
        <v>-1.5673311214674915E-5</v>
      </c>
      <c r="AU21" s="8">
        <f t="shared" si="11"/>
        <v>3.3781759767753452E-5</v>
      </c>
      <c r="AV21" s="8">
        <f t="shared" si="12"/>
        <v>3.0517578125E-2</v>
      </c>
    </row>
    <row r="22" spans="2:48" x14ac:dyDescent="0.2">
      <c r="B22" t="s">
        <v>5</v>
      </c>
      <c r="C22" s="1">
        <v>7.32</v>
      </c>
      <c r="F22" s="4" t="s">
        <v>114</v>
      </c>
      <c r="G22">
        <f xml:space="preserve"> 1/1000 * (S22 + S17 * (S27 * S24 + $C$20 * SIN(S16/180*PI())))</f>
        <v>48.962955359771151</v>
      </c>
      <c r="H22" t="s">
        <v>162</v>
      </c>
      <c r="J22" s="14" t="s">
        <v>85</v>
      </c>
      <c r="K22">
        <f xml:space="preserve"> $C$33 * (0.054 * ($C$49*3.28084)^0.501 * ($C$17*2.20462*$C$50)^0.684 * 0.453592)</f>
        <v>13.562040833958916</v>
      </c>
      <c r="L22" t="s">
        <v>12</v>
      </c>
      <c r="N22" t="s">
        <v>46</v>
      </c>
      <c r="O22">
        <f xml:space="preserve"> ($C$8 * $O$21 / 8) * (1 + 4.65 * O19^2) * ( PI() * $C$30 * O18^3 * $C$19^ 5)</f>
        <v>2918.983971136362</v>
      </c>
      <c r="P22" t="s">
        <v>29</v>
      </c>
      <c r="R22" t="s">
        <v>46</v>
      </c>
      <c r="S22">
        <f xml:space="preserve"> ($C$8 * $S$21 / 8) * (1 + 4.65 * S19^2) * ( PI() * $C$30 * S18^3 * $C$19^5)</f>
        <v>2918.983971136362</v>
      </c>
      <c r="T22" t="s">
        <v>29</v>
      </c>
      <c r="V22" t="s">
        <v>46</v>
      </c>
      <c r="W22">
        <f xml:space="preserve"> ($C$8 * $W$21 / 8) * (1 + 4.65 * W19^2) * ( PI() * $C$30 * W18^3 * $C$19^ 5)</f>
        <v>2918.983971136362</v>
      </c>
      <c r="X22" t="s">
        <v>29</v>
      </c>
      <c r="AB22" s="8">
        <v>18</v>
      </c>
      <c r="AC22" s="8">
        <f t="shared" si="7"/>
        <v>0.33104324340820312</v>
      </c>
      <c r="AD22" s="8">
        <f t="shared" si="0"/>
        <v>1.6122355374070807E-6</v>
      </c>
      <c r="AE22" s="8">
        <f t="shared" si="8"/>
        <v>0.33104705810546875</v>
      </c>
      <c r="AF22" s="8">
        <f t="shared" si="1"/>
        <v>-2.3620452245243229E-6</v>
      </c>
      <c r="AG22" s="8">
        <f t="shared" si="3"/>
        <v>0.33104515075683594</v>
      </c>
      <c r="AH22" s="8">
        <f t="shared" si="2"/>
        <v>-3.7490529847250542E-7</v>
      </c>
      <c r="AI22" s="8">
        <f t="shared" si="4"/>
        <v>-6.044356453595818E-13</v>
      </c>
      <c r="AJ22" s="8">
        <f t="shared" si="5"/>
        <v>8.8554326990584733E-13</v>
      </c>
      <c r="AK22" s="8">
        <f t="shared" si="6"/>
        <v>3.814697265625E-6</v>
      </c>
      <c r="AM22" s="8">
        <v>18</v>
      </c>
      <c r="AN22" s="8">
        <f t="shared" si="13"/>
        <v>1143.24951171875</v>
      </c>
      <c r="AO22" s="8">
        <v>-5.2090116993213087E-3</v>
      </c>
      <c r="AP22" s="8">
        <f t="shared" si="14"/>
        <v>1143.2647705078125</v>
      </c>
      <c r="AQ22" s="8">
        <v>3.0088838573192334E-3</v>
      </c>
      <c r="AR22" s="8">
        <f t="shared" si="9"/>
        <v>1143.2571411132812</v>
      </c>
      <c r="AS22" s="8">
        <v>-1.1001614858514586E-3</v>
      </c>
      <c r="AT22" s="8">
        <f t="shared" si="10"/>
        <v>5.7307540509429622E-6</v>
      </c>
      <c r="AU22" s="8">
        <f t="shared" si="11"/>
        <v>-3.3102581352227957E-6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48.962955359771151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113.82188499319835</v>
      </c>
      <c r="L23" t="s">
        <v>12</v>
      </c>
      <c r="N23" t="s">
        <v>47</v>
      </c>
      <c r="O23" s="5">
        <f>AG69</f>
        <v>0.33949378179386258</v>
      </c>
      <c r="R23" t="s">
        <v>47</v>
      </c>
      <c r="S23" s="5">
        <f>AG34</f>
        <v>0.33104479080066085</v>
      </c>
      <c r="V23" t="s">
        <v>47</v>
      </c>
      <c r="W23" s="5">
        <f>AG104</f>
        <v>0.32576166884973645</v>
      </c>
      <c r="AB23" s="8">
        <v>19</v>
      </c>
      <c r="AC23" s="8">
        <f t="shared" si="7"/>
        <v>0.33104324340820312</v>
      </c>
      <c r="AD23" s="8">
        <f t="shared" si="0"/>
        <v>1.6122355374070807E-6</v>
      </c>
      <c r="AE23" s="8">
        <f t="shared" si="8"/>
        <v>0.33104515075683594</v>
      </c>
      <c r="AF23" s="8">
        <f t="shared" si="1"/>
        <v>-3.7490529847250542E-7</v>
      </c>
      <c r="AG23" s="8">
        <f t="shared" si="3"/>
        <v>0.33104419708251953</v>
      </c>
      <c r="AH23" s="8">
        <f t="shared" si="2"/>
        <v>6.1866500572493877E-7</v>
      </c>
      <c r="AI23" s="8">
        <f t="shared" si="4"/>
        <v>9.9743370797990127E-13</v>
      </c>
      <c r="AJ23" s="8">
        <f t="shared" si="5"/>
        <v>-2.3194078862580243E-13</v>
      </c>
      <c r="AK23" s="8">
        <f t="shared" si="6"/>
        <v>1.9073486328125E-6</v>
      </c>
      <c r="AM23" s="8">
        <v>19</v>
      </c>
      <c r="AN23" s="8">
        <f t="shared" si="13"/>
        <v>1143.2571411132812</v>
      </c>
      <c r="AO23" s="8">
        <v>-1.1001614858514586E-3</v>
      </c>
      <c r="AP23" s="8">
        <f t="shared" si="14"/>
        <v>1143.2647705078125</v>
      </c>
      <c r="AQ23" s="8">
        <v>3.0088838573192334E-3</v>
      </c>
      <c r="AR23" s="8">
        <f t="shared" si="9"/>
        <v>1143.2609558105469</v>
      </c>
      <c r="AS23" s="8">
        <v>9.5437691459210328E-4</v>
      </c>
      <c r="AT23" s="8">
        <f t="shared" si="10"/>
        <v>-1.049968724419979E-6</v>
      </c>
      <c r="AU23" s="8">
        <f t="shared" si="11"/>
        <v>2.8716092921143164E-6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1600.2478630521136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11.545744286130033</v>
      </c>
      <c r="L24" t="s">
        <v>12</v>
      </c>
      <c r="N24" t="s">
        <v>48</v>
      </c>
      <c r="O24">
        <f xml:space="preserve"> O18 * $C$19 * O23 - $G$11 * SIN(O16/180*PI())</f>
        <v>3.5178236365634703</v>
      </c>
      <c r="P24" t="s">
        <v>16</v>
      </c>
      <c r="R24" t="s">
        <v>48</v>
      </c>
      <c r="S24">
        <f xml:space="preserve"> S18 * $C$19 * S23 - $C$20 * SIN(S16/180*PI())</f>
        <v>2.1906592348390248</v>
      </c>
      <c r="T24" t="s">
        <v>16</v>
      </c>
      <c r="V24" t="s">
        <v>48</v>
      </c>
      <c r="W24">
        <f xml:space="preserve"> W18 * $C$19 * W23 - $G$27 * SIN(W16/180*PI())</f>
        <v>1.360788379386868</v>
      </c>
      <c r="X24" t="s">
        <v>16</v>
      </c>
      <c r="AB24" s="8">
        <v>20</v>
      </c>
      <c r="AC24" s="8">
        <f t="shared" si="7"/>
        <v>0.33104419708251953</v>
      </c>
      <c r="AD24" s="8">
        <f t="shared" si="0"/>
        <v>6.1866500572493877E-7</v>
      </c>
      <c r="AE24" s="8">
        <f t="shared" si="8"/>
        <v>0.33104515075683594</v>
      </c>
      <c r="AF24" s="8">
        <f t="shared" si="1"/>
        <v>-3.7490529847250542E-7</v>
      </c>
      <c r="AG24" s="8">
        <f t="shared" si="3"/>
        <v>0.33104467391967773</v>
      </c>
      <c r="AH24" s="8">
        <f t="shared" si="2"/>
        <v>1.2187982517675167E-7</v>
      </c>
      <c r="AI24" s="8">
        <f t="shared" si="4"/>
        <v>7.5402782740729602E-14</v>
      </c>
      <c r="AJ24" s="8">
        <f t="shared" si="5"/>
        <v>-4.5693392235666863E-14</v>
      </c>
      <c r="AK24" s="8">
        <f t="shared" si="6"/>
        <v>9.5367431640625E-7</v>
      </c>
      <c r="AM24" s="8">
        <v>20</v>
      </c>
      <c r="AN24" s="8">
        <f t="shared" si="13"/>
        <v>1143.2571411132812</v>
      </c>
      <c r="AO24" s="8">
        <v>-1.1001614858514586E-3</v>
      </c>
      <c r="AP24" s="8">
        <f t="shared" si="14"/>
        <v>1143.2609558105469</v>
      </c>
      <c r="AQ24" s="8">
        <v>9.5437691459210328E-4</v>
      </c>
      <c r="AR24" s="8">
        <f t="shared" si="9"/>
        <v>1143.2590484619141</v>
      </c>
      <c r="AS24" s="8">
        <v>-7.2611851805959304E-5</v>
      </c>
      <c r="AT24" s="8">
        <f t="shared" si="10"/>
        <v>7.9884762773270103E-8</v>
      </c>
      <c r="AU24" s="8">
        <f t="shared" si="11"/>
        <v>-6.9299075089390482E-8</v>
      </c>
      <c r="AV24" s="8">
        <f t="shared" si="12"/>
        <v>3.814697265625E-3</v>
      </c>
    </row>
    <row r="25" spans="2:48" x14ac:dyDescent="0.2">
      <c r="B25" s="37" t="s">
        <v>20</v>
      </c>
      <c r="C25" s="37"/>
      <c r="D25" s="37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5.7924495122839001</v>
      </c>
      <c r="L25" t="s">
        <v>12</v>
      </c>
      <c r="N25" t="s">
        <v>49</v>
      </c>
      <c r="O25">
        <f xml:space="preserve"> 1/$C$9 - O22 * SQRT( (2*$C$30*PI()*$C$19^2) / O17^3 )</f>
        <v>1.1864713938390095</v>
      </c>
      <c r="R25" t="s">
        <v>49</v>
      </c>
      <c r="S25">
        <f xml:space="preserve"> 1/$C$9 - S22 * SQRT( (2*$C$30*PI()*$C$19^2) / S17^3 )</f>
        <v>1.0230460100112975</v>
      </c>
      <c r="V25" t="s">
        <v>49</v>
      </c>
      <c r="W25">
        <f xml:space="preserve"> 1/$C$9 - W22 * SQRT( (2*$C$30*PI()*$C$19^2) / W17^3 )</f>
        <v>0.68418154347322513</v>
      </c>
      <c r="AB25" s="8">
        <v>21</v>
      </c>
      <c r="AC25" s="8">
        <f t="shared" si="7"/>
        <v>0.33104467391967773</v>
      </c>
      <c r="AD25" s="8">
        <f t="shared" si="0"/>
        <v>1.2187982517675167E-7</v>
      </c>
      <c r="AE25" s="8">
        <f t="shared" si="8"/>
        <v>0.33104515075683594</v>
      </c>
      <c r="AF25" s="8">
        <f t="shared" si="1"/>
        <v>-3.7490529847250542E-7</v>
      </c>
      <c r="AG25" s="8">
        <f t="shared" si="3"/>
        <v>0.33104491233825684</v>
      </c>
      <c r="AH25" s="8">
        <f t="shared" si="2"/>
        <v>-1.2651274378105981E-7</v>
      </c>
      <c r="AI25" s="8">
        <f t="shared" si="4"/>
        <v>-1.5419351094666747E-14</v>
      </c>
      <c r="AJ25" s="8">
        <f t="shared" si="5"/>
        <v>4.7430297967813834E-14</v>
      </c>
      <c r="AK25" s="8">
        <f t="shared" si="6"/>
        <v>4.76837158203125E-7</v>
      </c>
      <c r="AM25" s="8">
        <v>21</v>
      </c>
      <c r="AN25" s="8">
        <f t="shared" si="13"/>
        <v>1143.2590484619141</v>
      </c>
      <c r="AO25" s="8">
        <v>-7.2611851805959304E-5</v>
      </c>
      <c r="AP25" s="8">
        <f t="shared" si="14"/>
        <v>1143.2609558105469</v>
      </c>
      <c r="AQ25" s="8">
        <v>9.5437691459210328E-4</v>
      </c>
      <c r="AR25" s="8">
        <f t="shared" si="9"/>
        <v>1143.2600021362305</v>
      </c>
      <c r="AS25" s="8">
        <v>4.4114800277839095E-4</v>
      </c>
      <c r="AT25" s="8">
        <f t="shared" si="10"/>
        <v>-3.2032573402239449E-8</v>
      </c>
      <c r="AU25" s="8">
        <f t="shared" si="11"/>
        <v>4.2102146977010936E-7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3" t="s">
        <v>131</v>
      </c>
      <c r="G26" s="44"/>
      <c r="H26" s="44"/>
      <c r="J26" s="14" t="s">
        <v>192</v>
      </c>
      <c r="K26">
        <f>$C$33*(0.14*$G$6*1000/745.7)*0.453592</f>
        <v>15.096213731901138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0.33104467391967773</v>
      </c>
      <c r="AD26" s="8">
        <f t="shared" si="0"/>
        <v>1.2187982517675167E-7</v>
      </c>
      <c r="AE26" s="8">
        <f t="shared" si="8"/>
        <v>0.33104491233825684</v>
      </c>
      <c r="AF26" s="8">
        <f t="shared" si="1"/>
        <v>-1.2651274378105981E-7</v>
      </c>
      <c r="AG26" s="8">
        <f t="shared" si="3"/>
        <v>0.33104479312896729</v>
      </c>
      <c r="AH26" s="8">
        <f t="shared" si="2"/>
        <v>-2.3164610785109119E-9</v>
      </c>
      <c r="AI26" s="8">
        <f t="shared" si="4"/>
        <v>-2.8232987127765955E-16</v>
      </c>
      <c r="AJ26" s="8">
        <f t="shared" si="5"/>
        <v>2.9306184690444846E-16</v>
      </c>
      <c r="AK26" s="8">
        <f t="shared" si="6"/>
        <v>2.384185791015625E-7</v>
      </c>
      <c r="AM26" s="8">
        <v>22</v>
      </c>
      <c r="AN26" s="8">
        <f t="shared" si="13"/>
        <v>1143.2590484619141</v>
      </c>
      <c r="AO26" s="8">
        <v>-7.2611851805959304E-5</v>
      </c>
      <c r="AP26" s="8">
        <f t="shared" si="14"/>
        <v>1143.2600021362305</v>
      </c>
      <c r="AQ26" s="8">
        <v>4.4114800277839095E-4</v>
      </c>
      <c r="AR26" s="8">
        <f t="shared" si="9"/>
        <v>1143.2595252990723</v>
      </c>
      <c r="AS26" s="8">
        <v>1.8408922687740414E-4</v>
      </c>
      <c r="AT26" s="8">
        <f t="shared" si="10"/>
        <v>-1.336705966109569E-8</v>
      </c>
      <c r="AU26" s="8">
        <f t="shared" si="11"/>
        <v>8.1210594769984919E-8</v>
      </c>
      <c r="AV26" s="8">
        <f t="shared" si="12"/>
        <v>9.5367431640625E-4</v>
      </c>
    </row>
    <row r="27" spans="2:48" x14ac:dyDescent="0.2">
      <c r="B27" t="s">
        <v>21</v>
      </c>
      <c r="C27" s="1">
        <v>96000</v>
      </c>
      <c r="D27" t="s">
        <v>14</v>
      </c>
      <c r="F27" s="4" t="s">
        <v>154</v>
      </c>
      <c r="G27" s="1">
        <f>$C$20</f>
        <v>50</v>
      </c>
      <c r="H27" t="s">
        <v>16</v>
      </c>
      <c r="J27" s="15" t="s">
        <v>88</v>
      </c>
      <c r="K27">
        <f xml:space="preserve"> $C$33 * (0.0268 * $C$17)</f>
        <v>24.511476888664184</v>
      </c>
      <c r="L27" t="s">
        <v>12</v>
      </c>
      <c r="N27" t="s">
        <v>51</v>
      </c>
      <c r="O27">
        <f xml:space="preserve"> 1/$C$36 * LN( EXP($C$36 * O25) + EXP($C$36 * O26) )</f>
        <v>1.1960981126999453</v>
      </c>
      <c r="R27" t="s">
        <v>51</v>
      </c>
      <c r="S27">
        <f xml:space="preserve"> 1/$C$36 * LN( EXP($C$36 * S25) + EXP($C$36 * S26) )</f>
        <v>1.1507312133128274</v>
      </c>
      <c r="V27" t="s">
        <v>51</v>
      </c>
      <c r="W27">
        <f xml:space="preserve"> 1/$C$36 * LN( EXP($C$36 * W25) + EXP($C$36 * W26) )</f>
        <v>1.1500000284319731</v>
      </c>
      <c r="AB27" s="8">
        <v>23</v>
      </c>
      <c r="AC27" s="8">
        <f t="shared" si="7"/>
        <v>0.33104467391967773</v>
      </c>
      <c r="AD27" s="8">
        <f t="shared" si="0"/>
        <v>1.2187982517675167E-7</v>
      </c>
      <c r="AE27" s="8">
        <f t="shared" si="8"/>
        <v>0.33104479312896729</v>
      </c>
      <c r="AF27" s="8">
        <f t="shared" si="1"/>
        <v>-2.3164610785109119E-9</v>
      </c>
      <c r="AG27" s="8">
        <f t="shared" si="3"/>
        <v>0.33104473352432251</v>
      </c>
      <c r="AH27" s="8">
        <f t="shared" si="2"/>
        <v>5.9781681605031167E-8</v>
      </c>
      <c r="AI27" s="8">
        <f t="shared" si="4"/>
        <v>7.2861809027934301E-15</v>
      </c>
      <c r="AJ27" s="8">
        <f t="shared" si="5"/>
        <v>-1.3848193864598645E-16</v>
      </c>
      <c r="AK27" s="8">
        <f t="shared" si="6"/>
        <v>1.1920928955078125E-7</v>
      </c>
      <c r="AM27" s="8">
        <v>23</v>
      </c>
      <c r="AN27" s="8">
        <f t="shared" si="13"/>
        <v>1143.2590484619141</v>
      </c>
      <c r="AO27" s="8">
        <v>-7.2611851805959304E-5</v>
      </c>
      <c r="AP27" s="8">
        <f t="shared" si="14"/>
        <v>1143.2595252990723</v>
      </c>
      <c r="AQ27" s="8">
        <v>1.8408922687740414E-4</v>
      </c>
      <c r="AR27" s="8">
        <f t="shared" si="9"/>
        <v>1143.2592868804932</v>
      </c>
      <c r="AS27" s="8">
        <v>5.5637356012994132E-5</v>
      </c>
      <c r="AT27" s="8">
        <f t="shared" si="10"/>
        <v>-4.0399314496909287E-9</v>
      </c>
      <c r="AU27" s="8">
        <f t="shared" si="11"/>
        <v>1.0242237853934983E-8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89</v>
      </c>
      <c r="K28">
        <f xml:space="preserve"> $C$33 * (11.5 * ($C$17*2.20462/1000)^0.4 * 0.453592)</f>
        <v>6.0401064167826428</v>
      </c>
      <c r="L28" t="s">
        <v>12</v>
      </c>
      <c r="AB28" s="8">
        <v>24</v>
      </c>
      <c r="AC28" s="8">
        <f t="shared" si="7"/>
        <v>0.33104473352432251</v>
      </c>
      <c r="AD28" s="8">
        <f t="shared" si="0"/>
        <v>5.9781681605031167E-8</v>
      </c>
      <c r="AE28" s="8">
        <f t="shared" si="8"/>
        <v>0.33104479312896729</v>
      </c>
      <c r="AF28" s="8">
        <f t="shared" si="1"/>
        <v>-2.3164610785109119E-9</v>
      </c>
      <c r="AG28" s="8">
        <f t="shared" si="3"/>
        <v>0.3310447633266449</v>
      </c>
      <c r="AH28" s="8">
        <f t="shared" si="2"/>
        <v>2.8732610179993401E-8</v>
      </c>
      <c r="AI28" s="8">
        <f t="shared" si="4"/>
        <v>1.7176837534618428E-15</v>
      </c>
      <c r="AJ28" s="8">
        <f t="shared" si="5"/>
        <v>-6.6557973165981113E-17</v>
      </c>
      <c r="AK28" s="8">
        <f t="shared" si="6"/>
        <v>5.9604644775390625E-8</v>
      </c>
      <c r="AM28" s="8">
        <v>24</v>
      </c>
      <c r="AN28" s="8">
        <f t="shared" si="13"/>
        <v>1143.2590484619141</v>
      </c>
      <c r="AO28" s="8">
        <v>-7.2611851805959304E-5</v>
      </c>
      <c r="AP28" s="8">
        <f t="shared" si="14"/>
        <v>1143.2592868804932</v>
      </c>
      <c r="AQ28" s="8">
        <v>5.5637356012994132E-5</v>
      </c>
      <c r="AR28" s="8">
        <f t="shared" si="9"/>
        <v>1143.2591676712036</v>
      </c>
      <c r="AS28" s="8">
        <v>-8.4724604221264599E-6</v>
      </c>
      <c r="AT28" s="8">
        <f t="shared" si="10"/>
        <v>6.1520104060330189E-10</v>
      </c>
      <c r="AU28" s="8">
        <f t="shared" si="11"/>
        <v>-4.7138529681185237E-10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90</v>
      </c>
      <c r="K29">
        <f xml:space="preserve"> $C$33 * (8 * ($C$17/1000))</f>
        <v>7.3168587727355776</v>
      </c>
      <c r="L29" t="s">
        <v>12</v>
      </c>
      <c r="AB29" s="8">
        <v>25</v>
      </c>
      <c r="AC29" s="8">
        <f t="shared" si="7"/>
        <v>0.3310447633266449</v>
      </c>
      <c r="AD29" s="8">
        <f t="shared" si="0"/>
        <v>2.8732610179993401E-8</v>
      </c>
      <c r="AE29" s="8">
        <f t="shared" si="8"/>
        <v>0.33104479312896729</v>
      </c>
      <c r="AF29" s="8">
        <f t="shared" si="1"/>
        <v>-2.3164610785109119E-9</v>
      </c>
      <c r="AG29" s="8">
        <f t="shared" si="3"/>
        <v>0.33104477822780609</v>
      </c>
      <c r="AH29" s="8">
        <f t="shared" si="2"/>
        <v>1.3208074522985669E-8</v>
      </c>
      <c r="AI29" s="8">
        <f t="shared" si="4"/>
        <v>3.7950245649724952E-16</v>
      </c>
      <c r="AJ29" s="8">
        <f t="shared" si="5"/>
        <v>-3.059599055456788E-17</v>
      </c>
      <c r="AK29" s="8">
        <f t="shared" si="6"/>
        <v>2.9802322387695312E-8</v>
      </c>
      <c r="AM29" s="8">
        <v>25</v>
      </c>
      <c r="AN29" s="8">
        <f t="shared" si="13"/>
        <v>1143.2591676712036</v>
      </c>
      <c r="AO29" s="8">
        <v>-8.4724604221264599E-6</v>
      </c>
      <c r="AP29" s="8">
        <f t="shared" si="14"/>
        <v>1143.2592868804932</v>
      </c>
      <c r="AQ29" s="8">
        <v>5.5637356012994132E-5</v>
      </c>
      <c r="AR29" s="8">
        <f t="shared" si="9"/>
        <v>1143.2592272758484</v>
      </c>
      <c r="AS29" s="8">
        <v>2.3761311467751511E-5</v>
      </c>
      <c r="AT29" s="8">
        <f t="shared" si="10"/>
        <v>-2.0131677098834426E-10</v>
      </c>
      <c r="AU29" s="8">
        <f t="shared" si="11"/>
        <v>1.322016545466931E-9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49.976768843133506</v>
      </c>
      <c r="H30" t="s">
        <v>16</v>
      </c>
      <c r="J30" s="15" t="s">
        <v>91</v>
      </c>
      <c r="K30">
        <f xml:space="preserve"> $C$33 * (13 * ($C$17*2.20462/1000)^1.3 * 0.453592)</f>
        <v>15.689918928427174</v>
      </c>
      <c r="L30" t="s">
        <v>12</v>
      </c>
      <c r="AB30" s="8">
        <v>26</v>
      </c>
      <c r="AC30" s="8">
        <f>IF(AI29&gt;0, AG29, AC29)</f>
        <v>0.33104477822780609</v>
      </c>
      <c r="AD30" s="8">
        <f t="shared" si="0"/>
        <v>1.3208074522985669E-8</v>
      </c>
      <c r="AE30" s="8">
        <f t="shared" si="8"/>
        <v>0.33104479312896729</v>
      </c>
      <c r="AF30" s="8">
        <f t="shared" si="1"/>
        <v>-2.3164610785109119E-9</v>
      </c>
      <c r="AG30" s="8">
        <f t="shared" si="3"/>
        <v>0.33104478567838669</v>
      </c>
      <c r="AH30" s="8">
        <f t="shared" si="2"/>
        <v>5.4458066944818029E-9</v>
      </c>
      <c r="AI30" s="8">
        <f t="shared" si="4"/>
        <v>7.1928620658489901E-17</v>
      </c>
      <c r="AJ30" s="8">
        <f t="shared" si="5"/>
        <v>-1.2614999248861261E-17</v>
      </c>
      <c r="AK30" s="8">
        <f t="shared" si="6"/>
        <v>1.4901161193847656E-8</v>
      </c>
      <c r="AM30" s="8">
        <v>26</v>
      </c>
      <c r="AN30" s="8">
        <f t="shared" si="13"/>
        <v>1143.2591676712036</v>
      </c>
      <c r="AO30" s="8">
        <v>-8.4724604221264599E-6</v>
      </c>
      <c r="AP30" s="8">
        <f t="shared" si="14"/>
        <v>1143.2592272758484</v>
      </c>
      <c r="AQ30" s="8">
        <v>2.3761311467751511E-5</v>
      </c>
      <c r="AR30" s="8">
        <f t="shared" si="9"/>
        <v>1143.259197473526</v>
      </c>
      <c r="AS30" s="8">
        <v>7.7457607403630391E-6</v>
      </c>
      <c r="AT30" s="8">
        <f t="shared" si="10"/>
        <v>-6.5625651311986795E-11</v>
      </c>
      <c r="AU30" s="8">
        <f t="shared" si="11"/>
        <v>1.8404943350644772E-10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9995.3537686267009</v>
      </c>
      <c r="H31" t="s">
        <v>14</v>
      </c>
      <c r="J31" s="3" t="s">
        <v>78</v>
      </c>
      <c r="K31" s="3">
        <f>$C$17 - $C$26 - SUM(K17:K30)</f>
        <v>-6.3323568610940129E-11</v>
      </c>
      <c r="L31" s="3" t="s">
        <v>12</v>
      </c>
      <c r="AB31" s="8">
        <v>27</v>
      </c>
      <c r="AC31" s="8">
        <f t="shared" si="7"/>
        <v>0.33104478567838669</v>
      </c>
      <c r="AD31" s="8">
        <f t="shared" si="0"/>
        <v>5.4458066944818029E-9</v>
      </c>
      <c r="AE31" s="8">
        <f t="shared" si="8"/>
        <v>0.33104479312896729</v>
      </c>
      <c r="AF31" s="8">
        <f t="shared" si="1"/>
        <v>-2.3164610785109119E-9</v>
      </c>
      <c r="AG31" s="8">
        <f t="shared" si="3"/>
        <v>0.33104478940367699</v>
      </c>
      <c r="AH31" s="8">
        <f t="shared" si="2"/>
        <v>1.5646728357410211E-9</v>
      </c>
      <c r="AI31" s="8">
        <f t="shared" si="4"/>
        <v>8.5209058035522791E-18</v>
      </c>
      <c r="AJ31" s="8">
        <f t="shared" si="5"/>
        <v>-3.6245037245973726E-18</v>
      </c>
      <c r="AK31" s="8">
        <f t="shared" si="6"/>
        <v>7.4505805969238281E-9</v>
      </c>
      <c r="AM31" s="8">
        <v>27</v>
      </c>
      <c r="AN31" s="8">
        <f t="shared" si="13"/>
        <v>1143.2591676712036</v>
      </c>
      <c r="AO31" s="8">
        <v>-8.4724604221264599E-6</v>
      </c>
      <c r="AP31" s="8">
        <f t="shared" si="14"/>
        <v>1143.259197473526</v>
      </c>
      <c r="AQ31" s="8">
        <v>7.7457607403630391E-6</v>
      </c>
      <c r="AR31" s="8">
        <f t="shared" si="9"/>
        <v>1143.2591825723648</v>
      </c>
      <c r="AS31" s="8">
        <v>-3.6334984088171041E-7</v>
      </c>
      <c r="AT31" s="8">
        <f t="shared" si="10"/>
        <v>3.0784671462562382E-12</v>
      </c>
      <c r="AU31" s="8">
        <f t="shared" si="11"/>
        <v>-2.8144209325187096E-12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1.7466458786346903</v>
      </c>
      <c r="H32" t="s">
        <v>62</v>
      </c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0.33104478940367699</v>
      </c>
      <c r="AD32" s="8">
        <f t="shared" si="0"/>
        <v>1.5646728357410211E-9</v>
      </c>
      <c r="AE32" s="8">
        <f t="shared" si="8"/>
        <v>0.33104479312896729</v>
      </c>
      <c r="AF32" s="8">
        <f t="shared" si="1"/>
        <v>-2.3164610785109119E-9</v>
      </c>
      <c r="AG32" s="8">
        <f t="shared" si="3"/>
        <v>0.33104479126632214</v>
      </c>
      <c r="AH32" s="8">
        <f t="shared" si="2"/>
        <v>-3.7589414914052099E-10</v>
      </c>
      <c r="AI32" s="8">
        <f t="shared" si="4"/>
        <v>-5.881513642741573E-19</v>
      </c>
      <c r="AJ32" s="8">
        <f t="shared" si="5"/>
        <v>8.7074416612399282E-19</v>
      </c>
      <c r="AK32" s="8">
        <f t="shared" si="6"/>
        <v>3.7252902984619141E-9</v>
      </c>
      <c r="AM32" s="8">
        <v>28</v>
      </c>
      <c r="AN32" s="8">
        <f t="shared" si="13"/>
        <v>1143.2591825723648</v>
      </c>
      <c r="AO32" s="8">
        <v>-3.6334984088171041E-7</v>
      </c>
      <c r="AP32" s="8">
        <f t="shared" si="14"/>
        <v>1143.259197473526</v>
      </c>
      <c r="AQ32" s="8">
        <v>7.7457607403630391E-6</v>
      </c>
      <c r="AR32" s="8">
        <f t="shared" si="9"/>
        <v>1143.2591900229454</v>
      </c>
      <c r="AS32" s="8">
        <v>3.6912056202709209E-6</v>
      </c>
      <c r="AT32" s="8">
        <f t="shared" si="10"/>
        <v>-1.3411989747871143E-12</v>
      </c>
      <c r="AU32" s="8">
        <f t="shared" si="11"/>
        <v>2.8591195578101899E-11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30.553026706246261</v>
      </c>
      <c r="H33" t="s">
        <v>162</v>
      </c>
      <c r="AB33" s="8">
        <v>29</v>
      </c>
      <c r="AC33" s="8">
        <f t="shared" si="7"/>
        <v>0.33104478940367699</v>
      </c>
      <c r="AD33" s="8">
        <f t="shared" si="0"/>
        <v>1.5646728357410211E-9</v>
      </c>
      <c r="AE33" s="8">
        <f t="shared" si="8"/>
        <v>0.33104479126632214</v>
      </c>
      <c r="AF33" s="8">
        <f t="shared" si="1"/>
        <v>-3.7589414914052099E-10</v>
      </c>
      <c r="AG33" s="8">
        <f t="shared" si="3"/>
        <v>0.33104479033499956</v>
      </c>
      <c r="AH33" s="8">
        <f t="shared" si="2"/>
        <v>5.9438937105582568E-10</v>
      </c>
      <c r="AI33" s="8">
        <f t="shared" si="4"/>
        <v>9.3002490274424078E-19</v>
      </c>
      <c r="AJ33" s="8">
        <f t="shared" si="5"/>
        <v>-2.2342748689119901E-19</v>
      </c>
      <c r="AK33" s="8">
        <f t="shared" si="6"/>
        <v>1.862645149230957E-9</v>
      </c>
      <c r="AM33" s="8">
        <v>29</v>
      </c>
      <c r="AN33" s="8">
        <f t="shared" si="13"/>
        <v>1143.2591825723648</v>
      </c>
      <c r="AO33" s="8">
        <v>-3.6334984088171041E-7</v>
      </c>
      <c r="AP33" s="8">
        <f t="shared" si="14"/>
        <v>1143.2591900229454</v>
      </c>
      <c r="AQ33" s="8">
        <v>3.6912056202709209E-6</v>
      </c>
      <c r="AR33" s="8">
        <f t="shared" si="9"/>
        <v>1143.2591862976551</v>
      </c>
      <c r="AS33" s="8">
        <v>1.6639279465380241E-6</v>
      </c>
      <c r="AT33" s="8">
        <f t="shared" si="10"/>
        <v>-6.045879546132222E-13</v>
      </c>
      <c r="AU33" s="8">
        <f t="shared" si="11"/>
        <v>6.141900187987007E-12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30.553026706246261</v>
      </c>
      <c r="H34" t="s">
        <v>162</v>
      </c>
      <c r="J34" s="2" t="s">
        <v>80</v>
      </c>
      <c r="K34" s="2"/>
      <c r="L34" s="2"/>
      <c r="AB34" s="8">
        <v>30</v>
      </c>
      <c r="AC34" s="8">
        <f t="shared" si="7"/>
        <v>0.33104479033499956</v>
      </c>
      <c r="AD34" s="8">
        <f t="shared" si="0"/>
        <v>5.9438937105582568E-10</v>
      </c>
      <c r="AE34" s="8">
        <f t="shared" si="8"/>
        <v>0.33104479126632214</v>
      </c>
      <c r="AF34" s="8">
        <f t="shared" si="1"/>
        <v>-3.7589414914052099E-10</v>
      </c>
      <c r="AG34" s="8">
        <f t="shared" si="3"/>
        <v>0.33104479080066085</v>
      </c>
      <c r="AH34" s="8">
        <f t="shared" si="2"/>
        <v>1.0924761095765234E-10</v>
      </c>
      <c r="AI34" s="8">
        <f t="shared" si="4"/>
        <v>6.4935618766470505E-20</v>
      </c>
      <c r="AJ34" s="8">
        <f t="shared" si="5"/>
        <v>-4.1065537766561385E-20</v>
      </c>
      <c r="AK34" s="8">
        <f t="shared" si="6"/>
        <v>9.3132257461547852E-10</v>
      </c>
      <c r="AM34" s="8">
        <v>30</v>
      </c>
      <c r="AN34" s="8">
        <f t="shared" si="13"/>
        <v>1143.2591825723648</v>
      </c>
      <c r="AO34" s="8">
        <v>-3.6334984088171041E-7</v>
      </c>
      <c r="AP34" s="8">
        <f t="shared" si="14"/>
        <v>1143.2591862976551</v>
      </c>
      <c r="AQ34" s="8">
        <v>1.6639279465380241E-6</v>
      </c>
      <c r="AR34" s="8">
        <f t="shared" si="9"/>
        <v>1143.25918443501</v>
      </c>
      <c r="AS34" s="8">
        <v>6.5028893914131913E-7</v>
      </c>
      <c r="AT34" s="8">
        <f t="shared" si="10"/>
        <v>-2.3628238256413457E-13</v>
      </c>
      <c r="AU34" s="8">
        <f t="shared" si="11"/>
        <v>1.0820339391618053E-12</v>
      </c>
      <c r="AV34" s="8">
        <f t="shared" si="12"/>
        <v>3.7252902984619141E-6</v>
      </c>
    </row>
    <row r="35" spans="2:48" x14ac:dyDescent="0.2">
      <c r="B35" s="41" t="s">
        <v>27</v>
      </c>
      <c r="C35" s="41"/>
      <c r="D35" s="41"/>
      <c r="F35" t="s">
        <v>132</v>
      </c>
      <c r="G35">
        <f>$G$29/$G$28</f>
        <v>200</v>
      </c>
      <c r="H35" t="s">
        <v>22</v>
      </c>
      <c r="J35" t="s">
        <v>81</v>
      </c>
      <c r="K35">
        <f>ROUND($C$26/$C$17 * 100, 2)</f>
        <v>34.99</v>
      </c>
      <c r="L35" t="s">
        <v>82</v>
      </c>
      <c r="AM35" s="8">
        <v>31</v>
      </c>
      <c r="AN35" s="8">
        <f t="shared" si="13"/>
        <v>1143.2591825723648</v>
      </c>
      <c r="AO35">
        <v>-3.6334984088171041E-7</v>
      </c>
      <c r="AP35" s="8">
        <f t="shared" si="14"/>
        <v>1143.25918443501</v>
      </c>
      <c r="AQ35">
        <v>6.5028893914131913E-7</v>
      </c>
      <c r="AR35" s="8">
        <f t="shared" si="9"/>
        <v>1143.2591835036874</v>
      </c>
      <c r="AS35">
        <v>1.4346960597322322E-7</v>
      </c>
      <c r="AT35" s="8">
        <f t="shared" si="10"/>
        <v>-5.2129658501732347E-14</v>
      </c>
      <c r="AU35" s="8">
        <f t="shared" si="11"/>
        <v>9.3296697867350393E-14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74</v>
      </c>
      <c r="K36">
        <f>ROUND(K17/$C$17 * 100, 2)</f>
        <v>18.25</v>
      </c>
      <c r="L36" t="s">
        <v>82</v>
      </c>
      <c r="AM36" s="8">
        <v>32</v>
      </c>
      <c r="AN36" s="8">
        <f t="shared" si="13"/>
        <v>1143.2591825723648</v>
      </c>
      <c r="AO36">
        <v>-3.6334984088171041E-7</v>
      </c>
      <c r="AP36" s="8">
        <f t="shared" si="14"/>
        <v>1143.2591835036874</v>
      </c>
      <c r="AQ36">
        <v>1.4346960597322322E-7</v>
      </c>
      <c r="AR36" s="8">
        <f t="shared" si="9"/>
        <v>1143.2591830380261</v>
      </c>
      <c r="AS36">
        <v>-1.0993994692398701E-7</v>
      </c>
      <c r="AT36" s="8">
        <f t="shared" si="10"/>
        <v>3.9946662221374367E-14</v>
      </c>
      <c r="AU36" s="8">
        <f t="shared" si="11"/>
        <v>-1.5773040865901491E-14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8" t="s">
        <v>108</v>
      </c>
      <c r="K37">
        <f>ROUND(SUM(K18:K20)/$C$17 * 100, 2)</f>
        <v>13.73</v>
      </c>
      <c r="L37" t="s">
        <v>82</v>
      </c>
      <c r="AB37" s="6" t="s">
        <v>142</v>
      </c>
      <c r="AM37" s="8">
        <v>33</v>
      </c>
      <c r="AN37" s="8">
        <f t="shared" si="13"/>
        <v>1143.2591830380261</v>
      </c>
      <c r="AO37">
        <v>-1.0993994692398701E-7</v>
      </c>
      <c r="AP37" s="8">
        <f t="shared" si="14"/>
        <v>1143.2591835036874</v>
      </c>
      <c r="AQ37">
        <v>1.4346960597322322E-7</v>
      </c>
      <c r="AR37" s="8">
        <f t="shared" si="9"/>
        <v>1143.2591832708567</v>
      </c>
      <c r="AS37">
        <v>1.6764829524618108E-8</v>
      </c>
      <c r="AT37" s="8">
        <f t="shared" si="10"/>
        <v>-1.8431244681262051E-15</v>
      </c>
      <c r="AU37" s="8">
        <f t="shared" si="11"/>
        <v>2.4052434861052192E-15</v>
      </c>
      <c r="AV37" s="8">
        <f t="shared" si="12"/>
        <v>4.6566128730773926E-7</v>
      </c>
    </row>
    <row r="38" spans="2:48" x14ac:dyDescent="0.2">
      <c r="B38" s="37" t="s">
        <v>184</v>
      </c>
      <c r="C38" s="37"/>
      <c r="D38" s="37"/>
      <c r="F38" t="s">
        <v>117</v>
      </c>
      <c r="G38" s="1">
        <v>1.524</v>
      </c>
      <c r="H38" t="s">
        <v>16</v>
      </c>
      <c r="J38" s="17" t="s">
        <v>95</v>
      </c>
      <c r="K38">
        <f>ROUND(SUM(K21:K26)/$C$17 * 100, 2)</f>
        <v>28.35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1143.2591830380261</v>
      </c>
      <c r="AO38">
        <v>-1.0993994692398701E-7</v>
      </c>
      <c r="AP38" s="8">
        <f t="shared" si="14"/>
        <v>1143.2591832708567</v>
      </c>
      <c r="AQ38">
        <v>1.6764829524618108E-8</v>
      </c>
      <c r="AR38" s="8">
        <f t="shared" si="9"/>
        <v>1143.2591831544414</v>
      </c>
      <c r="AS38">
        <v>-4.6587842916778754E-8</v>
      </c>
      <c r="AT38" s="8">
        <f t="shared" si="10"/>
        <v>5.1218649775737004E-15</v>
      </c>
      <c r="AU38" s="8">
        <f t="shared" si="11"/>
        <v>-7.8103724441948305E-16</v>
      </c>
      <c r="AV38" s="8">
        <f t="shared" si="12"/>
        <v>2.3283064365386963E-7</v>
      </c>
    </row>
    <row r="39" spans="2:48" x14ac:dyDescent="0.2">
      <c r="B39" t="s">
        <v>182</v>
      </c>
      <c r="C39" s="1">
        <v>2</v>
      </c>
      <c r="F39" t="s">
        <v>123</v>
      </c>
      <c r="G39" s="1">
        <v>152.4</v>
      </c>
      <c r="H39" t="s">
        <v>14</v>
      </c>
      <c r="J39" s="15" t="s">
        <v>96</v>
      </c>
      <c r="K39">
        <f>ROUND(SUM(K27:K30)/$C$17*100, 2)</f>
        <v>4.68</v>
      </c>
      <c r="L39" t="s">
        <v>82</v>
      </c>
      <c r="AB39" s="8">
        <v>0</v>
      </c>
      <c r="AC39" s="9">
        <v>0</v>
      </c>
      <c r="AD39" s="8">
        <f t="shared" ref="AD39:AD69" si="15" xml:space="preserve"> $O$19 * TAN($O$16/180*PI()) + $O$20 / (2 * SQRT($O$19^2 + AC39^2)) - AC39</f>
        <v>0.59206848959642633</v>
      </c>
      <c r="AE39" s="9">
        <v>1</v>
      </c>
      <c r="AF39" s="8">
        <f t="shared" ref="AF39:AF69" si="16" xml:space="preserve"> $O$19 * TAN($O$16/180*PI()) + $O$20 / (2 * SQRT($O$19^2 + AE39^2)) - AE39</f>
        <v>-0.67527595183551326</v>
      </c>
      <c r="AG39" s="8">
        <f xml:space="preserve"> (AC39 + AE39)/2</f>
        <v>0.5</v>
      </c>
      <c r="AH39" s="8">
        <f t="shared" ref="AH39:AH69" si="17" xml:space="preserve"> $O$19 * TAN($O$16/180*PI()) + $O$20 / (2 * SQRT($O$19^2 + AG39^2)) - AG39</f>
        <v>-0.16766808740209616</v>
      </c>
      <c r="AI39" s="8">
        <f>AD39*AH39</f>
        <v>-9.9270991261680666E-2</v>
      </c>
      <c r="AJ39" s="8">
        <f>AF39*AH39</f>
        <v>0.11322222731289051</v>
      </c>
      <c r="AK39" s="8">
        <f>AE39-AC39</f>
        <v>1</v>
      </c>
      <c r="AM39" s="8">
        <v>35</v>
      </c>
      <c r="AN39" s="8">
        <f t="shared" si="13"/>
        <v>1143.2591831544414</v>
      </c>
      <c r="AO39">
        <v>-4.6587842916778754E-8</v>
      </c>
      <c r="AP39" s="8">
        <f t="shared" si="14"/>
        <v>1143.2591832708567</v>
      </c>
      <c r="AQ39">
        <v>1.6764829524618108E-8</v>
      </c>
      <c r="AR39" s="8">
        <f t="shared" si="9"/>
        <v>1143.2591832126491</v>
      </c>
      <c r="AS39">
        <v>-1.4911506696080323E-8</v>
      </c>
      <c r="AT39" s="8">
        <f t="shared" si="10"/>
        <v>6.9469493160948466E-16</v>
      </c>
      <c r="AU39" s="8">
        <f t="shared" si="11"/>
        <v>-2.4998886771498802E-16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201.71297084757273</v>
      </c>
      <c r="H40" t="s">
        <v>162</v>
      </c>
      <c r="J40" s="3" t="s">
        <v>83</v>
      </c>
      <c r="K40" s="3">
        <f>SUM(K35:K39)</f>
        <v>100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0.59206848959642633</v>
      </c>
      <c r="AE40" s="8">
        <f>IF(AJ39&gt;0, AG39, AE39)</f>
        <v>0.5</v>
      </c>
      <c r="AF40" s="8">
        <f t="shared" si="16"/>
        <v>-0.16766808740209616</v>
      </c>
      <c r="AG40" s="8">
        <f t="shared" ref="AG40:AG69" si="18" xml:space="preserve"> (AC40 + AE40)/2</f>
        <v>0.25</v>
      </c>
      <c r="AH40" s="8">
        <f t="shared" si="17"/>
        <v>9.7425905921299683E-2</v>
      </c>
      <c r="AI40" s="8">
        <f t="shared" ref="AI40:AI69" si="19">AD40*AH40</f>
        <v>5.768280896638743E-2</v>
      </c>
      <c r="AJ40" s="8">
        <f t="shared" ref="AJ40:AJ69" si="20">AF40*AH40</f>
        <v>-1.6335215309240873E-2</v>
      </c>
      <c r="AK40" s="8">
        <f t="shared" ref="AK40:AK69" si="21">AE40-AC40</f>
        <v>0.5</v>
      </c>
      <c r="AM40" s="8">
        <v>36</v>
      </c>
      <c r="AN40" s="8">
        <f t="shared" si="13"/>
        <v>1143.2591832126491</v>
      </c>
      <c r="AO40">
        <v>-1.4911506696080323E-8</v>
      </c>
      <c r="AP40" s="8">
        <f t="shared" si="14"/>
        <v>1143.2591832708567</v>
      </c>
      <c r="AQ40">
        <v>1.6764829524618108E-8</v>
      </c>
      <c r="AR40" s="8">
        <f t="shared" si="9"/>
        <v>1143.2591832417529</v>
      </c>
      <c r="AS40">
        <v>9.2666141426889226E-10</v>
      </c>
      <c r="AT40" s="8">
        <f t="shared" si="10"/>
        <v>-1.3817917883869849E-17</v>
      </c>
      <c r="AU40" s="8">
        <f t="shared" si="11"/>
        <v>1.5535320637259496E-17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1401.4428336649871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9.7425905921299683E-2</v>
      </c>
      <c r="AE41" s="8">
        <f t="shared" ref="AE41:AE69" si="23">IF(AJ40&gt;0, AG40, AE40)</f>
        <v>0.5</v>
      </c>
      <c r="AF41" s="8">
        <f t="shared" si="16"/>
        <v>-0.16766808740209616</v>
      </c>
      <c r="AG41" s="8">
        <f t="shared" si="18"/>
        <v>0.375</v>
      </c>
      <c r="AH41" s="8">
        <f t="shared" si="17"/>
        <v>-3.7614522593274302E-2</v>
      </c>
      <c r="AI41" s="8">
        <f t="shared" si="19"/>
        <v>-3.6646289394469435E-3</v>
      </c>
      <c r="AJ41" s="8">
        <f t="shared" si="20"/>
        <v>6.3067550617572363E-3</v>
      </c>
      <c r="AK41" s="8">
        <f t="shared" si="21"/>
        <v>0.25</v>
      </c>
      <c r="AM41" s="8">
        <v>37</v>
      </c>
      <c r="AN41" s="8">
        <f t="shared" si="13"/>
        <v>1143.2591832126491</v>
      </c>
      <c r="AO41">
        <v>-1.4911506696080323E-8</v>
      </c>
      <c r="AP41" s="8">
        <f t="shared" si="14"/>
        <v>1143.2591832417529</v>
      </c>
      <c r="AQ41">
        <v>9.2666141426889226E-10</v>
      </c>
      <c r="AR41" s="8">
        <f t="shared" si="9"/>
        <v>1143.259183227201</v>
      </c>
      <c r="AS41">
        <v>-6.9923089540679939E-9</v>
      </c>
      <c r="AT41" s="8">
        <f t="shared" si="10"/>
        <v>1.0426586178964729E-16</v>
      </c>
      <c r="AU41" s="8">
        <f t="shared" si="11"/>
        <v>-6.479502904381686E-18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s="41" t="s">
        <v>188</v>
      </c>
      <c r="K42" s="41"/>
      <c r="L42" s="41"/>
      <c r="AB42" s="8">
        <v>3</v>
      </c>
      <c r="AC42" s="8">
        <f>IF(AI41&gt;0, AG41, AC41)</f>
        <v>0.25</v>
      </c>
      <c r="AD42" s="8">
        <f t="shared" si="15"/>
        <v>9.7425905921299683E-2</v>
      </c>
      <c r="AE42" s="8">
        <f t="shared" si="23"/>
        <v>0.375</v>
      </c>
      <c r="AF42" s="8">
        <f t="shared" si="16"/>
        <v>-3.7614522593274302E-2</v>
      </c>
      <c r="AG42" s="8">
        <f t="shared" si="18"/>
        <v>0.3125</v>
      </c>
      <c r="AH42" s="8">
        <f t="shared" si="17"/>
        <v>2.8913748310476606E-2</v>
      </c>
      <c r="AI42" s="8">
        <f t="shared" si="19"/>
        <v>2.8169481227286316E-3</v>
      </c>
      <c r="AJ42" s="8">
        <f t="shared" si="20"/>
        <v>-1.0875768390806689E-3</v>
      </c>
      <c r="AK42" s="8">
        <f t="shared" si="21"/>
        <v>0.125</v>
      </c>
      <c r="AM42" s="8">
        <v>38</v>
      </c>
      <c r="AN42" s="8">
        <f t="shared" si="13"/>
        <v>1143.259183227201</v>
      </c>
      <c r="AO42">
        <v>-6.9923089540679939E-9</v>
      </c>
      <c r="AP42" s="8">
        <f t="shared" si="14"/>
        <v>1143.2591832417529</v>
      </c>
      <c r="AQ42">
        <v>9.2666141426889226E-10</v>
      </c>
      <c r="AR42" s="8">
        <f t="shared" si="9"/>
        <v>1143.259183234477</v>
      </c>
      <c r="AS42">
        <v>-3.0329374567372724E-9</v>
      </c>
      <c r="AT42" s="8">
        <f t="shared" si="10"/>
        <v>2.1207235735872239E-17</v>
      </c>
      <c r="AU42" s="8">
        <f t="shared" si="11"/>
        <v>-2.8105061130492581E-18</v>
      </c>
      <c r="AV42" s="8">
        <f t="shared" si="12"/>
        <v>1.4551915228366852E-8</v>
      </c>
    </row>
    <row r="43" spans="2:48" x14ac:dyDescent="0.2">
      <c r="B43" s="37" t="s">
        <v>165</v>
      </c>
      <c r="C43" s="37"/>
      <c r="D43" s="37"/>
      <c r="J43" t="s">
        <v>81</v>
      </c>
      <c r="K43">
        <f>C26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2.8913748310476606E-2</v>
      </c>
      <c r="AE43" s="8">
        <f t="shared" si="23"/>
        <v>0.375</v>
      </c>
      <c r="AF43" s="8">
        <f t="shared" si="16"/>
        <v>-3.7614522593274302E-2</v>
      </c>
      <c r="AG43" s="8">
        <f t="shared" si="18"/>
        <v>0.34375</v>
      </c>
      <c r="AH43" s="8">
        <f t="shared" si="17"/>
        <v>-4.5317032384732392E-3</v>
      </c>
      <c r="AI43" s="8">
        <f t="shared" si="19"/>
        <v>-1.3102852685498699E-4</v>
      </c>
      <c r="AJ43" s="8">
        <f t="shared" si="20"/>
        <v>1.7045785384956597E-4</v>
      </c>
      <c r="AK43" s="8">
        <f t="shared" si="21"/>
        <v>6.25E-2</v>
      </c>
      <c r="AM43" s="8">
        <v>39</v>
      </c>
      <c r="AN43" s="8">
        <f t="shared" si="13"/>
        <v>1143.259183234477</v>
      </c>
      <c r="AO43">
        <v>-3.0329374567372724E-9</v>
      </c>
      <c r="AP43" s="8">
        <f t="shared" si="14"/>
        <v>1143.2591832417529</v>
      </c>
      <c r="AQ43">
        <v>9.2666141426889226E-10</v>
      </c>
      <c r="AR43" s="8">
        <f t="shared" si="9"/>
        <v>1143.2591832381149</v>
      </c>
      <c r="AS43">
        <v>-1.0533085514907725E-9</v>
      </c>
      <c r="AT43" s="8">
        <f t="shared" si="10"/>
        <v>3.194618959318044E-18</v>
      </c>
      <c r="AU43" s="8">
        <f t="shared" si="11"/>
        <v>-9.7606039198595758E-19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6" t="s">
        <v>74</v>
      </c>
      <c r="K44">
        <f>ROUND(K17, 2)</f>
        <v>208.61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2.8913748310476606E-2</v>
      </c>
      <c r="AE44" s="8">
        <f t="shared" si="23"/>
        <v>0.34375</v>
      </c>
      <c r="AF44" s="8">
        <f t="shared" si="16"/>
        <v>-4.5317032384732392E-3</v>
      </c>
      <c r="AG44" s="8">
        <f t="shared" si="18"/>
        <v>0.328125</v>
      </c>
      <c r="AH44" s="8">
        <f t="shared" si="17"/>
        <v>1.2139307240199348E-2</v>
      </c>
      <c r="AI44" s="8">
        <f t="shared" si="19"/>
        <v>3.5099287420667033E-4</v>
      </c>
      <c r="AJ44" s="8">
        <f t="shared" si="20"/>
        <v>-5.5011737933233025E-5</v>
      </c>
      <c r="AK44" s="8">
        <f t="shared" si="21"/>
        <v>3.125E-2</v>
      </c>
      <c r="AM44" s="8">
        <v>40</v>
      </c>
      <c r="AN44" s="8">
        <f t="shared" si="13"/>
        <v>1143.2591832381149</v>
      </c>
      <c r="AO44">
        <v>-1.0533085514907725E-9</v>
      </c>
      <c r="AP44" s="8">
        <f t="shared" si="14"/>
        <v>1143.2591832417529</v>
      </c>
      <c r="AQ44">
        <v>9.2666141426889226E-10</v>
      </c>
      <c r="AR44" s="11">
        <f t="shared" si="9"/>
        <v>1143.2591832399339</v>
      </c>
      <c r="AS44">
        <v>-6.3323568610940129E-11</v>
      </c>
      <c r="AT44" s="8">
        <f t="shared" si="10"/>
        <v>6.6699256328815897E-20</v>
      </c>
      <c r="AU44" s="8">
        <f t="shared" si="11"/>
        <v>-5.8679507645567013E-20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8" t="s">
        <v>108</v>
      </c>
      <c r="K45">
        <f>ROUND(SUM(K18:K20), 2)</f>
        <v>156.97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1.2139307240199348E-2</v>
      </c>
      <c r="AE45" s="8">
        <f t="shared" si="23"/>
        <v>0.34375</v>
      </c>
      <c r="AF45" s="8">
        <f t="shared" si="16"/>
        <v>-4.5317032384732392E-3</v>
      </c>
      <c r="AG45" s="8">
        <f t="shared" si="18"/>
        <v>0.3359375</v>
      </c>
      <c r="AH45" s="8">
        <f t="shared" si="17"/>
        <v>3.7917627136015986E-3</v>
      </c>
      <c r="AI45" s="8">
        <f t="shared" si="19"/>
        <v>4.6029372562341813E-5</v>
      </c>
      <c r="AJ45" s="8">
        <f t="shared" si="20"/>
        <v>-1.7183143368750443E-5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7" t="s">
        <v>95</v>
      </c>
      <c r="K46">
        <f>ROUND(SUM(K21:K26), 2)</f>
        <v>324.12</v>
      </c>
      <c r="L46" t="s">
        <v>12</v>
      </c>
      <c r="AB46" s="8">
        <v>7</v>
      </c>
      <c r="AC46" s="8">
        <f t="shared" si="22"/>
        <v>0.3359375</v>
      </c>
      <c r="AD46" s="8">
        <f t="shared" si="15"/>
        <v>3.7917627136015986E-3</v>
      </c>
      <c r="AE46" s="8">
        <f t="shared" si="23"/>
        <v>0.34375</v>
      </c>
      <c r="AF46" s="8">
        <f t="shared" si="16"/>
        <v>-4.5317032384732392E-3</v>
      </c>
      <c r="AG46" s="8">
        <f t="shared" si="18"/>
        <v>0.33984375</v>
      </c>
      <c r="AH46" s="8">
        <f t="shared" si="17"/>
        <v>-3.7287768612020988E-4</v>
      </c>
      <c r="AI46" s="8">
        <f t="shared" si="19"/>
        <v>-1.4138637069646521E-6</v>
      </c>
      <c r="AJ46" s="8">
        <f t="shared" si="20"/>
        <v>1.6897710177453631E-6</v>
      </c>
      <c r="AK46" s="8">
        <f t="shared" si="21"/>
        <v>7.8125E-3</v>
      </c>
    </row>
    <row r="47" spans="2:48" x14ac:dyDescent="0.2">
      <c r="G47" s="1">
        <v>16.2</v>
      </c>
      <c r="J47" s="15" t="s">
        <v>96</v>
      </c>
      <c r="K47">
        <f>ROUND(SUM(K27:K30), 2)</f>
        <v>53.56</v>
      </c>
      <c r="L47" t="s">
        <v>12</v>
      </c>
      <c r="AB47" s="8">
        <v>8</v>
      </c>
      <c r="AC47" s="8">
        <f t="shared" si="22"/>
        <v>0.3359375</v>
      </c>
      <c r="AD47" s="8">
        <f t="shared" si="15"/>
        <v>3.7917627136015986E-3</v>
      </c>
      <c r="AE47" s="8">
        <f t="shared" si="23"/>
        <v>0.33984375</v>
      </c>
      <c r="AF47" s="8">
        <f t="shared" si="16"/>
        <v>-3.7287768612020988E-4</v>
      </c>
      <c r="AG47" s="8">
        <f t="shared" si="18"/>
        <v>0.337890625</v>
      </c>
      <c r="AH47" s="8">
        <f t="shared" si="17"/>
        <v>1.708703221748098E-3</v>
      </c>
      <c r="AI47" s="8">
        <f t="shared" si="19"/>
        <v>6.4789971648353621E-6</v>
      </c>
      <c r="AJ47" s="8">
        <f t="shared" si="20"/>
        <v>-6.3713730359157862E-7</v>
      </c>
      <c r="AK47" s="8">
        <f t="shared" si="21"/>
        <v>3.90625E-3</v>
      </c>
    </row>
    <row r="48" spans="2:48" x14ac:dyDescent="0.2">
      <c r="B48" s="37" t="s">
        <v>169</v>
      </c>
      <c r="C48" s="37"/>
      <c r="D48" s="37"/>
      <c r="G48" s="1">
        <v>7.32</v>
      </c>
      <c r="J48" s="3" t="s">
        <v>83</v>
      </c>
      <c r="K48" s="3">
        <f>SUM(K43:K47)</f>
        <v>1143.26</v>
      </c>
      <c r="L48" t="s">
        <v>12</v>
      </c>
      <c r="AB48" s="8">
        <v>9</v>
      </c>
      <c r="AC48" s="8">
        <f t="shared" si="22"/>
        <v>0.337890625</v>
      </c>
      <c r="AD48" s="8">
        <f t="shared" si="15"/>
        <v>1.708703221748098E-3</v>
      </c>
      <c r="AE48" s="8">
        <f t="shared" si="23"/>
        <v>0.33984375</v>
      </c>
      <c r="AF48" s="8">
        <f t="shared" si="16"/>
        <v>-3.7287768612020988E-4</v>
      </c>
      <c r="AG48" s="8">
        <f t="shared" si="18"/>
        <v>0.3388671875</v>
      </c>
      <c r="AH48" s="8">
        <f t="shared" si="17"/>
        <v>6.6772952134969144E-4</v>
      </c>
      <c r="AI48" s="8">
        <f t="shared" si="19"/>
        <v>1.1409515843865332E-6</v>
      </c>
      <c r="AJ48" s="8">
        <f t="shared" si="20"/>
        <v>-2.4898143887502821E-7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0.3388671875</v>
      </c>
      <c r="AD49" s="8">
        <f t="shared" si="15"/>
        <v>6.6772952134969144E-4</v>
      </c>
      <c r="AE49" s="8">
        <f t="shared" si="23"/>
        <v>0.33984375</v>
      </c>
      <c r="AF49" s="8">
        <f t="shared" si="16"/>
        <v>-3.7287768612020988E-4</v>
      </c>
      <c r="AG49" s="8">
        <f t="shared" si="18"/>
        <v>0.33935546875</v>
      </c>
      <c r="AH49" s="8">
        <f t="shared" si="17"/>
        <v>1.4738030111377531E-4</v>
      </c>
      <c r="AI49" s="8">
        <f t="shared" si="19"/>
        <v>9.8410177919074581E-8</v>
      </c>
      <c r="AJ49" s="8">
        <f t="shared" si="20"/>
        <v>-5.495482565900433E-8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J50" s="6" t="s">
        <v>189</v>
      </c>
      <c r="AB50" s="8">
        <v>11</v>
      </c>
      <c r="AC50" s="8">
        <f t="shared" si="22"/>
        <v>0.33935546875</v>
      </c>
      <c r="AD50" s="8">
        <f t="shared" si="15"/>
        <v>1.4738030111377531E-4</v>
      </c>
      <c r="AE50" s="8">
        <f t="shared" si="23"/>
        <v>0.33984375</v>
      </c>
      <c r="AF50" s="8">
        <f t="shared" si="16"/>
        <v>-3.7287768612020988E-4</v>
      </c>
      <c r="AG50" s="8">
        <f t="shared" si="18"/>
        <v>0.339599609375</v>
      </c>
      <c r="AH50" s="8">
        <f t="shared" si="17"/>
        <v>-1.1276007235977437E-4</v>
      </c>
      <c r="AI50" s="8">
        <f t="shared" si="19"/>
        <v>-1.661861341799464E-8</v>
      </c>
      <c r="AJ50" s="8">
        <f t="shared" si="20"/>
        <v>4.2045714868260102E-8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3" t="s">
        <v>109</v>
      </c>
      <c r="K51" s="5">
        <v>951.81985409544723</v>
      </c>
      <c r="L51" t="s">
        <v>12</v>
      </c>
      <c r="AB51" s="8">
        <v>12</v>
      </c>
      <c r="AC51" s="8">
        <f t="shared" si="22"/>
        <v>0.33935546875</v>
      </c>
      <c r="AD51" s="8">
        <f t="shared" si="15"/>
        <v>1.4738030111377531E-4</v>
      </c>
      <c r="AE51" s="8">
        <f t="shared" si="23"/>
        <v>0.339599609375</v>
      </c>
      <c r="AF51" s="8">
        <f t="shared" si="16"/>
        <v>-1.1276007235977437E-4</v>
      </c>
      <c r="AG51" s="8">
        <f t="shared" si="18"/>
        <v>0.3394775390625</v>
      </c>
      <c r="AH51" s="8">
        <f t="shared" si="17"/>
        <v>1.7307266384658515E-5</v>
      </c>
      <c r="AI51" s="8">
        <f t="shared" si="19"/>
        <v>2.5507501312272933E-9</v>
      </c>
      <c r="AJ51" s="8">
        <f t="shared" si="20"/>
        <v>-1.9515686098839845E-9</v>
      </c>
      <c r="AK51" s="8">
        <f t="shared" si="21"/>
        <v>2.44140625E-4</v>
      </c>
    </row>
    <row r="52" spans="2:39" x14ac:dyDescent="0.2">
      <c r="B52" s="37" t="s">
        <v>181</v>
      </c>
      <c r="C52" s="37"/>
      <c r="D52" s="37"/>
      <c r="G52" s="1">
        <v>0.87</v>
      </c>
      <c r="J52" s="16" t="s">
        <v>74</v>
      </c>
      <c r="K52">
        <v>121.42795988165344</v>
      </c>
      <c r="L52" t="s">
        <v>12</v>
      </c>
      <c r="AB52" s="8">
        <v>13</v>
      </c>
      <c r="AC52" s="8">
        <f t="shared" si="22"/>
        <v>0.3394775390625</v>
      </c>
      <c r="AD52" s="8">
        <f t="shared" si="15"/>
        <v>1.7307266384658515E-5</v>
      </c>
      <c r="AE52" s="8">
        <f t="shared" si="23"/>
        <v>0.339599609375</v>
      </c>
      <c r="AF52" s="8">
        <f t="shared" si="16"/>
        <v>-1.1276007235977437E-4</v>
      </c>
      <c r="AG52" s="8">
        <f t="shared" si="18"/>
        <v>0.33953857421875</v>
      </c>
      <c r="AH52" s="8">
        <f t="shared" si="17"/>
        <v>-4.772711460676593E-5</v>
      </c>
      <c r="AI52" s="8">
        <f t="shared" si="19"/>
        <v>-8.2602588627042437E-10</v>
      </c>
      <c r="AJ52" s="8">
        <f t="shared" si="20"/>
        <v>5.3817128965821701E-9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2" t="s">
        <v>75</v>
      </c>
      <c r="K53">
        <v>53.5762135527537</v>
      </c>
      <c r="L53" t="s">
        <v>12</v>
      </c>
      <c r="AB53" s="8">
        <v>14</v>
      </c>
      <c r="AC53" s="8">
        <f t="shared" si="22"/>
        <v>0.3394775390625</v>
      </c>
      <c r="AD53" s="8">
        <f t="shared" si="15"/>
        <v>1.7307266384658515E-5</v>
      </c>
      <c r="AE53" s="8">
        <f t="shared" si="23"/>
        <v>0.33953857421875</v>
      </c>
      <c r="AF53" s="8">
        <f t="shared" si="16"/>
        <v>-4.772711460676593E-5</v>
      </c>
      <c r="AG53" s="8">
        <f t="shared" si="18"/>
        <v>0.339508056640625</v>
      </c>
      <c r="AH53" s="8">
        <f t="shared" si="17"/>
        <v>-1.5210102063178965E-5</v>
      </c>
      <c r="AI53" s="8">
        <f t="shared" si="19"/>
        <v>-2.6324528814528245E-10</v>
      </c>
      <c r="AJ53" s="8">
        <f t="shared" si="20"/>
        <v>7.2593428434994942E-10</v>
      </c>
      <c r="AK53" s="8">
        <f t="shared" si="21"/>
        <v>6.103515625E-5</v>
      </c>
    </row>
    <row r="54" spans="2:39" x14ac:dyDescent="0.2">
      <c r="G54" s="1">
        <v>20</v>
      </c>
      <c r="J54" s="13" t="s">
        <v>76</v>
      </c>
      <c r="K54">
        <v>40.873500379260243</v>
      </c>
      <c r="L54" t="s">
        <v>12</v>
      </c>
      <c r="AB54" s="8">
        <v>15</v>
      </c>
      <c r="AC54" s="8">
        <f t="shared" si="22"/>
        <v>0.3394775390625</v>
      </c>
      <c r="AD54" s="8">
        <f t="shared" si="15"/>
        <v>1.7307266384658515E-5</v>
      </c>
      <c r="AE54" s="8">
        <f t="shared" si="23"/>
        <v>0.339508056640625</v>
      </c>
      <c r="AF54" s="8">
        <f t="shared" si="16"/>
        <v>-1.5210102063178965E-5</v>
      </c>
      <c r="AG54" s="8">
        <f t="shared" si="18"/>
        <v>0.3394927978515625</v>
      </c>
      <c r="AH54" s="8">
        <f t="shared" si="17"/>
        <v>1.0485376667479507E-6</v>
      </c>
      <c r="AI54" s="8">
        <f t="shared" si="19"/>
        <v>1.8147320712755081E-11</v>
      </c>
      <c r="AJ54" s="8">
        <f t="shared" si="20"/>
        <v>-1.5948364928323863E-11</v>
      </c>
      <c r="AK54" s="8">
        <f t="shared" si="21"/>
        <v>3.0517578125E-5</v>
      </c>
    </row>
    <row r="55" spans="2:39" x14ac:dyDescent="0.2">
      <c r="B55" s="37" t="s">
        <v>172</v>
      </c>
      <c r="C55" s="37"/>
      <c r="D55" s="37"/>
      <c r="G55" s="1">
        <v>6</v>
      </c>
      <c r="J55" s="13" t="s">
        <v>107</v>
      </c>
      <c r="K55">
        <v>23.21527784186987</v>
      </c>
      <c r="L55" t="s">
        <v>12</v>
      </c>
      <c r="AB55" s="8">
        <v>16</v>
      </c>
      <c r="AC55" s="8">
        <f t="shared" si="22"/>
        <v>0.3394927978515625</v>
      </c>
      <c r="AD55" s="8">
        <f t="shared" si="15"/>
        <v>1.0485376667479507E-6</v>
      </c>
      <c r="AE55" s="8">
        <f t="shared" si="23"/>
        <v>0.339508056640625</v>
      </c>
      <c r="AF55" s="8">
        <f t="shared" si="16"/>
        <v>-1.5210102063178965E-5</v>
      </c>
      <c r="AG55" s="8">
        <f t="shared" si="18"/>
        <v>0.33950042724609375</v>
      </c>
      <c r="AH55" s="8">
        <f t="shared" si="17"/>
        <v>-7.0807933209571239E-6</v>
      </c>
      <c r="AI55" s="8">
        <f t="shared" si="19"/>
        <v>-7.4244785074808557E-12</v>
      </c>
      <c r="AJ55" s="8">
        <f t="shared" si="20"/>
        <v>1.0769958910003378E-10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4" t="s">
        <v>84</v>
      </c>
      <c r="K56">
        <v>160.02087517267341</v>
      </c>
      <c r="L56" t="s">
        <v>12</v>
      </c>
      <c r="AB56" s="8">
        <v>17</v>
      </c>
      <c r="AC56" s="8">
        <f t="shared" si="22"/>
        <v>0.3394927978515625</v>
      </c>
      <c r="AD56" s="8">
        <f t="shared" si="15"/>
        <v>1.0485376667479507E-6</v>
      </c>
      <c r="AE56" s="8">
        <f t="shared" si="23"/>
        <v>0.33950042724609375</v>
      </c>
      <c r="AF56" s="8">
        <f t="shared" si="16"/>
        <v>-7.0807933209571239E-6</v>
      </c>
      <c r="AG56" s="8">
        <f t="shared" si="18"/>
        <v>0.33949661254882812</v>
      </c>
      <c r="AH56" s="8">
        <f t="shared" si="17"/>
        <v>-3.0161306078801964E-6</v>
      </c>
      <c r="AI56" s="8">
        <f t="shared" si="19"/>
        <v>-3.1625265501937795E-12</v>
      </c>
      <c r="AJ56" s="8">
        <f t="shared" si="20"/>
        <v>2.1356597463412446E-11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85</v>
      </c>
      <c r="K57">
        <v>11.964251380071035</v>
      </c>
      <c r="L57" t="s">
        <v>12</v>
      </c>
      <c r="AB57" s="8">
        <v>18</v>
      </c>
      <c r="AC57" s="8">
        <f t="shared" si="22"/>
        <v>0.3394927978515625</v>
      </c>
      <c r="AD57" s="8">
        <f t="shared" si="15"/>
        <v>1.0485376667479507E-6</v>
      </c>
      <c r="AE57" s="8">
        <f t="shared" si="23"/>
        <v>0.33949661254882812</v>
      </c>
      <c r="AF57" s="8">
        <f t="shared" si="16"/>
        <v>-3.0161306078801964E-6</v>
      </c>
      <c r="AG57" s="8">
        <f t="shared" si="18"/>
        <v>0.33949470520019531</v>
      </c>
      <c r="AH57" s="8">
        <f t="shared" si="17"/>
        <v>-9.8379716573226972E-7</v>
      </c>
      <c r="AI57" s="8">
        <f t="shared" si="19"/>
        <v>-1.031548384710161E-12</v>
      </c>
      <c r="AJ57" s="8">
        <f t="shared" si="20"/>
        <v>2.9672607435108849E-12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77</v>
      </c>
      <c r="K58">
        <v>81.231772721223109</v>
      </c>
      <c r="L58" t="s">
        <v>12</v>
      </c>
      <c r="AB58" s="8">
        <v>19</v>
      </c>
      <c r="AC58" s="8">
        <f t="shared" si="22"/>
        <v>0.3394927978515625</v>
      </c>
      <c r="AD58" s="8">
        <f t="shared" si="15"/>
        <v>1.0485376667479507E-6</v>
      </c>
      <c r="AE58" s="8">
        <f t="shared" si="23"/>
        <v>0.33949470520019531</v>
      </c>
      <c r="AF58" s="8">
        <f t="shared" si="16"/>
        <v>-9.8379716573226972E-7</v>
      </c>
      <c r="AG58" s="8">
        <f t="shared" si="18"/>
        <v>0.33949375152587891</v>
      </c>
      <c r="AH58" s="8">
        <f t="shared" si="17"/>
        <v>3.2370076730181552E-8</v>
      </c>
      <c r="AI58" s="8">
        <f t="shared" si="19"/>
        <v>3.3941244727116694E-14</v>
      </c>
      <c r="AJ58" s="8">
        <f t="shared" si="20"/>
        <v>-3.1845589741688705E-14</v>
      </c>
      <c r="AK58" s="8">
        <f t="shared" si="21"/>
        <v>1.9073486328125E-6</v>
      </c>
    </row>
    <row r="59" spans="2:39" x14ac:dyDescent="0.2">
      <c r="J59" s="14" t="s">
        <v>86</v>
      </c>
      <c r="K59">
        <v>9.8135391340138352</v>
      </c>
      <c r="L59" t="s">
        <v>12</v>
      </c>
      <c r="AB59" s="8">
        <v>20</v>
      </c>
      <c r="AC59" s="8">
        <f t="shared" si="22"/>
        <v>0.33949375152587891</v>
      </c>
      <c r="AD59" s="8">
        <f t="shared" si="15"/>
        <v>3.2370076730181552E-8</v>
      </c>
      <c r="AE59" s="8">
        <f t="shared" si="23"/>
        <v>0.33949470520019531</v>
      </c>
      <c r="AF59" s="8">
        <f t="shared" si="16"/>
        <v>-9.8379716573226972E-7</v>
      </c>
      <c r="AG59" s="8">
        <f t="shared" si="18"/>
        <v>0.33949422836303711</v>
      </c>
      <c r="AH59" s="8">
        <f t="shared" si="17"/>
        <v>-4.757135879662755E-7</v>
      </c>
      <c r="AI59" s="8">
        <f t="shared" si="19"/>
        <v>-1.5398885344058309E-14</v>
      </c>
      <c r="AJ59" s="8">
        <f t="shared" si="20"/>
        <v>4.6800567954155061E-13</v>
      </c>
      <c r="AK59" s="8">
        <f t="shared" si="21"/>
        <v>9.5367431640625E-7</v>
      </c>
    </row>
    <row r="60" spans="2:39" x14ac:dyDescent="0.2">
      <c r="B60" s="37" t="s">
        <v>176</v>
      </c>
      <c r="C60" s="37"/>
      <c r="D60" s="37"/>
      <c r="J60" s="14" t="s">
        <v>87</v>
      </c>
      <c r="K60">
        <v>5.2207724142141938</v>
      </c>
      <c r="L60" t="s">
        <v>12</v>
      </c>
      <c r="AB60" s="8">
        <v>21</v>
      </c>
      <c r="AC60" s="8">
        <f t="shared" si="22"/>
        <v>0.33949375152587891</v>
      </c>
      <c r="AD60" s="8">
        <f t="shared" si="15"/>
        <v>3.2370076730181552E-8</v>
      </c>
      <c r="AE60" s="8">
        <f t="shared" si="23"/>
        <v>0.33949422836303711</v>
      </c>
      <c r="AF60" s="8">
        <f t="shared" si="16"/>
        <v>-4.757135879662755E-7</v>
      </c>
      <c r="AG60" s="8">
        <f t="shared" si="18"/>
        <v>0.33949398994445801</v>
      </c>
      <c r="AH60" s="8">
        <f t="shared" si="17"/>
        <v>-2.2167176649823261E-7</v>
      </c>
      <c r="AI60" s="8">
        <f t="shared" si="19"/>
        <v>-7.1755320904626784E-15</v>
      </c>
      <c r="AJ60" s="8">
        <f t="shared" si="20"/>
        <v>1.0545227139169666E-13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5" t="s">
        <v>88</v>
      </c>
      <c r="K61">
        <v>20.40701767180639</v>
      </c>
      <c r="L61" t="s">
        <v>12</v>
      </c>
      <c r="AB61" s="8">
        <v>22</v>
      </c>
      <c r="AC61" s="8">
        <f t="shared" si="22"/>
        <v>0.33949375152587891</v>
      </c>
      <c r="AD61" s="8">
        <f t="shared" si="15"/>
        <v>3.2370076730181552E-8</v>
      </c>
      <c r="AE61" s="8">
        <f t="shared" si="23"/>
        <v>0.33949398994445801</v>
      </c>
      <c r="AF61" s="8">
        <f t="shared" si="16"/>
        <v>-2.2167176649823261E-7</v>
      </c>
      <c r="AG61" s="8">
        <f t="shared" si="18"/>
        <v>0.33949387073516846</v>
      </c>
      <c r="AH61" s="8">
        <f t="shared" si="17"/>
        <v>-9.4650847604071942E-8</v>
      </c>
      <c r="AI61" s="8">
        <f t="shared" si="19"/>
        <v>-3.0638551995205293E-15</v>
      </c>
      <c r="AJ61" s="8">
        <f t="shared" si="20"/>
        <v>2.0981420588949636E-14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89</v>
      </c>
      <c r="K62">
        <v>5.613175418363693</v>
      </c>
      <c r="L62" t="s">
        <v>12</v>
      </c>
      <c r="AB62" s="8">
        <v>23</v>
      </c>
      <c r="AC62" s="8">
        <f t="shared" si="22"/>
        <v>0.33949375152587891</v>
      </c>
      <c r="AD62" s="8">
        <f t="shared" si="15"/>
        <v>3.2370076730181552E-8</v>
      </c>
      <c r="AE62" s="8">
        <f t="shared" si="23"/>
        <v>0.33949387073516846</v>
      </c>
      <c r="AF62" s="8">
        <f t="shared" si="16"/>
        <v>-9.4650847604071942E-8</v>
      </c>
      <c r="AG62" s="8">
        <f t="shared" si="18"/>
        <v>0.33949381113052368</v>
      </c>
      <c r="AH62" s="8">
        <f t="shared" si="17"/>
        <v>-3.1140386158590161E-8</v>
      </c>
      <c r="AI62" s="8">
        <f t="shared" si="19"/>
        <v>-1.0080166893610471E-15</v>
      </c>
      <c r="AJ62" s="8">
        <f t="shared" si="20"/>
        <v>2.9474639446286686E-15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90</v>
      </c>
      <c r="K63">
        <v>6.0916470662108626</v>
      </c>
      <c r="L63" t="s">
        <v>12</v>
      </c>
      <c r="AB63" s="8">
        <v>24</v>
      </c>
      <c r="AC63" s="8">
        <f t="shared" si="22"/>
        <v>0.33949375152587891</v>
      </c>
      <c r="AD63" s="8">
        <f t="shared" si="15"/>
        <v>3.2370076730181552E-8</v>
      </c>
      <c r="AE63" s="8">
        <f t="shared" si="23"/>
        <v>0.33949381113052368</v>
      </c>
      <c r="AF63" s="8">
        <f t="shared" si="16"/>
        <v>-3.1140386158590161E-8</v>
      </c>
      <c r="AG63" s="8">
        <f t="shared" si="18"/>
        <v>0.33949378132820129</v>
      </c>
      <c r="AH63" s="8">
        <f t="shared" si="17"/>
        <v>6.1484511926224172E-10</v>
      </c>
      <c r="AI63" s="8">
        <f t="shared" si="19"/>
        <v>1.9902583687696392E-17</v>
      </c>
      <c r="AJ63" s="8">
        <f t="shared" si="20"/>
        <v>-1.9146514441550629E-17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91</v>
      </c>
      <c r="K64">
        <v>12.363851461833493</v>
      </c>
      <c r="L64" t="s">
        <v>12</v>
      </c>
      <c r="AB64" s="8">
        <v>25</v>
      </c>
      <c r="AC64" s="8">
        <f t="shared" si="22"/>
        <v>0.33949378132820129</v>
      </c>
      <c r="AD64" s="8">
        <f t="shared" si="15"/>
        <v>6.1484511926224172E-10</v>
      </c>
      <c r="AE64" s="8">
        <f t="shared" si="23"/>
        <v>0.33949381113052368</v>
      </c>
      <c r="AF64" s="8">
        <f t="shared" si="16"/>
        <v>-3.1140386158590161E-8</v>
      </c>
      <c r="AG64" s="8">
        <f t="shared" si="18"/>
        <v>0.33949379622936249</v>
      </c>
      <c r="AH64" s="8">
        <f t="shared" si="17"/>
        <v>-1.5262770547419535E-8</v>
      </c>
      <c r="AI64" s="8">
        <f t="shared" si="19"/>
        <v>-9.3842399775003945E-18</v>
      </c>
      <c r="AJ64" s="8">
        <f t="shared" si="20"/>
        <v>4.7528856869660086E-16</v>
      </c>
      <c r="AK64" s="8">
        <f t="shared" si="21"/>
        <v>2.9802322387695312E-8</v>
      </c>
    </row>
    <row r="65" spans="10:37" x14ac:dyDescent="0.2">
      <c r="AB65" s="8">
        <v>26</v>
      </c>
      <c r="AC65" s="8">
        <f t="shared" si="22"/>
        <v>0.33949378132820129</v>
      </c>
      <c r="AD65" s="8">
        <f t="shared" si="15"/>
        <v>6.1484511926224172E-10</v>
      </c>
      <c r="AE65" s="8">
        <f t="shared" si="23"/>
        <v>0.33949379622936249</v>
      </c>
      <c r="AF65" s="8">
        <f t="shared" si="16"/>
        <v>-1.5262770547419535E-8</v>
      </c>
      <c r="AG65" s="8">
        <f t="shared" si="18"/>
        <v>0.33949378877878189</v>
      </c>
      <c r="AH65" s="8">
        <f t="shared" si="17"/>
        <v>-7.3239627140786467E-9</v>
      </c>
      <c r="AI65" s="8">
        <f t="shared" si="19"/>
        <v>-4.5031027284098971E-18</v>
      </c>
      <c r="AJ65" s="8">
        <f t="shared" si="20"/>
        <v>1.1178396240283841E-16</v>
      </c>
      <c r="AK65" s="8">
        <f t="shared" si="21"/>
        <v>1.4901161193847656E-8</v>
      </c>
    </row>
    <row r="66" spans="10:37" x14ac:dyDescent="0.2">
      <c r="J66" s="6" t="s">
        <v>190</v>
      </c>
      <c r="AB66" s="8">
        <v>27</v>
      </c>
      <c r="AC66" s="8">
        <f t="shared" si="22"/>
        <v>0.33949378132820129</v>
      </c>
      <c r="AD66" s="8">
        <f t="shared" si="15"/>
        <v>6.1484511926224172E-10</v>
      </c>
      <c r="AE66" s="8">
        <f t="shared" si="23"/>
        <v>0.33949378877878189</v>
      </c>
      <c r="AF66" s="8">
        <f t="shared" si="16"/>
        <v>-7.3239627140786467E-9</v>
      </c>
      <c r="AG66" s="8">
        <f t="shared" si="18"/>
        <v>0.33949378505349159</v>
      </c>
      <c r="AH66" s="8">
        <f t="shared" si="17"/>
        <v>-3.3545587974082025E-9</v>
      </c>
      <c r="AI66" s="8">
        <f t="shared" si="19"/>
        <v>-2.0625341038646484E-18</v>
      </c>
      <c r="AJ66" s="8">
        <f t="shared" si="20"/>
        <v>2.456866355440218E-17</v>
      </c>
      <c r="AK66" s="8">
        <f t="shared" si="21"/>
        <v>7.4505805969238281E-9</v>
      </c>
    </row>
    <row r="67" spans="10:37" x14ac:dyDescent="0.2">
      <c r="J67" s="3" t="s">
        <v>109</v>
      </c>
      <c r="K67">
        <v>1164.3186685523688</v>
      </c>
      <c r="L67" t="s">
        <v>12</v>
      </c>
      <c r="AB67" s="8">
        <v>28</v>
      </c>
      <c r="AC67" s="8">
        <f t="shared" si="22"/>
        <v>0.33949378132820129</v>
      </c>
      <c r="AD67" s="8">
        <f t="shared" si="15"/>
        <v>6.1484511926224172E-10</v>
      </c>
      <c r="AE67" s="8">
        <f t="shared" si="23"/>
        <v>0.33949378505349159</v>
      </c>
      <c r="AF67" s="8">
        <f t="shared" si="16"/>
        <v>-3.3545587974082025E-9</v>
      </c>
      <c r="AG67" s="8">
        <f t="shared" si="18"/>
        <v>0.33949378319084644</v>
      </c>
      <c r="AH67" s="8">
        <f t="shared" si="17"/>
        <v>-1.3698568390729804E-9</v>
      </c>
      <c r="AI67" s="8">
        <f t="shared" si="19"/>
        <v>-8.422497915920241E-19</v>
      </c>
      <c r="AJ67" s="8">
        <f t="shared" si="20"/>
        <v>4.5952653107020587E-18</v>
      </c>
      <c r="AK67" s="8">
        <f t="shared" si="21"/>
        <v>3.7252902984619141E-9</v>
      </c>
    </row>
    <row r="68" spans="10:37" x14ac:dyDescent="0.2">
      <c r="J68" s="16" t="s">
        <v>74</v>
      </c>
      <c r="K68">
        <v>202.24983079170909</v>
      </c>
      <c r="L68" t="s">
        <v>12</v>
      </c>
      <c r="AB68" s="8">
        <v>29</v>
      </c>
      <c r="AC68" s="8">
        <f t="shared" si="22"/>
        <v>0.33949378132820129</v>
      </c>
      <c r="AD68" s="8">
        <f t="shared" si="15"/>
        <v>6.1484511926224172E-10</v>
      </c>
      <c r="AE68" s="8">
        <f t="shared" si="23"/>
        <v>0.33949378319084644</v>
      </c>
      <c r="AF68" s="8">
        <f t="shared" si="16"/>
        <v>-1.3698568390729804E-9</v>
      </c>
      <c r="AG68" s="8">
        <f t="shared" si="18"/>
        <v>0.33949378225952387</v>
      </c>
      <c r="AH68" s="8">
        <f t="shared" si="17"/>
        <v>-3.7750585990536933E-10</v>
      </c>
      <c r="AI68" s="8">
        <f t="shared" si="19"/>
        <v>-2.3210763545571192E-19</v>
      </c>
      <c r="AJ68" s="8">
        <f t="shared" si="20"/>
        <v>5.171289839814966E-19</v>
      </c>
      <c r="AK68" s="8">
        <f t="shared" si="21"/>
        <v>1.862645149230957E-9</v>
      </c>
    </row>
    <row r="69" spans="10:37" x14ac:dyDescent="0.2">
      <c r="J69" s="12" t="s">
        <v>75</v>
      </c>
      <c r="K69">
        <v>67.099143770220167</v>
      </c>
      <c r="L69" t="s">
        <v>12</v>
      </c>
      <c r="AB69" s="8">
        <v>30</v>
      </c>
      <c r="AC69" s="8">
        <f t="shared" si="22"/>
        <v>0.33949378132820129</v>
      </c>
      <c r="AD69" s="8">
        <f t="shared" si="15"/>
        <v>6.1484511926224172E-10</v>
      </c>
      <c r="AE69" s="8">
        <f t="shared" si="23"/>
        <v>0.33949378225952387</v>
      </c>
      <c r="AF69" s="8">
        <f t="shared" si="16"/>
        <v>-3.7750585990536933E-10</v>
      </c>
      <c r="AG69" s="8">
        <f t="shared" si="18"/>
        <v>0.33949378179386258</v>
      </c>
      <c r="AH69" s="8">
        <f t="shared" si="17"/>
        <v>1.1866962967843619E-10</v>
      </c>
      <c r="AI69" s="8">
        <f t="shared" si="19"/>
        <v>7.2963442612444162E-20</v>
      </c>
      <c r="AJ69" s="8">
        <f t="shared" si="20"/>
        <v>-4.4798480596409793E-20</v>
      </c>
      <c r="AK69" s="8">
        <f t="shared" si="21"/>
        <v>9.3132257461547852E-10</v>
      </c>
    </row>
    <row r="70" spans="10:37" x14ac:dyDescent="0.2">
      <c r="J70" s="13" t="s">
        <v>76</v>
      </c>
      <c r="K70">
        <v>82.233160449029171</v>
      </c>
      <c r="L70" t="s">
        <v>12</v>
      </c>
    </row>
    <row r="71" spans="10:37" x14ac:dyDescent="0.2">
      <c r="J71" s="13" t="s">
        <v>107</v>
      </c>
      <c r="K71">
        <v>47.469416866632521</v>
      </c>
      <c r="L71" t="s">
        <v>12</v>
      </c>
    </row>
    <row r="72" spans="10:37" x14ac:dyDescent="0.2">
      <c r="J72" s="14" t="s">
        <v>84</v>
      </c>
      <c r="K72">
        <v>164.73242963959723</v>
      </c>
      <c r="L72" t="s">
        <v>12</v>
      </c>
      <c r="AB72" s="6" t="s">
        <v>150</v>
      </c>
    </row>
    <row r="73" spans="10:37" x14ac:dyDescent="0.2">
      <c r="J73" s="14" t="s">
        <v>85</v>
      </c>
      <c r="K73">
        <v>13.732424713984726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77</v>
      </c>
      <c r="K74">
        <v>114.6496826955896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0.41919110553449984</v>
      </c>
      <c r="AE74" s="9">
        <v>1</v>
      </c>
      <c r="AF74" s="8">
        <f xml:space="preserve"> $W$19 * TAN($W$16/180*PI()) + $W$20 / (2 * SQRT($W$19^2 + AE74^2)) - AE74</f>
        <v>-0.68007016406289122</v>
      </c>
      <c r="AG74" s="8">
        <f xml:space="preserve"> (AC74 + AE74)/2</f>
        <v>0.5</v>
      </c>
      <c r="AH74" s="8">
        <f xml:space="preserve"> $W$19 * TAN($W$16/180*PI()) + $W$20 / (2 * SQRT($W$19^2 + AG74^2)) - AG74</f>
        <v>-0.17724546990227569</v>
      </c>
      <c r="AI74" s="8">
        <f>AD74*AH74</f>
        <v>-7.4299724479316862E-2</v>
      </c>
      <c r="AJ74" s="8">
        <f>AF74*AH74</f>
        <v>0.12053935579584488</v>
      </c>
      <c r="AK74" s="8">
        <f>AE74-AC74</f>
        <v>1</v>
      </c>
    </row>
    <row r="75" spans="10:37" x14ac:dyDescent="0.2">
      <c r="J75" s="14" t="s">
        <v>86</v>
      </c>
      <c r="K75">
        <v>11.734195716688115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0.41919110553449984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-0.17724546990227569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7.8358719706268065E-2</v>
      </c>
      <c r="AI75" s="8">
        <f t="shared" ref="AI75:AI104" si="28">AD75*AH75</f>
        <v>3.2847278341938506E-2</v>
      </c>
      <c r="AJ75" s="8">
        <f t="shared" ref="AJ75:AJ104" si="29">AF75*AH75</f>
        <v>-1.3888728095278193E-2</v>
      </c>
      <c r="AK75" s="8">
        <f t="shared" ref="AK75:AK104" si="30">AE75-AC75</f>
        <v>0.5</v>
      </c>
    </row>
    <row r="76" spans="10:37" x14ac:dyDescent="0.2">
      <c r="J76" s="14" t="s">
        <v>87</v>
      </c>
      <c r="K76">
        <v>5.8527093626715798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7.8358719706268065E-2</v>
      </c>
      <c r="AE76" s="8">
        <f t="shared" ref="AE76:AE104" si="32">IF(AJ75&gt;0, AG75, AE75)</f>
        <v>0.5</v>
      </c>
      <c r="AF76" s="8">
        <f t="shared" si="25"/>
        <v>-0.17724546990227569</v>
      </c>
      <c r="AG76" s="8">
        <f t="shared" si="26"/>
        <v>0.375</v>
      </c>
      <c r="AH76" s="8">
        <f t="shared" si="27"/>
        <v>-5.0369151635736908E-2</v>
      </c>
      <c r="AI76" s="8">
        <f t="shared" si="28"/>
        <v>-3.9468622348672218E-3</v>
      </c>
      <c r="AJ76" s="8">
        <f t="shared" si="29"/>
        <v>8.9277039502551666E-3</v>
      </c>
      <c r="AK76" s="8">
        <f t="shared" si="30"/>
        <v>0.25</v>
      </c>
    </row>
    <row r="77" spans="10:37" x14ac:dyDescent="0.2">
      <c r="J77" s="15" t="s">
        <v>88</v>
      </c>
      <c r="K77">
        <v>24.962992253762788</v>
      </c>
      <c r="L77" t="s">
        <v>12</v>
      </c>
      <c r="AB77" s="8">
        <v>3</v>
      </c>
      <c r="AC77" s="8">
        <f t="shared" si="31"/>
        <v>0.25</v>
      </c>
      <c r="AD77" s="8">
        <f t="shared" si="24"/>
        <v>7.8358719706268065E-2</v>
      </c>
      <c r="AE77" s="8">
        <f t="shared" si="32"/>
        <v>0.375</v>
      </c>
      <c r="AF77" s="8">
        <f t="shared" si="25"/>
        <v>-5.0369151635736908E-2</v>
      </c>
      <c r="AG77" s="8">
        <f t="shared" si="26"/>
        <v>0.3125</v>
      </c>
      <c r="AH77" s="8">
        <f t="shared" si="27"/>
        <v>1.3626489276215015E-2</v>
      </c>
      <c r="AI77" s="8">
        <f t="shared" si="28"/>
        <v>1.0677542537754E-3</v>
      </c>
      <c r="AJ77" s="8">
        <f t="shared" si="29"/>
        <v>-6.8635470461641699E-4</v>
      </c>
      <c r="AK77" s="8">
        <f t="shared" si="30"/>
        <v>0.125</v>
      </c>
    </row>
    <row r="78" spans="10:37" x14ac:dyDescent="0.2">
      <c r="J78" s="15" t="s">
        <v>89</v>
      </c>
      <c r="K78">
        <v>6.0843677430285634</v>
      </c>
      <c r="L78" t="s">
        <v>12</v>
      </c>
      <c r="AB78" s="8">
        <v>4</v>
      </c>
      <c r="AC78" s="8">
        <f t="shared" si="31"/>
        <v>0.3125</v>
      </c>
      <c r="AD78" s="8">
        <f t="shared" si="24"/>
        <v>1.3626489276215015E-2</v>
      </c>
      <c r="AE78" s="8">
        <f t="shared" si="32"/>
        <v>0.375</v>
      </c>
      <c r="AF78" s="8">
        <f t="shared" si="25"/>
        <v>-5.0369151635736908E-2</v>
      </c>
      <c r="AG78" s="8">
        <f t="shared" si="26"/>
        <v>0.34375</v>
      </c>
      <c r="AH78" s="8">
        <f t="shared" si="27"/>
        <v>-1.8438651322636002E-2</v>
      </c>
      <c r="AI78" s="8">
        <f t="shared" si="28"/>
        <v>-2.5125408451576729E-4</v>
      </c>
      <c r="AJ78" s="8">
        <f t="shared" si="29"/>
        <v>9.287392244283337E-4</v>
      </c>
      <c r="AK78" s="8">
        <f t="shared" si="30"/>
        <v>6.25E-2</v>
      </c>
    </row>
    <row r="79" spans="10:37" x14ac:dyDescent="0.2">
      <c r="J79" s="15" t="s">
        <v>90</v>
      </c>
      <c r="K79">
        <v>7.4516394787351601</v>
      </c>
      <c r="L79" t="s">
        <v>12</v>
      </c>
      <c r="AB79" s="8">
        <v>5</v>
      </c>
      <c r="AC79" s="8">
        <f t="shared" si="31"/>
        <v>0.3125</v>
      </c>
      <c r="AD79" s="8">
        <f t="shared" si="24"/>
        <v>1.3626489276215015E-2</v>
      </c>
      <c r="AE79" s="8">
        <f t="shared" si="32"/>
        <v>0.34375</v>
      </c>
      <c r="AF79" s="8">
        <f t="shared" si="25"/>
        <v>-1.8438651322636002E-2</v>
      </c>
      <c r="AG79" s="8">
        <f t="shared" si="26"/>
        <v>0.328125</v>
      </c>
      <c r="AH79" s="8">
        <f t="shared" si="27"/>
        <v>-2.4252821926511459E-3</v>
      </c>
      <c r="AI79" s="8">
        <f t="shared" si="28"/>
        <v>-3.3048081789956074E-5</v>
      </c>
      <c r="AJ79" s="8">
        <f t="shared" si="29"/>
        <v>4.4718932709292594E-5</v>
      </c>
      <c r="AK79" s="8">
        <f t="shared" si="30"/>
        <v>3.125E-2</v>
      </c>
    </row>
    <row r="80" spans="10:37" x14ac:dyDescent="0.2">
      <c r="J80" s="15" t="s">
        <v>91</v>
      </c>
      <c r="K80">
        <v>16.066675069990328</v>
      </c>
      <c r="L80" t="s">
        <v>12</v>
      </c>
      <c r="AB80" s="8">
        <v>6</v>
      </c>
      <c r="AC80" s="8">
        <f t="shared" si="31"/>
        <v>0.3125</v>
      </c>
      <c r="AD80" s="8">
        <f t="shared" si="24"/>
        <v>1.3626489276215015E-2</v>
      </c>
      <c r="AE80" s="8">
        <f t="shared" si="32"/>
        <v>0.328125</v>
      </c>
      <c r="AF80" s="8">
        <f t="shared" si="25"/>
        <v>-2.4252821926511459E-3</v>
      </c>
      <c r="AG80" s="8">
        <f t="shared" si="26"/>
        <v>0.3203125</v>
      </c>
      <c r="AH80" s="8">
        <f t="shared" si="27"/>
        <v>5.5954571606177117E-3</v>
      </c>
      <c r="AI80" s="8">
        <f t="shared" si="28"/>
        <v>7.6246436994677764E-5</v>
      </c>
      <c r="AJ80" s="8">
        <f t="shared" si="29"/>
        <v>-1.3570562611388479E-5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0.3203125</v>
      </c>
      <c r="AD81" s="8">
        <f t="shared" si="24"/>
        <v>5.5954571606177117E-3</v>
      </c>
      <c r="AE81" s="8">
        <f t="shared" si="32"/>
        <v>0.328125</v>
      </c>
      <c r="AF81" s="8">
        <f t="shared" si="25"/>
        <v>-2.4252821926511459E-3</v>
      </c>
      <c r="AG81" s="8">
        <f t="shared" si="26"/>
        <v>0.32421875</v>
      </c>
      <c r="AH81" s="8">
        <f t="shared" si="27"/>
        <v>1.5838467084482999E-3</v>
      </c>
      <c r="AI81" s="8">
        <f t="shared" si="28"/>
        <v>8.862346406107833E-6</v>
      </c>
      <c r="AJ81" s="8">
        <f t="shared" si="29"/>
        <v>-3.8412752178887927E-6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0.32421875</v>
      </c>
      <c r="AD82" s="8">
        <f t="shared" si="24"/>
        <v>1.5838467084482999E-3</v>
      </c>
      <c r="AE82" s="8">
        <f t="shared" si="32"/>
        <v>0.328125</v>
      </c>
      <c r="AF82" s="8">
        <f t="shared" si="25"/>
        <v>-2.4252821926511459E-3</v>
      </c>
      <c r="AG82" s="8">
        <f t="shared" si="26"/>
        <v>0.326171875</v>
      </c>
      <c r="AH82" s="8">
        <f t="shared" si="27"/>
        <v>-4.2102244420016977E-4</v>
      </c>
      <c r="AI82" s="8">
        <f t="shared" si="28"/>
        <v>-6.6683501242929691E-7</v>
      </c>
      <c r="AJ82" s="8">
        <f t="shared" si="29"/>
        <v>1.0210982366251323E-6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0.32421875</v>
      </c>
      <c r="AD83" s="8">
        <f t="shared" si="24"/>
        <v>1.5838467084482999E-3</v>
      </c>
      <c r="AE83" s="8">
        <f t="shared" si="32"/>
        <v>0.326171875</v>
      </c>
      <c r="AF83" s="8">
        <f t="shared" si="25"/>
        <v>-4.2102244420016977E-4</v>
      </c>
      <c r="AG83" s="8">
        <f t="shared" si="26"/>
        <v>0.3251953125</v>
      </c>
      <c r="AH83" s="8">
        <f t="shared" si="27"/>
        <v>5.8133528024623127E-4</v>
      </c>
      <c r="AI83" s="8">
        <f t="shared" si="28"/>
        <v>9.2074597012286332E-7</v>
      </c>
      <c r="AJ83" s="8">
        <f t="shared" si="29"/>
        <v>-2.4475520058905893E-7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0.3251953125</v>
      </c>
      <c r="AD84" s="8">
        <f t="shared" si="24"/>
        <v>5.8133528024623127E-4</v>
      </c>
      <c r="AE84" s="8">
        <f t="shared" si="32"/>
        <v>0.326171875</v>
      </c>
      <c r="AF84" s="8">
        <f t="shared" si="25"/>
        <v>-4.2102244420016977E-4</v>
      </c>
      <c r="AG84" s="8">
        <f t="shared" si="26"/>
        <v>0.32568359375</v>
      </c>
      <c r="AH84" s="8">
        <f t="shared" si="27"/>
        <v>8.0137290219994828E-5</v>
      </c>
      <c r="AI84" s="8">
        <f t="shared" si="28"/>
        <v>4.6586634068214264E-8</v>
      </c>
      <c r="AJ84" s="8">
        <f t="shared" si="29"/>
        <v>-3.373959780000058E-8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0.32568359375</v>
      </c>
      <c r="AD85" s="8">
        <f t="shared" si="24"/>
        <v>8.0137290219994828E-5</v>
      </c>
      <c r="AE85" s="8">
        <f t="shared" si="32"/>
        <v>0.326171875</v>
      </c>
      <c r="AF85" s="8">
        <f t="shared" si="25"/>
        <v>-4.2102244420016977E-4</v>
      </c>
      <c r="AG85" s="8">
        <f t="shared" si="26"/>
        <v>0.325927734375</v>
      </c>
      <c r="AH85" s="8">
        <f t="shared" si="27"/>
        <v>-1.7044734834986697E-4</v>
      </c>
      <c r="AI85" s="8">
        <f t="shared" si="28"/>
        <v>-1.3659188621941845E-8</v>
      </c>
      <c r="AJ85" s="8">
        <f t="shared" si="29"/>
        <v>7.1762159209698768E-8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0.32568359375</v>
      </c>
      <c r="AD86" s="8">
        <f t="shared" si="24"/>
        <v>8.0137290219994828E-5</v>
      </c>
      <c r="AE86" s="8">
        <f t="shared" si="32"/>
        <v>0.325927734375</v>
      </c>
      <c r="AF86" s="8">
        <f t="shared" si="25"/>
        <v>-1.7044734834986697E-4</v>
      </c>
      <c r="AG86" s="8">
        <f t="shared" si="26"/>
        <v>0.3258056640625</v>
      </c>
      <c r="AH86" s="8">
        <f t="shared" si="27"/>
        <v>-4.5156223226316961E-5</v>
      </c>
      <c r="AI86" s="8">
        <f t="shared" si="28"/>
        <v>-3.6186973659262335E-9</v>
      </c>
      <c r="AJ86" s="8">
        <f t="shared" si="29"/>
        <v>7.6967585104204013E-9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0.32568359375</v>
      </c>
      <c r="AD87" s="8">
        <f t="shared" si="24"/>
        <v>8.0137290219994828E-5</v>
      </c>
      <c r="AE87" s="8">
        <f t="shared" si="32"/>
        <v>0.3258056640625</v>
      </c>
      <c r="AF87" s="8">
        <f t="shared" si="25"/>
        <v>-4.5156223226316961E-5</v>
      </c>
      <c r="AG87" s="8">
        <f t="shared" si="26"/>
        <v>0.32574462890625</v>
      </c>
      <c r="AH87" s="8">
        <f t="shared" si="27"/>
        <v>1.7490234791084358E-5</v>
      </c>
      <c r="AI87" s="8">
        <f t="shared" si="28"/>
        <v>1.4016200214689779E-9</v>
      </c>
      <c r="AJ87" s="8">
        <f t="shared" si="29"/>
        <v>-7.8979294650690047E-10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0.32574462890625</v>
      </c>
      <c r="AD88" s="8">
        <f t="shared" si="24"/>
        <v>1.7490234791084358E-5</v>
      </c>
      <c r="AE88" s="8">
        <f t="shared" si="32"/>
        <v>0.3258056640625</v>
      </c>
      <c r="AF88" s="8">
        <f t="shared" si="25"/>
        <v>-4.5156223226316961E-5</v>
      </c>
      <c r="AG88" s="8">
        <f t="shared" si="26"/>
        <v>0.325775146484375</v>
      </c>
      <c r="AH88" s="8">
        <f t="shared" si="27"/>
        <v>-1.3833068873370102E-5</v>
      </c>
      <c r="AI88" s="8">
        <f t="shared" si="28"/>
        <v>-2.4194362247648388E-10</v>
      </c>
      <c r="AJ88" s="8">
        <f t="shared" si="29"/>
        <v>6.2464914595091724E-10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0.32574462890625</v>
      </c>
      <c r="AD89" s="8">
        <f t="shared" si="24"/>
        <v>1.7490234791084358E-5</v>
      </c>
      <c r="AE89" s="8">
        <f t="shared" si="32"/>
        <v>0.325775146484375</v>
      </c>
      <c r="AF89" s="8">
        <f t="shared" si="25"/>
        <v>-1.3833068873370102E-5</v>
      </c>
      <c r="AG89" s="8">
        <f t="shared" si="26"/>
        <v>0.3257598876953125</v>
      </c>
      <c r="AH89" s="8">
        <f t="shared" si="27"/>
        <v>1.8285642923721035E-6</v>
      </c>
      <c r="AI89" s="8">
        <f t="shared" si="28"/>
        <v>3.1982018804181112E-11</v>
      </c>
      <c r="AJ89" s="8">
        <f t="shared" si="29"/>
        <v>-2.5294655795768574E-11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0.3257598876953125</v>
      </c>
      <c r="AD90" s="8">
        <f t="shared" si="24"/>
        <v>1.8285642923721035E-6</v>
      </c>
      <c r="AE90" s="8">
        <f t="shared" si="32"/>
        <v>0.325775146484375</v>
      </c>
      <c r="AF90" s="8">
        <f t="shared" si="25"/>
        <v>-1.3833068873370102E-5</v>
      </c>
      <c r="AG90" s="8">
        <f t="shared" si="26"/>
        <v>0.32576751708984375</v>
      </c>
      <c r="AH90" s="8">
        <f t="shared" si="27"/>
        <v>-6.0022569567941275E-6</v>
      </c>
      <c r="AI90" s="8">
        <f t="shared" si="28"/>
        <v>-1.0975512744835789E-11</v>
      </c>
      <c r="AJ90" s="8">
        <f t="shared" si="29"/>
        <v>8.3029633878997996E-11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0.3257598876953125</v>
      </c>
      <c r="AD91" s="8">
        <f t="shared" si="24"/>
        <v>1.8285642923721035E-6</v>
      </c>
      <c r="AE91" s="8">
        <f t="shared" si="32"/>
        <v>0.32576751708984375</v>
      </c>
      <c r="AF91" s="8">
        <f t="shared" si="25"/>
        <v>-6.0022569567941275E-6</v>
      </c>
      <c r="AG91" s="8">
        <f t="shared" si="26"/>
        <v>0.32576370239257812</v>
      </c>
      <c r="AH91" s="8">
        <f t="shared" si="27"/>
        <v>-2.0868474988611219E-6</v>
      </c>
      <c r="AI91" s="8">
        <f t="shared" si="28"/>
        <v>-3.8159348200434815E-12</v>
      </c>
      <c r="AJ91" s="8">
        <f t="shared" si="29"/>
        <v>1.2525794917807594E-11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0.3257598876953125</v>
      </c>
      <c r="AD92" s="8">
        <f t="shared" si="24"/>
        <v>1.8285642923721035E-6</v>
      </c>
      <c r="AE92" s="8">
        <f t="shared" si="32"/>
        <v>0.32576370239257812</v>
      </c>
      <c r="AF92" s="8">
        <f t="shared" si="25"/>
        <v>-2.0868474988611219E-6</v>
      </c>
      <c r="AG92" s="8">
        <f t="shared" si="26"/>
        <v>0.32576179504394531</v>
      </c>
      <c r="AH92" s="8">
        <f t="shared" si="27"/>
        <v>-1.2914189490009775E-7</v>
      </c>
      <c r="AI92" s="8">
        <f t="shared" si="28"/>
        <v>-2.3614425766358979E-13</v>
      </c>
      <c r="AJ92" s="8">
        <f t="shared" si="29"/>
        <v>2.6949944037045485E-13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0.3257598876953125</v>
      </c>
      <c r="AD93" s="8">
        <f t="shared" si="24"/>
        <v>1.8285642923721035E-6</v>
      </c>
      <c r="AE93" s="8">
        <f t="shared" si="32"/>
        <v>0.32576179504394531</v>
      </c>
      <c r="AF93" s="8">
        <f t="shared" si="25"/>
        <v>-1.2914189490009775E-7</v>
      </c>
      <c r="AG93" s="8">
        <f t="shared" si="26"/>
        <v>0.32576084136962891</v>
      </c>
      <c r="AH93" s="8">
        <f t="shared" si="27"/>
        <v>8.4971112579435015E-7</v>
      </c>
      <c r="AI93" s="8">
        <f t="shared" si="28"/>
        <v>1.5537514234588494E-12</v>
      </c>
      <c r="AJ93" s="8">
        <f t="shared" si="29"/>
        <v>-1.0973330490277771E-13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0.32576084136962891</v>
      </c>
      <c r="AD94" s="8">
        <f t="shared" si="24"/>
        <v>8.4971112579435015E-7</v>
      </c>
      <c r="AE94" s="8">
        <f t="shared" si="32"/>
        <v>0.32576179504394531</v>
      </c>
      <c r="AF94" s="8">
        <f t="shared" si="25"/>
        <v>-1.2914189490009775E-7</v>
      </c>
      <c r="AG94" s="8">
        <f t="shared" si="26"/>
        <v>0.32576131820678711</v>
      </c>
      <c r="AH94" s="8">
        <f t="shared" si="27"/>
        <v>3.6028459721171302E-7</v>
      </c>
      <c r="AI94" s="8">
        <f t="shared" si="28"/>
        <v>3.0613783070312866E-13</v>
      </c>
      <c r="AJ94" s="8">
        <f t="shared" si="29"/>
        <v>-4.6527835587239092E-14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0.32576131820678711</v>
      </c>
      <c r="AD95" s="8">
        <f t="shared" si="24"/>
        <v>3.6028459721171302E-7</v>
      </c>
      <c r="AE95" s="8">
        <f t="shared" si="32"/>
        <v>0.32576179504394531</v>
      </c>
      <c r="AF95" s="8">
        <f t="shared" si="25"/>
        <v>-1.2914189490009775E-7</v>
      </c>
      <c r="AG95" s="8">
        <f t="shared" si="26"/>
        <v>0.32576155662536621</v>
      </c>
      <c r="AH95" s="8">
        <f t="shared" si="27"/>
        <v>1.1557134660389323E-7</v>
      </c>
      <c r="AI95" s="8">
        <f t="shared" si="28"/>
        <v>4.163857606039895E-14</v>
      </c>
      <c r="AJ95" s="8">
        <f t="shared" si="29"/>
        <v>-1.492510269658275E-14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0.32576155662536621</v>
      </c>
      <c r="AD96" s="8">
        <f t="shared" si="24"/>
        <v>1.1557134660389323E-7</v>
      </c>
      <c r="AE96" s="8">
        <f t="shared" si="32"/>
        <v>0.32576179504394531</v>
      </c>
      <c r="AF96" s="8">
        <f t="shared" si="25"/>
        <v>-1.2914189490009775E-7</v>
      </c>
      <c r="AG96" s="8">
        <f t="shared" si="26"/>
        <v>0.32576167583465576</v>
      </c>
      <c r="AH96" s="8">
        <f t="shared" si="27"/>
        <v>-6.7852752860808607E-9</v>
      </c>
      <c r="AI96" s="8">
        <f t="shared" si="28"/>
        <v>-7.8418340189048192E-16</v>
      </c>
      <c r="AJ96" s="8">
        <f t="shared" si="29"/>
        <v>8.762633078632852E-16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0.32576155662536621</v>
      </c>
      <c r="AD97" s="8">
        <f t="shared" si="24"/>
        <v>1.1557134660389323E-7</v>
      </c>
      <c r="AE97" s="8">
        <f t="shared" si="32"/>
        <v>0.32576167583465576</v>
      </c>
      <c r="AF97" s="8">
        <f t="shared" si="25"/>
        <v>-6.7852752860808607E-9</v>
      </c>
      <c r="AG97" s="8">
        <f t="shared" si="26"/>
        <v>0.32576161623001099</v>
      </c>
      <c r="AH97" s="8">
        <f t="shared" si="27"/>
        <v>5.4393035353594854E-8</v>
      </c>
      <c r="AI97" s="8">
        <f t="shared" si="28"/>
        <v>6.2862763416881291E-15</v>
      </c>
      <c r="AJ97" s="8">
        <f t="shared" si="29"/>
        <v>-3.6907171851966971E-16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0.32576161623001099</v>
      </c>
      <c r="AD98" s="8">
        <f t="shared" si="24"/>
        <v>5.4393035353594854E-8</v>
      </c>
      <c r="AE98" s="8">
        <f t="shared" si="32"/>
        <v>0.32576167583465576</v>
      </c>
      <c r="AF98" s="8">
        <f t="shared" si="25"/>
        <v>-6.7852752860808607E-9</v>
      </c>
      <c r="AG98" s="8">
        <f t="shared" si="26"/>
        <v>0.32576164603233337</v>
      </c>
      <c r="AH98" s="8">
        <f t="shared" si="27"/>
        <v>2.3803879978245845E-8</v>
      </c>
      <c r="AI98" s="8">
        <f t="shared" si="28"/>
        <v>1.294765285209455E-15</v>
      </c>
      <c r="AJ98" s="8">
        <f t="shared" si="29"/>
        <v>-1.6151587852922654E-16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0.32576164603233337</v>
      </c>
      <c r="AD99" s="8">
        <f t="shared" si="24"/>
        <v>2.3803879978245845E-8</v>
      </c>
      <c r="AE99" s="8">
        <f t="shared" si="32"/>
        <v>0.32576167583465576</v>
      </c>
      <c r="AF99" s="8">
        <f t="shared" si="25"/>
        <v>-6.7852752860808607E-9</v>
      </c>
      <c r="AG99" s="8">
        <f t="shared" si="26"/>
        <v>0.32576166093349457</v>
      </c>
      <c r="AH99" s="8">
        <f t="shared" si="27"/>
        <v>8.5093023183269167E-9</v>
      </c>
      <c r="AI99" s="8">
        <f t="shared" si="28"/>
        <v>2.0255441108406306E-16</v>
      </c>
      <c r="AJ99" s="8">
        <f t="shared" si="29"/>
        <v>-5.7737958722334205E-17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0.32576166093349457</v>
      </c>
      <c r="AD100" s="8">
        <f t="shared" si="24"/>
        <v>8.5093023183269167E-9</v>
      </c>
      <c r="AE100" s="8">
        <f t="shared" si="32"/>
        <v>0.32576167583465576</v>
      </c>
      <c r="AF100" s="8">
        <f t="shared" si="25"/>
        <v>-6.7852752860808607E-9</v>
      </c>
      <c r="AG100" s="8">
        <f t="shared" si="26"/>
        <v>0.32576166838407516</v>
      </c>
      <c r="AH100" s="8">
        <f t="shared" si="27"/>
        <v>8.6201351612302801E-10</v>
      </c>
      <c r="AI100" s="8">
        <f t="shared" si="28"/>
        <v>7.3351336111748193E-18</v>
      </c>
      <c r="AJ100" s="8">
        <f t="shared" si="29"/>
        <v>-5.8489990072172475E-18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0.32576166838407516</v>
      </c>
      <c r="AD101" s="8">
        <f t="shared" si="24"/>
        <v>8.6201351612302801E-10</v>
      </c>
      <c r="AE101" s="8">
        <f t="shared" si="32"/>
        <v>0.32576167583465576</v>
      </c>
      <c r="AF101" s="8">
        <f t="shared" si="25"/>
        <v>-6.7852752860808607E-9</v>
      </c>
      <c r="AG101" s="8">
        <f t="shared" si="26"/>
        <v>0.32576167210936546</v>
      </c>
      <c r="AH101" s="8">
        <f t="shared" si="27"/>
        <v>-2.9616308849789164E-9</v>
      </c>
      <c r="AI101" s="8">
        <f t="shared" si="28"/>
        <v>-2.5529658526192308E-18</v>
      </c>
      <c r="AJ101" s="8">
        <f t="shared" si="29"/>
        <v>2.0095480850341229E-17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0.32576166838407516</v>
      </c>
      <c r="AD102" s="8">
        <f t="shared" si="24"/>
        <v>8.6201351612302801E-10</v>
      </c>
      <c r="AE102" s="8">
        <f t="shared" si="32"/>
        <v>0.32576167210936546</v>
      </c>
      <c r="AF102" s="8">
        <f t="shared" si="25"/>
        <v>-2.9616308849789164E-9</v>
      </c>
      <c r="AG102" s="8">
        <f t="shared" si="26"/>
        <v>0.32576167024672031</v>
      </c>
      <c r="AH102" s="8">
        <f t="shared" si="27"/>
        <v>-1.0498086844279442E-9</v>
      </c>
      <c r="AI102" s="8">
        <f t="shared" si="28"/>
        <v>-9.0494927532022248E-19</v>
      </c>
      <c r="AJ102" s="8">
        <f t="shared" si="29"/>
        <v>3.1091458231208842E-18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0.32576166838407516</v>
      </c>
      <c r="AD103" s="8">
        <f t="shared" si="24"/>
        <v>8.6201351612302801E-10</v>
      </c>
      <c r="AE103" s="8">
        <f t="shared" si="32"/>
        <v>0.32576167024672031</v>
      </c>
      <c r="AF103" s="8">
        <f t="shared" si="25"/>
        <v>-1.0498086844279442E-9</v>
      </c>
      <c r="AG103" s="8">
        <f t="shared" si="26"/>
        <v>0.32576166931539774</v>
      </c>
      <c r="AH103" s="8">
        <f t="shared" si="27"/>
        <v>-9.3897611908033696E-11</v>
      </c>
      <c r="AI103" s="8">
        <f t="shared" si="28"/>
        <v>-8.0941010596399631E-20</v>
      </c>
      <c r="AJ103" s="8">
        <f t="shared" si="29"/>
        <v>9.8574528428098519E-20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0.32576166838407516</v>
      </c>
      <c r="AD104" s="8">
        <f t="shared" si="24"/>
        <v>8.6201351612302801E-10</v>
      </c>
      <c r="AE104" s="8">
        <f t="shared" si="32"/>
        <v>0.32576166931539774</v>
      </c>
      <c r="AF104" s="8">
        <f t="shared" si="25"/>
        <v>-9.3897611908033696E-11</v>
      </c>
      <c r="AG104" s="8">
        <f t="shared" si="26"/>
        <v>0.32576166884973645</v>
      </c>
      <c r="AH104" s="8">
        <f t="shared" si="27"/>
        <v>3.8405795210749716E-10</v>
      </c>
      <c r="AI104" s="8">
        <f t="shared" si="28"/>
        <v>3.3106314569119312E-19</v>
      </c>
      <c r="AJ104" s="8">
        <f t="shared" si="29"/>
        <v>-3.606212453718396E-20</v>
      </c>
      <c r="AK104" s="8">
        <f t="shared" si="30"/>
        <v>9.3132257461547852E-10</v>
      </c>
    </row>
  </sheetData>
  <mergeCells count="25">
    <mergeCell ref="B1:D1"/>
    <mergeCell ref="B3:D3"/>
    <mergeCell ref="F3:H3"/>
    <mergeCell ref="J3:L3"/>
    <mergeCell ref="N3:P3"/>
    <mergeCell ref="V3:X3"/>
    <mergeCell ref="F10:H10"/>
    <mergeCell ref="J10:L10"/>
    <mergeCell ref="B11:D11"/>
    <mergeCell ref="N15:P15"/>
    <mergeCell ref="R15:T15"/>
    <mergeCell ref="V15:X15"/>
    <mergeCell ref="R3:T3"/>
    <mergeCell ref="B60:D60"/>
    <mergeCell ref="B16:D16"/>
    <mergeCell ref="F21:H21"/>
    <mergeCell ref="B25:D25"/>
    <mergeCell ref="F26:H26"/>
    <mergeCell ref="B35:D35"/>
    <mergeCell ref="B38:D38"/>
    <mergeCell ref="J42:L42"/>
    <mergeCell ref="B43:D43"/>
    <mergeCell ref="B48:D48"/>
    <mergeCell ref="B52:D52"/>
    <mergeCell ref="B55:D55"/>
  </mergeCells>
  <conditionalFormatting sqref="K32">
    <cfRule type="containsText" dxfId="17" priority="1" operator="containsText" text="FALSE">
      <formula>NOT(ISERROR(SEARCH("FALSE",K32)))</formula>
    </cfRule>
    <cfRule type="containsText" dxfId="16" priority="2" operator="containsText" text="TRUE">
      <formula>NOT(ISERROR(SEARCH("TRUE",K32)))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NOT(ISERROR(SEARCH("YES",K32)))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workbookViewId="0">
      <selection activeCell="O8" sqref="O8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4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38" t="s">
        <v>0</v>
      </c>
      <c r="C1" s="38"/>
      <c r="D1" s="38"/>
    </row>
    <row r="2" spans="2:48" x14ac:dyDescent="0.2">
      <c r="AB2" s="32" t="s">
        <v>141</v>
      </c>
      <c r="AM2" s="32" t="s">
        <v>104</v>
      </c>
    </row>
    <row r="3" spans="2:48" x14ac:dyDescent="0.2">
      <c r="B3" s="39" t="s">
        <v>98</v>
      </c>
      <c r="C3" s="40"/>
      <c r="D3" s="40"/>
      <c r="F3" s="39" t="s">
        <v>110</v>
      </c>
      <c r="G3" s="40"/>
      <c r="H3" s="40"/>
      <c r="J3" s="41" t="s">
        <v>157</v>
      </c>
      <c r="K3" s="41"/>
      <c r="L3" s="41"/>
      <c r="N3" s="41" t="s">
        <v>136</v>
      </c>
      <c r="O3" s="41"/>
      <c r="P3" s="41"/>
      <c r="R3" s="41" t="s">
        <v>134</v>
      </c>
      <c r="S3" s="41"/>
      <c r="T3" s="41"/>
      <c r="V3" s="41" t="s">
        <v>148</v>
      </c>
      <c r="W3" s="41"/>
      <c r="X3" s="41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377471.74867311609</v>
      </c>
      <c r="L4" s="20" t="s">
        <v>29</v>
      </c>
      <c r="N4" s="20" t="s">
        <v>37</v>
      </c>
      <c r="O4" s="20">
        <f xml:space="preserve"> 0.5 * $C$25 * $G$11^2</f>
        <v>1531.25</v>
      </c>
      <c r="P4" s="20" t="s">
        <v>38</v>
      </c>
      <c r="R4" s="20" t="s">
        <v>37</v>
      </c>
      <c r="S4" s="20">
        <f xml:space="preserve"> 0.5 * $C$25 * $C$17^2</f>
        <v>1531.25</v>
      </c>
      <c r="T4" s="20" t="s">
        <v>38</v>
      </c>
      <c r="V4" s="20" t="s">
        <v>37</v>
      </c>
      <c r="W4" s="20">
        <f xml:space="preserve"> 0.5 * $C$25 * $G$27^2</f>
        <v>1531.25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0.15876231486535522</v>
      </c>
      <c r="AE4" s="9">
        <v>1</v>
      </c>
      <c r="AF4" s="8">
        <f xml:space="preserve"> $C$18 * TAN($S$17/180*PI()) + $S$20 / (2 * SQRT($C$18^2 + AE4^2)) - AE4</f>
        <v>-0.86019444187722127</v>
      </c>
      <c r="AG4" s="8">
        <f xml:space="preserve"> (AC4 + AE4)/2</f>
        <v>0.5</v>
      </c>
      <c r="AH4" s="8">
        <f xml:space="preserve"> $C$18 * TAN($S$17/180*PI()) + $S$20 / (2 * SQRT($C$18^2 + AG4^2)) - AG4</f>
        <v>-0.35415224144542323</v>
      </c>
      <c r="AI4" s="8">
        <f>AD4*AH4</f>
        <v>-5.6226029666629589E-2</v>
      </c>
      <c r="AJ4" s="8">
        <f>AF4*AH4</f>
        <v>0.30463978966971272</v>
      </c>
      <c r="AK4" s="8">
        <f>AE4-AC4</f>
        <v>1</v>
      </c>
      <c r="AM4" s="8">
        <v>0</v>
      </c>
      <c r="AN4" s="8"/>
      <c r="AO4" s="8">
        <f>K27</f>
        <v>4.2450665205251426E-10</v>
      </c>
      <c r="AP4" s="8"/>
      <c r="AQ4" s="8">
        <f>K27</f>
        <v>4.2450665205251426E-10</v>
      </c>
      <c r="AR4" s="8"/>
      <c r="AS4" s="8">
        <f>K27</f>
        <v>4.2450665205251426E-10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94367.937168279022</v>
      </c>
      <c r="L5" s="20" t="s">
        <v>29</v>
      </c>
      <c r="N5" s="20" t="s">
        <v>55</v>
      </c>
      <c r="O5" s="20">
        <f xml:space="preserve"> 0.0327 * ($C$15*2.20462)^0.8903 * 0.3048^2</f>
        <v>3.385753073204985</v>
      </c>
      <c r="P5" s="20" t="s">
        <v>18</v>
      </c>
      <c r="R5" s="20" t="s">
        <v>55</v>
      </c>
      <c r="S5" s="20">
        <f xml:space="preserve"> 0.0327 * ($C$15*2.20462)^0.8903 * 0.3048^2</f>
        <v>3.385753073204985</v>
      </c>
      <c r="T5" s="20" t="s">
        <v>18</v>
      </c>
      <c r="V5" s="20" t="s">
        <v>55</v>
      </c>
      <c r="W5" s="20">
        <f xml:space="preserve"> 0.0327 * ($C$15*2.20462)^0.8903 * 0.3048^2</f>
        <v>3.385753073204985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0.15876231486535522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-0.35415224144542323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-9.7403067558676365E-2</v>
      </c>
      <c r="AI5" s="8">
        <f t="shared" ref="AI5:AI34" si="4">AD5*AH5</f>
        <v>-1.5463936480602044E-2</v>
      </c>
      <c r="AJ5" s="8">
        <f t="shared" ref="AJ5:AJ34" si="5">AF5*AH5</f>
        <v>3.4495514699565223E-2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/>
        <v>-299.37988126555751</v>
      </c>
      <c r="AP5" s="9">
        <v>2500</v>
      </c>
      <c r="AQ5" s="8">
        <f t="dataTable" ref="AQ5:AQ44" dt2D="0" dtr="0" r1="C15" ca="1"/>
        <v>410.03431538058976</v>
      </c>
      <c r="AR5" s="8">
        <f>(AN5+AP5)/2</f>
        <v>1500</v>
      </c>
      <c r="AS5" s="8">
        <f t="dataTable" ref="AS5:AS44" dt2D="0" dtr="0" r1="C15" ca="1"/>
        <v>112.03698929244888</v>
      </c>
      <c r="AT5" s="8">
        <f>AO5*AS5</f>
        <v>-33541.620551723885</v>
      </c>
      <c r="AU5" s="8">
        <f>AQ5*AS5</f>
        <v>45939.010201831741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225.41522272039776</v>
      </c>
      <c r="H6" s="20" t="s">
        <v>162</v>
      </c>
      <c r="N6" s="20" t="s">
        <v>56</v>
      </c>
      <c r="O6" s="20">
        <f xml:space="preserve"> O5 / ($C$5 * PI() * $C$16^2)</f>
        <v>0.11974651948647759</v>
      </c>
      <c r="R6" s="20" t="s">
        <v>56</v>
      </c>
      <c r="S6" s="20">
        <f xml:space="preserve"> S5 / ($C$5 * PI() * $C$16^2)</f>
        <v>0.11974651948647759</v>
      </c>
      <c r="V6" s="20" t="s">
        <v>56</v>
      </c>
      <c r="W6" s="20">
        <f xml:space="preserve"> W5 / ($C$5 * PI() * $C$16^2)</f>
        <v>0.11974651948647759</v>
      </c>
      <c r="AB6" s="8">
        <v>2</v>
      </c>
      <c r="AC6" s="8">
        <f t="shared" ref="AC6:AC34" si="7">IF(AI5&gt;0, AG5, AC5)</f>
        <v>0</v>
      </c>
      <c r="AD6" s="8">
        <f t="shared" si="0"/>
        <v>0.15876231486535522</v>
      </c>
      <c r="AE6" s="8">
        <f t="shared" ref="AE6:AE34" si="8">IF(AJ5&gt;0, AG5, AE5)</f>
        <v>0.25</v>
      </c>
      <c r="AF6" s="8">
        <f t="shared" si="1"/>
        <v>-9.7403067558676365E-2</v>
      </c>
      <c r="AG6" s="8">
        <f t="shared" si="2"/>
        <v>0.125</v>
      </c>
      <c r="AH6" s="8">
        <f t="shared" si="3"/>
        <v>3.1716138298152979E-2</v>
      </c>
      <c r="AI6" s="8">
        <f t="shared" si="4"/>
        <v>5.0353275348045149E-3</v>
      </c>
      <c r="AJ6" s="8">
        <f t="shared" si="5"/>
        <v>-3.0892491613553176E-3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-299.37988126555751</v>
      </c>
      <c r="AP6" s="8">
        <f>IF(AU5&gt;0, AR5, AP5)</f>
        <v>1500</v>
      </c>
      <c r="AQ6" s="8">
        <v>112.03698929244888</v>
      </c>
      <c r="AR6" s="8">
        <f t="shared" ref="AR6:AR44" si="9">(AN6+AP6)/2</f>
        <v>1000</v>
      </c>
      <c r="AS6" s="8">
        <v>-80.94110623974359</v>
      </c>
      <c r="AT6" s="8">
        <f t="shared" ref="AT6:AT44" si="10">AO6*AS6</f>
        <v>24232.138775557312</v>
      </c>
      <c r="AU6" s="8">
        <f t="shared" ref="AU6:AU44" si="11">AQ6*AS6</f>
        <v>-9068.3978531011198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2942.0901783755435</v>
      </c>
      <c r="H7" s="20" t="s">
        <v>31</v>
      </c>
      <c r="N7" s="20" t="s">
        <v>195</v>
      </c>
      <c r="O7" s="20">
        <f>$O$5/(0.3048^2)/($C$15*2.20462/1000)^(2/3)</f>
        <v>19.051945480890993</v>
      </c>
      <c r="R7" s="20" t="s">
        <v>57</v>
      </c>
      <c r="S7" s="20">
        <f xml:space="preserve"> S4 * S5</f>
        <v>5184.4343933451337</v>
      </c>
      <c r="T7" s="20" t="s">
        <v>31</v>
      </c>
      <c r="V7" s="20" t="s">
        <v>57</v>
      </c>
      <c r="W7" s="20">
        <f xml:space="preserve"> W4 * W5</f>
        <v>5184.4343933451337</v>
      </c>
      <c r="X7" s="20" t="s">
        <v>31</v>
      </c>
      <c r="AB7" s="8">
        <v>3</v>
      </c>
      <c r="AC7" s="8">
        <f t="shared" si="7"/>
        <v>0.125</v>
      </c>
      <c r="AD7" s="8">
        <f t="shared" si="0"/>
        <v>3.1716138298152979E-2</v>
      </c>
      <c r="AE7" s="8">
        <f t="shared" si="8"/>
        <v>0.25</v>
      </c>
      <c r="AF7" s="8">
        <f t="shared" si="1"/>
        <v>-9.7403067558676365E-2</v>
      </c>
      <c r="AG7" s="8">
        <f t="shared" si="2"/>
        <v>0.1875</v>
      </c>
      <c r="AH7" s="8">
        <f t="shared" si="3"/>
        <v>-3.2780975145402014E-2</v>
      </c>
      <c r="AI7" s="8">
        <f t="shared" si="4"/>
        <v>-1.0396859412598858E-3</v>
      </c>
      <c r="AJ7" s="8">
        <f t="shared" si="5"/>
        <v>3.1929675367268831E-3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-80.94110623974359</v>
      </c>
      <c r="AP7" s="8">
        <f t="shared" ref="AP7:AP44" si="14">IF(AU6&gt;0, AR6, AP6)</f>
        <v>1500</v>
      </c>
      <c r="AQ7" s="8">
        <v>112.03698929244888</v>
      </c>
      <c r="AR7" s="8">
        <f t="shared" si="9"/>
        <v>1250</v>
      </c>
      <c r="AS7" s="8">
        <v>19.437596603231668</v>
      </c>
      <c r="AT7" s="8">
        <f t="shared" si="10"/>
        <v>-1573.3005717074536</v>
      </c>
      <c r="AU7" s="8">
        <f t="shared" si="11"/>
        <v>2177.7298025072073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41" t="s">
        <v>34</v>
      </c>
      <c r="K8" s="41"/>
      <c r="L8" s="41"/>
      <c r="N8" s="20" t="s">
        <v>57</v>
      </c>
      <c r="O8" s="20">
        <f xml:space="preserve"> O4 * O5</f>
        <v>5184.4343933451337</v>
      </c>
      <c r="P8" s="20" t="s">
        <v>31</v>
      </c>
      <c r="R8" s="20" t="s">
        <v>60</v>
      </c>
      <c r="S8" s="20">
        <f xml:space="preserve"> S7</f>
        <v>5184.4343933451337</v>
      </c>
      <c r="T8" s="20" t="s">
        <v>31</v>
      </c>
      <c r="V8" s="20" t="s">
        <v>60</v>
      </c>
      <c r="W8" s="20">
        <f xml:space="preserve"> W7</f>
        <v>5184.4343933451337</v>
      </c>
      <c r="X8" s="20" t="s">
        <v>31</v>
      </c>
      <c r="AB8" s="8">
        <v>4</v>
      </c>
      <c r="AC8" s="8">
        <f t="shared" si="7"/>
        <v>0.125</v>
      </c>
      <c r="AD8" s="8">
        <f t="shared" si="0"/>
        <v>3.1716138298152979E-2</v>
      </c>
      <c r="AE8" s="8">
        <f t="shared" si="8"/>
        <v>0.1875</v>
      </c>
      <c r="AF8" s="8">
        <f t="shared" si="1"/>
        <v>-3.2780975145402014E-2</v>
      </c>
      <c r="AG8" s="8">
        <f t="shared" si="2"/>
        <v>0.15625</v>
      </c>
      <c r="AH8" s="8">
        <f t="shared" si="3"/>
        <v>-4.95803898400482E-4</v>
      </c>
      <c r="AI8" s="8">
        <f t="shared" si="4"/>
        <v>-1.5724985010433076E-5</v>
      </c>
      <c r="AJ8" s="8">
        <f t="shared" si="5"/>
        <v>1.6252935270459626E-5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-80.94110623974359</v>
      </c>
      <c r="AP8" s="8">
        <f t="shared" si="14"/>
        <v>1250</v>
      </c>
      <c r="AQ8" s="8">
        <v>19.437596603231668</v>
      </c>
      <c r="AR8" s="8">
        <f t="shared" si="9"/>
        <v>1125</v>
      </c>
      <c r="AS8" s="8">
        <v>-29.787640922033006</v>
      </c>
      <c r="AT8" s="8">
        <f t="shared" si="10"/>
        <v>2411.0446085016074</v>
      </c>
      <c r="AU8" s="8">
        <f t="shared" si="11"/>
        <v>-579.0001480043934</v>
      </c>
      <c r="AV8" s="8">
        <f t="shared" si="12"/>
        <v>250</v>
      </c>
    </row>
    <row r="9" spans="2:48" x14ac:dyDescent="0.2">
      <c r="B9" s="39" t="s">
        <v>6</v>
      </c>
      <c r="C9" s="40"/>
      <c r="D9" s="40"/>
      <c r="F9"/>
      <c r="G9" s="24"/>
      <c r="J9" s="20" t="s">
        <v>153</v>
      </c>
      <c r="K9" s="20">
        <f xml:space="preserve"> (G6*G8 + G18*G19 + G23*G24 + G34*G35 + G40*G42)/3600</f>
        <v>67.34666568552079</v>
      </c>
      <c r="L9" s="20" t="s">
        <v>163</v>
      </c>
      <c r="N9" s="20" t="s">
        <v>60</v>
      </c>
      <c r="O9" s="20">
        <f xml:space="preserve"> O8</f>
        <v>5184.4343933451337</v>
      </c>
      <c r="P9" s="20" t="s">
        <v>31</v>
      </c>
      <c r="AB9" s="8">
        <v>5</v>
      </c>
      <c r="AC9" s="8">
        <f t="shared" si="7"/>
        <v>0.125</v>
      </c>
      <c r="AD9" s="8">
        <f t="shared" si="0"/>
        <v>3.1716138298152979E-2</v>
      </c>
      <c r="AE9" s="8">
        <f t="shared" si="8"/>
        <v>0.15625</v>
      </c>
      <c r="AF9" s="8">
        <f t="shared" si="1"/>
        <v>-4.95803898400482E-4</v>
      </c>
      <c r="AG9" s="8">
        <f t="shared" si="2"/>
        <v>0.140625</v>
      </c>
      <c r="AH9" s="8">
        <f t="shared" si="3"/>
        <v>1.5622494636923945E-2</v>
      </c>
      <c r="AI9" s="8">
        <f t="shared" si="4"/>
        <v>4.9548520046683307E-4</v>
      </c>
      <c r="AJ9" s="8">
        <f t="shared" si="5"/>
        <v>-7.745693743727515E-6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-29.787640922033006</v>
      </c>
      <c r="AP9" s="8">
        <f t="shared" si="14"/>
        <v>1250</v>
      </c>
      <c r="AQ9" s="8">
        <v>19.437596603231668</v>
      </c>
      <c r="AR9" s="8">
        <f t="shared" si="9"/>
        <v>1187.5</v>
      </c>
      <c r="AS9" s="8">
        <v>-4.9279495750867</v>
      </c>
      <c r="AT9" s="8">
        <f t="shared" si="10"/>
        <v>146.79199242456775</v>
      </c>
      <c r="AU9" s="8">
        <f t="shared" si="11"/>
        <v>-95.787495921602186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3" t="s">
        <v>124</v>
      </c>
      <c r="G10" s="44"/>
      <c r="H10" s="44"/>
      <c r="J10" s="20" t="s">
        <v>35</v>
      </c>
      <c r="K10" s="20">
        <f xml:space="preserve"> (G8 + G19 + G24 + G35 + G42)/60</f>
        <v>12.670797717535228</v>
      </c>
      <c r="L10" s="20" t="s">
        <v>164</v>
      </c>
      <c r="AB10" s="8">
        <v>6</v>
      </c>
      <c r="AC10" s="8">
        <f t="shared" si="7"/>
        <v>0.140625</v>
      </c>
      <c r="AD10" s="8">
        <f t="shared" si="0"/>
        <v>1.5622494636923945E-2</v>
      </c>
      <c r="AE10" s="8">
        <f t="shared" si="8"/>
        <v>0.15625</v>
      </c>
      <c r="AF10" s="8">
        <f t="shared" si="1"/>
        <v>-4.95803898400482E-4</v>
      </c>
      <c r="AG10" s="8">
        <f t="shared" si="2"/>
        <v>0.1484375</v>
      </c>
      <c r="AH10" s="8">
        <f t="shared" si="3"/>
        <v>7.566009344521285E-3</v>
      </c>
      <c r="AI10" s="8">
        <f t="shared" si="4"/>
        <v>1.1819994040770022E-4</v>
      </c>
      <c r="AJ10" s="8">
        <f t="shared" si="5"/>
        <v>-3.7512569283481284E-6</v>
      </c>
      <c r="AK10" s="8">
        <f t="shared" si="6"/>
        <v>1.5625E-2</v>
      </c>
      <c r="AM10" s="8">
        <v>6</v>
      </c>
      <c r="AN10" s="8">
        <f t="shared" si="13"/>
        <v>1187.5</v>
      </c>
      <c r="AO10" s="8">
        <v>-4.9279495750867</v>
      </c>
      <c r="AP10" s="8">
        <f t="shared" si="14"/>
        <v>1250</v>
      </c>
      <c r="AQ10" s="8">
        <v>19.437596603231668</v>
      </c>
      <c r="AR10" s="8">
        <f t="shared" si="9"/>
        <v>1218.75</v>
      </c>
      <c r="AS10" s="8">
        <v>7.3167082726015451</v>
      </c>
      <c r="AT10" s="8">
        <f t="shared" si="10"/>
        <v>-36.056369423000127</v>
      </c>
      <c r="AU10" s="8">
        <f t="shared" si="11"/>
        <v>142.21922386635683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50</v>
      </c>
      <c r="H11" t="s">
        <v>16</v>
      </c>
      <c r="R11" s="39" t="s">
        <v>101</v>
      </c>
      <c r="S11" s="45"/>
      <c r="T11" s="45"/>
      <c r="V11" s="39" t="s">
        <v>101</v>
      </c>
      <c r="W11" s="45"/>
      <c r="X11" s="45"/>
      <c r="AB11" s="8">
        <v>7</v>
      </c>
      <c r="AC11" s="8">
        <f t="shared" si="7"/>
        <v>0.1484375</v>
      </c>
      <c r="AD11" s="8">
        <f t="shared" si="0"/>
        <v>7.566009344521285E-3</v>
      </c>
      <c r="AE11" s="8">
        <f t="shared" si="8"/>
        <v>0.15625</v>
      </c>
      <c r="AF11" s="8">
        <f t="shared" si="1"/>
        <v>-4.95803898400482E-4</v>
      </c>
      <c r="AG11" s="8">
        <f t="shared" si="2"/>
        <v>0.15234375</v>
      </c>
      <c r="AH11" s="8">
        <f t="shared" si="3"/>
        <v>3.5357181516180169E-3</v>
      </c>
      <c r="AI11" s="8">
        <f t="shared" si="4"/>
        <v>2.6751276574735443E-5</v>
      </c>
      <c r="AJ11" s="8">
        <f t="shared" si="5"/>
        <v>-1.7530228432175593E-6</v>
      </c>
      <c r="AK11" s="8">
        <f t="shared" si="6"/>
        <v>7.8125E-3</v>
      </c>
      <c r="AM11" s="8">
        <v>7</v>
      </c>
      <c r="AN11" s="8">
        <f t="shared" si="13"/>
        <v>1187.5</v>
      </c>
      <c r="AO11" s="8">
        <v>-4.9279495750867</v>
      </c>
      <c r="AP11" s="8">
        <f t="shared" si="14"/>
        <v>1218.75</v>
      </c>
      <c r="AQ11" s="8">
        <v>7.3167082726015451</v>
      </c>
      <c r="AR11" s="8">
        <f t="shared" si="9"/>
        <v>1203.125</v>
      </c>
      <c r="AS11" s="8">
        <v>1.2098590130619868</v>
      </c>
      <c r="AT11" s="8">
        <f t="shared" si="10"/>
        <v>-5.9621242093336324</v>
      </c>
      <c r="AU11" s="8">
        <f t="shared" si="11"/>
        <v>8.8521854495521808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9" t="s">
        <v>73</v>
      </c>
      <c r="K12" s="39"/>
      <c r="L12" s="39"/>
      <c r="N12" s="39" t="s">
        <v>101</v>
      </c>
      <c r="O12" s="45"/>
      <c r="P12" s="45"/>
      <c r="R12" s="20" t="s">
        <v>102</v>
      </c>
      <c r="S12" s="20">
        <f xml:space="preserve"> SQRT( ($C$15*$C$26)^2 + S8^2)</f>
        <v>12859.730707211615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12714.297637602482</v>
      </c>
      <c r="X12" s="20" t="s">
        <v>31</v>
      </c>
      <c r="AB12" s="8">
        <v>8</v>
      </c>
      <c r="AC12" s="8">
        <f t="shared" si="7"/>
        <v>0.15234375</v>
      </c>
      <c r="AD12" s="8">
        <f t="shared" si="0"/>
        <v>3.5357181516180169E-3</v>
      </c>
      <c r="AE12" s="8">
        <f t="shared" si="8"/>
        <v>0.15625</v>
      </c>
      <c r="AF12" s="8">
        <f t="shared" si="1"/>
        <v>-4.95803898400482E-4</v>
      </c>
      <c r="AG12" s="8">
        <f t="shared" si="2"/>
        <v>0.154296875</v>
      </c>
      <c r="AH12" s="8">
        <f t="shared" si="3"/>
        <v>1.5201047785112776E-3</v>
      </c>
      <c r="AI12" s="8">
        <f t="shared" si="4"/>
        <v>5.3746620577436097E-6</v>
      </c>
      <c r="AJ12" s="8">
        <f t="shared" si="5"/>
        <v>-7.5367387516309267E-7</v>
      </c>
      <c r="AK12" s="8">
        <f t="shared" si="6"/>
        <v>3.90625E-3</v>
      </c>
      <c r="AM12" s="8">
        <v>8</v>
      </c>
      <c r="AN12" s="8">
        <f t="shared" si="13"/>
        <v>1187.5</v>
      </c>
      <c r="AO12" s="8">
        <v>-4.9279495750867</v>
      </c>
      <c r="AP12" s="8">
        <f t="shared" si="14"/>
        <v>1203.125</v>
      </c>
      <c r="AQ12" s="8">
        <v>1.2098590130619868</v>
      </c>
      <c r="AR12" s="8">
        <f t="shared" si="9"/>
        <v>1195.3125</v>
      </c>
      <c r="AS12" s="8">
        <v>-1.855176901404775</v>
      </c>
      <c r="AT12" s="8">
        <f t="shared" si="10"/>
        <v>9.1422182229883209</v>
      </c>
      <c r="AU12" s="8">
        <f t="shared" si="11"/>
        <v>-2.2445024949889758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1200.0388219730667</v>
      </c>
      <c r="L13" s="20" t="s">
        <v>12</v>
      </c>
      <c r="N13" s="20" t="s">
        <v>102</v>
      </c>
      <c r="O13" s="20">
        <f>SQRT((O9*COS(G16/180*PI()))^2 + (O9*SIN(G16/180*PI())+$C$15*$C$26)^2)</f>
        <v>13098.531327446477</v>
      </c>
      <c r="P13" s="20" t="s">
        <v>31</v>
      </c>
      <c r="R13" s="20" t="s">
        <v>103</v>
      </c>
      <c r="S13" s="20">
        <f>$C$15*$C$26/S12</f>
        <v>0.91513274900092501</v>
      </c>
      <c r="V13" s="20" t="s">
        <v>156</v>
      </c>
      <c r="W13" s="20">
        <f xml:space="preserve"> ACOS(W8*COS(G32/180*PI())/W12) /PI() * 180</f>
        <v>65.947430238434606</v>
      </c>
      <c r="X13" s="20" t="s">
        <v>62</v>
      </c>
      <c r="AB13" s="8">
        <v>9</v>
      </c>
      <c r="AC13" s="8">
        <f t="shared" si="7"/>
        <v>0.154296875</v>
      </c>
      <c r="AD13" s="8">
        <f t="shared" si="0"/>
        <v>1.5201047785112776E-3</v>
      </c>
      <c r="AE13" s="8">
        <f t="shared" si="8"/>
        <v>0.15625</v>
      </c>
      <c r="AF13" s="8">
        <f t="shared" si="1"/>
        <v>-4.95803898400482E-4</v>
      </c>
      <c r="AG13" s="8">
        <f t="shared" si="2"/>
        <v>0.1552734375</v>
      </c>
      <c r="AH13" s="8">
        <f t="shared" si="3"/>
        <v>5.1218658488783042E-4</v>
      </c>
      <c r="AI13" s="8">
        <f t="shared" si="4"/>
        <v>7.7857727517736308E-7</v>
      </c>
      <c r="AJ13" s="8">
        <f t="shared" si="5"/>
        <v>-2.5394410549581574E-7</v>
      </c>
      <c r="AK13" s="8">
        <f t="shared" si="6"/>
        <v>1.953125E-3</v>
      </c>
      <c r="AM13" s="8">
        <v>9</v>
      </c>
      <c r="AN13" s="8">
        <f t="shared" si="13"/>
        <v>1195.3125</v>
      </c>
      <c r="AO13" s="8">
        <v>-1.855176901404775</v>
      </c>
      <c r="AP13" s="8">
        <f t="shared" si="14"/>
        <v>1203.125</v>
      </c>
      <c r="AQ13" s="8">
        <v>1.2098590130619868</v>
      </c>
      <c r="AR13" s="8">
        <f t="shared" si="9"/>
        <v>1199.21875</v>
      </c>
      <c r="AS13" s="8">
        <v>-0.32169151736798085</v>
      </c>
      <c r="AT13" s="8">
        <f t="shared" si="10"/>
        <v>0.59679467239893103</v>
      </c>
      <c r="AU13" s="8">
        <f t="shared" si="11"/>
        <v>-0.38920138171323831</v>
      </c>
      <c r="AV13" s="8">
        <f t="shared" si="12"/>
        <v>7.8125</v>
      </c>
    </row>
    <row r="14" spans="2:48" x14ac:dyDescent="0.2">
      <c r="B14" s="41" t="s">
        <v>11</v>
      </c>
      <c r="C14" s="41"/>
      <c r="D14" s="41"/>
      <c r="F14" t="s">
        <v>127</v>
      </c>
      <c r="G14" s="24">
        <f>SQRT($G$11^2-$G$12^2)</f>
        <v>49.935442323063484</v>
      </c>
      <c r="H14" t="s">
        <v>16</v>
      </c>
      <c r="J14" s="27" t="s">
        <v>74</v>
      </c>
      <c r="K14" s="20">
        <f xml:space="preserve"> K9 * 1000 / ($C$10 * $C$11 * $C$12)</f>
        <v>396.15685697365166</v>
      </c>
      <c r="L14" s="20" t="s">
        <v>12</v>
      </c>
      <c r="N14" s="20" t="s">
        <v>156</v>
      </c>
      <c r="O14" s="20">
        <f>ACOS(O9*COS(G16/180*PI())/O13) /PI() *180</f>
        <v>66.715833180935334</v>
      </c>
      <c r="P14" s="20" t="s">
        <v>62</v>
      </c>
      <c r="AB14" s="8">
        <v>10</v>
      </c>
      <c r="AC14" s="8">
        <f t="shared" si="7"/>
        <v>0.1552734375</v>
      </c>
      <c r="AD14" s="8">
        <f t="shared" si="0"/>
        <v>5.1218658488783042E-4</v>
      </c>
      <c r="AE14" s="8">
        <f t="shared" si="8"/>
        <v>0.15625</v>
      </c>
      <c r="AF14" s="8">
        <f t="shared" si="1"/>
        <v>-4.95803898400482E-4</v>
      </c>
      <c r="AG14" s="8">
        <f t="shared" si="2"/>
        <v>0.15576171875</v>
      </c>
      <c r="AH14" s="8">
        <f t="shared" si="3"/>
        <v>8.200283911935502E-6</v>
      </c>
      <c r="AI14" s="8">
        <f t="shared" si="4"/>
        <v>4.2000754119648628E-9</v>
      </c>
      <c r="AJ14" s="8">
        <f t="shared" si="5"/>
        <v>-4.0657327315283768E-9</v>
      </c>
      <c r="AK14" s="8">
        <f t="shared" si="6"/>
        <v>9.765625E-4</v>
      </c>
      <c r="AM14" s="8">
        <v>10</v>
      </c>
      <c r="AN14" s="8">
        <f t="shared" si="13"/>
        <v>1199.21875</v>
      </c>
      <c r="AO14" s="8">
        <v>-0.32169151736798085</v>
      </c>
      <c r="AP14" s="8">
        <f t="shared" si="14"/>
        <v>1203.125</v>
      </c>
      <c r="AQ14" s="8">
        <v>1.2098590130619868</v>
      </c>
      <c r="AR14" s="8">
        <f t="shared" si="9"/>
        <v>1201.171875</v>
      </c>
      <c r="AS14" s="8">
        <v>0.44432498983462665</v>
      </c>
      <c r="AT14" s="8">
        <f t="shared" si="10"/>
        <v>-0.14293558018441371</v>
      </c>
      <c r="AU14" s="8">
        <f t="shared" si="11"/>
        <v>0.53757059368009874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1200.0388219730667</v>
      </c>
      <c r="D15" s="26" t="s">
        <v>12</v>
      </c>
      <c r="F15" t="s">
        <v>128</v>
      </c>
      <c r="G15" s="24">
        <f>$G$14*($G$13/$G$12)</f>
        <v>5992.2530787676178</v>
      </c>
      <c r="H15" t="s">
        <v>14</v>
      </c>
      <c r="J15" s="28" t="s">
        <v>75</v>
      </c>
      <c r="K15" s="20">
        <f xml:space="preserve"> $C$27 * ($C$5 * $C$34 * (2*$C$16*3.28084 * (K5*0.00134102) * $C$33^0.5)^0.782 * 0.453592)</f>
        <v>103.28835436619914</v>
      </c>
      <c r="L15" s="20" t="s">
        <v>12</v>
      </c>
      <c r="AB15" s="8">
        <v>11</v>
      </c>
      <c r="AC15" s="8">
        <f t="shared" si="7"/>
        <v>0.15576171875</v>
      </c>
      <c r="AD15" s="8">
        <f t="shared" si="0"/>
        <v>8.200283911935502E-6</v>
      </c>
      <c r="AE15" s="8">
        <f t="shared" si="8"/>
        <v>0.15625</v>
      </c>
      <c r="AF15" s="8">
        <f t="shared" si="1"/>
        <v>-4.95803898400482E-4</v>
      </c>
      <c r="AG15" s="8">
        <f t="shared" si="2"/>
        <v>0.156005859375</v>
      </c>
      <c r="AH15" s="8">
        <f t="shared" si="3"/>
        <v>-2.4379958398956791E-4</v>
      </c>
      <c r="AI15" s="8">
        <f t="shared" si="4"/>
        <v>-1.9992258063262221E-9</v>
      </c>
      <c r="AJ15" s="8">
        <f t="shared" si="5"/>
        <v>1.2087678417044351E-7</v>
      </c>
      <c r="AK15" s="8">
        <f t="shared" si="6"/>
        <v>4.8828125E-4</v>
      </c>
      <c r="AM15" s="8">
        <v>11</v>
      </c>
      <c r="AN15" s="8">
        <f t="shared" si="13"/>
        <v>1199.21875</v>
      </c>
      <c r="AO15" s="8">
        <v>-0.32169151736798085</v>
      </c>
      <c r="AP15" s="8">
        <f t="shared" si="14"/>
        <v>1201.171875</v>
      </c>
      <c r="AQ15" s="8">
        <v>0.44432498983462665</v>
      </c>
      <c r="AR15" s="8">
        <f t="shared" si="9"/>
        <v>1200.1953125</v>
      </c>
      <c r="AS15" s="8">
        <v>6.1377451708267472E-2</v>
      </c>
      <c r="AT15" s="8">
        <f t="shared" si="10"/>
        <v>-1.9744605572212533E-2</v>
      </c>
      <c r="AU15" s="8">
        <f t="shared" si="11"/>
        <v>2.7271535606351233E-2</v>
      </c>
      <c r="AV15" s="8">
        <f t="shared" si="12"/>
        <v>1.953125</v>
      </c>
    </row>
    <row r="16" spans="2:48" x14ac:dyDescent="0.2">
      <c r="B16" s="20" t="s">
        <v>13</v>
      </c>
      <c r="C16" s="33">
        <v>1.5</v>
      </c>
      <c r="D16" s="20" t="s">
        <v>14</v>
      </c>
      <c r="F16" t="s">
        <v>152</v>
      </c>
      <c r="G16" s="24">
        <f>ATAN(G12/G14)/PI()*180</f>
        <v>2.9118789347687013</v>
      </c>
      <c r="H16" t="s">
        <v>62</v>
      </c>
      <c r="J16" s="29" t="s">
        <v>76</v>
      </c>
      <c r="K16" s="20">
        <f xml:space="preserve"> 0.2138 * (K4/1000)</f>
        <v>80.703459866312215</v>
      </c>
      <c r="L16" s="20" t="s">
        <v>12</v>
      </c>
      <c r="R16" s="39" t="s">
        <v>40</v>
      </c>
      <c r="S16" s="45"/>
      <c r="T16" s="45"/>
      <c r="V16" s="39" t="s">
        <v>40</v>
      </c>
      <c r="W16" s="45"/>
      <c r="X16" s="45"/>
      <c r="AB16" s="8">
        <v>12</v>
      </c>
      <c r="AC16" s="8">
        <f t="shared" si="7"/>
        <v>0.15576171875</v>
      </c>
      <c r="AD16" s="8">
        <f t="shared" si="0"/>
        <v>8.200283911935502E-6</v>
      </c>
      <c r="AE16" s="8">
        <f t="shared" si="8"/>
        <v>0.156005859375</v>
      </c>
      <c r="AF16" s="8">
        <f t="shared" si="1"/>
        <v>-2.4379958398956791E-4</v>
      </c>
      <c r="AG16" s="8">
        <f t="shared" si="2"/>
        <v>0.1558837890625</v>
      </c>
      <c r="AH16" s="8">
        <f t="shared" si="3"/>
        <v>-1.1779909273743061E-4</v>
      </c>
      <c r="AI16" s="8">
        <f t="shared" si="4"/>
        <v>-9.6598600501535038E-10</v>
      </c>
      <c r="AJ16" s="8">
        <f t="shared" si="5"/>
        <v>2.8719369803734114E-8</v>
      </c>
      <c r="AK16" s="8">
        <f t="shared" si="6"/>
        <v>2.44140625E-4</v>
      </c>
      <c r="AM16" s="8">
        <v>12</v>
      </c>
      <c r="AN16" s="8">
        <f t="shared" si="13"/>
        <v>1199.21875</v>
      </c>
      <c r="AO16" s="8">
        <v>-0.32169151736798085</v>
      </c>
      <c r="AP16" s="8">
        <f t="shared" si="14"/>
        <v>1200.1953125</v>
      </c>
      <c r="AQ16" s="8">
        <v>6.1377451708267472E-2</v>
      </c>
      <c r="AR16" s="8">
        <f t="shared" si="9"/>
        <v>1199.70703125</v>
      </c>
      <c r="AS16" s="8">
        <v>-0.13014240920244902</v>
      </c>
      <c r="AT16" s="8">
        <f t="shared" si="10"/>
        <v>4.1865709090260501E-2</v>
      </c>
      <c r="AU16" s="8">
        <f t="shared" si="11"/>
        <v>-7.9878094360208984E-3</v>
      </c>
      <c r="AV16" s="8">
        <f t="shared" si="12"/>
        <v>0.9765625</v>
      </c>
    </row>
    <row r="17" spans="2:48" x14ac:dyDescent="0.2">
      <c r="B17" s="20" t="s">
        <v>15</v>
      </c>
      <c r="C17" s="33">
        <v>50</v>
      </c>
      <c r="D17" s="20" t="s">
        <v>16</v>
      </c>
      <c r="F17" t="s">
        <v>155</v>
      </c>
      <c r="G17" s="20">
        <f xml:space="preserve"> 1/1000 * (O23 + O19 * (O28 * O25 + $G$11 * SIN(O18/180*PI())))</f>
        <v>94.367937168279028</v>
      </c>
      <c r="H17" t="s">
        <v>162</v>
      </c>
      <c r="J17" s="29" t="s">
        <v>107</v>
      </c>
      <c r="K17" s="20">
        <f xml:space="preserve"> 2.20462 * (49.9/398 * (K5/1000 - 2) + 0.1) * 0.453592 * $C$5</f>
        <v>46.723123052443732</v>
      </c>
      <c r="L17" s="20" t="s">
        <v>12</v>
      </c>
      <c r="N17" s="39" t="s">
        <v>40</v>
      </c>
      <c r="O17" s="45"/>
      <c r="P17" s="45"/>
      <c r="R17" s="20" t="s">
        <v>41</v>
      </c>
      <c r="S17" s="20">
        <f xml:space="preserve"> ACOS(S13)/PI()*180</f>
        <v>23.775413797746062</v>
      </c>
      <c r="T17" s="20" t="s">
        <v>62</v>
      </c>
      <c r="V17" s="20" t="s">
        <v>41</v>
      </c>
      <c r="W17" s="20">
        <f>90-G32-W13</f>
        <v>22.305923882930699</v>
      </c>
      <c r="X17" s="20" t="s">
        <v>62</v>
      </c>
      <c r="AB17" s="8">
        <v>13</v>
      </c>
      <c r="AC17" s="8">
        <f t="shared" si="7"/>
        <v>0.15576171875</v>
      </c>
      <c r="AD17" s="8">
        <f t="shared" si="0"/>
        <v>8.200283911935502E-6</v>
      </c>
      <c r="AE17" s="8">
        <f t="shared" si="8"/>
        <v>0.1558837890625</v>
      </c>
      <c r="AF17" s="8">
        <f t="shared" si="1"/>
        <v>-1.1779909273743061E-4</v>
      </c>
      <c r="AG17" s="8">
        <f t="shared" si="2"/>
        <v>0.15582275390625</v>
      </c>
      <c r="AH17" s="8">
        <f t="shared" si="3"/>
        <v>-5.4799264901317368E-5</v>
      </c>
      <c r="AI17" s="8">
        <f t="shared" si="4"/>
        <v>-4.4936953035616463E-10</v>
      </c>
      <c r="AJ17" s="8">
        <f t="shared" si="5"/>
        <v>6.4553036880533106E-9</v>
      </c>
      <c r="AK17" s="8">
        <f t="shared" si="6"/>
        <v>1.220703125E-4</v>
      </c>
      <c r="AM17" s="8">
        <v>13</v>
      </c>
      <c r="AN17" s="8">
        <f t="shared" si="13"/>
        <v>1199.70703125</v>
      </c>
      <c r="AO17" s="8">
        <v>-0.13014240920244902</v>
      </c>
      <c r="AP17" s="8">
        <f t="shared" si="14"/>
        <v>1200.1953125</v>
      </c>
      <c r="AQ17" s="8">
        <v>6.1377451708267472E-2</v>
      </c>
      <c r="AR17" s="8">
        <f t="shared" si="9"/>
        <v>1199.951171875</v>
      </c>
      <c r="AS17" s="8">
        <v>-3.4378436844463067E-2</v>
      </c>
      <c r="AT17" s="8">
        <f t="shared" si="10"/>
        <v>4.4740925955526626E-3</v>
      </c>
      <c r="AU17" s="8">
        <f t="shared" si="11"/>
        <v>-2.1100608472267549E-3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377.47174867311611</v>
      </c>
      <c r="H18" t="s">
        <v>162</v>
      </c>
      <c r="J18" s="30" t="s">
        <v>84</v>
      </c>
      <c r="K18" s="20">
        <f xml:space="preserve"> $C$27 * (14.86 * ($C$15*2.20462)^0.144 * ($C$38/(PI()*$C$39))^0.778 * ($C$38*3.28084)^0.383 * $C$37^0.455 * 0.453592)</f>
        <v>87.513127966653826</v>
      </c>
      <c r="L18" s="20" t="s">
        <v>12</v>
      </c>
      <c r="N18" s="20" t="s">
        <v>41</v>
      </c>
      <c r="O18" s="20">
        <f xml:space="preserve"> 90 + G16 - O14</f>
        <v>26.196045753833374</v>
      </c>
      <c r="P18" s="20" t="s">
        <v>62</v>
      </c>
      <c r="R18" s="20" t="s">
        <v>30</v>
      </c>
      <c r="S18" s="20">
        <f xml:space="preserve"> S12 / $C$5</f>
        <v>3214.9326768029036</v>
      </c>
      <c r="T18" s="20" t="s">
        <v>31</v>
      </c>
      <c r="V18" s="20" t="s">
        <v>30</v>
      </c>
      <c r="W18" s="20">
        <f xml:space="preserve"> W12 / $C$5</f>
        <v>3178.5744094006204</v>
      </c>
      <c r="X18" s="20" t="s">
        <v>31</v>
      </c>
      <c r="AB18" s="8">
        <v>14</v>
      </c>
      <c r="AC18" s="8">
        <f t="shared" si="7"/>
        <v>0.15576171875</v>
      </c>
      <c r="AD18" s="8">
        <f t="shared" si="0"/>
        <v>8.200283911935502E-6</v>
      </c>
      <c r="AE18" s="8">
        <f t="shared" si="8"/>
        <v>0.15582275390625</v>
      </c>
      <c r="AF18" s="8">
        <f t="shared" si="1"/>
        <v>-5.4799264901317368E-5</v>
      </c>
      <c r="AG18" s="8">
        <f t="shared" si="2"/>
        <v>0.155792236328125</v>
      </c>
      <c r="AH18" s="8">
        <f t="shared" si="3"/>
        <v>-2.3299455593595031E-5</v>
      </c>
      <c r="AI18" s="8">
        <f t="shared" si="4"/>
        <v>-1.9106215086101297E-10</v>
      </c>
      <c r="AJ18" s="8">
        <f t="shared" si="5"/>
        <v>1.2767930391298949E-9</v>
      </c>
      <c r="AK18" s="8">
        <f t="shared" si="6"/>
        <v>6.103515625E-5</v>
      </c>
      <c r="AM18" s="8">
        <v>14</v>
      </c>
      <c r="AN18" s="8">
        <f t="shared" si="13"/>
        <v>1199.951171875</v>
      </c>
      <c r="AO18" s="8">
        <v>-3.4378436844463067E-2</v>
      </c>
      <c r="AP18" s="8">
        <f t="shared" si="14"/>
        <v>1200.1953125</v>
      </c>
      <c r="AQ18" s="8">
        <v>6.1377451708267472E-2</v>
      </c>
      <c r="AR18" s="8">
        <f t="shared" si="9"/>
        <v>1200.0732421875</v>
      </c>
      <c r="AS18" s="8">
        <v>1.350022722670019E-2</v>
      </c>
      <c r="AT18" s="8">
        <f t="shared" si="10"/>
        <v>-4.6411670909901327E-4</v>
      </c>
      <c r="AU18" s="8">
        <f t="shared" si="11"/>
        <v>8.2860954465742865E-4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($C$42*3.28084)^0.501 * ($C$15*2.20462*$C$43)^0.684 * 0.453592)</f>
        <v>14.019213712642802</v>
      </c>
      <c r="L19" s="20" t="s">
        <v>12</v>
      </c>
      <c r="N19" s="20" t="s">
        <v>30</v>
      </c>
      <c r="O19" s="20">
        <f xml:space="preserve"> O13 / $C$5</f>
        <v>3274.6328318616193</v>
      </c>
      <c r="P19" s="20" t="s">
        <v>31</v>
      </c>
      <c r="R19" s="20" t="s">
        <v>42</v>
      </c>
      <c r="S19" s="20">
        <f xml:space="preserve"> $C$17 * COS(S17/180*PI()) / ($C$18 * $C$16)</f>
        <v>101.68141655565836</v>
      </c>
      <c r="T19" s="20" t="s">
        <v>43</v>
      </c>
      <c r="V19" s="20" t="s">
        <v>42</v>
      </c>
      <c r="W19" s="20">
        <f xml:space="preserve"> $G$27 * COS(W17/180*PI()) / ($C$18 * $C$16)</f>
        <v>102.79672010996092</v>
      </c>
      <c r="X19" s="20" t="s">
        <v>43</v>
      </c>
      <c r="AB19" s="8">
        <v>15</v>
      </c>
      <c r="AC19" s="8">
        <f t="shared" si="7"/>
        <v>0.15576171875</v>
      </c>
      <c r="AD19" s="8">
        <f t="shared" si="0"/>
        <v>8.200283911935502E-6</v>
      </c>
      <c r="AE19" s="8">
        <f t="shared" si="8"/>
        <v>0.155792236328125</v>
      </c>
      <c r="AF19" s="8">
        <f t="shared" si="1"/>
        <v>-2.3299455593595031E-5</v>
      </c>
      <c r="AG19" s="8">
        <f t="shared" si="2"/>
        <v>0.1557769775390625</v>
      </c>
      <c r="AH19" s="8">
        <f t="shared" si="3"/>
        <v>-7.5495771126310451E-6</v>
      </c>
      <c r="AI19" s="8">
        <f t="shared" si="4"/>
        <v>-6.1908675738624841E-11</v>
      </c>
      <c r="AJ19" s="8">
        <f t="shared" si="5"/>
        <v>1.7590103668616843E-10</v>
      </c>
      <c r="AK19" s="8">
        <f t="shared" si="6"/>
        <v>3.0517578125E-5</v>
      </c>
      <c r="AM19" s="8">
        <v>15</v>
      </c>
      <c r="AN19" s="8">
        <f t="shared" si="13"/>
        <v>1199.951171875</v>
      </c>
      <c r="AO19" s="8">
        <v>-3.4378436844463067E-2</v>
      </c>
      <c r="AP19" s="8">
        <f t="shared" si="14"/>
        <v>1200.0732421875</v>
      </c>
      <c r="AQ19" s="8">
        <v>1.350022722670019E-2</v>
      </c>
      <c r="AR19" s="8">
        <f t="shared" si="9"/>
        <v>1200.01220703125</v>
      </c>
      <c r="AS19" s="8">
        <v>-1.0439280308105481E-2</v>
      </c>
      <c r="AT19" s="8">
        <f t="shared" si="10"/>
        <v>3.5888613877385124E-4</v>
      </c>
      <c r="AU19" s="8">
        <f t="shared" si="11"/>
        <v>-1.4093265624264077E-4</v>
      </c>
      <c r="AV19" s="8">
        <f t="shared" si="12"/>
        <v>0.1220703125</v>
      </c>
    </row>
    <row r="20" spans="2:48" x14ac:dyDescent="0.2">
      <c r="B20" s="41" t="s">
        <v>20</v>
      </c>
      <c r="C20" s="41"/>
      <c r="D20" s="41"/>
      <c r="J20" s="30" t="s">
        <v>86</v>
      </c>
      <c r="K20" s="20">
        <f xml:space="preserve"> $C$27 * 0</f>
        <v>0</v>
      </c>
      <c r="L20" s="20" t="s">
        <v>12</v>
      </c>
      <c r="N20" s="20" t="s">
        <v>42</v>
      </c>
      <c r="O20" s="20">
        <f xml:space="preserve"> $G$11 * COS(O18/180*PI()) / ($C$18 * $C$16)</f>
        <v>99.698759765993898</v>
      </c>
      <c r="P20" s="20" t="s">
        <v>43</v>
      </c>
      <c r="R20" s="20" t="s">
        <v>45</v>
      </c>
      <c r="S20" s="20">
        <f xml:space="preserve"> S18 / ($C$25 * PI() * $C$16^2 * S19^2 * $C$16^2)</f>
        <v>1.5960177224177408E-2</v>
      </c>
      <c r="V20" s="20" t="s">
        <v>45</v>
      </c>
      <c r="W20" s="20">
        <f xml:space="preserve"> W18 / ($C$25 * PI() * $C$16^2 * W19^2 * $C$16^2)</f>
        <v>1.5439131593909326E-2</v>
      </c>
      <c r="AB20" s="8">
        <v>16</v>
      </c>
      <c r="AC20" s="8">
        <f t="shared" si="7"/>
        <v>0.15576171875</v>
      </c>
      <c r="AD20" s="8">
        <f t="shared" si="0"/>
        <v>8.200283911935502E-6</v>
      </c>
      <c r="AE20" s="8">
        <f t="shared" si="8"/>
        <v>0.1557769775390625</v>
      </c>
      <c r="AF20" s="8">
        <f t="shared" si="1"/>
        <v>-7.5495771126310451E-6</v>
      </c>
      <c r="AG20" s="8">
        <f t="shared" si="2"/>
        <v>0.15576934814453125</v>
      </c>
      <c r="AH20" s="8">
        <f t="shared" si="3"/>
        <v>3.2535558205926129E-7</v>
      </c>
      <c r="AI20" s="8">
        <f t="shared" si="4"/>
        <v>2.6680081452189714E-12</v>
      </c>
      <c r="AJ20" s="8">
        <f t="shared" si="5"/>
        <v>-2.456297055781351E-12</v>
      </c>
      <c r="AK20" s="8">
        <f t="shared" si="6"/>
        <v>1.52587890625E-5</v>
      </c>
      <c r="AM20" s="8">
        <v>16</v>
      </c>
      <c r="AN20" s="8">
        <f t="shared" si="13"/>
        <v>1200.01220703125</v>
      </c>
      <c r="AO20" s="8">
        <v>-1.0439280308105481E-2</v>
      </c>
      <c r="AP20" s="8">
        <f t="shared" si="14"/>
        <v>1200.0732421875</v>
      </c>
      <c r="AQ20" s="8">
        <v>1.350022722670019E-2</v>
      </c>
      <c r="AR20" s="8">
        <f t="shared" si="9"/>
        <v>1200.042724609375</v>
      </c>
      <c r="AS20" s="8">
        <v>1.5300278355425689E-3</v>
      </c>
      <c r="AT20" s="8">
        <f t="shared" si="10"/>
        <v>-1.597238945443279E-5</v>
      </c>
      <c r="AU20" s="8">
        <f t="shared" si="11"/>
        <v>2.0655723443000951E-5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9" t="s">
        <v>118</v>
      </c>
      <c r="G21" s="40"/>
      <c r="H21" s="40"/>
      <c r="J21" s="30" t="s">
        <v>87</v>
      </c>
      <c r="K21" s="20">
        <f xml:space="preserve"> $C$27 * 0</f>
        <v>0</v>
      </c>
      <c r="L21" s="20" t="s">
        <v>12</v>
      </c>
      <c r="N21" s="20" t="s">
        <v>45</v>
      </c>
      <c r="O21" s="20">
        <f xml:space="preserve"> O19 / ($C$25 * PI() * $C$16^2 * O20^2 * $C$16^2)</f>
        <v>1.6909552038147938E-2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0.15576934814453125</v>
      </c>
      <c r="AD21" s="8">
        <f t="shared" si="0"/>
        <v>3.2535558205926129E-7</v>
      </c>
      <c r="AE21" s="8">
        <f t="shared" si="8"/>
        <v>0.1557769775390625</v>
      </c>
      <c r="AF21" s="8">
        <f t="shared" si="1"/>
        <v>-7.5495771126310451E-6</v>
      </c>
      <c r="AG21" s="8">
        <f t="shared" si="2"/>
        <v>0.15577316284179688</v>
      </c>
      <c r="AH21" s="8">
        <f t="shared" si="3"/>
        <v>-3.6121102197361754E-6</v>
      </c>
      <c r="AI21" s="8">
        <f t="shared" si="4"/>
        <v>-1.1752202230044696E-12</v>
      </c>
      <c r="AJ21" s="8">
        <f t="shared" si="5"/>
        <v>2.7269904643220927E-11</v>
      </c>
      <c r="AK21" s="8">
        <f t="shared" si="6"/>
        <v>7.62939453125E-6</v>
      </c>
      <c r="AM21" s="8">
        <v>17</v>
      </c>
      <c r="AN21" s="8">
        <f t="shared" si="13"/>
        <v>1200.01220703125</v>
      </c>
      <c r="AO21" s="8">
        <v>-1.0439280308105481E-2</v>
      </c>
      <c r="AP21" s="8">
        <f t="shared" si="14"/>
        <v>1200.042724609375</v>
      </c>
      <c r="AQ21" s="8">
        <v>1.5300278355425689E-3</v>
      </c>
      <c r="AR21" s="8">
        <f t="shared" si="9"/>
        <v>1200.0274658203125</v>
      </c>
      <c r="AS21" s="8">
        <v>-4.4534644600844331E-3</v>
      </c>
      <c r="AT21" s="8">
        <f t="shared" si="10"/>
        <v>4.6490963841007031E-5</v>
      </c>
      <c r="AU21" s="8">
        <f t="shared" si="11"/>
        <v>-6.8139245885287408E-6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86.826670041143544</v>
      </c>
      <c r="H22" s="20" t="s">
        <v>162</v>
      </c>
      <c r="J22" s="30" t="s">
        <v>192</v>
      </c>
      <c r="K22" s="20">
        <f>$C$27*(0.14*$G$6*1000/745.7)*0.453592</f>
        <v>15.356862908501212</v>
      </c>
      <c r="L22" s="20" t="s">
        <v>12</v>
      </c>
      <c r="N22" s="20" t="s">
        <v>4</v>
      </c>
      <c r="O22" s="33">
        <v>1.2E-2</v>
      </c>
      <c r="R22" s="20" t="s">
        <v>46</v>
      </c>
      <c r="S22" s="20">
        <f xml:space="preserve"> ($C$6 * S21 / 8) * (1 + 4.65 *$C$18^ 2) * ( PI() * $C$25 * S19^3 *$C$16^ 5)</f>
        <v>8498.2787428180454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8781.0001035630539</v>
      </c>
      <c r="X22" s="20" t="s">
        <v>29</v>
      </c>
      <c r="AB22" s="8">
        <v>18</v>
      </c>
      <c r="AC22" s="8">
        <f t="shared" si="7"/>
        <v>0.15576934814453125</v>
      </c>
      <c r="AD22" s="8">
        <f t="shared" si="0"/>
        <v>3.2535558205926129E-7</v>
      </c>
      <c r="AE22" s="8">
        <f t="shared" si="8"/>
        <v>0.15577316284179688</v>
      </c>
      <c r="AF22" s="8">
        <f t="shared" si="1"/>
        <v>-3.6121102197361754E-6</v>
      </c>
      <c r="AG22" s="8">
        <f t="shared" si="2"/>
        <v>0.15577125549316406</v>
      </c>
      <c r="AH22" s="8">
        <f t="shared" si="3"/>
        <v>-1.6433771824475585E-6</v>
      </c>
      <c r="AI22" s="8">
        <f t="shared" si="4"/>
        <v>-5.3468193973813426E-13</v>
      </c>
      <c r="AJ22" s="8">
        <f t="shared" si="5"/>
        <v>5.9360595156000675E-12</v>
      </c>
      <c r="AK22" s="8">
        <f t="shared" si="6"/>
        <v>3.814697265625E-6</v>
      </c>
      <c r="AM22" s="8">
        <v>18</v>
      </c>
      <c r="AN22" s="8">
        <f t="shared" si="13"/>
        <v>1200.0274658203125</v>
      </c>
      <c r="AO22" s="8">
        <v>-4.4534644600844331E-3</v>
      </c>
      <c r="AP22" s="8">
        <f t="shared" si="14"/>
        <v>1200.042724609375</v>
      </c>
      <c r="AQ22" s="8">
        <v>1.5300278355425689E-3</v>
      </c>
      <c r="AR22" s="8">
        <f t="shared" si="9"/>
        <v>1200.0350952148438</v>
      </c>
      <c r="AS22" s="8">
        <v>-1.4612593419087716E-3</v>
      </c>
      <c r="AT22" s="8">
        <f t="shared" si="10"/>
        <v>6.5076665461570814E-6</v>
      </c>
      <c r="AU22" s="8">
        <f t="shared" si="11"/>
        <v>-2.2357674680670367E-6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347.30668016457417</v>
      </c>
      <c r="H23" s="20" t="s">
        <v>162</v>
      </c>
      <c r="J23" s="31" t="s">
        <v>88</v>
      </c>
      <c r="K23" s="20">
        <f xml:space="preserve"> $C$27 * (0.0268 * $C$15)</f>
        <v>25.728832343102553</v>
      </c>
      <c r="L23" s="20" t="s">
        <v>12</v>
      </c>
      <c r="N23" s="20" t="s">
        <v>46</v>
      </c>
      <c r="O23" s="20">
        <f xml:space="preserve"> ($C$6 * O22 / 8) * (1 + 4.65 *$C$18^ 2) * ( PI() * $C$25 * O20^3 *$C$16^ 5)</f>
        <v>8010.7923714472045</v>
      </c>
      <c r="P23" s="20" t="s">
        <v>29</v>
      </c>
      <c r="R23" s="20" t="s">
        <v>47</v>
      </c>
      <c r="S23" s="34">
        <f>AG34</f>
        <v>0.15576966339722276</v>
      </c>
      <c r="V23" s="20" t="s">
        <v>47</v>
      </c>
      <c r="W23" s="34">
        <f>AG104</f>
        <v>0.14620631514117122</v>
      </c>
      <c r="AB23" s="8">
        <v>19</v>
      </c>
      <c r="AC23" s="8">
        <f t="shared" si="7"/>
        <v>0.15576934814453125</v>
      </c>
      <c r="AD23" s="8">
        <f t="shared" si="0"/>
        <v>3.2535558205926129E-7</v>
      </c>
      <c r="AE23" s="8">
        <f t="shared" si="8"/>
        <v>0.15577125549316406</v>
      </c>
      <c r="AF23" s="8">
        <f t="shared" si="1"/>
        <v>-1.6433771824475585E-6</v>
      </c>
      <c r="AG23" s="8">
        <f t="shared" si="2"/>
        <v>0.15577030181884766</v>
      </c>
      <c r="AH23" s="8">
        <f t="shared" si="3"/>
        <v>-6.5901076609642395E-7</v>
      </c>
      <c r="AI23" s="8">
        <f t="shared" si="4"/>
        <v>-2.1441283138662171E-13</v>
      </c>
      <c r="AJ23" s="8">
        <f t="shared" si="5"/>
        <v>1.0830032559901481E-12</v>
      </c>
      <c r="AK23" s="8">
        <f t="shared" si="6"/>
        <v>1.9073486328125E-6</v>
      </c>
      <c r="AM23" s="8">
        <v>19</v>
      </c>
      <c r="AN23" s="8">
        <f t="shared" si="13"/>
        <v>1200.0350952148438</v>
      </c>
      <c r="AO23" s="8">
        <v>-1.4612593419087716E-3</v>
      </c>
      <c r="AP23" s="8">
        <f t="shared" si="14"/>
        <v>1200.042724609375</v>
      </c>
      <c r="AQ23" s="8">
        <v>1.5300278355425689E-3</v>
      </c>
      <c r="AR23" s="8">
        <f t="shared" si="9"/>
        <v>1200.0389099121094</v>
      </c>
      <c r="AS23" s="8">
        <v>3.3928638231373043E-5</v>
      </c>
      <c r="AT23" s="8">
        <f t="shared" si="10"/>
        <v>-4.9578539573836961E-8</v>
      </c>
      <c r="AU23" s="8">
        <f t="shared" si="11"/>
        <v>5.191176091605455E-8</v>
      </c>
      <c r="AV23" s="8">
        <f t="shared" si="12"/>
        <v>7.62939453125E-3</v>
      </c>
    </row>
    <row r="24" spans="2:48" x14ac:dyDescent="0.2">
      <c r="B24" s="41" t="s">
        <v>97</v>
      </c>
      <c r="C24" s="42"/>
      <c r="D24" s="42"/>
      <c r="F24" s="25" t="s">
        <v>121</v>
      </c>
      <c r="G24" s="20">
        <f xml:space="preserve"> ($C$22-G15-G31)/$C$17</f>
        <v>280.24786305211359</v>
      </c>
      <c r="H24" s="20" t="s">
        <v>22</v>
      </c>
      <c r="J24" s="31" t="s">
        <v>89</v>
      </c>
      <c r="K24" s="20">
        <f xml:space="preserve"> $C$27 * (11.5 * ($C$15*2.20462/1000)^0.4 * 0.453592)</f>
        <v>6.1583565442889272</v>
      </c>
      <c r="L24" s="20" t="s">
        <v>12</v>
      </c>
      <c r="N24" s="20" t="s">
        <v>47</v>
      </c>
      <c r="O24" s="34">
        <f>AG69</f>
        <v>0.17204041453078389</v>
      </c>
      <c r="R24" s="20" t="s">
        <v>48</v>
      </c>
      <c r="S24" s="20">
        <f xml:space="preserve"> S19 * $C$16 * S23 - $C$17 * SIN(S17/180*PI())</f>
        <v>3.6006880107786685</v>
      </c>
      <c r="T24" s="20" t="s">
        <v>16</v>
      </c>
      <c r="V24" s="20" t="s">
        <v>48</v>
      </c>
      <c r="W24" s="20">
        <f xml:space="preserve"> W19 * $C$16 * W23 - $C$17 * SIN(W17/180*PI())</f>
        <v>3.5667036787757276</v>
      </c>
      <c r="X24" s="20" t="s">
        <v>16</v>
      </c>
      <c r="AB24" s="8">
        <v>20</v>
      </c>
      <c r="AC24" s="8">
        <f t="shared" si="7"/>
        <v>0.15576934814453125</v>
      </c>
      <c r="AD24" s="8">
        <f t="shared" si="0"/>
        <v>3.2535558205926129E-7</v>
      </c>
      <c r="AE24" s="8">
        <f t="shared" si="8"/>
        <v>0.15577030181884766</v>
      </c>
      <c r="AF24" s="8">
        <f t="shared" si="1"/>
        <v>-6.5901076609642395E-7</v>
      </c>
      <c r="AG24" s="8">
        <f t="shared" si="2"/>
        <v>0.15576982498168945</v>
      </c>
      <c r="AH24" s="8">
        <f t="shared" si="3"/>
        <v>-1.6682758349761961E-7</v>
      </c>
      <c r="AI24" s="8">
        <f t="shared" si="4"/>
        <v>-5.4278285532408046E-14</v>
      </c>
      <c r="AJ24" s="8">
        <f t="shared" si="5"/>
        <v>1.0994117360678144E-13</v>
      </c>
      <c r="AK24" s="8">
        <f t="shared" si="6"/>
        <v>9.5367431640625E-7</v>
      </c>
      <c r="AM24" s="8">
        <v>20</v>
      </c>
      <c r="AN24" s="8">
        <f t="shared" si="13"/>
        <v>1200.0350952148438</v>
      </c>
      <c r="AO24" s="8">
        <v>-1.4612593419087716E-3</v>
      </c>
      <c r="AP24" s="8">
        <f t="shared" si="14"/>
        <v>1200.0389099121094</v>
      </c>
      <c r="AQ24" s="8">
        <v>3.3928638231373043E-5</v>
      </c>
      <c r="AR24" s="8">
        <f t="shared" si="9"/>
        <v>1200.0370025634766</v>
      </c>
      <c r="AS24" s="8">
        <v>-7.1446884476245032E-4</v>
      </c>
      <c r="AT24" s="8">
        <f t="shared" si="10"/>
        <v>1.0440242739118985E-6</v>
      </c>
      <c r="AU24" s="8">
        <f t="shared" si="11"/>
        <v>-2.4240954961532205E-8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90</v>
      </c>
      <c r="K25" s="20">
        <f xml:space="preserve"> $C$27 * (8 * ($C$15/1000))</f>
        <v>7.6802484606276273</v>
      </c>
      <c r="L25" s="20" t="s">
        <v>12</v>
      </c>
      <c r="N25" s="20" t="s">
        <v>48</v>
      </c>
      <c r="O25" s="20">
        <f xml:space="preserve"> O20 * $C$16 * O24 - $C$17 * SIN(O18/180*PI())</f>
        <v>3.656127547551538</v>
      </c>
      <c r="P25" s="20" t="s">
        <v>16</v>
      </c>
      <c r="R25" s="20" t="s">
        <v>49</v>
      </c>
      <c r="S25" s="20">
        <f xml:space="preserve"> 1/$C$7 - S22 * SQRT( (2*$C$25*PI()*$C$16^2) / S18^3 )</f>
        <v>1.1393241064369495</v>
      </c>
      <c r="V25" s="20" t="s">
        <v>49</v>
      </c>
      <c r="W25" s="20">
        <f xml:space="preserve"> 1/$C$7 - W22 * SQRT( (2*$C$25*PI()*$C$16^2) / W18^3 )</f>
        <v>1.1294204592160522</v>
      </c>
      <c r="AB25" s="8">
        <v>21</v>
      </c>
      <c r="AC25" s="8">
        <f t="shared" si="7"/>
        <v>0.15576934814453125</v>
      </c>
      <c r="AD25" s="8">
        <f t="shared" si="0"/>
        <v>3.2535558205926129E-7</v>
      </c>
      <c r="AE25" s="8">
        <f t="shared" si="8"/>
        <v>0.15576982498168945</v>
      </c>
      <c r="AF25" s="8">
        <f t="shared" si="1"/>
        <v>-1.6682758349761961E-7</v>
      </c>
      <c r="AG25" s="8">
        <f t="shared" si="2"/>
        <v>0.15576958656311035</v>
      </c>
      <c r="AH25" s="8">
        <f t="shared" si="3"/>
        <v>7.9264001418000163E-8</v>
      </c>
      <c r="AI25" s="8">
        <f t="shared" si="4"/>
        <v>2.5788985317699555E-14</v>
      </c>
      <c r="AJ25" s="8">
        <f t="shared" si="5"/>
        <v>-1.3223421814916861E-14</v>
      </c>
      <c r="AK25" s="8">
        <f t="shared" si="6"/>
        <v>4.76837158203125E-7</v>
      </c>
      <c r="AM25" s="8">
        <v>21</v>
      </c>
      <c r="AN25" s="8">
        <f t="shared" si="13"/>
        <v>1200.0370025634766</v>
      </c>
      <c r="AO25" s="8">
        <v>-7.1446884476245032E-4</v>
      </c>
      <c r="AP25" s="8">
        <f t="shared" si="14"/>
        <v>1200.0389099121094</v>
      </c>
      <c r="AQ25" s="8">
        <v>3.3928638231373043E-5</v>
      </c>
      <c r="AR25" s="8">
        <f t="shared" si="9"/>
        <v>1200.037956237793</v>
      </c>
      <c r="AS25" s="8">
        <v>-3.3978147666857694E-4</v>
      </c>
      <c r="AT25" s="8">
        <f t="shared" si="10"/>
        <v>2.4276327910707764E-7</v>
      </c>
      <c r="AU25" s="8">
        <f t="shared" si="11"/>
        <v>-1.1528322799609868E-8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3" t="s">
        <v>131</v>
      </c>
      <c r="G26" s="44"/>
      <c r="H26" s="44"/>
      <c r="J26" s="31" t="s">
        <v>91</v>
      </c>
      <c r="K26" s="20">
        <f xml:space="preserve"> $C$27 * (13 * ($C$15*2.20462/1000)^1.3 * 0.453592)</f>
        <v>16.710385778218406</v>
      </c>
      <c r="L26" s="20" t="s">
        <v>12</v>
      </c>
      <c r="N26" s="20" t="s">
        <v>49</v>
      </c>
      <c r="O26" s="20">
        <f xml:space="preserve"> 1/$C$7 - O23 * SQRT( (2*$C$25*PI()*$C$16^2) / O19^3 )</f>
        <v>1.1554313476904416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0.15576958656311035</v>
      </c>
      <c r="AD26" s="8">
        <f t="shared" si="0"/>
        <v>7.9264001418000163E-8</v>
      </c>
      <c r="AE26" s="8">
        <f t="shared" si="8"/>
        <v>0.15576982498168945</v>
      </c>
      <c r="AF26" s="8">
        <f t="shared" si="1"/>
        <v>-1.6682758349761961E-7</v>
      </c>
      <c r="AG26" s="8">
        <f t="shared" si="2"/>
        <v>0.1557697057723999</v>
      </c>
      <c r="AH26" s="8">
        <f t="shared" si="3"/>
        <v>-4.3781790498576001E-8</v>
      </c>
      <c r="AI26" s="8">
        <f t="shared" si="4"/>
        <v>-3.4703199041617142E-15</v>
      </c>
      <c r="AJ26" s="8">
        <f t="shared" si="5"/>
        <v>7.304010310076477E-15</v>
      </c>
      <c r="AK26" s="8">
        <f t="shared" si="6"/>
        <v>2.384185791015625E-7</v>
      </c>
      <c r="AM26" s="8">
        <v>22</v>
      </c>
      <c r="AN26" s="8">
        <f t="shared" si="13"/>
        <v>1200.037956237793</v>
      </c>
      <c r="AO26" s="8">
        <v>-3.3978147666857694E-4</v>
      </c>
      <c r="AP26" s="8">
        <f t="shared" si="14"/>
        <v>1200.0389099121094</v>
      </c>
      <c r="AQ26" s="8">
        <v>3.3928638231373043E-5</v>
      </c>
      <c r="AR26" s="8">
        <f t="shared" si="9"/>
        <v>1200.0384330749512</v>
      </c>
      <c r="AS26" s="8">
        <v>-1.5163416151153797E-4</v>
      </c>
      <c r="AT26" s="8">
        <f t="shared" si="10"/>
        <v>5.1522479311791869E-8</v>
      </c>
      <c r="AU26" s="8">
        <f t="shared" si="11"/>
        <v>-5.1447406094425619E-9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50</v>
      </c>
      <c r="H27" t="s">
        <v>16</v>
      </c>
      <c r="J27" s="26" t="s">
        <v>78</v>
      </c>
      <c r="K27" s="26">
        <f>$C$15 - $C$21 - SUM(K14:K26)</f>
        <v>4.2450665205251426E-10</v>
      </c>
      <c r="L27" s="26" t="s">
        <v>12</v>
      </c>
      <c r="N27" s="20" t="s">
        <v>50</v>
      </c>
      <c r="O27" s="33">
        <v>1.1499999999999999</v>
      </c>
      <c r="R27" s="20" t="s">
        <v>51</v>
      </c>
      <c r="S27" s="20">
        <f xml:space="preserve"> 1/$C$30 * LN( EXP($C$30 * S25) + EXP($C$30 * S26) )</f>
        <v>1.1681925500190178</v>
      </c>
      <c r="V27" s="20" t="s">
        <v>51</v>
      </c>
      <c r="W27" s="20">
        <f xml:space="preserve"> 1/$C$30 * LN( EXP($C$30 * W25) + EXP($C$30 * W26) )</f>
        <v>1.1643787257220124</v>
      </c>
      <c r="AB27" s="8">
        <v>23</v>
      </c>
      <c r="AC27" s="8">
        <f t="shared" si="7"/>
        <v>0.15576958656311035</v>
      </c>
      <c r="AD27" s="8">
        <f t="shared" si="0"/>
        <v>7.9264001418000163E-8</v>
      </c>
      <c r="AE27" s="8">
        <f t="shared" si="8"/>
        <v>0.1557697057723999</v>
      </c>
      <c r="AF27" s="8">
        <f t="shared" si="1"/>
        <v>-4.3781790498576001E-8</v>
      </c>
      <c r="AG27" s="8">
        <f t="shared" si="2"/>
        <v>0.15576964616775513</v>
      </c>
      <c r="AH27" s="8">
        <f t="shared" si="3"/>
        <v>1.7741105584612171E-8</v>
      </c>
      <c r="AI27" s="8">
        <f t="shared" si="4"/>
        <v>1.4062310182155897E-15</v>
      </c>
      <c r="AJ27" s="8">
        <f t="shared" si="5"/>
        <v>-7.7673736791860683E-16</v>
      </c>
      <c r="AK27" s="8">
        <f t="shared" si="6"/>
        <v>1.1920928955078125E-7</v>
      </c>
      <c r="AM27" s="8">
        <v>23</v>
      </c>
      <c r="AN27" s="8">
        <f t="shared" si="13"/>
        <v>1200.0384330749512</v>
      </c>
      <c r="AO27" s="8">
        <v>-1.5163416151153797E-4</v>
      </c>
      <c r="AP27" s="8">
        <f t="shared" si="14"/>
        <v>1200.0389099121094</v>
      </c>
      <c r="AQ27" s="8">
        <v>3.3928638231373043E-5</v>
      </c>
      <c r="AR27" s="8">
        <f t="shared" si="9"/>
        <v>1200.0386714935303</v>
      </c>
      <c r="AS27" s="8">
        <v>-5.9200139617132663E-5</v>
      </c>
      <c r="AT27" s="8">
        <f t="shared" si="10"/>
        <v>8.9767635322098926E-9</v>
      </c>
      <c r="AU27" s="8">
        <f t="shared" si="11"/>
        <v>-2.0085801203164692E-9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20" t="s">
        <v>79</v>
      </c>
      <c r="K28" s="10" t="str">
        <f>IF(ABS(K27)&lt;0.00001, "TRUE", "FALSE")</f>
        <v>TRUE</v>
      </c>
      <c r="N28" s="20" t="s">
        <v>51</v>
      </c>
      <c r="O28" s="20">
        <f xml:space="preserve"> 1/$C$30 * LN( EXP($C$30 * O26) + EXP($C$30 * O27) )</f>
        <v>1.175931080971484</v>
      </c>
      <c r="AB28" s="8">
        <v>24</v>
      </c>
      <c r="AC28" s="8">
        <f t="shared" si="7"/>
        <v>0.15576964616775513</v>
      </c>
      <c r="AD28" s="8">
        <f t="shared" si="0"/>
        <v>1.7741105584612171E-8</v>
      </c>
      <c r="AE28" s="8">
        <f t="shared" si="8"/>
        <v>0.1557697057723999</v>
      </c>
      <c r="AF28" s="8">
        <f t="shared" si="1"/>
        <v>-4.3781790498576001E-8</v>
      </c>
      <c r="AG28" s="8">
        <f t="shared" si="2"/>
        <v>0.15576967597007751</v>
      </c>
      <c r="AH28" s="8">
        <f t="shared" si="3"/>
        <v>-1.3020342415348551E-8</v>
      </c>
      <c r="AI28" s="8">
        <f t="shared" si="4"/>
        <v>-2.3099526953850293E-16</v>
      </c>
      <c r="AJ28" s="8">
        <f t="shared" si="5"/>
        <v>5.700539038485133E-16</v>
      </c>
      <c r="AK28" s="8">
        <f t="shared" si="6"/>
        <v>5.9604644775390625E-8</v>
      </c>
      <c r="AM28" s="8">
        <v>24</v>
      </c>
      <c r="AN28" s="8">
        <f t="shared" si="13"/>
        <v>1200.0386714935303</v>
      </c>
      <c r="AO28" s="8">
        <v>-5.9200139617132663E-5</v>
      </c>
      <c r="AP28" s="8">
        <f t="shared" si="14"/>
        <v>1200.0389099121094</v>
      </c>
      <c r="AQ28" s="8">
        <v>3.3928638231373043E-5</v>
      </c>
      <c r="AR28" s="8">
        <f t="shared" si="9"/>
        <v>1200.0387907028198</v>
      </c>
      <c r="AS28" s="8">
        <v>-1.2288369248381059E-5</v>
      </c>
      <c r="AT28" s="8">
        <f t="shared" si="10"/>
        <v>7.2747317517103826E-10</v>
      </c>
      <c r="AU28" s="8">
        <f t="shared" si="11"/>
        <v>-4.1692763468185045E-10</v>
      </c>
      <c r="AV28" s="8">
        <f t="shared" si="12"/>
        <v>2.384185791015625E-4</v>
      </c>
    </row>
    <row r="29" spans="2:48" x14ac:dyDescent="0.2">
      <c r="B29" s="41" t="s">
        <v>27</v>
      </c>
      <c r="C29" s="41"/>
      <c r="D29" s="41"/>
      <c r="F29" t="s">
        <v>125</v>
      </c>
      <c r="G29" s="1">
        <v>304.8</v>
      </c>
      <c r="H29" t="s">
        <v>14</v>
      </c>
      <c r="S29" s="20">
        <f xml:space="preserve"> 0.0327 * ($C$15*2.20462)^0.8903 * 0.3048^2</f>
        <v>3.385753073204985</v>
      </c>
      <c r="T29" s="20" t="s">
        <v>194</v>
      </c>
      <c r="AB29" s="8">
        <v>25</v>
      </c>
      <c r="AC29" s="8">
        <f t="shared" si="7"/>
        <v>0.15576964616775513</v>
      </c>
      <c r="AD29" s="8">
        <f t="shared" si="0"/>
        <v>1.7741105584612171E-8</v>
      </c>
      <c r="AE29" s="8">
        <f t="shared" si="8"/>
        <v>0.15576967597007751</v>
      </c>
      <c r="AF29" s="8">
        <f t="shared" si="1"/>
        <v>-1.3020342415348551E-8</v>
      </c>
      <c r="AG29" s="8">
        <f t="shared" si="2"/>
        <v>0.15576966106891632</v>
      </c>
      <c r="AH29" s="8">
        <f t="shared" si="3"/>
        <v>2.3603815846318099E-9</v>
      </c>
      <c r="AI29" s="8">
        <f t="shared" si="4"/>
        <v>4.1875778912927126E-17</v>
      </c>
      <c r="AJ29" s="8">
        <f t="shared" si="5"/>
        <v>-3.073297646278918E-17</v>
      </c>
      <c r="AK29" s="8">
        <f t="shared" si="6"/>
        <v>2.9802322387695312E-8</v>
      </c>
      <c r="AM29" s="8">
        <v>25</v>
      </c>
      <c r="AN29" s="8">
        <f t="shared" si="13"/>
        <v>1200.0387907028198</v>
      </c>
      <c r="AO29" s="8">
        <v>-1.2288369248381059E-5</v>
      </c>
      <c r="AP29" s="8">
        <f t="shared" si="14"/>
        <v>1200.0389099121094</v>
      </c>
      <c r="AQ29" s="8">
        <v>3.3928638231373043E-5</v>
      </c>
      <c r="AR29" s="8">
        <f t="shared" si="9"/>
        <v>1200.0388503074646</v>
      </c>
      <c r="AS29" s="8">
        <v>1.1765001659114205E-5</v>
      </c>
      <c r="AT29" s="8">
        <f t="shared" si="10"/>
        <v>-1.4457268459501115E-10</v>
      </c>
      <c r="AU29" s="8">
        <f t="shared" si="11"/>
        <v>3.9917048508358946E-10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49.976768843133506</v>
      </c>
      <c r="H30" t="s">
        <v>16</v>
      </c>
      <c r="S30">
        <v>3.2</v>
      </c>
      <c r="T30" t="s">
        <v>193</v>
      </c>
      <c r="AB30" s="8">
        <v>26</v>
      </c>
      <c r="AC30" s="8">
        <f t="shared" si="7"/>
        <v>0.15576966106891632</v>
      </c>
      <c r="AD30" s="8">
        <f t="shared" si="0"/>
        <v>2.3603815846318099E-9</v>
      </c>
      <c r="AE30" s="8">
        <f t="shared" si="8"/>
        <v>0.15576967597007751</v>
      </c>
      <c r="AF30" s="8">
        <f t="shared" si="1"/>
        <v>-1.3020342415348551E-8</v>
      </c>
      <c r="AG30" s="8">
        <f t="shared" si="2"/>
        <v>0.15576966851949692</v>
      </c>
      <c r="AH30" s="8">
        <f t="shared" si="3"/>
        <v>-5.3299804292361586E-9</v>
      </c>
      <c r="AI30" s="8">
        <f t="shared" si="4"/>
        <v>-1.2580787651616979E-17</v>
      </c>
      <c r="AJ30" s="8">
        <f t="shared" si="5"/>
        <v>6.9398170255761229E-17</v>
      </c>
      <c r="AK30" s="8">
        <f t="shared" si="6"/>
        <v>1.4901161193847656E-8</v>
      </c>
      <c r="AM30" s="8">
        <v>26</v>
      </c>
      <c r="AN30" s="8">
        <f t="shared" si="13"/>
        <v>1200.0387907028198</v>
      </c>
      <c r="AO30" s="8">
        <v>-1.2288369248381059E-5</v>
      </c>
      <c r="AP30" s="8">
        <f t="shared" si="14"/>
        <v>1200.0388503074646</v>
      </c>
      <c r="AQ30" s="8">
        <v>1.1765001659114205E-5</v>
      </c>
      <c r="AR30" s="8">
        <f t="shared" si="9"/>
        <v>1200.0388205051422</v>
      </c>
      <c r="AS30" s="8">
        <v>-6.0906450016773306E-7</v>
      </c>
      <c r="AT30" s="8">
        <f t="shared" si="10"/>
        <v>7.4844094741417514E-12</v>
      </c>
      <c r="AU30" s="8">
        <f t="shared" si="11"/>
        <v>-7.1656448549809433E-12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9995.3537686267009</v>
      </c>
      <c r="H31" t="s">
        <v>14</v>
      </c>
      <c r="J31" s="41" t="s">
        <v>80</v>
      </c>
      <c r="K31" s="41"/>
      <c r="L31" s="41"/>
      <c r="AB31" s="8">
        <v>27</v>
      </c>
      <c r="AC31" s="8">
        <f t="shared" si="7"/>
        <v>0.15576966106891632</v>
      </c>
      <c r="AD31" s="8">
        <f t="shared" si="0"/>
        <v>2.3603815846318099E-9</v>
      </c>
      <c r="AE31" s="8">
        <f t="shared" si="8"/>
        <v>0.15576966851949692</v>
      </c>
      <c r="AF31" s="8">
        <f t="shared" si="1"/>
        <v>-5.3299804292361586E-9</v>
      </c>
      <c r="AG31" s="8">
        <f t="shared" si="2"/>
        <v>0.15576966479420662</v>
      </c>
      <c r="AH31" s="8">
        <f t="shared" si="3"/>
        <v>-1.4847994223021743E-9</v>
      </c>
      <c r="AI31" s="8">
        <f t="shared" si="4"/>
        <v>-3.5046932132740021E-18</v>
      </c>
      <c r="AJ31" s="8">
        <f t="shared" si="5"/>
        <v>7.9139518622117441E-18</v>
      </c>
      <c r="AK31" s="8">
        <f t="shared" si="6"/>
        <v>7.4505805969238281E-9</v>
      </c>
      <c r="AM31" s="8">
        <v>27</v>
      </c>
      <c r="AN31" s="8">
        <f t="shared" si="13"/>
        <v>1200.0388205051422</v>
      </c>
      <c r="AO31" s="8">
        <v>-6.0906450016773306E-7</v>
      </c>
      <c r="AP31" s="8">
        <f t="shared" si="14"/>
        <v>1200.0388503074646</v>
      </c>
      <c r="AQ31" s="8">
        <v>1.1765001659114205E-5</v>
      </c>
      <c r="AR31" s="8">
        <f t="shared" si="9"/>
        <v>1200.0388354063034</v>
      </c>
      <c r="AS31" s="8">
        <v>5.5779687500034925E-6</v>
      </c>
      <c r="AT31" s="8">
        <f t="shared" si="10"/>
        <v>-3.3973427486721119E-12</v>
      </c>
      <c r="AU31" s="8">
        <f t="shared" si="11"/>
        <v>6.5624811598278276E-11</v>
      </c>
      <c r="AV31" s="8">
        <f t="shared" si="12"/>
        <v>2.9802322387695312E-5</v>
      </c>
    </row>
    <row r="32" spans="2:48" x14ac:dyDescent="0.2">
      <c r="B32" s="37" t="s">
        <v>184</v>
      </c>
      <c r="C32" s="37"/>
      <c r="D32" s="37"/>
      <c r="F32" t="s">
        <v>152</v>
      </c>
      <c r="G32" s="20">
        <f>ATAN(G28/G30)/PI()*180</f>
        <v>1.7466458786346903</v>
      </c>
      <c r="H32" t="s">
        <v>62</v>
      </c>
      <c r="J32" s="20" t="s">
        <v>81</v>
      </c>
      <c r="K32" s="20">
        <f>ROUND($C$21/$C$15 * 100, 2)</f>
        <v>33.33</v>
      </c>
      <c r="L32" s="20" t="s">
        <v>82</v>
      </c>
      <c r="AB32" s="8">
        <v>28</v>
      </c>
      <c r="AC32" s="8">
        <f t="shared" si="7"/>
        <v>0.15576966106891632</v>
      </c>
      <c r="AD32" s="8">
        <f t="shared" si="0"/>
        <v>2.3603815846318099E-9</v>
      </c>
      <c r="AE32" s="8">
        <f t="shared" si="8"/>
        <v>0.15576966479420662</v>
      </c>
      <c r="AF32" s="8">
        <f t="shared" si="1"/>
        <v>-1.4847994223021743E-9</v>
      </c>
      <c r="AG32" s="8">
        <f t="shared" si="2"/>
        <v>0.15576966293156147</v>
      </c>
      <c r="AH32" s="8">
        <f t="shared" si="3"/>
        <v>4.377910811648178E-10</v>
      </c>
      <c r="AI32" s="8">
        <f t="shared" si="4"/>
        <v>1.0333540058974859E-18</v>
      </c>
      <c r="AJ32" s="8">
        <f t="shared" si="5"/>
        <v>-6.5003194440256577E-19</v>
      </c>
      <c r="AK32" s="8">
        <f t="shared" si="6"/>
        <v>3.7252902984619141E-9</v>
      </c>
      <c r="AM32" s="8">
        <v>28</v>
      </c>
      <c r="AN32" s="8">
        <f t="shared" si="13"/>
        <v>1200.0388205051422</v>
      </c>
      <c r="AO32" s="8">
        <v>-6.0906450016773306E-7</v>
      </c>
      <c r="AP32" s="8">
        <f t="shared" si="14"/>
        <v>1200.0388354063034</v>
      </c>
      <c r="AQ32" s="8">
        <v>5.5779687500034925E-6</v>
      </c>
      <c r="AR32" s="8">
        <f t="shared" si="9"/>
        <v>1200.0388279557228</v>
      </c>
      <c r="AS32" s="8">
        <v>2.484452011231042E-6</v>
      </c>
      <c r="AT32" s="8">
        <f t="shared" si="10"/>
        <v>-1.5131915224111537E-12</v>
      </c>
      <c r="AU32" s="8">
        <f t="shared" si="11"/>
        <v>1.3858195679530078E-11</v>
      </c>
      <c r="AV32" s="8">
        <f t="shared" si="12"/>
        <v>1.4901161193847656E-5</v>
      </c>
    </row>
    <row r="33" spans="2:48" x14ac:dyDescent="0.2">
      <c r="B33" t="s">
        <v>191</v>
      </c>
      <c r="C33" s="1">
        <v>5</v>
      </c>
      <c r="D33"/>
      <c r="F33" t="s">
        <v>155</v>
      </c>
      <c r="G33" s="20">
        <f xml:space="preserve"> 1/1000 * (W22 + W18 * (W27 * W24 + $G$27 * SIN(W17/180*PI())))</f>
        <v>82.303284672268276</v>
      </c>
      <c r="H33" t="s">
        <v>162</v>
      </c>
      <c r="J33" s="27" t="s">
        <v>74</v>
      </c>
      <c r="K33" s="20">
        <f>ROUND(K14/$C$15 * 100, 2)</f>
        <v>33.01</v>
      </c>
      <c r="L33" s="20" t="s">
        <v>82</v>
      </c>
      <c r="AB33" s="8">
        <v>29</v>
      </c>
      <c r="AC33" s="8">
        <f t="shared" si="7"/>
        <v>0.15576966293156147</v>
      </c>
      <c r="AD33" s="8">
        <f t="shared" si="0"/>
        <v>4.377910811648178E-10</v>
      </c>
      <c r="AE33" s="8">
        <f t="shared" si="8"/>
        <v>0.15576966479420662</v>
      </c>
      <c r="AF33" s="8">
        <f t="shared" si="1"/>
        <v>-1.4847994223021743E-9</v>
      </c>
      <c r="AG33" s="8">
        <f t="shared" si="2"/>
        <v>0.15576966386288404</v>
      </c>
      <c r="AH33" s="8">
        <f t="shared" si="3"/>
        <v>-5.2350415669089045E-10</v>
      </c>
      <c r="AI33" s="8">
        <f t="shared" si="4"/>
        <v>-2.2918545075198112E-19</v>
      </c>
      <c r="AJ33" s="8">
        <f t="shared" si="5"/>
        <v>7.7729866942742109E-19</v>
      </c>
      <c r="AK33" s="8">
        <f t="shared" si="6"/>
        <v>1.862645149230957E-9</v>
      </c>
      <c r="AM33" s="8">
        <v>29</v>
      </c>
      <c r="AN33" s="8">
        <f t="shared" si="13"/>
        <v>1200.0388205051422</v>
      </c>
      <c r="AO33" s="8">
        <v>-6.0906450016773306E-7</v>
      </c>
      <c r="AP33" s="8">
        <f t="shared" si="14"/>
        <v>1200.0388279557228</v>
      </c>
      <c r="AQ33" s="8">
        <v>2.484452011231042E-6</v>
      </c>
      <c r="AR33" s="8">
        <f t="shared" si="9"/>
        <v>1200.0388242304325</v>
      </c>
      <c r="AS33" s="8">
        <v>9.3769381237507332E-7</v>
      </c>
      <c r="AT33" s="8">
        <f t="shared" si="10"/>
        <v>-5.711160131446001E-13</v>
      </c>
      <c r="AU33" s="8">
        <f t="shared" si="11"/>
        <v>2.3296552780741542E-12</v>
      </c>
      <c r="AV33" s="8">
        <f t="shared" si="12"/>
        <v>7.4505805969238281E-6</v>
      </c>
    </row>
    <row r="34" spans="2:48" x14ac:dyDescent="0.2">
      <c r="B34" t="s">
        <v>185</v>
      </c>
      <c r="C34" s="1">
        <v>0.14399999999999999</v>
      </c>
      <c r="D34"/>
      <c r="F34" t="s">
        <v>133</v>
      </c>
      <c r="G34" s="20">
        <f>$C$5*G33</f>
        <v>329.21313868907311</v>
      </c>
      <c r="H34" t="s">
        <v>162</v>
      </c>
      <c r="J34" s="35" t="s">
        <v>94</v>
      </c>
      <c r="K34" s="20">
        <f>ROUND(SUM(K15:K17)/$C$15 * 100, 2)</f>
        <v>19.23</v>
      </c>
      <c r="L34" s="20" t="s">
        <v>82</v>
      </c>
      <c r="AB34" s="8">
        <v>30</v>
      </c>
      <c r="AC34" s="8">
        <f t="shared" si="7"/>
        <v>0.15576966293156147</v>
      </c>
      <c r="AD34" s="8">
        <f t="shared" si="0"/>
        <v>4.377910811648178E-10</v>
      </c>
      <c r="AE34" s="8">
        <f t="shared" si="8"/>
        <v>0.15576966386288404</v>
      </c>
      <c r="AF34" s="8">
        <f t="shared" si="1"/>
        <v>-5.2350415669089045E-10</v>
      </c>
      <c r="AG34" s="8">
        <f t="shared" si="2"/>
        <v>0.15576966339722276</v>
      </c>
      <c r="AH34" s="8">
        <f t="shared" si="3"/>
        <v>-4.2856551640824136E-11</v>
      </c>
      <c r="AI34" s="8">
        <f t="shared" si="4"/>
        <v>-1.8762216077832245E-20</v>
      </c>
      <c r="AJ34" s="8">
        <f t="shared" si="5"/>
        <v>2.2435582925409237E-20</v>
      </c>
      <c r="AK34" s="8">
        <f t="shared" si="6"/>
        <v>9.3132257461547852E-10</v>
      </c>
      <c r="AM34" s="8">
        <v>30</v>
      </c>
      <c r="AN34" s="8">
        <f t="shared" si="13"/>
        <v>1200.0388205051422</v>
      </c>
      <c r="AO34" s="8">
        <v>-6.0906450016773306E-7</v>
      </c>
      <c r="AP34" s="8">
        <f t="shared" si="14"/>
        <v>1200.0388242304325</v>
      </c>
      <c r="AQ34" s="8">
        <v>9.3769381237507332E-7</v>
      </c>
      <c r="AR34" s="8">
        <f t="shared" si="9"/>
        <v>1200.0388223677874</v>
      </c>
      <c r="AS34" s="8">
        <v>1.6431431504315697E-7</v>
      </c>
      <c r="AT34" s="8">
        <f t="shared" si="10"/>
        <v>-1.0007801616216382E-13</v>
      </c>
      <c r="AU34" s="8">
        <f t="shared" si="11"/>
        <v>1.5407651650061672E-13</v>
      </c>
      <c r="AV34" s="8">
        <f t="shared" si="12"/>
        <v>3.7252902984619141E-6</v>
      </c>
    </row>
    <row r="35" spans="2:48" x14ac:dyDescent="0.2">
      <c r="B35"/>
      <c r="C35"/>
      <c r="D35"/>
      <c r="F35" t="s">
        <v>132</v>
      </c>
      <c r="G35" s="20">
        <f>$G$29/$G$28</f>
        <v>200</v>
      </c>
      <c r="H35" t="s">
        <v>22</v>
      </c>
      <c r="J35" s="36" t="s">
        <v>95</v>
      </c>
      <c r="K35" s="20">
        <f>ROUND(SUM(K18:K22)/$C$15 * 100, 2)</f>
        <v>9.74</v>
      </c>
      <c r="L35" s="20" t="s">
        <v>82</v>
      </c>
      <c r="AM35" s="8">
        <v>31</v>
      </c>
      <c r="AN35" s="8">
        <f t="shared" si="13"/>
        <v>1200.0388205051422</v>
      </c>
      <c r="AO35" s="20">
        <v>-6.0906450016773306E-7</v>
      </c>
      <c r="AP35" s="8">
        <f t="shared" si="14"/>
        <v>1200.0388223677874</v>
      </c>
      <c r="AQ35" s="20">
        <v>1.6431431504315697E-7</v>
      </c>
      <c r="AR35" s="8">
        <f t="shared" si="9"/>
        <v>1200.0388214364648</v>
      </c>
      <c r="AS35" s="20">
        <v>-2.223748651886126E-7</v>
      </c>
      <c r="AT35" s="8">
        <f t="shared" si="10"/>
        <v>1.3544063611596936E-13</v>
      </c>
      <c r="AU35" s="8">
        <f t="shared" si="11"/>
        <v>-3.653937365628125E-14</v>
      </c>
      <c r="AV35" s="8">
        <f t="shared" si="12"/>
        <v>1.862645149230957E-6</v>
      </c>
    </row>
    <row r="36" spans="2:48" x14ac:dyDescent="0.2">
      <c r="B36" s="37" t="s">
        <v>165</v>
      </c>
      <c r="C36" s="37"/>
      <c r="D36" s="37"/>
      <c r="J36" s="31" t="s">
        <v>96</v>
      </c>
      <c r="K36" s="20">
        <f>ROUND(SUM(K23:K26)/$C$15*100, 2)</f>
        <v>4.6900000000000004</v>
      </c>
      <c r="L36" s="20" t="s">
        <v>82</v>
      </c>
      <c r="AM36" s="8">
        <v>32</v>
      </c>
      <c r="AN36" s="8">
        <f t="shared" si="13"/>
        <v>1200.0388214364648</v>
      </c>
      <c r="AO36" s="20">
        <v>-2.223748651886126E-7</v>
      </c>
      <c r="AP36" s="8">
        <f t="shared" si="14"/>
        <v>1200.0388223677874</v>
      </c>
      <c r="AQ36" s="20">
        <v>1.6431431504315697E-7</v>
      </c>
      <c r="AR36" s="8">
        <f t="shared" si="9"/>
        <v>1200.0388219021261</v>
      </c>
      <c r="AS36" s="20">
        <v>-2.9030047699052375E-8</v>
      </c>
      <c r="AT36" s="8">
        <f t="shared" si="10"/>
        <v>6.4555529434957653E-15</v>
      </c>
      <c r="AU36" s="8">
        <f t="shared" si="11"/>
        <v>-4.7700524033399659E-15</v>
      </c>
      <c r="AV36" s="8">
        <f t="shared" si="12"/>
        <v>9.3132257461547852E-7</v>
      </c>
    </row>
    <row r="37" spans="2:48" x14ac:dyDescent="0.2">
      <c r="B37" t="s">
        <v>166</v>
      </c>
      <c r="C37" s="1">
        <v>4</v>
      </c>
      <c r="D37"/>
      <c r="F37" s="39" t="s">
        <v>111</v>
      </c>
      <c r="G37" s="40"/>
      <c r="H37" s="40"/>
      <c r="J37" s="26" t="s">
        <v>83</v>
      </c>
      <c r="K37" s="26">
        <f>SUM(K32:K36)</f>
        <v>100</v>
      </c>
      <c r="L37" s="26" t="s">
        <v>82</v>
      </c>
      <c r="AB37" s="32" t="s">
        <v>142</v>
      </c>
      <c r="AM37" s="8">
        <v>33</v>
      </c>
      <c r="AN37" s="8">
        <f t="shared" si="13"/>
        <v>1200.0388219021261</v>
      </c>
      <c r="AO37" s="20">
        <v>-2.9030047699052375E-8</v>
      </c>
      <c r="AP37" s="8">
        <f t="shared" si="14"/>
        <v>1200.0388223677874</v>
      </c>
      <c r="AQ37" s="20">
        <v>1.6431431504315697E-7</v>
      </c>
      <c r="AR37" s="8">
        <f t="shared" si="9"/>
        <v>1200.0388221349567</v>
      </c>
      <c r="AS37" s="20">
        <v>6.7642304202308878E-8</v>
      </c>
      <c r="AT37" s="8">
        <f t="shared" si="10"/>
        <v>-1.9636593174668376E-15</v>
      </c>
      <c r="AU37" s="8">
        <f t="shared" si="11"/>
        <v>1.1114598882943241E-14</v>
      </c>
      <c r="AV37" s="8">
        <f t="shared" si="12"/>
        <v>4.6566128730773926E-7</v>
      </c>
    </row>
    <row r="38" spans="2:48" x14ac:dyDescent="0.2">
      <c r="B38" t="s">
        <v>167</v>
      </c>
      <c r="C38" s="1">
        <v>5.2</v>
      </c>
      <c r="D38" t="s">
        <v>14</v>
      </c>
      <c r="F38" t="s">
        <v>117</v>
      </c>
      <c r="G38" s="1">
        <v>1.524</v>
      </c>
      <c r="H38" t="s">
        <v>16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1200.0388219021261</v>
      </c>
      <c r="AO38" s="20">
        <v>-2.9030047699052375E-8</v>
      </c>
      <c r="AP38" s="8">
        <f t="shared" si="14"/>
        <v>1200.0388221349567</v>
      </c>
      <c r="AQ38" s="20">
        <v>6.7642304202308878E-8</v>
      </c>
      <c r="AR38" s="8">
        <f t="shared" si="9"/>
        <v>1200.0388220185414</v>
      </c>
      <c r="AS38" s="20">
        <v>1.9305957721371669E-8</v>
      </c>
      <c r="AT38" s="8">
        <f t="shared" si="10"/>
        <v>-5.6045287352730806E-16</v>
      </c>
      <c r="AU38" s="8">
        <f t="shared" si="11"/>
        <v>1.3058994651059364E-15</v>
      </c>
      <c r="AV38" s="8">
        <f t="shared" si="12"/>
        <v>2.3283064365386963E-7</v>
      </c>
    </row>
    <row r="39" spans="2:48" x14ac:dyDescent="0.2">
      <c r="B39" t="s">
        <v>168</v>
      </c>
      <c r="C39" s="1">
        <v>1.8</v>
      </c>
      <c r="D39" t="s">
        <v>14</v>
      </c>
      <c r="F39" t="s">
        <v>123</v>
      </c>
      <c r="G39" s="1">
        <v>152.4</v>
      </c>
      <c r="H39" t="s">
        <v>14</v>
      </c>
      <c r="K39" s="20">
        <f>SUM(K15:K17)</f>
        <v>230.71493728495508</v>
      </c>
      <c r="AB39" s="8">
        <v>0</v>
      </c>
      <c r="AC39" s="9">
        <v>0</v>
      </c>
      <c r="AD39" s="8">
        <f t="shared" ref="AD39:AD69" si="15" xml:space="preserve"> $C$18 * TAN($O$18/180*PI()) + $O$21 / (2 * SQRT($C$18^2 + AC39^2)) - AC39</f>
        <v>0.17577517090932601</v>
      </c>
      <c r="AE39" s="9">
        <v>1</v>
      </c>
      <c r="AF39" s="8">
        <f t="shared" ref="AF39:AF69" si="16" xml:space="preserve"> $C$18 * TAN($O$18/180*PI()) + $O$21 / (2 * SQRT($C$18^2 + AE39^2)) - AE39</f>
        <v>-0.84430920911419405</v>
      </c>
      <c r="AG39" s="8">
        <f xml:space="preserve"> (AC39 + AE39)/2</f>
        <v>0.5</v>
      </c>
      <c r="AH39" s="8">
        <f t="shared" ref="AH39:AH69" si="17" xml:space="preserve"> $C$18 * TAN($O$18/180*PI()) + $O$21 / (2 * SQRT($C$18^2 + AG39^2)) - AG39</f>
        <v>-0.33790759457124053</v>
      </c>
      <c r="AI39" s="8">
        <f>AD39*AH39</f>
        <v>-5.9395765187319045E-2</v>
      </c>
      <c r="AJ39" s="8">
        <f>AF39*AH39</f>
        <v>0.28529849392612383</v>
      </c>
      <c r="AK39" s="8">
        <f>AE39-AC39</f>
        <v>1</v>
      </c>
      <c r="AM39" s="8">
        <v>35</v>
      </c>
      <c r="AN39" s="8">
        <f t="shared" si="13"/>
        <v>1200.0388219021261</v>
      </c>
      <c r="AO39" s="20">
        <v>-2.9030047699052375E-8</v>
      </c>
      <c r="AP39" s="8">
        <f t="shared" si="14"/>
        <v>1200.0388220185414</v>
      </c>
      <c r="AQ39" s="20">
        <v>1.9305957721371669E-8</v>
      </c>
      <c r="AR39" s="8">
        <f t="shared" si="9"/>
        <v>1200.0388219603337</v>
      </c>
      <c r="AS39" s="20">
        <v>-4.8621586756780744E-9</v>
      </c>
      <c r="AT39" s="8">
        <f t="shared" si="10"/>
        <v>1.4114869827529582E-16</v>
      </c>
      <c r="AU39" s="8">
        <f t="shared" si="11"/>
        <v>-9.386862982724137E-17</v>
      </c>
      <c r="AV39" s="8">
        <f t="shared" si="12"/>
        <v>1.1641532182693481E-7</v>
      </c>
    </row>
    <row r="40" spans="2:48" x14ac:dyDescent="0.2">
      <c r="B40"/>
      <c r="C40"/>
      <c r="D40"/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204.51890586216621</v>
      </c>
      <c r="H40" t="s">
        <v>162</v>
      </c>
      <c r="K40" s="20">
        <f>SUM(K18:K21)</f>
        <v>101.53234167929662</v>
      </c>
      <c r="AB40" s="8">
        <v>1</v>
      </c>
      <c r="AC40" s="8">
        <f>IF(AI39&gt;0, AG39, AC39)</f>
        <v>0</v>
      </c>
      <c r="AD40" s="8">
        <f t="shared" si="15"/>
        <v>0.17577517090932601</v>
      </c>
      <c r="AE40" s="8">
        <f>IF(AJ39&gt;0, AG39, AE39)</f>
        <v>0.5</v>
      </c>
      <c r="AF40" s="8">
        <f t="shared" si="16"/>
        <v>-0.33790759457124053</v>
      </c>
      <c r="AG40" s="8">
        <f t="shared" ref="AG40:AG69" si="18" xml:space="preserve"> (AC40 + AE40)/2</f>
        <v>0.25</v>
      </c>
      <c r="AH40" s="8">
        <f t="shared" si="17"/>
        <v>-8.0756952980646501E-2</v>
      </c>
      <c r="AI40" s="8">
        <f t="shared" ref="AI40:AI69" si="19">AD40*AH40</f>
        <v>-1.4195067212289544E-2</v>
      </c>
      <c r="AJ40" s="8">
        <f t="shared" ref="AJ40:AJ69" si="20">AF40*AH40</f>
        <v>2.7288387726593033E-2</v>
      </c>
      <c r="AK40" s="8">
        <f t="shared" ref="AK40:AK69" si="21">AE40-AC40</f>
        <v>0.5</v>
      </c>
      <c r="AM40" s="8">
        <v>36</v>
      </c>
      <c r="AN40" s="8">
        <f t="shared" si="13"/>
        <v>1200.0388219603337</v>
      </c>
      <c r="AO40" s="20">
        <v>-4.8621586756780744E-9</v>
      </c>
      <c r="AP40" s="8">
        <f t="shared" si="14"/>
        <v>1200.0388220185414</v>
      </c>
      <c r="AQ40" s="20">
        <v>1.9305957721371669E-8</v>
      </c>
      <c r="AR40" s="8">
        <f t="shared" si="9"/>
        <v>1200.0388219894376</v>
      </c>
      <c r="AS40" s="20">
        <v>7.2218426794279367E-9</v>
      </c>
      <c r="AT40" s="8">
        <f t="shared" si="10"/>
        <v>-3.5113745038162733E-17</v>
      </c>
      <c r="AU40" s="8">
        <f t="shared" si="11"/>
        <v>1.3942458943943324E-16</v>
      </c>
      <c r="AV40" s="8">
        <f t="shared" si="12"/>
        <v>5.8207660913467407E-8</v>
      </c>
    </row>
    <row r="41" spans="2:48" x14ac:dyDescent="0.2">
      <c r="B41" s="37" t="s">
        <v>169</v>
      </c>
      <c r="C41" s="37"/>
      <c r="D41" s="37"/>
      <c r="F41" t="s">
        <v>30</v>
      </c>
      <c r="G41" s="20">
        <f xml:space="preserve"> $C$15 * $C$26 / $C$5</f>
        <v>2942.0901783755435</v>
      </c>
      <c r="H41" t="s">
        <v>31</v>
      </c>
      <c r="K41" s="20">
        <f>SUM(K23:K26)</f>
        <v>56.277823126237521</v>
      </c>
      <c r="AB41" s="8">
        <v>2</v>
      </c>
      <c r="AC41" s="8">
        <f t="shared" ref="AC41:AC69" si="22">IF(AI40&gt;0, AG40, AC40)</f>
        <v>0</v>
      </c>
      <c r="AD41" s="8">
        <f t="shared" si="15"/>
        <v>0.17577517090932601</v>
      </c>
      <c r="AE41" s="8">
        <f t="shared" ref="AE41:AE69" si="23">IF(AJ40&gt;0, AG40, AE40)</f>
        <v>0.25</v>
      </c>
      <c r="AF41" s="8">
        <f t="shared" si="16"/>
        <v>-8.0756952980646501E-2</v>
      </c>
      <c r="AG41" s="8">
        <f t="shared" si="18"/>
        <v>0.125</v>
      </c>
      <c r="AH41" s="8">
        <f t="shared" si="17"/>
        <v>4.8607279622383953E-2</v>
      </c>
      <c r="AI41" s="8">
        <f t="shared" si="19"/>
        <v>8.5439528830619383E-3</v>
      </c>
      <c r="AJ41" s="8">
        <f t="shared" si="20"/>
        <v>-3.9253757949819978E-3</v>
      </c>
      <c r="AK41" s="8">
        <f t="shared" si="21"/>
        <v>0.25</v>
      </c>
      <c r="AM41" s="8">
        <v>37</v>
      </c>
      <c r="AN41" s="8">
        <f t="shared" si="13"/>
        <v>1200.0388219603337</v>
      </c>
      <c r="AO41" s="20">
        <v>-4.8621586756780744E-9</v>
      </c>
      <c r="AP41" s="8">
        <f t="shared" si="14"/>
        <v>1200.0388219894376</v>
      </c>
      <c r="AQ41" s="20">
        <v>7.2218426794279367E-9</v>
      </c>
      <c r="AR41" s="8">
        <f t="shared" si="9"/>
        <v>1200.0388219748856</v>
      </c>
      <c r="AS41" s="20">
        <v>1.1799556887126528E-9</v>
      </c>
      <c r="AT41" s="8">
        <f t="shared" si="10"/>
        <v>-5.737131788789922E-18</v>
      </c>
      <c r="AU41" s="8">
        <f t="shared" si="11"/>
        <v>8.5214543525788207E-18</v>
      </c>
      <c r="AV41" s="8">
        <f t="shared" si="12"/>
        <v>2.9103830456733704E-8</v>
      </c>
    </row>
    <row r="42" spans="2:48" x14ac:dyDescent="0.2">
      <c r="B42" t="s">
        <v>170</v>
      </c>
      <c r="C42" s="1">
        <v>0.3</v>
      </c>
      <c r="D42" t="s">
        <v>14</v>
      </c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4.8607279622383953E-2</v>
      </c>
      <c r="AE42" s="8">
        <f t="shared" si="23"/>
        <v>0.25</v>
      </c>
      <c r="AF42" s="8">
        <f t="shared" si="16"/>
        <v>-8.0756952980646501E-2</v>
      </c>
      <c r="AG42" s="8">
        <f t="shared" si="18"/>
        <v>0.1875</v>
      </c>
      <c r="AH42" s="8">
        <f t="shared" si="17"/>
        <v>-1.6008630071195185E-2</v>
      </c>
      <c r="AI42" s="8">
        <f t="shared" si="19"/>
        <v>-7.7813595824188862E-4</v>
      </c>
      <c r="AJ42" s="8">
        <f t="shared" si="20"/>
        <v>1.2928081859440732E-3</v>
      </c>
      <c r="AK42" s="8">
        <f t="shared" si="21"/>
        <v>0.125</v>
      </c>
      <c r="AM42" s="8">
        <v>38</v>
      </c>
      <c r="AN42" s="8">
        <f t="shared" si="13"/>
        <v>1200.0388219603337</v>
      </c>
      <c r="AO42" s="20">
        <v>-4.8621586756780744E-9</v>
      </c>
      <c r="AP42" s="8">
        <f t="shared" si="14"/>
        <v>1200.0388219748856</v>
      </c>
      <c r="AQ42" s="20">
        <v>1.1799556887126528E-9</v>
      </c>
      <c r="AR42" s="8">
        <f t="shared" si="9"/>
        <v>1200.0388219676097</v>
      </c>
      <c r="AS42" s="20">
        <v>-1.8411583369015716E-9</v>
      </c>
      <c r="AT42" s="8">
        <f t="shared" si="10"/>
        <v>8.9520039810629912E-18</v>
      </c>
      <c r="AU42" s="8">
        <f t="shared" si="11"/>
        <v>-2.1724852534477363E-18</v>
      </c>
      <c r="AV42" s="8">
        <f t="shared" si="12"/>
        <v>1.4551915228366852E-8</v>
      </c>
    </row>
    <row r="43" spans="2:48" x14ac:dyDescent="0.2">
      <c r="B43" t="s">
        <v>171</v>
      </c>
      <c r="C43" s="1">
        <v>5.7</v>
      </c>
      <c r="D43"/>
      <c r="AB43" s="8">
        <v>4</v>
      </c>
      <c r="AC43" s="8">
        <f t="shared" si="22"/>
        <v>0.125</v>
      </c>
      <c r="AD43" s="8">
        <f t="shared" si="15"/>
        <v>4.8607279622383953E-2</v>
      </c>
      <c r="AE43" s="8">
        <f t="shared" si="23"/>
        <v>0.1875</v>
      </c>
      <c r="AF43" s="8">
        <f t="shared" si="16"/>
        <v>-1.6008630071195185E-2</v>
      </c>
      <c r="AG43" s="8">
        <f t="shared" si="18"/>
        <v>0.15625</v>
      </c>
      <c r="AH43" s="8">
        <f t="shared" si="17"/>
        <v>1.6338117278392544E-2</v>
      </c>
      <c r="AI43" s="8">
        <f t="shared" si="19"/>
        <v>7.9415143505412911E-4</v>
      </c>
      <c r="AJ43" s="8">
        <f t="shared" si="20"/>
        <v>-2.615508755695885E-4</v>
      </c>
      <c r="AK43" s="8">
        <f t="shared" si="21"/>
        <v>6.25E-2</v>
      </c>
      <c r="AM43" s="8">
        <v>39</v>
      </c>
      <c r="AN43" s="8">
        <f t="shared" si="13"/>
        <v>1200.0388219676097</v>
      </c>
      <c r="AO43" s="20">
        <v>-1.8411583369015716E-9</v>
      </c>
      <c r="AP43" s="8">
        <f t="shared" si="14"/>
        <v>1200.0388219748856</v>
      </c>
      <c r="AQ43" s="20">
        <v>1.1799556887126528E-9</v>
      </c>
      <c r="AR43" s="8">
        <f t="shared" si="9"/>
        <v>1200.0388219712477</v>
      </c>
      <c r="AS43" s="20">
        <v>-3.3071501093218103E-10</v>
      </c>
      <c r="AT43" s="8">
        <f t="shared" si="10"/>
        <v>6.088986995162795E-19</v>
      </c>
      <c r="AU43" s="8">
        <f t="shared" si="11"/>
        <v>-3.9022905849209416E-19</v>
      </c>
      <c r="AV43" s="8">
        <f t="shared" si="12"/>
        <v>7.2759576141834259E-9</v>
      </c>
    </row>
    <row r="44" spans="2:48" x14ac:dyDescent="0.2">
      <c r="AB44" s="8">
        <v>5</v>
      </c>
      <c r="AC44" s="8">
        <f t="shared" si="22"/>
        <v>0.15625</v>
      </c>
      <c r="AD44" s="8">
        <f t="shared" si="15"/>
        <v>1.6338117278392544E-2</v>
      </c>
      <c r="AE44" s="8">
        <f t="shared" si="23"/>
        <v>0.1875</v>
      </c>
      <c r="AF44" s="8">
        <f t="shared" si="16"/>
        <v>-1.6008630071195185E-2</v>
      </c>
      <c r="AG44" s="8">
        <f t="shared" si="18"/>
        <v>0.171875</v>
      </c>
      <c r="AH44" s="8">
        <f t="shared" si="17"/>
        <v>1.7123104362393171E-4</v>
      </c>
      <c r="AI44" s="8">
        <f t="shared" si="19"/>
        <v>2.7975928724293463E-6</v>
      </c>
      <c r="AJ44" s="8">
        <f t="shared" si="20"/>
        <v>-2.7411744340802076E-6</v>
      </c>
      <c r="AK44" s="8">
        <f t="shared" si="21"/>
        <v>3.125E-2</v>
      </c>
      <c r="AM44" s="8">
        <v>40</v>
      </c>
      <c r="AN44" s="8">
        <f t="shared" si="13"/>
        <v>1200.0388219712477</v>
      </c>
      <c r="AO44" s="20">
        <v>-3.3071501093218103E-10</v>
      </c>
      <c r="AP44" s="8">
        <f t="shared" si="14"/>
        <v>1200.0388219748856</v>
      </c>
      <c r="AQ44" s="20">
        <v>1.1799556887126528E-9</v>
      </c>
      <c r="AR44" s="11">
        <f t="shared" si="9"/>
        <v>1200.0388219730667</v>
      </c>
      <c r="AS44" s="20">
        <v>4.2450665205251426E-10</v>
      </c>
      <c r="AT44" s="8">
        <f t="shared" si="10"/>
        <v>-1.4039072207433082E-19</v>
      </c>
      <c r="AU44" s="8">
        <f t="shared" si="11"/>
        <v>5.0089903898572691E-19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0.171875</v>
      </c>
      <c r="AD45" s="8">
        <f t="shared" si="15"/>
        <v>1.7123104362393171E-4</v>
      </c>
      <c r="AE45" s="8">
        <f t="shared" si="23"/>
        <v>0.1875</v>
      </c>
      <c r="AF45" s="8">
        <f t="shared" si="16"/>
        <v>-1.6008630071195185E-2</v>
      </c>
      <c r="AG45" s="8">
        <f t="shared" si="18"/>
        <v>0.1796875</v>
      </c>
      <c r="AH45" s="8">
        <f t="shared" si="17"/>
        <v>-7.9174431957055869E-3</v>
      </c>
      <c r="AI45" s="8">
        <f t="shared" si="19"/>
        <v>-1.3557120612338645E-6</v>
      </c>
      <c r="AJ45" s="8">
        <f t="shared" si="20"/>
        <v>1.2674741922975215E-4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0.171875</v>
      </c>
      <c r="AD46" s="8">
        <f t="shared" si="15"/>
        <v>1.7123104362393171E-4</v>
      </c>
      <c r="AE46" s="8">
        <f t="shared" si="23"/>
        <v>0.1796875</v>
      </c>
      <c r="AF46" s="8">
        <f t="shared" si="16"/>
        <v>-7.9174431957055869E-3</v>
      </c>
      <c r="AG46" s="8">
        <f t="shared" si="18"/>
        <v>0.17578125</v>
      </c>
      <c r="AH46" s="8">
        <f t="shared" si="17"/>
        <v>-3.8727480181492968E-3</v>
      </c>
      <c r="AI46" s="8">
        <f t="shared" si="19"/>
        <v>-6.6313468484021728E-7</v>
      </c>
      <c r="AJ46" s="8">
        <f t="shared" si="20"/>
        <v>3.0662262444978448E-5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0.171875</v>
      </c>
      <c r="AD47" s="8">
        <f t="shared" si="15"/>
        <v>1.7123104362393171E-4</v>
      </c>
      <c r="AE47" s="8">
        <f t="shared" si="23"/>
        <v>0.17578125</v>
      </c>
      <c r="AF47" s="8">
        <f t="shared" si="16"/>
        <v>-3.8727480181492968E-3</v>
      </c>
      <c r="AG47" s="8">
        <f t="shared" si="18"/>
        <v>0.173828125</v>
      </c>
      <c r="AH47" s="8">
        <f t="shared" si="17"/>
        <v>-1.8506633232502345E-3</v>
      </c>
      <c r="AI47" s="8">
        <f t="shared" si="19"/>
        <v>-3.1689101223667132E-7</v>
      </c>
      <c r="AJ47" s="8">
        <f t="shared" si="20"/>
        <v>7.1671527173789372E-6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0.171875</v>
      </c>
      <c r="AD48" s="8">
        <f t="shared" si="15"/>
        <v>1.7123104362393171E-4</v>
      </c>
      <c r="AE48" s="8">
        <f t="shared" si="23"/>
        <v>0.173828125</v>
      </c>
      <c r="AF48" s="8">
        <f t="shared" si="16"/>
        <v>-1.8506633232502345E-3</v>
      </c>
      <c r="AG48" s="8">
        <f t="shared" si="18"/>
        <v>0.1728515625</v>
      </c>
      <c r="AH48" s="8">
        <f t="shared" si="17"/>
        <v>-8.3969163319788653E-4</v>
      </c>
      <c r="AI48" s="8">
        <f t="shared" si="19"/>
        <v>-1.4378127467475777E-7</v>
      </c>
      <c r="AJ48" s="8">
        <f t="shared" si="20"/>
        <v>1.5539865083994176E-6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0.171875</v>
      </c>
      <c r="AD49" s="8">
        <f t="shared" si="15"/>
        <v>1.7123104362393171E-4</v>
      </c>
      <c r="AE49" s="8">
        <f t="shared" si="23"/>
        <v>0.1728515625</v>
      </c>
      <c r="AF49" s="8">
        <f t="shared" si="16"/>
        <v>-8.3969163319788653E-4</v>
      </c>
      <c r="AG49" s="8">
        <f t="shared" si="18"/>
        <v>0.17236328125</v>
      </c>
      <c r="AH49" s="8">
        <f t="shared" si="17"/>
        <v>-3.3422407809646781E-4</v>
      </c>
      <c r="AI49" s="8">
        <f t="shared" si="19"/>
        <v>-5.7229537696704642E-8</v>
      </c>
      <c r="AJ49" s="8">
        <f t="shared" si="20"/>
        <v>2.8064516199088104E-7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0.171875</v>
      </c>
      <c r="AD50" s="8">
        <f t="shared" si="15"/>
        <v>1.7123104362393171E-4</v>
      </c>
      <c r="AE50" s="8">
        <f t="shared" si="23"/>
        <v>0.17236328125</v>
      </c>
      <c r="AF50" s="8">
        <f t="shared" si="16"/>
        <v>-3.3422407809646781E-4</v>
      </c>
      <c r="AG50" s="8">
        <f t="shared" si="18"/>
        <v>0.172119140625</v>
      </c>
      <c r="AH50" s="8">
        <f t="shared" si="17"/>
        <v>-8.149495177262045E-5</v>
      </c>
      <c r="AI50" s="8">
        <f t="shared" si="19"/>
        <v>-1.3954465642107783E-8</v>
      </c>
      <c r="AJ50" s="8">
        <f t="shared" si="20"/>
        <v>2.7237575125720176E-8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0.171875</v>
      </c>
      <c r="AD51" s="8">
        <f t="shared" si="15"/>
        <v>1.7123104362393171E-4</v>
      </c>
      <c r="AE51" s="8">
        <f t="shared" si="23"/>
        <v>0.172119140625</v>
      </c>
      <c r="AF51" s="8">
        <f t="shared" si="16"/>
        <v>-8.149495177262045E-5</v>
      </c>
      <c r="AG51" s="8">
        <f t="shared" si="18"/>
        <v>0.1719970703125</v>
      </c>
      <c r="AH51" s="8">
        <f t="shared" si="17"/>
        <v>4.4868438705214508E-5</v>
      </c>
      <c r="AI51" s="8">
        <f t="shared" si="19"/>
        <v>7.6828695852702921E-9</v>
      </c>
      <c r="AJ51" s="8">
        <f t="shared" si="20"/>
        <v>-3.6565512483942333E-9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0.1719970703125</v>
      </c>
      <c r="AD52" s="8">
        <f t="shared" si="15"/>
        <v>4.4868438705214508E-5</v>
      </c>
      <c r="AE52" s="8">
        <f t="shared" si="23"/>
        <v>0.172119140625</v>
      </c>
      <c r="AF52" s="8">
        <f t="shared" si="16"/>
        <v>-8.149495177262045E-5</v>
      </c>
      <c r="AG52" s="8">
        <f t="shared" si="18"/>
        <v>0.17205810546875</v>
      </c>
      <c r="AH52" s="8">
        <f t="shared" si="17"/>
        <v>-1.8313158515609329E-5</v>
      </c>
      <c r="AI52" s="8">
        <f t="shared" si="19"/>
        <v>-8.2168283035649426E-10</v>
      </c>
      <c r="AJ52" s="8">
        <f t="shared" si="20"/>
        <v>1.4924299700339358E-9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0.1719970703125</v>
      </c>
      <c r="AD53" s="8">
        <f t="shared" si="15"/>
        <v>4.4868438705214508E-5</v>
      </c>
      <c r="AE53" s="8">
        <f t="shared" si="23"/>
        <v>0.17205810546875</v>
      </c>
      <c r="AF53" s="8">
        <f t="shared" si="16"/>
        <v>-1.8313158515609329E-5</v>
      </c>
      <c r="AG53" s="8">
        <f t="shared" si="18"/>
        <v>0.172027587890625</v>
      </c>
      <c r="AH53" s="8">
        <f t="shared" si="17"/>
        <v>1.3277664621419438E-5</v>
      </c>
      <c r="AI53" s="8">
        <f t="shared" si="19"/>
        <v>5.9574808121455329E-10</v>
      </c>
      <c r="AJ53" s="8">
        <f t="shared" si="20"/>
        <v>-2.431559769291521E-10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0.172027587890625</v>
      </c>
      <c r="AD54" s="8">
        <f t="shared" si="15"/>
        <v>1.3277664621419438E-5</v>
      </c>
      <c r="AE54" s="8">
        <f t="shared" si="23"/>
        <v>0.17205810546875</v>
      </c>
      <c r="AF54" s="8">
        <f t="shared" si="16"/>
        <v>-1.8313158515609329E-5</v>
      </c>
      <c r="AG54" s="8">
        <f t="shared" si="18"/>
        <v>0.1720428466796875</v>
      </c>
      <c r="AH54" s="8">
        <f t="shared" si="17"/>
        <v>-2.5177408181920047E-6</v>
      </c>
      <c r="AI54" s="8">
        <f t="shared" si="19"/>
        <v>-3.3429718187611613E-11</v>
      </c>
      <c r="AJ54" s="8">
        <f t="shared" si="20"/>
        <v>4.6107786704770113E-11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0.172027587890625</v>
      </c>
      <c r="AD55" s="8">
        <f t="shared" si="15"/>
        <v>1.3277664621419438E-5</v>
      </c>
      <c r="AE55" s="8">
        <f t="shared" si="23"/>
        <v>0.1720428466796875</v>
      </c>
      <c r="AF55" s="8">
        <f t="shared" si="16"/>
        <v>-2.5177408181920047E-6</v>
      </c>
      <c r="AG55" s="8">
        <f t="shared" si="18"/>
        <v>0.17203521728515625</v>
      </c>
      <c r="AH55" s="8">
        <f t="shared" si="17"/>
        <v>5.3799634341933356E-6</v>
      </c>
      <c r="AI55" s="8">
        <f t="shared" si="19"/>
        <v>7.1433350154719081E-11</v>
      </c>
      <c r="AJ55" s="8">
        <f t="shared" si="20"/>
        <v>-1.3545353538648995E-11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0.17203521728515625</v>
      </c>
      <c r="AD56" s="8">
        <f t="shared" si="15"/>
        <v>5.3799634341933356E-6</v>
      </c>
      <c r="AE56" s="8">
        <f t="shared" si="23"/>
        <v>0.1720428466796875</v>
      </c>
      <c r="AF56" s="8">
        <f t="shared" si="16"/>
        <v>-2.5177408181920047E-6</v>
      </c>
      <c r="AG56" s="8">
        <f t="shared" si="18"/>
        <v>0.17203903198242188</v>
      </c>
      <c r="AH56" s="8">
        <f t="shared" si="17"/>
        <v>1.4311116910969979E-6</v>
      </c>
      <c r="AI56" s="8">
        <f t="shared" si="19"/>
        <v>7.6993285683484364E-12</v>
      </c>
      <c r="AJ56" s="8">
        <f t="shared" si="20"/>
        <v>-3.603168320066699E-12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0.17203903198242188</v>
      </c>
      <c r="AD57" s="8">
        <f t="shared" si="15"/>
        <v>1.4311116910969979E-6</v>
      </c>
      <c r="AE57" s="8">
        <f t="shared" si="23"/>
        <v>0.1720428466796875</v>
      </c>
      <c r="AF57" s="8">
        <f t="shared" si="16"/>
        <v>-2.5177408181920047E-6</v>
      </c>
      <c r="AG57" s="8">
        <f t="shared" si="18"/>
        <v>0.17204093933105469</v>
      </c>
      <c r="AH57" s="8">
        <f t="shared" si="17"/>
        <v>-5.4331446777688974E-7</v>
      </c>
      <c r="AI57" s="8">
        <f t="shared" si="19"/>
        <v>-7.7754368677765004E-13</v>
      </c>
      <c r="AJ57" s="8">
        <f t="shared" si="20"/>
        <v>1.36792501263614E-12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0.17203903198242188</v>
      </c>
      <c r="AD58" s="8">
        <f t="shared" si="15"/>
        <v>1.4311116910969979E-6</v>
      </c>
      <c r="AE58" s="8">
        <f t="shared" si="23"/>
        <v>0.17204093933105469</v>
      </c>
      <c r="AF58" s="8">
        <f t="shared" si="16"/>
        <v>-5.4331446777688974E-7</v>
      </c>
      <c r="AG58" s="8">
        <f t="shared" si="18"/>
        <v>0.17203998565673828</v>
      </c>
      <c r="AH58" s="8">
        <f t="shared" si="17"/>
        <v>4.4389863559923803E-7</v>
      </c>
      <c r="AI58" s="8">
        <f t="shared" si="19"/>
        <v>6.3526852706807556E-13</v>
      </c>
      <c r="AJ58" s="8">
        <f t="shared" si="20"/>
        <v>-2.4117655094748755E-13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0.17203998565673828</v>
      </c>
      <c r="AD59" s="8">
        <f t="shared" si="15"/>
        <v>4.4389863559923803E-7</v>
      </c>
      <c r="AE59" s="8">
        <f t="shared" si="23"/>
        <v>0.17204093933105469</v>
      </c>
      <c r="AF59" s="8">
        <f t="shared" si="16"/>
        <v>-5.4331446777688974E-7</v>
      </c>
      <c r="AG59" s="8">
        <f t="shared" si="18"/>
        <v>0.17204046249389648</v>
      </c>
      <c r="AH59" s="8">
        <f t="shared" si="17"/>
        <v>-4.9707910121377097E-8</v>
      </c>
      <c r="AI59" s="8">
        <f t="shared" si="19"/>
        <v>-2.2065273481368847E-14</v>
      </c>
      <c r="AJ59" s="8">
        <f t="shared" si="20"/>
        <v>2.700702673189747E-14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0.17203998565673828</v>
      </c>
      <c r="AD60" s="8">
        <f t="shared" si="15"/>
        <v>4.4389863559923803E-7</v>
      </c>
      <c r="AE60" s="8">
        <f t="shared" si="23"/>
        <v>0.17204046249389648</v>
      </c>
      <c r="AF60" s="8">
        <f t="shared" si="16"/>
        <v>-4.9707910121377097E-8</v>
      </c>
      <c r="AG60" s="8">
        <f t="shared" si="18"/>
        <v>0.17204022407531738</v>
      </c>
      <c r="AH60" s="8">
        <f t="shared" si="17"/>
        <v>1.9709536425160934E-7</v>
      </c>
      <c r="AI60" s="8">
        <f t="shared" si="19"/>
        <v>8.7490363274224225E-14</v>
      </c>
      <c r="AJ60" s="8">
        <f t="shared" si="20"/>
        <v>-9.7971986515590773E-15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0.17204022407531738</v>
      </c>
      <c r="AD61" s="8">
        <f t="shared" si="15"/>
        <v>1.9709536425160934E-7</v>
      </c>
      <c r="AE61" s="8">
        <f t="shared" si="23"/>
        <v>0.17204046249389648</v>
      </c>
      <c r="AF61" s="8">
        <f t="shared" si="16"/>
        <v>-4.9707910121377097E-8</v>
      </c>
      <c r="AG61" s="8">
        <f t="shared" si="18"/>
        <v>0.17204034328460693</v>
      </c>
      <c r="AH61" s="8">
        <f t="shared" si="17"/>
        <v>7.3693727425938604E-8</v>
      </c>
      <c r="AI61" s="8">
        <f t="shared" si="19"/>
        <v>1.4524692050074182E-14</v>
      </c>
      <c r="AJ61" s="8">
        <f t="shared" si="20"/>
        <v>-3.6631611793978182E-15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0.17204034328460693</v>
      </c>
      <c r="AD62" s="8">
        <f t="shared" si="15"/>
        <v>7.3693727425938604E-8</v>
      </c>
      <c r="AE62" s="8">
        <f t="shared" si="23"/>
        <v>0.17204046249389648</v>
      </c>
      <c r="AF62" s="8">
        <f t="shared" si="16"/>
        <v>-4.9707910121377097E-8</v>
      </c>
      <c r="AG62" s="8">
        <f t="shared" si="18"/>
        <v>0.17204040288925171</v>
      </c>
      <c r="AH62" s="8">
        <f t="shared" si="17"/>
        <v>1.1992908749425268E-8</v>
      </c>
      <c r="AI62" s="8">
        <f t="shared" si="19"/>
        <v>8.8380214842429993E-16</v>
      </c>
      <c r="AJ62" s="8">
        <f t="shared" si="20"/>
        <v>-5.9614243021030826E-16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0.17204040288925171</v>
      </c>
      <c r="AD63" s="8">
        <f t="shared" si="15"/>
        <v>1.1992908749425268E-8</v>
      </c>
      <c r="AE63" s="8">
        <f t="shared" si="23"/>
        <v>0.17204046249389648</v>
      </c>
      <c r="AF63" s="8">
        <f t="shared" si="16"/>
        <v>-4.9707910121377097E-8</v>
      </c>
      <c r="AG63" s="8">
        <f t="shared" si="18"/>
        <v>0.1720404326915741</v>
      </c>
      <c r="AH63" s="8">
        <f t="shared" si="17"/>
        <v>-1.8857500644342551E-8</v>
      </c>
      <c r="AI63" s="8">
        <f t="shared" si="19"/>
        <v>-2.2615628446982842E-16</v>
      </c>
      <c r="AJ63" s="8">
        <f t="shared" si="20"/>
        <v>9.3736694714279022E-16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0.17204040288925171</v>
      </c>
      <c r="AD64" s="8">
        <f t="shared" si="15"/>
        <v>1.1992908749425268E-8</v>
      </c>
      <c r="AE64" s="8">
        <f t="shared" si="23"/>
        <v>0.1720404326915741</v>
      </c>
      <c r="AF64" s="8">
        <f t="shared" si="16"/>
        <v>-1.8857500644342551E-8</v>
      </c>
      <c r="AG64" s="8">
        <f t="shared" si="18"/>
        <v>0.1720404177904129</v>
      </c>
      <c r="AH64" s="8">
        <f t="shared" si="17"/>
        <v>-3.4322959474586412E-9</v>
      </c>
      <c r="AI64" s="8">
        <f t="shared" si="19"/>
        <v>-4.1163212098893628E-17</v>
      </c>
      <c r="AJ64" s="8">
        <f t="shared" si="20"/>
        <v>6.4724523040775657E-17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0.17204040288925171</v>
      </c>
      <c r="AD65" s="8">
        <f t="shared" si="15"/>
        <v>1.1992908749425268E-8</v>
      </c>
      <c r="AE65" s="8">
        <f t="shared" si="23"/>
        <v>0.1720404177904129</v>
      </c>
      <c r="AF65" s="8">
        <f t="shared" si="16"/>
        <v>-3.4322959474586412E-9</v>
      </c>
      <c r="AG65" s="8">
        <f t="shared" si="18"/>
        <v>0.17204041033983231</v>
      </c>
      <c r="AH65" s="8">
        <f t="shared" si="17"/>
        <v>4.2803064148611014E-9</v>
      </c>
      <c r="AI65" s="8">
        <f t="shared" si="19"/>
        <v>5.1333324253008805E-17</v>
      </c>
      <c r="AJ65" s="8">
        <f t="shared" si="20"/>
        <v>-1.4691278361608982E-17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0.17204041033983231</v>
      </c>
      <c r="AD66" s="8">
        <f t="shared" si="15"/>
        <v>4.2803064148611014E-9</v>
      </c>
      <c r="AE66" s="8">
        <f t="shared" si="23"/>
        <v>0.1720404177904129</v>
      </c>
      <c r="AF66" s="8">
        <f t="shared" si="16"/>
        <v>-3.4322959474586412E-9</v>
      </c>
      <c r="AG66" s="8">
        <f t="shared" si="18"/>
        <v>0.1720404140651226</v>
      </c>
      <c r="AH66" s="8">
        <f t="shared" si="17"/>
        <v>4.240052198234423E-10</v>
      </c>
      <c r="AI66" s="8">
        <f t="shared" si="19"/>
        <v>1.8148722623448715E-18</v>
      </c>
      <c r="AJ66" s="8">
        <f t="shared" si="20"/>
        <v>-1.4553113977013113E-18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0.1720404140651226</v>
      </c>
      <c r="AD67" s="8">
        <f t="shared" si="15"/>
        <v>4.240052198234423E-10</v>
      </c>
      <c r="AE67" s="8">
        <f t="shared" si="23"/>
        <v>0.1720404177904129</v>
      </c>
      <c r="AF67" s="8">
        <f t="shared" si="16"/>
        <v>-3.4322959474586412E-9</v>
      </c>
      <c r="AG67" s="8">
        <f t="shared" si="18"/>
        <v>0.17204041592776775</v>
      </c>
      <c r="AH67" s="8">
        <f t="shared" si="17"/>
        <v>-1.5041453638175994E-9</v>
      </c>
      <c r="AI67" s="8">
        <f t="shared" si="19"/>
        <v>-6.3776548563189285E-19</v>
      </c>
      <c r="AJ67" s="8">
        <f t="shared" si="20"/>
        <v>5.1626720366198501E-18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0.1720404140651226</v>
      </c>
      <c r="AD68" s="8">
        <f t="shared" si="15"/>
        <v>4.240052198234423E-10</v>
      </c>
      <c r="AE68" s="8">
        <f t="shared" si="23"/>
        <v>0.17204041592776775</v>
      </c>
      <c r="AF68" s="8">
        <f t="shared" si="16"/>
        <v>-1.5041453638175994E-9</v>
      </c>
      <c r="AG68" s="8">
        <f t="shared" si="18"/>
        <v>0.17204041499644518</v>
      </c>
      <c r="AH68" s="8">
        <f t="shared" si="17"/>
        <v>-5.4007007199707857E-10</v>
      </c>
      <c r="AI68" s="8">
        <f t="shared" si="19"/>
        <v>-2.2899252959718361E-19</v>
      </c>
      <c r="AJ68" s="8">
        <f t="shared" si="20"/>
        <v>8.1234389493104287E-19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0.1720404140651226</v>
      </c>
      <c r="AD69" s="8">
        <f t="shared" si="15"/>
        <v>4.240052198234423E-10</v>
      </c>
      <c r="AE69" s="8">
        <f t="shared" si="23"/>
        <v>0.17204041499644518</v>
      </c>
      <c r="AF69" s="8">
        <f t="shared" si="16"/>
        <v>-5.4007007199707857E-10</v>
      </c>
      <c r="AG69" s="8">
        <f t="shared" si="18"/>
        <v>0.17204041453078389</v>
      </c>
      <c r="AH69" s="8">
        <f t="shared" si="17"/>
        <v>-5.8032412209030326E-11</v>
      </c>
      <c r="AI69" s="8">
        <f t="shared" si="19"/>
        <v>-2.460604569557452E-20</v>
      </c>
      <c r="AJ69" s="8">
        <f t="shared" si="20"/>
        <v>3.134156903989515E-20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0.14880708906855705</v>
      </c>
      <c r="AE74" s="9">
        <v>1</v>
      </c>
      <c r="AF74" s="8">
        <f xml:space="preserve"> $C$18 * TAN($W$17/180*PI()) + $W$20 / (2 * SQRT($C$18^2 + AE74^2)) - AE74</f>
        <v>-0.8695307938904745</v>
      </c>
      <c r="AG74" s="8">
        <f xml:space="preserve"> (AC74 + AE74)/2</f>
        <v>0.5</v>
      </c>
      <c r="AH74" s="8">
        <f xml:space="preserve"> $C$18 * TAN($W$17/180*PI()) + $W$20 / (2 * SQRT($C$18^2 + AG74^2)) - AG74</f>
        <v>-0.36368585080036953</v>
      </c>
      <c r="AI74" s="8">
        <f>AD74*AH74</f>
        <v>-5.4119032793024539E-2</v>
      </c>
      <c r="AJ74" s="8">
        <f>AF74*AH74</f>
        <v>0.316236046573178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0.14880708906855705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-0.36368585080036953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-0.10715701453971632</v>
      </c>
      <c r="AI75" s="8">
        <f t="shared" ref="AI75:AI104" si="28">AD75*AH75</f>
        <v>-1.5945723406932229E-2</v>
      </c>
      <c r="AJ75" s="8">
        <f t="shared" ref="AJ75:AJ104" si="29">AF75*AH75</f>
        <v>3.89714900021043E-2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0.14880708906855705</v>
      </c>
      <c r="AE76" s="8">
        <f t="shared" ref="AE76:AE104" si="32">IF(AJ75&gt;0, AG75, AE75)</f>
        <v>0.25</v>
      </c>
      <c r="AF76" s="8">
        <f t="shared" si="25"/>
        <v>-0.10715701453971632</v>
      </c>
      <c r="AG76" s="8">
        <f t="shared" si="26"/>
        <v>0.125</v>
      </c>
      <c r="AH76" s="8">
        <f t="shared" si="27"/>
        <v>2.1827713223184053E-2</v>
      </c>
      <c r="AI76" s="8">
        <f t="shared" si="28"/>
        <v>3.24811846576527E-3</v>
      </c>
      <c r="AJ76" s="8">
        <f t="shared" si="29"/>
        <v>-2.338992583225492E-3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0.125</v>
      </c>
      <c r="AD77" s="8">
        <f t="shared" si="24"/>
        <v>2.1827713223184053E-2</v>
      </c>
      <c r="AE77" s="8">
        <f t="shared" si="32"/>
        <v>0.25</v>
      </c>
      <c r="AF77" s="8">
        <f t="shared" si="25"/>
        <v>-0.10715701453971632</v>
      </c>
      <c r="AG77" s="8">
        <f t="shared" si="26"/>
        <v>0.1875</v>
      </c>
      <c r="AH77" s="8">
        <f t="shared" si="27"/>
        <v>-4.2604201243047701E-2</v>
      </c>
      <c r="AI77" s="8">
        <f t="shared" si="28"/>
        <v>-9.2995228683606678E-4</v>
      </c>
      <c r="AJ77" s="8">
        <f t="shared" si="29"/>
        <v>4.5653390120542628E-3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0.125</v>
      </c>
      <c r="AD78" s="8">
        <f t="shared" si="24"/>
        <v>2.1827713223184053E-2</v>
      </c>
      <c r="AE78" s="8">
        <f t="shared" si="32"/>
        <v>0.1875</v>
      </c>
      <c r="AF78" s="8">
        <f t="shared" si="25"/>
        <v>-4.2604201243047701E-2</v>
      </c>
      <c r="AG78" s="8">
        <f t="shared" si="26"/>
        <v>0.15625</v>
      </c>
      <c r="AH78" s="8">
        <f t="shared" si="27"/>
        <v>-1.0352824824715889E-2</v>
      </c>
      <c r="AI78" s="8">
        <f t="shared" si="28"/>
        <v>-2.2597849132375915E-4</v>
      </c>
      <c r="AJ78" s="8">
        <f t="shared" si="29"/>
        <v>4.4107383226621579E-4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0.125</v>
      </c>
      <c r="AD79" s="8">
        <f t="shared" si="24"/>
        <v>2.1827713223184053E-2</v>
      </c>
      <c r="AE79" s="8">
        <f t="shared" si="32"/>
        <v>0.15625</v>
      </c>
      <c r="AF79" s="8">
        <f t="shared" si="25"/>
        <v>-1.0352824824715889E-2</v>
      </c>
      <c r="AG79" s="8">
        <f t="shared" si="26"/>
        <v>0.140625</v>
      </c>
      <c r="AH79" s="8">
        <f t="shared" si="27"/>
        <v>5.7493691872916586E-3</v>
      </c>
      <c r="AI79" s="8">
        <f t="shared" si="28"/>
        <v>1.2549558183441308E-4</v>
      </c>
      <c r="AJ79" s="8">
        <f t="shared" si="29"/>
        <v>-5.95222120486497E-5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0.140625</v>
      </c>
      <c r="AD80" s="8">
        <f t="shared" si="24"/>
        <v>5.7493691872916586E-3</v>
      </c>
      <c r="AE80" s="8">
        <f t="shared" si="32"/>
        <v>0.15625</v>
      </c>
      <c r="AF80" s="8">
        <f t="shared" si="25"/>
        <v>-1.0352824824715889E-2</v>
      </c>
      <c r="AG80" s="8">
        <f t="shared" si="26"/>
        <v>0.1484375</v>
      </c>
      <c r="AH80" s="8">
        <f t="shared" si="27"/>
        <v>-2.2991508132053917E-3</v>
      </c>
      <c r="AI80" s="8">
        <f t="shared" si="28"/>
        <v>-1.3218666842379639E-5</v>
      </c>
      <c r="AJ80" s="8">
        <f t="shared" si="29"/>
        <v>2.3802705614718504E-5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0.140625</v>
      </c>
      <c r="AD81" s="8">
        <f t="shared" si="24"/>
        <v>5.7493691872916586E-3</v>
      </c>
      <c r="AE81" s="8">
        <f t="shared" si="32"/>
        <v>0.1484375</v>
      </c>
      <c r="AF81" s="8">
        <f t="shared" si="25"/>
        <v>-2.2991508132053917E-3</v>
      </c>
      <c r="AG81" s="8">
        <f t="shared" si="26"/>
        <v>0.14453125</v>
      </c>
      <c r="AH81" s="8">
        <f t="shared" si="27"/>
        <v>1.7258028484878341E-3</v>
      </c>
      <c r="AI81" s="8">
        <f t="shared" si="28"/>
        <v>9.9222777204361283E-6</v>
      </c>
      <c r="AJ81" s="8">
        <f t="shared" si="29"/>
        <v>-3.967881022532985E-6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0.14453125</v>
      </c>
      <c r="AD82" s="8">
        <f t="shared" si="24"/>
        <v>1.7258028484878341E-3</v>
      </c>
      <c r="AE82" s="8">
        <f t="shared" si="32"/>
        <v>0.1484375</v>
      </c>
      <c r="AF82" s="8">
        <f t="shared" si="25"/>
        <v>-2.2991508132053917E-3</v>
      </c>
      <c r="AG82" s="8">
        <f t="shared" si="26"/>
        <v>0.146484375</v>
      </c>
      <c r="AH82" s="8">
        <f t="shared" si="27"/>
        <v>-2.8650681925057597E-4</v>
      </c>
      <c r="AI82" s="8">
        <f t="shared" si="28"/>
        <v>-4.9445428477383306E-7</v>
      </c>
      <c r="AJ82" s="8">
        <f t="shared" si="29"/>
        <v>6.5872238646885194E-7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0.14453125</v>
      </c>
      <c r="AD83" s="8">
        <f t="shared" si="24"/>
        <v>1.7258028484878341E-3</v>
      </c>
      <c r="AE83" s="8">
        <f t="shared" si="32"/>
        <v>0.146484375</v>
      </c>
      <c r="AF83" s="8">
        <f t="shared" si="25"/>
        <v>-2.8650681925057597E-4</v>
      </c>
      <c r="AG83" s="8">
        <f t="shared" si="26"/>
        <v>0.1455078125</v>
      </c>
      <c r="AH83" s="8">
        <f t="shared" si="27"/>
        <v>7.1969058234827576E-4</v>
      </c>
      <c r="AI83" s="8">
        <f t="shared" si="28"/>
        <v>1.2420440570465224E-6</v>
      </c>
      <c r="AJ83" s="8">
        <f t="shared" si="29"/>
        <v>-2.0619625959319921E-7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0.1455078125</v>
      </c>
      <c r="AD84" s="8">
        <f t="shared" si="24"/>
        <v>7.1969058234827576E-4</v>
      </c>
      <c r="AE84" s="8">
        <f t="shared" si="32"/>
        <v>0.146484375</v>
      </c>
      <c r="AF84" s="8">
        <f t="shared" si="25"/>
        <v>-2.8650681925057597E-4</v>
      </c>
      <c r="AG84" s="8">
        <f t="shared" si="26"/>
        <v>0.14599609375</v>
      </c>
      <c r="AH84" s="8">
        <f t="shared" si="27"/>
        <v>2.1660242607041136E-4</v>
      </c>
      <c r="AI84" s="8">
        <f t="shared" si="28"/>
        <v>1.558867261566637E-7</v>
      </c>
      <c r="AJ84" s="8">
        <f t="shared" si="29"/>
        <v>-6.2058072135391595E-8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0.14599609375</v>
      </c>
      <c r="AD85" s="8">
        <f t="shared" si="24"/>
        <v>2.1660242607041136E-4</v>
      </c>
      <c r="AE85" s="8">
        <f t="shared" si="32"/>
        <v>0.146484375</v>
      </c>
      <c r="AF85" s="8">
        <f t="shared" si="25"/>
        <v>-2.8650681925057597E-4</v>
      </c>
      <c r="AG85" s="8">
        <f t="shared" si="26"/>
        <v>0.146240234375</v>
      </c>
      <c r="AH85" s="8">
        <f t="shared" si="27"/>
        <v>-3.4949572610715185E-5</v>
      </c>
      <c r="AI85" s="8">
        <f t="shared" si="28"/>
        <v>-7.5701622176049095E-9</v>
      </c>
      <c r="AJ85" s="8">
        <f t="shared" si="29"/>
        <v>1.0013290882863056E-8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0.14599609375</v>
      </c>
      <c r="AD86" s="8">
        <f t="shared" si="24"/>
        <v>2.1660242607041136E-4</v>
      </c>
      <c r="AE86" s="8">
        <f t="shared" si="32"/>
        <v>0.146240234375</v>
      </c>
      <c r="AF86" s="8">
        <f t="shared" si="25"/>
        <v>-3.4949572610715185E-5</v>
      </c>
      <c r="AG86" s="8">
        <f t="shared" si="26"/>
        <v>0.1461181640625</v>
      </c>
      <c r="AH86" s="8">
        <f t="shared" si="27"/>
        <v>9.0827084242434131E-5</v>
      </c>
      <c r="AI86" s="8">
        <f t="shared" si="28"/>
        <v>1.9673366799812863E-8</v>
      </c>
      <c r="AJ86" s="8">
        <f t="shared" si="29"/>
        <v>-3.1743677757504966E-9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0.1461181640625</v>
      </c>
      <c r="AD87" s="8">
        <f t="shared" si="24"/>
        <v>9.0827084242434131E-5</v>
      </c>
      <c r="AE87" s="8">
        <f t="shared" si="32"/>
        <v>0.146240234375</v>
      </c>
      <c r="AF87" s="8">
        <f t="shared" si="25"/>
        <v>-3.4949572610715185E-5</v>
      </c>
      <c r="AG87" s="8">
        <f t="shared" si="26"/>
        <v>0.14617919921875</v>
      </c>
      <c r="AH87" s="8">
        <f t="shared" si="27"/>
        <v>2.7938920004216827E-5</v>
      </c>
      <c r="AI87" s="8">
        <f t="shared" si="28"/>
        <v>2.5376106408656299E-9</v>
      </c>
      <c r="AJ87" s="8">
        <f t="shared" si="29"/>
        <v>-9.76453313352339E-10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0.14617919921875</v>
      </c>
      <c r="AD88" s="8">
        <f t="shared" si="24"/>
        <v>2.7938920004216827E-5</v>
      </c>
      <c r="AE88" s="8">
        <f t="shared" si="32"/>
        <v>0.146240234375</v>
      </c>
      <c r="AF88" s="8">
        <f t="shared" si="25"/>
        <v>-3.4949572610715185E-5</v>
      </c>
      <c r="AG88" s="8">
        <f t="shared" si="26"/>
        <v>0.146209716796875</v>
      </c>
      <c r="AH88" s="8">
        <f t="shared" si="27"/>
        <v>-3.5052852798700407E-6</v>
      </c>
      <c r="AI88" s="8">
        <f t="shared" si="28"/>
        <v>-9.7933885026247854E-11</v>
      </c>
      <c r="AJ88" s="8">
        <f t="shared" si="29"/>
        <v>1.2250822241008908E-10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0.14617919921875</v>
      </c>
      <c r="AD89" s="8">
        <f t="shared" si="24"/>
        <v>2.7938920004216827E-5</v>
      </c>
      <c r="AE89" s="8">
        <f t="shared" si="32"/>
        <v>0.146209716796875</v>
      </c>
      <c r="AF89" s="8">
        <f t="shared" si="25"/>
        <v>-3.5052852798700407E-6</v>
      </c>
      <c r="AG89" s="8">
        <f t="shared" si="26"/>
        <v>0.1461944580078125</v>
      </c>
      <c r="AH89" s="8">
        <f t="shared" si="27"/>
        <v>1.2216827620981086E-5</v>
      </c>
      <c r="AI89" s="8">
        <f t="shared" si="28"/>
        <v>3.4132496960789714E-10</v>
      </c>
      <c r="AJ89" s="8">
        <f t="shared" si="29"/>
        <v>-4.2823466026534731E-11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0.1461944580078125</v>
      </c>
      <c r="AD90" s="8">
        <f t="shared" si="24"/>
        <v>1.2216827620981086E-5</v>
      </c>
      <c r="AE90" s="8">
        <f t="shared" si="32"/>
        <v>0.146209716796875</v>
      </c>
      <c r="AF90" s="8">
        <f t="shared" si="25"/>
        <v>-3.5052852798700407E-6</v>
      </c>
      <c r="AG90" s="8">
        <f t="shared" si="26"/>
        <v>0.14620208740234375</v>
      </c>
      <c r="AH90" s="8">
        <f t="shared" si="27"/>
        <v>4.3557737348931536E-6</v>
      </c>
      <c r="AI90" s="8">
        <f t="shared" si="28"/>
        <v>5.3213736875186622E-11</v>
      </c>
      <c r="AJ90" s="8">
        <f t="shared" si="29"/>
        <v>-1.526822955536552E-11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0.14620208740234375</v>
      </c>
      <c r="AD91" s="8">
        <f t="shared" si="24"/>
        <v>4.3557737348931536E-6</v>
      </c>
      <c r="AE91" s="8">
        <f t="shared" si="32"/>
        <v>0.146209716796875</v>
      </c>
      <c r="AF91" s="8">
        <f t="shared" si="25"/>
        <v>-3.5052852798700407E-6</v>
      </c>
      <c r="AG91" s="8">
        <f t="shared" si="26"/>
        <v>0.14620590209960938</v>
      </c>
      <c r="AH91" s="8">
        <f t="shared" si="27"/>
        <v>4.2524486854045307E-7</v>
      </c>
      <c r="AI91" s="8">
        <f t="shared" si="28"/>
        <v>1.8522704292865973E-12</v>
      </c>
      <c r="AJ91" s="8">
        <f t="shared" si="29"/>
        <v>-1.4906045780351207E-12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0.14620590209960938</v>
      </c>
      <c r="AD92" s="8">
        <f t="shared" si="24"/>
        <v>4.2524486854045307E-7</v>
      </c>
      <c r="AE92" s="8">
        <f t="shared" si="32"/>
        <v>0.146209716796875</v>
      </c>
      <c r="AF92" s="8">
        <f t="shared" si="25"/>
        <v>-3.5052852798700407E-6</v>
      </c>
      <c r="AG92" s="8">
        <f t="shared" si="26"/>
        <v>0.14620780944824219</v>
      </c>
      <c r="AH92" s="8">
        <f t="shared" si="27"/>
        <v>-1.5400200454041002E-6</v>
      </c>
      <c r="AI92" s="8">
        <f t="shared" si="28"/>
        <v>-6.5488562175752919E-13</v>
      </c>
      <c r="AJ92" s="8">
        <f t="shared" si="29"/>
        <v>5.3982095958597842E-12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0.14620590209960938</v>
      </c>
      <c r="AD93" s="8">
        <f t="shared" si="24"/>
        <v>4.2524486854045307E-7</v>
      </c>
      <c r="AE93" s="8">
        <f t="shared" si="32"/>
        <v>0.14620780944824219</v>
      </c>
      <c r="AF93" s="8">
        <f t="shared" si="25"/>
        <v>-1.5400200454041002E-6</v>
      </c>
      <c r="AG93" s="8">
        <f t="shared" si="26"/>
        <v>0.14620685577392578</v>
      </c>
      <c r="AH93" s="8">
        <f t="shared" si="27"/>
        <v>-5.5738754836665017E-7</v>
      </c>
      <c r="AI93" s="8">
        <f t="shared" si="28"/>
        <v>-2.3702619473126156E-13</v>
      </c>
      <c r="AJ93" s="8">
        <f t="shared" si="29"/>
        <v>8.5838799754328872E-13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0.14620590209960938</v>
      </c>
      <c r="AD94" s="8">
        <f t="shared" si="24"/>
        <v>4.2524486854045307E-7</v>
      </c>
      <c r="AE94" s="8">
        <f t="shared" si="32"/>
        <v>0.14620685577392578</v>
      </c>
      <c r="AF94" s="8">
        <f t="shared" si="25"/>
        <v>-5.5738754836665017E-7</v>
      </c>
      <c r="AG94" s="8">
        <f t="shared" si="26"/>
        <v>0.14620637893676758</v>
      </c>
      <c r="AH94" s="8">
        <f t="shared" si="27"/>
        <v>-6.6071329907213538E-8</v>
      </c>
      <c r="AI94" s="8">
        <f t="shared" si="28"/>
        <v>-2.8096494000685926E-14</v>
      </c>
      <c r="AJ94" s="8">
        <f t="shared" si="29"/>
        <v>3.6827336594305888E-14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0.14620590209960938</v>
      </c>
      <c r="AD95" s="8">
        <f t="shared" si="24"/>
        <v>4.2524486854045307E-7</v>
      </c>
      <c r="AE95" s="8">
        <f t="shared" si="32"/>
        <v>0.14620637893676758</v>
      </c>
      <c r="AF95" s="8">
        <f t="shared" si="25"/>
        <v>-6.6071329907213538E-8</v>
      </c>
      <c r="AG95" s="8">
        <f t="shared" si="26"/>
        <v>0.14620614051818848</v>
      </c>
      <c r="AH95" s="8">
        <f t="shared" si="27"/>
        <v>1.7958677181462157E-7</v>
      </c>
      <c r="AI95" s="8">
        <f t="shared" si="28"/>
        <v>7.6368353171913094E-14</v>
      </c>
      <c r="AJ95" s="8">
        <f t="shared" si="29"/>
        <v>-1.1865536847535339E-14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0.14620614051818848</v>
      </c>
      <c r="AD96" s="8">
        <f t="shared" si="24"/>
        <v>1.7958677181462157E-7</v>
      </c>
      <c r="AE96" s="8">
        <f t="shared" si="32"/>
        <v>0.14620637893676758</v>
      </c>
      <c r="AF96" s="8">
        <f t="shared" si="25"/>
        <v>-6.6071329907213538E-8</v>
      </c>
      <c r="AG96" s="8">
        <f t="shared" si="26"/>
        <v>0.14620625972747803</v>
      </c>
      <c r="AH96" s="8">
        <f t="shared" si="27"/>
        <v>5.6757721578204468E-8</v>
      </c>
      <c r="AI96" s="8">
        <f t="shared" si="28"/>
        <v>1.0192935993782828E-14</v>
      </c>
      <c r="AJ96" s="8">
        <f t="shared" si="29"/>
        <v>-3.7500581471753198E-15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0.14620625972747803</v>
      </c>
      <c r="AD97" s="8">
        <f t="shared" si="24"/>
        <v>5.6757721578204468E-8</v>
      </c>
      <c r="AE97" s="8">
        <f t="shared" si="32"/>
        <v>0.14620637893676758</v>
      </c>
      <c r="AF97" s="8">
        <f t="shared" si="25"/>
        <v>-6.6071329907213538E-8</v>
      </c>
      <c r="AG97" s="8">
        <f t="shared" si="26"/>
        <v>0.1462063193321228</v>
      </c>
      <c r="AH97" s="8">
        <f t="shared" si="27"/>
        <v>-4.6568039979710818E-9</v>
      </c>
      <c r="AI97" s="8">
        <f t="shared" si="28"/>
        <v>-2.6430958476111209E-16</v>
      </c>
      <c r="AJ97" s="8">
        <f t="shared" si="29"/>
        <v>3.0768123326317833E-16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0.14620625972747803</v>
      </c>
      <c r="AD98" s="8">
        <f t="shared" si="24"/>
        <v>5.6757721578204468E-8</v>
      </c>
      <c r="AE98" s="8">
        <f t="shared" si="32"/>
        <v>0.1462063193321228</v>
      </c>
      <c r="AF98" s="8">
        <f t="shared" si="25"/>
        <v>-4.6568039979710818E-9</v>
      </c>
      <c r="AG98" s="8">
        <f t="shared" si="26"/>
        <v>0.14620628952980042</v>
      </c>
      <c r="AH98" s="8">
        <f t="shared" si="27"/>
        <v>2.6050458845627844E-8</v>
      </c>
      <c r="AI98" s="8">
        <f t="shared" si="28"/>
        <v>1.478564690144619E-15</v>
      </c>
      <c r="AJ98" s="8">
        <f t="shared" si="29"/>
        <v>-1.2131188090130087E-16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0.14620628952980042</v>
      </c>
      <c r="AD99" s="8">
        <f t="shared" si="24"/>
        <v>2.6050458845627844E-8</v>
      </c>
      <c r="AE99" s="8">
        <f t="shared" si="32"/>
        <v>0.1462063193321228</v>
      </c>
      <c r="AF99" s="8">
        <f t="shared" si="25"/>
        <v>-4.6568039979710818E-9</v>
      </c>
      <c r="AG99" s="8">
        <f t="shared" si="26"/>
        <v>0.14620630443096161</v>
      </c>
      <c r="AH99" s="8">
        <f t="shared" si="27"/>
        <v>1.0696827423828381E-8</v>
      </c>
      <c r="AI99" s="8">
        <f t="shared" si="28"/>
        <v>2.7865726258322456E-16</v>
      </c>
      <c r="AJ99" s="8">
        <f t="shared" si="29"/>
        <v>-4.9813028712890713E-17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0.14620630443096161</v>
      </c>
      <c r="AD100" s="8">
        <f t="shared" si="24"/>
        <v>1.0696827423828381E-8</v>
      </c>
      <c r="AE100" s="8">
        <f t="shared" si="32"/>
        <v>0.1462063193321228</v>
      </c>
      <c r="AF100" s="8">
        <f t="shared" si="25"/>
        <v>-4.6568039979710818E-9</v>
      </c>
      <c r="AG100" s="8">
        <f t="shared" si="26"/>
        <v>0.14620631188154221</v>
      </c>
      <c r="AH100" s="8">
        <f t="shared" si="27"/>
        <v>3.0200117129286497E-9</v>
      </c>
      <c r="AI100" s="8">
        <f t="shared" si="28"/>
        <v>3.2304544111138104E-17</v>
      </c>
      <c r="AJ100" s="8">
        <f t="shared" si="29"/>
        <v>-1.4063602618685632E-17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0.14620631188154221</v>
      </c>
      <c r="AD101" s="8">
        <f t="shared" si="24"/>
        <v>3.0200117129286497E-9</v>
      </c>
      <c r="AE101" s="8">
        <f t="shared" si="32"/>
        <v>0.1462063193321228</v>
      </c>
      <c r="AF101" s="8">
        <f t="shared" si="25"/>
        <v>-4.6568039979710818E-9</v>
      </c>
      <c r="AG101" s="8">
        <f t="shared" si="26"/>
        <v>0.1462063156068325</v>
      </c>
      <c r="AH101" s="8">
        <f t="shared" si="27"/>
        <v>-8.1839612864342826E-10</v>
      </c>
      <c r="AI101" s="8">
        <f t="shared" si="28"/>
        <v>-2.4715658943186153E-18</v>
      </c>
      <c r="AJ101" s="8">
        <f t="shared" si="29"/>
        <v>3.8111103637907725E-18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0.14620631188154221</v>
      </c>
      <c r="AD102" s="8">
        <f t="shared" si="24"/>
        <v>3.0200117129286497E-9</v>
      </c>
      <c r="AE102" s="8">
        <f t="shared" si="32"/>
        <v>0.1462063156068325</v>
      </c>
      <c r="AF102" s="8">
        <f t="shared" si="25"/>
        <v>-8.1839612864342826E-10</v>
      </c>
      <c r="AG102" s="8">
        <f t="shared" si="26"/>
        <v>0.14620631374418736</v>
      </c>
      <c r="AH102" s="8">
        <f t="shared" si="27"/>
        <v>1.1008077782648229E-9</v>
      </c>
      <c r="AI102" s="8">
        <f t="shared" si="28"/>
        <v>3.324452384042729E-18</v>
      </c>
      <c r="AJ102" s="8">
        <f t="shared" si="29"/>
        <v>-9.0089682411250445E-19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0.14620631374418736</v>
      </c>
      <c r="AD103" s="8">
        <f t="shared" si="24"/>
        <v>1.1008077782648229E-9</v>
      </c>
      <c r="AE103" s="8">
        <f t="shared" si="32"/>
        <v>0.1462063156068325</v>
      </c>
      <c r="AF103" s="8">
        <f t="shared" si="25"/>
        <v>-8.1839612864342826E-10</v>
      </c>
      <c r="AG103" s="8">
        <f t="shared" si="26"/>
        <v>0.14620631467550993</v>
      </c>
      <c r="AH103" s="8">
        <f t="shared" si="27"/>
        <v>1.4120582481069732E-10</v>
      </c>
      <c r="AI103" s="8">
        <f t="shared" si="28"/>
        <v>1.5544047028791553E-19</v>
      </c>
      <c r="AJ103" s="8">
        <f t="shared" si="29"/>
        <v>-1.1556230036697684E-19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0.14620631467550993</v>
      </c>
      <c r="AD104" s="8">
        <f t="shared" si="24"/>
        <v>1.4120582481069732E-10</v>
      </c>
      <c r="AE104" s="8">
        <f t="shared" si="32"/>
        <v>0.1462063156068325</v>
      </c>
      <c r="AF104" s="8">
        <f t="shared" si="25"/>
        <v>-8.1839612864342826E-10</v>
      </c>
      <c r="AG104" s="8">
        <f t="shared" si="26"/>
        <v>0.14620631514117122</v>
      </c>
      <c r="AH104" s="8">
        <f t="shared" si="27"/>
        <v>-3.3859515191636547E-10</v>
      </c>
      <c r="AI104" s="8">
        <f t="shared" si="28"/>
        <v>-4.7811607703253748E-20</v>
      </c>
      <c r="AJ104" s="8">
        <f t="shared" si="29"/>
        <v>2.7710496150578697E-19</v>
      </c>
      <c r="AK104" s="8">
        <f t="shared" si="30"/>
        <v>9.3132257461547852E-10</v>
      </c>
    </row>
  </sheetData>
  <mergeCells count="28">
    <mergeCell ref="V3:X3"/>
    <mergeCell ref="V11:X11"/>
    <mergeCell ref="V16:X16"/>
    <mergeCell ref="F10:H10"/>
    <mergeCell ref="F26:H26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2:P12"/>
    <mergeCell ref="N17:P17"/>
    <mergeCell ref="J3:L3"/>
    <mergeCell ref="B41:D41"/>
    <mergeCell ref="B24:D24"/>
    <mergeCell ref="B29:D29"/>
    <mergeCell ref="J31:L31"/>
    <mergeCell ref="J8:L8"/>
    <mergeCell ref="F37:H37"/>
    <mergeCell ref="B32:D32"/>
    <mergeCell ref="B36:D36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workbookViewId="0">
      <selection activeCell="O9" sqref="O9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38" t="s">
        <v>0</v>
      </c>
      <c r="C1" s="38"/>
      <c r="D1" s="38"/>
    </row>
    <row r="2" spans="2:48" x14ac:dyDescent="0.2">
      <c r="AB2" s="6" t="s">
        <v>141</v>
      </c>
      <c r="AM2" s="6" t="s">
        <v>93</v>
      </c>
    </row>
    <row r="3" spans="2:48" x14ac:dyDescent="0.2">
      <c r="B3" s="41" t="s">
        <v>98</v>
      </c>
      <c r="C3" s="42"/>
      <c r="D3" s="42"/>
      <c r="F3" s="43" t="s">
        <v>110</v>
      </c>
      <c r="G3" s="44"/>
      <c r="H3" s="44"/>
      <c r="J3" s="41" t="s">
        <v>157</v>
      </c>
      <c r="K3" s="41"/>
      <c r="L3" s="41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200.22747979614178</v>
      </c>
      <c r="L4" t="s">
        <v>162</v>
      </c>
      <c r="N4" t="s">
        <v>36</v>
      </c>
      <c r="O4">
        <f>$C$17*$C$31*COS(G16/180*PI())</f>
        <v>10442.171343945665</v>
      </c>
      <c r="P4" t="s">
        <v>31</v>
      </c>
      <c r="R4" t="s">
        <v>36</v>
      </c>
      <c r="S4">
        <f xml:space="preserve"> $C$17 * $C$31</f>
        <v>10455.671220842256</v>
      </c>
      <c r="T4" t="s">
        <v>31</v>
      </c>
      <c r="V4" t="s">
        <v>36</v>
      </c>
      <c r="W4">
        <f>$C$17*$C$31*COS(G32/180*PI())</f>
        <v>10450.813274076738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0.43729939317687638</v>
      </c>
      <c r="AE4" s="9">
        <v>1</v>
      </c>
      <c r="AF4" s="8">
        <f xml:space="preserve"> $S$19 * TAN($S$16/180*PI()) + $S$20 / (2 * SQRT($S$19^2 + AE4^2)) - AE4</f>
        <v>-0.67956798747974223</v>
      </c>
      <c r="AG4" s="8">
        <f xml:space="preserve"> (AC4 + AE4)/2</f>
        <v>0.5</v>
      </c>
      <c r="AH4" s="8">
        <f xml:space="preserve"> $S$19 * TAN($S$16/180*PI()) + $S$20 / (2 * SQRT($S$19^2 + AG4^2)) - AG4</f>
        <v>-0.17624227334122528</v>
      </c>
      <c r="AI4" s="8">
        <f>AD4*AH4</f>
        <v>-7.7070639184230988E-2</v>
      </c>
      <c r="AJ4" s="8">
        <f>AF4*AH4</f>
        <v>0.11976860700335108</v>
      </c>
      <c r="AK4" s="8">
        <f>AE4-AC4</f>
        <v>1</v>
      </c>
      <c r="AM4" s="8">
        <v>0</v>
      </c>
      <c r="AN4" s="8"/>
      <c r="AO4" s="8">
        <f>K31</f>
        <v>5.2170889830449596E-10</v>
      </c>
      <c r="AP4" s="8"/>
      <c r="AQ4" s="8">
        <f>K31</f>
        <v>5.2170889830449596E-10</v>
      </c>
      <c r="AR4" s="8"/>
      <c r="AS4" s="8">
        <f>K31</f>
        <v>5.2170889830449596E-10</v>
      </c>
      <c r="AT4" s="8"/>
      <c r="AU4" s="8"/>
      <c r="AV4" s="8"/>
    </row>
    <row r="5" spans="2:48" x14ac:dyDescent="0.2">
      <c r="B5" t="s">
        <v>144</v>
      </c>
      <c r="C5" s="1">
        <v>8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25.028434974517722</v>
      </c>
      <c r="L5" t="s">
        <v>162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0.43729939317687638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-0.17624227334122528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8.0355939263852705E-2</v>
      </c>
      <c r="AI5" s="8">
        <f t="shared" ref="AI5:AI34" si="4">AD5*AH5</f>
        <v>3.5139603478240723E-2</v>
      </c>
      <c r="AJ5" s="8">
        <f t="shared" ref="AJ5:AJ34" si="5">AF5*AH5</f>
        <v>-1.4162113412330824E-2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/>
        <v>-299.85215931533929</v>
      </c>
      <c r="AP5" s="9">
        <v>2500</v>
      </c>
      <c r="AQ5" s="8">
        <f t="dataTable" ref="AQ5:AQ44" dt2D="0" dtr="0" r1="C17" ca="1"/>
        <v>577.07028464771429</v>
      </c>
      <c r="AR5" s="8">
        <f>(AN5+AP5)/2</f>
        <v>1500</v>
      </c>
      <c r="AS5" s="8">
        <f t="dataTable" ref="AS5:AS44" dt2D="0" dtr="0" r1="C17" ca="1"/>
        <v>205.66990188896216</v>
      </c>
      <c r="AT5" s="8">
        <f>AO5*AS5</f>
        <v>-61670.564187579286</v>
      </c>
      <c r="AU5" s="8">
        <f>AQ5*AS5</f>
        <v>118685.98882653087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200.22747979614178</v>
      </c>
      <c r="H6" t="s">
        <v>162</v>
      </c>
      <c r="J6" t="s">
        <v>160</v>
      </c>
      <c r="K6">
        <f>MAX(G18,G23,G34)</f>
        <v>64.767305815636121</v>
      </c>
      <c r="L6" t="s">
        <v>162</v>
      </c>
      <c r="N6" t="s">
        <v>55</v>
      </c>
      <c r="O6">
        <f xml:space="preserve"> $S$29 * ($C$17*2.20462/1000)^(2/3) * 0.3048^2</f>
        <v>0.26278055880057644</v>
      </c>
      <c r="P6" t="s">
        <v>18</v>
      </c>
      <c r="R6" t="s">
        <v>55</v>
      </c>
      <c r="S6">
        <f xml:space="preserve"> $S$29 * ($C$17*2.20462/1000)^(2/3) * 0.3048^2</f>
        <v>0.26278055880057644</v>
      </c>
      <c r="T6" t="s">
        <v>18</v>
      </c>
      <c r="V6" t="s">
        <v>55</v>
      </c>
      <c r="W6">
        <f xml:space="preserve"> $S$29 * ($C$17*2.20462/1000)^(2/3) * 0.3048^2</f>
        <v>0.26278055880057644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8.0355939263852705E-2</v>
      </c>
      <c r="AE6" s="8">
        <f t="shared" ref="AE6:AE34" si="8">IF(AJ5&gt;0, AG5, AE5)</f>
        <v>0.5</v>
      </c>
      <c r="AF6" s="8">
        <f t="shared" si="1"/>
        <v>-0.17624227334122528</v>
      </c>
      <c r="AG6" s="8">
        <f t="shared" si="2"/>
        <v>0.375</v>
      </c>
      <c r="AH6" s="8">
        <f t="shared" si="3"/>
        <v>-4.9033149863579206E-2</v>
      </c>
      <c r="AI6" s="8">
        <f t="shared" si="4"/>
        <v>-3.9401048123531585E-3</v>
      </c>
      <c r="AJ6" s="8">
        <f t="shared" si="5"/>
        <v>8.6417138010381894E-3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-299.85215931533929</v>
      </c>
      <c r="AP6" s="8">
        <f>IF(AU5&gt;0,AR5,AP5)</f>
        <v>1500</v>
      </c>
      <c r="AQ6" s="8">
        <v>205.66990188896216</v>
      </c>
      <c r="AR6" s="8">
        <f t="shared" ref="AR6:AR44" si="9">(AN6+AP6)/2</f>
        <v>1000</v>
      </c>
      <c r="AS6" s="8">
        <v>-33.448455380603605</v>
      </c>
      <c r="AT6" s="8">
        <f t="shared" ref="AT6:AT44" si="10">AO6*AS6</f>
        <v>10029.591571636769</v>
      </c>
      <c r="AU6" s="8">
        <f t="shared" ref="AU6:AU44" si="11">AQ6*AS6</f>
        <v>-6879.3405364660721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1306.958902605282</v>
      </c>
      <c r="H7" t="s">
        <v>31</v>
      </c>
      <c r="J7" t="s">
        <v>161</v>
      </c>
      <c r="K7">
        <f>K6/$C$6</f>
        <v>64.767305815636121</v>
      </c>
      <c r="L7" t="s">
        <v>162</v>
      </c>
      <c r="N7" t="s">
        <v>56</v>
      </c>
      <c r="O7">
        <f xml:space="preserve"> O6 / $C$21</f>
        <v>1.6221022148183731E-2</v>
      </c>
      <c r="R7" t="s">
        <v>56</v>
      </c>
      <c r="S7">
        <f xml:space="preserve"> S6 / $C$21</f>
        <v>1.6221022148183731E-2</v>
      </c>
      <c r="V7" t="s">
        <v>56</v>
      </c>
      <c r="W7">
        <f xml:space="preserve"> W6 / $C$21</f>
        <v>1.6221022148183731E-2</v>
      </c>
      <c r="AB7" s="8">
        <v>3</v>
      </c>
      <c r="AC7" s="8">
        <f t="shared" si="7"/>
        <v>0.25</v>
      </c>
      <c r="AD7" s="8">
        <f t="shared" si="0"/>
        <v>8.0355939263852705E-2</v>
      </c>
      <c r="AE7" s="8">
        <f t="shared" si="8"/>
        <v>0.375</v>
      </c>
      <c r="AF7" s="8">
        <f t="shared" si="1"/>
        <v>-4.9033149863579206E-2</v>
      </c>
      <c r="AG7" s="8">
        <f t="shared" si="2"/>
        <v>0.3125</v>
      </c>
      <c r="AH7" s="8">
        <f t="shared" si="3"/>
        <v>1.5227774981445064E-2</v>
      </c>
      <c r="AI7" s="8">
        <f t="shared" si="4"/>
        <v>1.2236421615326152E-3</v>
      </c>
      <c r="AJ7" s="8">
        <f t="shared" si="5"/>
        <v>-7.4666577275405788E-4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-33.448455380603605</v>
      </c>
      <c r="AP7" s="8">
        <f t="shared" ref="AP7:AP44" si="14">IF(AU6&gt;0,AR6,AP6)</f>
        <v>1500</v>
      </c>
      <c r="AQ7" s="8">
        <v>205.66990188896216</v>
      </c>
      <c r="AR7" s="8">
        <f t="shared" si="9"/>
        <v>1250</v>
      </c>
      <c r="AS7" s="8">
        <v>90.111999191353902</v>
      </c>
      <c r="AT7" s="8">
        <f t="shared" si="10"/>
        <v>-3014.1071842089891</v>
      </c>
      <c r="AU7" s="8">
        <f t="shared" si="11"/>
        <v>18533.326032703993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s="20" t="s">
        <v>195</v>
      </c>
      <c r="O8">
        <f>$O$6/(0.3048^2)/($C$17*2.20462/1000)^(2/3)</f>
        <v>1.6</v>
      </c>
      <c r="R8" t="s">
        <v>57</v>
      </c>
      <c r="S8">
        <f xml:space="preserve"> S5 * $C$21 * S7</f>
        <v>402.38273066338269</v>
      </c>
      <c r="T8" t="s">
        <v>31</v>
      </c>
      <c r="V8" t="s">
        <v>57</v>
      </c>
      <c r="W8">
        <f xml:space="preserve"> W5*W7*$C$21</f>
        <v>402.38273066338269</v>
      </c>
      <c r="X8" t="s">
        <v>31</v>
      </c>
      <c r="AB8" s="8">
        <v>4</v>
      </c>
      <c r="AC8" s="8">
        <f t="shared" si="7"/>
        <v>0.3125</v>
      </c>
      <c r="AD8" s="8">
        <f t="shared" si="0"/>
        <v>1.5227774981445064E-2</v>
      </c>
      <c r="AE8" s="8">
        <f t="shared" si="8"/>
        <v>0.375</v>
      </c>
      <c r="AF8" s="8">
        <f t="shared" si="1"/>
        <v>-4.9033149863579206E-2</v>
      </c>
      <c r="AG8" s="8">
        <f t="shared" si="2"/>
        <v>0.34375</v>
      </c>
      <c r="AH8" s="8">
        <f t="shared" si="3"/>
        <v>-1.6981948252410173E-2</v>
      </c>
      <c r="AI8" s="8">
        <f t="shared" si="4"/>
        <v>-2.5859728673424632E-4</v>
      </c>
      <c r="AJ8" s="8">
        <f t="shared" si="5"/>
        <v>8.3267841363597497E-4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-33.448455380603605</v>
      </c>
      <c r="AP8" s="8">
        <f t="shared" si="14"/>
        <v>1250</v>
      </c>
      <c r="AQ8" s="8">
        <v>90.111999191353902</v>
      </c>
      <c r="AR8" s="8">
        <f t="shared" si="9"/>
        <v>1125</v>
      </c>
      <c r="AS8" s="8">
        <v>29.289076168084534</v>
      </c>
      <c r="AT8" s="8">
        <f t="shared" si="10"/>
        <v>-979.67435734727599</v>
      </c>
      <c r="AU8" s="8">
        <f t="shared" si="11"/>
        <v>2639.2972079739366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57</v>
      </c>
      <c r="O9">
        <f xml:space="preserve"> O5 * $C$21 * O7</f>
        <v>402.38273066338269</v>
      </c>
      <c r="P9" t="s">
        <v>31</v>
      </c>
      <c r="R9" t="s">
        <v>58</v>
      </c>
      <c r="S9">
        <f xml:space="preserve"> 1.78 * (1 - 0.045 * $C$22^0.68) - 0.64</f>
        <v>0.82990122458567595</v>
      </c>
      <c r="V9" t="s">
        <v>58</v>
      </c>
      <c r="W9">
        <f xml:space="preserve"> 1.78 * (1 - 0.045 * $C$22^0.68) - 0.64</f>
        <v>0.82990122458567595</v>
      </c>
      <c r="AB9" s="8">
        <v>5</v>
      </c>
      <c r="AC9" s="8">
        <f t="shared" si="7"/>
        <v>0.3125</v>
      </c>
      <c r="AD9" s="8">
        <f t="shared" si="0"/>
        <v>1.5227774981445064E-2</v>
      </c>
      <c r="AE9" s="8">
        <f t="shared" si="8"/>
        <v>0.34375</v>
      </c>
      <c r="AF9" s="8">
        <f t="shared" si="1"/>
        <v>-1.6981948252410173E-2</v>
      </c>
      <c r="AG9" s="8">
        <f t="shared" si="2"/>
        <v>0.328125</v>
      </c>
      <c r="AH9" s="8">
        <f t="shared" si="3"/>
        <v>-8.9969354336488783E-4</v>
      </c>
      <c r="AI9" s="8">
        <f t="shared" si="4"/>
        <v>-1.3700330830619499E-5</v>
      </c>
      <c r="AJ9" s="8">
        <f t="shared" si="5"/>
        <v>1.5278549196450071E-5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-33.448455380603605</v>
      </c>
      <c r="AP9" s="8">
        <f t="shared" si="14"/>
        <v>1125</v>
      </c>
      <c r="AQ9" s="8">
        <v>29.289076168084534</v>
      </c>
      <c r="AR9" s="8">
        <f t="shared" si="9"/>
        <v>1062.5</v>
      </c>
      <c r="AS9" s="8">
        <v>-1.8472173200498219</v>
      </c>
      <c r="AT9" s="8">
        <f t="shared" si="10"/>
        <v>61.786566107964632</v>
      </c>
      <c r="AU9" s="8">
        <f t="shared" si="11"/>
        <v>-54.103288785944223</v>
      </c>
      <c r="AV9" s="8">
        <f t="shared" si="12"/>
        <v>125</v>
      </c>
    </row>
    <row r="10" spans="2:48" x14ac:dyDescent="0.2">
      <c r="F10" s="43" t="s">
        <v>124</v>
      </c>
      <c r="G10" s="44"/>
      <c r="H10" s="44"/>
      <c r="J10" s="41" t="s">
        <v>34</v>
      </c>
      <c r="K10" s="41"/>
      <c r="L10" s="41"/>
      <c r="N10" t="s">
        <v>58</v>
      </c>
      <c r="O10">
        <f xml:space="preserve"> 1.78 * (1 - 0.045 * $C$22^0.68) - 0.64</f>
        <v>0.82990122458567595</v>
      </c>
      <c r="R10" t="s">
        <v>39</v>
      </c>
      <c r="S10">
        <f xml:space="preserve"> S4 / (S5 * $C$21)</f>
        <v>0.42149342286086194</v>
      </c>
      <c r="V10" t="s">
        <v>138</v>
      </c>
      <c r="W10">
        <f>W4 / ( W5 * $C$21)</f>
        <v>0.42129758726436839</v>
      </c>
      <c r="AB10" s="8">
        <v>6</v>
      </c>
      <c r="AC10" s="8">
        <f t="shared" si="7"/>
        <v>0.3125</v>
      </c>
      <c r="AD10" s="8">
        <f t="shared" si="0"/>
        <v>1.5227774981445064E-2</v>
      </c>
      <c r="AE10" s="8">
        <f t="shared" si="8"/>
        <v>0.328125</v>
      </c>
      <c r="AF10" s="8">
        <f t="shared" si="1"/>
        <v>-8.9969354336488783E-4</v>
      </c>
      <c r="AG10" s="8">
        <f t="shared" si="2"/>
        <v>0.3203125</v>
      </c>
      <c r="AH10" s="8">
        <f t="shared" si="3"/>
        <v>7.1579815170073058E-3</v>
      </c>
      <c r="AI10" s="8">
        <f t="shared" si="4"/>
        <v>1.0900013186233004E-4</v>
      </c>
      <c r="AJ10" s="8">
        <f t="shared" si="5"/>
        <v>-6.4399897543766782E-6</v>
      </c>
      <c r="AK10" s="8">
        <f t="shared" si="6"/>
        <v>1.5625E-2</v>
      </c>
      <c r="AM10" s="8">
        <v>6</v>
      </c>
      <c r="AN10" s="8">
        <f t="shared" si="13"/>
        <v>1062.5</v>
      </c>
      <c r="AO10" s="8">
        <v>-1.8472173200498219</v>
      </c>
      <c r="AP10" s="8">
        <f t="shared" si="14"/>
        <v>1125</v>
      </c>
      <c r="AQ10" s="8">
        <v>29.289076168084534</v>
      </c>
      <c r="AR10" s="8">
        <f t="shared" si="9"/>
        <v>1093.75</v>
      </c>
      <c r="AS10" s="8">
        <v>13.780012714195664</v>
      </c>
      <c r="AT10" s="8">
        <f t="shared" si="10"/>
        <v>-25.454678156168985</v>
      </c>
      <c r="AU10" s="8">
        <f t="shared" si="11"/>
        <v>403.60384198325011</v>
      </c>
      <c r="AV10" s="8">
        <f t="shared" si="12"/>
        <v>62.5</v>
      </c>
    </row>
    <row r="11" spans="2:48" x14ac:dyDescent="0.2">
      <c r="B11" s="39" t="s">
        <v>6</v>
      </c>
      <c r="C11" s="40"/>
      <c r="D11" s="40"/>
      <c r="F11" s="4" t="s">
        <v>154</v>
      </c>
      <c r="G11" s="1">
        <f>$C$20</f>
        <v>50</v>
      </c>
      <c r="H11" t="s">
        <v>16</v>
      </c>
      <c r="J11" t="s">
        <v>153</v>
      </c>
      <c r="K11">
        <f xml:space="preserve"> (G6*G8 + G18*G19 + G23*G24 + G34*G35 + G40*G42)/3600</f>
        <v>27.426309663577275</v>
      </c>
      <c r="L11" t="s">
        <v>163</v>
      </c>
      <c r="N11" t="s">
        <v>138</v>
      </c>
      <c r="O11">
        <f>O4/(O5*$C$21)</f>
        <v>0.42094921013638359</v>
      </c>
      <c r="R11" t="s">
        <v>59</v>
      </c>
      <c r="S11">
        <f xml:space="preserve"> S7 + S10^2 / ( PI() * S9 * $C$22 )</f>
        <v>2.5529833840614521E-2</v>
      </c>
      <c r="V11" t="s">
        <v>137</v>
      </c>
      <c r="W11">
        <f xml:space="preserve"> W7 + W10^2 / (PI() * W9 * $C$22)</f>
        <v>2.5521185671564375E-2</v>
      </c>
      <c r="AB11" s="8">
        <v>7</v>
      </c>
      <c r="AC11" s="8">
        <f t="shared" si="7"/>
        <v>0.3203125</v>
      </c>
      <c r="AD11" s="8">
        <f t="shared" si="0"/>
        <v>7.1579815170073058E-3</v>
      </c>
      <c r="AE11" s="8">
        <f t="shared" si="8"/>
        <v>0.328125</v>
      </c>
      <c r="AF11" s="8">
        <f t="shared" si="1"/>
        <v>-8.9969354336488783E-4</v>
      </c>
      <c r="AG11" s="8">
        <f t="shared" si="2"/>
        <v>0.32421875</v>
      </c>
      <c r="AH11" s="8">
        <f t="shared" si="3"/>
        <v>3.1276831331836785E-3</v>
      </c>
      <c r="AI11" s="8">
        <f t="shared" si="4"/>
        <v>2.2387898058384271E-5</v>
      </c>
      <c r="AJ11" s="8">
        <f t="shared" si="5"/>
        <v>-2.813956320616618E-6</v>
      </c>
      <c r="AK11" s="8">
        <f t="shared" si="6"/>
        <v>7.8125E-3</v>
      </c>
      <c r="AM11" s="8">
        <v>7</v>
      </c>
      <c r="AN11" s="8">
        <f t="shared" si="13"/>
        <v>1062.5</v>
      </c>
      <c r="AO11" s="8">
        <v>-1.8472173200498219</v>
      </c>
      <c r="AP11" s="8">
        <f t="shared" si="14"/>
        <v>1093.75</v>
      </c>
      <c r="AQ11" s="8">
        <v>13.780012714195664</v>
      </c>
      <c r="AR11" s="8">
        <f t="shared" si="9"/>
        <v>1078.125</v>
      </c>
      <c r="AS11" s="8">
        <v>5.9810559991362879</v>
      </c>
      <c r="AT11" s="8">
        <f t="shared" si="10"/>
        <v>-11.048310233792444</v>
      </c>
      <c r="AU11" s="8">
        <f t="shared" si="11"/>
        <v>82.419027712414291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34.67079771753523</v>
      </c>
      <c r="L12" t="s">
        <v>164</v>
      </c>
      <c r="N12" t="s">
        <v>137</v>
      </c>
      <c r="O12">
        <f>O7+O11^2/(PI()*O10*$C$22)</f>
        <v>2.5505811148808566E-2</v>
      </c>
      <c r="R12" t="s">
        <v>60</v>
      </c>
      <c r="S12">
        <f xml:space="preserve"> S5 * S11 * $C$21</f>
        <v>633.29944070874399</v>
      </c>
      <c r="T12" t="s">
        <v>31</v>
      </c>
      <c r="V12" t="s">
        <v>139</v>
      </c>
      <c r="W12">
        <f xml:space="preserve"> W5 * $C$21 * W11</f>
        <v>633.08491206524377</v>
      </c>
      <c r="X12" t="s">
        <v>31</v>
      </c>
      <c r="AB12" s="8">
        <v>8</v>
      </c>
      <c r="AC12" s="8">
        <f t="shared" si="7"/>
        <v>0.32421875</v>
      </c>
      <c r="AD12" s="8">
        <f t="shared" si="0"/>
        <v>3.1276831331836785E-3</v>
      </c>
      <c r="AE12" s="8">
        <f t="shared" si="8"/>
        <v>0.328125</v>
      </c>
      <c r="AF12" s="8">
        <f t="shared" si="1"/>
        <v>-8.9969354336488783E-4</v>
      </c>
      <c r="AG12" s="8">
        <f t="shared" si="2"/>
        <v>0.326171875</v>
      </c>
      <c r="AH12" s="8">
        <f t="shared" si="3"/>
        <v>1.1136360473706364E-3</v>
      </c>
      <c r="AI12" s="8">
        <f t="shared" si="4"/>
        <v>3.4831006818664795E-6</v>
      </c>
      <c r="AJ12" s="8">
        <f t="shared" si="5"/>
        <v>-1.001931161477756E-6</v>
      </c>
      <c r="AK12" s="8">
        <f t="shared" si="6"/>
        <v>3.90625E-3</v>
      </c>
      <c r="AM12" s="8">
        <v>8</v>
      </c>
      <c r="AN12" s="8">
        <f t="shared" si="13"/>
        <v>1062.5</v>
      </c>
      <c r="AO12" s="8">
        <v>-1.8472173200498219</v>
      </c>
      <c r="AP12" s="8">
        <f t="shared" si="14"/>
        <v>1078.125</v>
      </c>
      <c r="AQ12" s="8">
        <v>5.9810559991362879</v>
      </c>
      <c r="AR12" s="8">
        <f t="shared" si="9"/>
        <v>1070.3125</v>
      </c>
      <c r="AS12" s="8">
        <v>2.0705690527819343</v>
      </c>
      <c r="AT12" s="8">
        <f t="shared" si="10"/>
        <v>-3.8247910166579429</v>
      </c>
      <c r="AU12" s="8">
        <f t="shared" si="11"/>
        <v>12.384189454767329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139</v>
      </c>
      <c r="O13">
        <f>O5*O12*$C$21</f>
        <v>632.70352781013241</v>
      </c>
      <c r="P13" t="s">
        <v>31</v>
      </c>
      <c r="R13" t="s">
        <v>106</v>
      </c>
      <c r="S13">
        <f>S10/S11</f>
        <v>16.509838077767775</v>
      </c>
      <c r="V13" t="s">
        <v>106</v>
      </c>
      <c r="W13">
        <f>W4/W12</f>
        <v>16.507759188233045</v>
      </c>
      <c r="AB13" s="8">
        <v>9</v>
      </c>
      <c r="AC13" s="8">
        <f t="shared" si="7"/>
        <v>0.326171875</v>
      </c>
      <c r="AD13" s="8">
        <f t="shared" si="0"/>
        <v>1.1136360473706364E-3</v>
      </c>
      <c r="AE13" s="8">
        <f t="shared" si="8"/>
        <v>0.328125</v>
      </c>
      <c r="AF13" s="8">
        <f t="shared" si="1"/>
        <v>-8.9969354336488783E-4</v>
      </c>
      <c r="AG13" s="8">
        <f t="shared" si="2"/>
        <v>0.3271484375</v>
      </c>
      <c r="AH13" s="8">
        <f t="shared" si="3"/>
        <v>1.0688235676853397E-4</v>
      </c>
      <c r="AI13" s="8">
        <f t="shared" si="4"/>
        <v>1.1902804532536835E-7</v>
      </c>
      <c r="AJ13" s="8">
        <f t="shared" si="5"/>
        <v>-9.6161366284272424E-8</v>
      </c>
      <c r="AK13" s="8">
        <f t="shared" si="6"/>
        <v>1.953125E-3</v>
      </c>
      <c r="AM13" s="8">
        <v>9</v>
      </c>
      <c r="AN13" s="8">
        <f t="shared" si="13"/>
        <v>1062.5</v>
      </c>
      <c r="AO13" s="8">
        <v>-1.8472173200498219</v>
      </c>
      <c r="AP13" s="8">
        <f t="shared" si="14"/>
        <v>1070.3125</v>
      </c>
      <c r="AQ13" s="8">
        <v>2.0705690527819343</v>
      </c>
      <c r="AR13" s="8">
        <f t="shared" si="9"/>
        <v>1066.40625</v>
      </c>
      <c r="AS13" s="8">
        <v>0.1125865448894956</v>
      </c>
      <c r="AT13" s="8">
        <f t="shared" si="10"/>
        <v>-0.20797181572444304</v>
      </c>
      <c r="AU13" s="8">
        <f t="shared" si="11"/>
        <v>0.23311821560783363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49.935442323063484</v>
      </c>
      <c r="H14" t="s">
        <v>16</v>
      </c>
      <c r="N14" t="s">
        <v>106</v>
      </c>
      <c r="O14">
        <f>O4/O13</f>
        <v>16.504051083905527</v>
      </c>
      <c r="AB14" s="8">
        <v>10</v>
      </c>
      <c r="AC14" s="8">
        <f t="shared" si="7"/>
        <v>0.3271484375</v>
      </c>
      <c r="AD14" s="8">
        <f t="shared" si="0"/>
        <v>1.0688235676853397E-4</v>
      </c>
      <c r="AE14" s="8">
        <f t="shared" si="8"/>
        <v>0.328125</v>
      </c>
      <c r="AF14" s="8">
        <f t="shared" si="1"/>
        <v>-8.9969354336488783E-4</v>
      </c>
      <c r="AG14" s="8">
        <f t="shared" si="2"/>
        <v>0.32763671875</v>
      </c>
      <c r="AH14" s="8">
        <f t="shared" si="3"/>
        <v>-3.9642771916431618E-4</v>
      </c>
      <c r="AI14" s="8">
        <f t="shared" si="4"/>
        <v>-4.2371128912656637E-8</v>
      </c>
      <c r="AJ14" s="8">
        <f t="shared" si="5"/>
        <v>3.5666345934300426E-7</v>
      </c>
      <c r="AK14" s="8">
        <f t="shared" si="6"/>
        <v>9.765625E-4</v>
      </c>
      <c r="AM14" s="8">
        <v>10</v>
      </c>
      <c r="AN14" s="8">
        <f t="shared" si="13"/>
        <v>1062.5</v>
      </c>
      <c r="AO14" s="8">
        <v>-1.8472173200498219</v>
      </c>
      <c r="AP14" s="8">
        <f t="shared" si="14"/>
        <v>1066.40625</v>
      </c>
      <c r="AQ14" s="8">
        <v>0.1125865448894956</v>
      </c>
      <c r="AR14" s="8">
        <f t="shared" si="9"/>
        <v>1064.453125</v>
      </c>
      <c r="AS14" s="8">
        <v>-0.86708783682979629</v>
      </c>
      <c r="AT14" s="8">
        <f t="shared" si="10"/>
        <v>1.6016996701965336</v>
      </c>
      <c r="AU14" s="8">
        <f t="shared" si="11"/>
        <v>-9.76224236643735E-2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5992.2530787676178</v>
      </c>
      <c r="H15" t="s">
        <v>14</v>
      </c>
      <c r="J15" s="21" t="s">
        <v>73</v>
      </c>
      <c r="K15" s="21"/>
      <c r="L15" s="21"/>
      <c r="R15" s="43" t="s">
        <v>135</v>
      </c>
      <c r="S15" s="46"/>
      <c r="T15" s="46"/>
      <c r="V15" s="43" t="s">
        <v>149</v>
      </c>
      <c r="W15" s="46"/>
      <c r="X15" s="46"/>
      <c r="AB15" s="8">
        <v>11</v>
      </c>
      <c r="AC15" s="8">
        <f t="shared" si="7"/>
        <v>0.3271484375</v>
      </c>
      <c r="AD15" s="8">
        <f t="shared" si="0"/>
        <v>1.0688235676853397E-4</v>
      </c>
      <c r="AE15" s="8">
        <f t="shared" si="8"/>
        <v>0.32763671875</v>
      </c>
      <c r="AF15" s="8">
        <f t="shared" si="1"/>
        <v>-3.9642771916431618E-4</v>
      </c>
      <c r="AG15" s="8">
        <f t="shared" si="2"/>
        <v>0.327392578125</v>
      </c>
      <c r="AH15" s="8">
        <f t="shared" si="3"/>
        <v>-1.4477822486241854E-4</v>
      </c>
      <c r="AI15" s="8">
        <f t="shared" si="4"/>
        <v>-1.5474237882060052E-8</v>
      </c>
      <c r="AJ15" s="8">
        <f t="shared" si="5"/>
        <v>5.7394101466867077E-8</v>
      </c>
      <c r="AK15" s="8">
        <f t="shared" si="6"/>
        <v>4.8828125E-4</v>
      </c>
      <c r="AM15" s="8">
        <v>11</v>
      </c>
      <c r="AN15" s="8">
        <f t="shared" si="13"/>
        <v>1064.453125</v>
      </c>
      <c r="AO15" s="8">
        <v>-0.86708783682979629</v>
      </c>
      <c r="AP15" s="8">
        <f t="shared" si="14"/>
        <v>1066.40625</v>
      </c>
      <c r="AQ15" s="8">
        <v>0.1125865448894956</v>
      </c>
      <c r="AR15" s="8">
        <f t="shared" si="9"/>
        <v>1065.4296875</v>
      </c>
      <c r="AS15" s="8">
        <v>-0.37719391633106625</v>
      </c>
      <c r="AT15" s="8">
        <f t="shared" si="10"/>
        <v>0.32706025697686342</v>
      </c>
      <c r="AU15" s="8">
        <f t="shared" si="11"/>
        <v>-4.2466959793052241E-2</v>
      </c>
      <c r="AV15" s="8">
        <f t="shared" si="12"/>
        <v>1.953125</v>
      </c>
    </row>
    <row r="16" spans="2:48" x14ac:dyDescent="0.2">
      <c r="B16" s="41" t="s">
        <v>11</v>
      </c>
      <c r="C16" s="41"/>
      <c r="D16" s="41"/>
      <c r="F16" t="s">
        <v>152</v>
      </c>
      <c r="G16">
        <f>ATAN(G12/G14)/PI()*180</f>
        <v>2.9118789347687013</v>
      </c>
      <c r="H16" t="s">
        <v>62</v>
      </c>
      <c r="J16" s="3" t="s">
        <v>109</v>
      </c>
      <c r="K16" s="5">
        <f>C17</f>
        <v>1066.1817461459577</v>
      </c>
      <c r="L16" t="s">
        <v>12</v>
      </c>
      <c r="N16" s="43" t="s">
        <v>140</v>
      </c>
      <c r="O16" s="46"/>
      <c r="P16" s="46"/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0.3271484375</v>
      </c>
      <c r="AD16" s="8">
        <f t="shared" si="0"/>
        <v>1.0688235676853397E-4</v>
      </c>
      <c r="AE16" s="8">
        <f t="shared" si="8"/>
        <v>0.327392578125</v>
      </c>
      <c r="AF16" s="8">
        <f t="shared" si="1"/>
        <v>-1.4477822486241854E-4</v>
      </c>
      <c r="AG16" s="8">
        <f t="shared" si="2"/>
        <v>0.3272705078125</v>
      </c>
      <c r="AH16" s="8">
        <f t="shared" si="3"/>
        <v>-1.8949321491712467E-5</v>
      </c>
      <c r="AI16" s="8">
        <f t="shared" si="4"/>
        <v>-2.0253481401988602E-9</v>
      </c>
      <c r="AJ16" s="8">
        <f t="shared" si="5"/>
        <v>2.7434491279174079E-9</v>
      </c>
      <c r="AK16" s="8">
        <f t="shared" si="6"/>
        <v>2.44140625E-4</v>
      </c>
      <c r="AM16" s="8">
        <v>12</v>
      </c>
      <c r="AN16" s="8">
        <f t="shared" si="13"/>
        <v>1065.4296875</v>
      </c>
      <c r="AO16" s="8">
        <v>-0.37719391633106625</v>
      </c>
      <c r="AP16" s="8">
        <f t="shared" si="14"/>
        <v>1066.40625</v>
      </c>
      <c r="AQ16" s="8">
        <v>0.1125865448894956</v>
      </c>
      <c r="AR16" s="8">
        <f t="shared" si="9"/>
        <v>1065.91796875</v>
      </c>
      <c r="AS16" s="8">
        <v>-0.13228932126764903</v>
      </c>
      <c r="AT16" s="8">
        <f t="shared" si="10"/>
        <v>4.9898727177723153E-2</v>
      </c>
      <c r="AU16" s="8">
        <f t="shared" si="11"/>
        <v>-1.4893997607301073E-2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1066.1817461459577</v>
      </c>
      <c r="D17" s="3" t="s">
        <v>12</v>
      </c>
      <c r="F17" t="s">
        <v>143</v>
      </c>
      <c r="G17">
        <f xml:space="preserve"> 1/1000 * (O23 + O18 * (O28 * O25 + $G$11 * SIN(O17/180*PI())))</f>
        <v>64.767305815636121</v>
      </c>
      <c r="H17" t="s">
        <v>162</v>
      </c>
      <c r="J17" s="16" t="s">
        <v>74</v>
      </c>
      <c r="K17">
        <f xml:space="preserve"> 1000 * K11 / ($C$12 * $C$13 * $C$14)</f>
        <v>161.33123331516043</v>
      </c>
      <c r="L17" t="s">
        <v>12</v>
      </c>
      <c r="N17" t="s">
        <v>41</v>
      </c>
      <c r="O17">
        <f xml:space="preserve"> 90 - $C$32</f>
        <v>85</v>
      </c>
      <c r="P17" t="s">
        <v>62</v>
      </c>
      <c r="R17" t="s">
        <v>30</v>
      </c>
      <c r="S17">
        <f xml:space="preserve"> S12 / $C$6</f>
        <v>633.29944070874399</v>
      </c>
      <c r="T17" t="s">
        <v>31</v>
      </c>
      <c r="V17" t="s">
        <v>30</v>
      </c>
      <c r="W17">
        <f>(W12-$C$17*$C$31*SIN(G32/180*PI()))/$C$6</f>
        <v>314.39605325397173</v>
      </c>
      <c r="X17" t="s">
        <v>31</v>
      </c>
      <c r="AB17" s="8">
        <v>13</v>
      </c>
      <c r="AC17" s="8">
        <f t="shared" si="7"/>
        <v>0.3271484375</v>
      </c>
      <c r="AD17" s="8">
        <f t="shared" si="0"/>
        <v>1.0688235676853397E-4</v>
      </c>
      <c r="AE17" s="8">
        <f t="shared" si="8"/>
        <v>0.3272705078125</v>
      </c>
      <c r="AF17" s="8">
        <f t="shared" si="1"/>
        <v>-1.8949321491712467E-5</v>
      </c>
      <c r="AG17" s="8">
        <f t="shared" si="2"/>
        <v>0.32720947265625</v>
      </c>
      <c r="AH17" s="8">
        <f t="shared" si="3"/>
        <v>4.3966170585885145E-5</v>
      </c>
      <c r="AI17" s="8">
        <f t="shared" si="4"/>
        <v>4.6992079303068005E-9</v>
      </c>
      <c r="AJ17" s="8">
        <f t="shared" si="5"/>
        <v>-8.3312910119140987E-10</v>
      </c>
      <c r="AK17" s="8">
        <f t="shared" si="6"/>
        <v>1.220703125E-4</v>
      </c>
      <c r="AM17" s="8">
        <v>13</v>
      </c>
      <c r="AN17" s="8">
        <f t="shared" si="13"/>
        <v>1065.91796875</v>
      </c>
      <c r="AO17" s="8">
        <v>-0.13228932126764903</v>
      </c>
      <c r="AP17" s="8">
        <f t="shared" si="14"/>
        <v>1066.40625</v>
      </c>
      <c r="AQ17" s="8">
        <v>0.1125865448894956</v>
      </c>
      <c r="AR17" s="8">
        <f t="shared" si="9"/>
        <v>1066.162109375</v>
      </c>
      <c r="AS17" s="8">
        <v>-9.8478192347783988E-3</v>
      </c>
      <c r="AT17" s="8">
        <f t="shared" si="10"/>
        <v>1.3027613225353332E-3</v>
      </c>
      <c r="AU17" s="8">
        <f t="shared" si="11"/>
        <v>-1.1087319423400163E-3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64.767305815636121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50.083065042520765</v>
      </c>
      <c r="L18" t="s">
        <v>12</v>
      </c>
      <c r="N18" t="s">
        <v>30</v>
      </c>
      <c r="O18">
        <f>(O13+$C$17*$C$31*SIN(G16/180*PI()))/$C$6</f>
        <v>1163.8516258289192</v>
      </c>
      <c r="P18" t="s">
        <v>31</v>
      </c>
      <c r="R18" t="s">
        <v>42</v>
      </c>
      <c r="S18">
        <f xml:space="preserve"> PI() * $C$20 / ($C$19 * $C$23)</f>
        <v>157.07963267948966</v>
      </c>
      <c r="T18" t="s">
        <v>43</v>
      </c>
      <c r="V18" t="s">
        <v>42</v>
      </c>
      <c r="W18">
        <f xml:space="preserve"> PI() * $G$27 / ($C$19 * $C$23)</f>
        <v>157.07963267948966</v>
      </c>
      <c r="X18" t="s">
        <v>43</v>
      </c>
      <c r="AB18" s="8">
        <v>14</v>
      </c>
      <c r="AC18" s="8">
        <f t="shared" si="7"/>
        <v>0.32720947265625</v>
      </c>
      <c r="AD18" s="8">
        <f t="shared" si="0"/>
        <v>4.3966170585885145E-5</v>
      </c>
      <c r="AE18" s="8">
        <f t="shared" si="8"/>
        <v>0.3272705078125</v>
      </c>
      <c r="AF18" s="8">
        <f t="shared" si="1"/>
        <v>-1.8949321491712467E-5</v>
      </c>
      <c r="AG18" s="8">
        <f t="shared" si="2"/>
        <v>0.327239990234375</v>
      </c>
      <c r="AH18" s="8">
        <f t="shared" si="3"/>
        <v>1.2508337807859427E-5</v>
      </c>
      <c r="AI18" s="8">
        <f t="shared" si="4"/>
        <v>5.4994371380622418E-10</v>
      </c>
      <c r="AJ18" s="8">
        <f t="shared" si="5"/>
        <v>-2.3702451444807023E-10</v>
      </c>
      <c r="AK18" s="8">
        <f t="shared" si="6"/>
        <v>6.103515625E-5</v>
      </c>
      <c r="AM18" s="8">
        <v>14</v>
      </c>
      <c r="AN18" s="8">
        <f t="shared" si="13"/>
        <v>1066.162109375</v>
      </c>
      <c r="AO18" s="8">
        <v>-9.8478192347783988E-3</v>
      </c>
      <c r="AP18" s="8">
        <f t="shared" si="14"/>
        <v>1066.40625</v>
      </c>
      <c r="AQ18" s="8">
        <v>0.1125865448894956</v>
      </c>
      <c r="AR18" s="8">
        <f t="shared" si="9"/>
        <v>1066.2841796875</v>
      </c>
      <c r="AS18" s="8">
        <v>5.1370306447779512E-2</v>
      </c>
      <c r="AT18" s="8">
        <f t="shared" si="10"/>
        <v>-5.0588549193290389E-4</v>
      </c>
      <c r="AU18" s="8">
        <f t="shared" si="11"/>
        <v>5.7836053128700734E-3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56.655885163798111</v>
      </c>
      <c r="L19" t="s">
        <v>12</v>
      </c>
      <c r="N19" t="s">
        <v>42</v>
      </c>
      <c r="O19">
        <f xml:space="preserve"> PI() * $G$11 / ($C$19 * $C$23)</f>
        <v>157.07963267948966</v>
      </c>
      <c r="P19" t="s">
        <v>43</v>
      </c>
      <c r="R19" t="s">
        <v>44</v>
      </c>
      <c r="S19">
        <f xml:space="preserve"> $C$20 * COS(S16/180*PI()) / (S18 * $C$19)</f>
        <v>2.7742534554270868E-2</v>
      </c>
      <c r="V19" t="s">
        <v>44</v>
      </c>
      <c r="W19">
        <f xml:space="preserve"> $G$27 * COS(W16/180*PI()) / (W18 * $C$19)</f>
        <v>2.7742534554270868E-2</v>
      </c>
      <c r="AB19" s="8">
        <v>15</v>
      </c>
      <c r="AC19" s="8">
        <f t="shared" si="7"/>
        <v>0.327239990234375</v>
      </c>
      <c r="AD19" s="8">
        <f t="shared" si="0"/>
        <v>1.2508337807859427E-5</v>
      </c>
      <c r="AE19" s="8">
        <f t="shared" si="8"/>
        <v>0.3272705078125</v>
      </c>
      <c r="AF19" s="8">
        <f t="shared" si="1"/>
        <v>-1.8949321491712467E-5</v>
      </c>
      <c r="AG19" s="8">
        <f t="shared" si="2"/>
        <v>0.3272552490234375</v>
      </c>
      <c r="AH19" s="8">
        <f t="shared" si="3"/>
        <v>-3.2205135237495242E-6</v>
      </c>
      <c r="AI19" s="8">
        <f t="shared" si="4"/>
        <v>-4.0283271069838759E-11</v>
      </c>
      <c r="AJ19" s="8">
        <f t="shared" si="5"/>
        <v>6.1026546129937503E-11</v>
      </c>
      <c r="AK19" s="8">
        <f t="shared" si="6"/>
        <v>3.0517578125E-5</v>
      </c>
      <c r="AM19" s="8">
        <v>15</v>
      </c>
      <c r="AN19" s="8">
        <f t="shared" si="13"/>
        <v>1066.162109375</v>
      </c>
      <c r="AO19" s="8">
        <v>-9.8478192347783988E-3</v>
      </c>
      <c r="AP19" s="8">
        <f t="shared" si="14"/>
        <v>1066.2841796875</v>
      </c>
      <c r="AQ19" s="8">
        <v>5.1370306447779512E-2</v>
      </c>
      <c r="AR19" s="8">
        <f t="shared" si="9"/>
        <v>1066.22314453125</v>
      </c>
      <c r="AS19" s="8">
        <v>2.0761462395512353E-2</v>
      </c>
      <c r="AT19" s="8">
        <f t="shared" si="10"/>
        <v>-2.0445512872065496E-4</v>
      </c>
      <c r="AU19" s="8">
        <f t="shared" si="11"/>
        <v>1.0665226855615202E-3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31.867372795575989</v>
      </c>
      <c r="L20" t="s">
        <v>12</v>
      </c>
      <c r="N20" t="s">
        <v>44</v>
      </c>
      <c r="O20">
        <f xml:space="preserve"> $G$11 * COS(O17/180*PI()) / (O19 * $C$19)</f>
        <v>2.7742534554270868E-2</v>
      </c>
      <c r="R20" t="s">
        <v>45</v>
      </c>
      <c r="S20">
        <f xml:space="preserve"> S17 / ( $C$30 * PI() * $C$19^2 * S18^2 * $C$19^2)</f>
        <v>6.6693481529939702E-3</v>
      </c>
      <c r="V20" t="s">
        <v>45</v>
      </c>
      <c r="W20">
        <f xml:space="preserve"> W17 / ( $C$30 * PI() * $C$19^2 * W18^2 * $C$19^2)</f>
        <v>3.3109404529575474E-3</v>
      </c>
      <c r="AB20" s="8">
        <v>16</v>
      </c>
      <c r="AC20" s="8">
        <f t="shared" si="7"/>
        <v>0.327239990234375</v>
      </c>
      <c r="AD20" s="8">
        <f t="shared" si="0"/>
        <v>1.2508337807859427E-5</v>
      </c>
      <c r="AE20" s="8">
        <f t="shared" si="8"/>
        <v>0.3272552490234375</v>
      </c>
      <c r="AF20" s="8">
        <f t="shared" si="1"/>
        <v>-3.2205135237495242E-6</v>
      </c>
      <c r="AG20" s="8">
        <f t="shared" si="2"/>
        <v>0.32724761962890625</v>
      </c>
      <c r="AH20" s="8">
        <f t="shared" si="3"/>
        <v>4.6439067212245E-6</v>
      </c>
      <c r="AI20" s="8">
        <f t="shared" si="4"/>
        <v>5.808755401726492E-11</v>
      </c>
      <c r="AJ20" s="8">
        <f t="shared" si="5"/>
        <v>-1.4955764398734815E-11</v>
      </c>
      <c r="AK20" s="8">
        <f t="shared" si="6"/>
        <v>1.52587890625E-5</v>
      </c>
      <c r="AM20" s="8">
        <v>16</v>
      </c>
      <c r="AN20" s="8">
        <f t="shared" si="13"/>
        <v>1066.162109375</v>
      </c>
      <c r="AO20" s="8">
        <v>-9.8478192347783988E-3</v>
      </c>
      <c r="AP20" s="8">
        <f t="shared" si="14"/>
        <v>1066.22314453125</v>
      </c>
      <c r="AQ20" s="8">
        <v>2.0761462395512353E-2</v>
      </c>
      <c r="AR20" s="8">
        <f t="shared" si="9"/>
        <v>1066.192626953125</v>
      </c>
      <c r="AS20" s="8">
        <v>5.4568849193401547E-3</v>
      </c>
      <c r="AT20" s="8">
        <f t="shared" si="10"/>
        <v>-5.3738416270650145E-5</v>
      </c>
      <c r="AU20" s="8">
        <f t="shared" si="11"/>
        <v>1.1329291104951908E-4</v>
      </c>
      <c r="AV20" s="8">
        <f t="shared" si="12"/>
        <v>6.103515625E-2</v>
      </c>
    </row>
    <row r="21" spans="2:48" x14ac:dyDescent="0.2">
      <c r="B21" t="s">
        <v>17</v>
      </c>
      <c r="C21" s="1">
        <v>16.2</v>
      </c>
      <c r="D21" t="s">
        <v>18</v>
      </c>
      <c r="F21" s="43" t="s">
        <v>118</v>
      </c>
      <c r="G21" s="44"/>
      <c r="H21" s="44"/>
      <c r="J21" s="14" t="s">
        <v>84</v>
      </c>
      <c r="K21">
        <f xml:space="preserve"> $C$33 * (14.86 * ($C$17*2.20462)^0.144 * ($C$45/(PI()*$C$46))^0.778 * ($C$45*3.28084)^0.383 * $C$44^0.455 * 0.453592)</f>
        <v>162.65688645792432</v>
      </c>
      <c r="L21" t="s">
        <v>12</v>
      </c>
      <c r="N21" t="s">
        <v>45</v>
      </c>
      <c r="O21">
        <f xml:space="preserve"> O18 / ( $C$30 * PI() * $C$19^2 * O19^2 * $C$19^2)</f>
        <v>1.2256653317732765E-2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0.32724761962890625</v>
      </c>
      <c r="AD21" s="8">
        <f t="shared" si="0"/>
        <v>4.6439067212245E-6</v>
      </c>
      <c r="AE21" s="8">
        <f t="shared" si="8"/>
        <v>0.3272552490234375</v>
      </c>
      <c r="AF21" s="8">
        <f t="shared" si="1"/>
        <v>-3.2205135237495242E-6</v>
      </c>
      <c r="AG21" s="8">
        <f t="shared" si="2"/>
        <v>0.32725143432617188</v>
      </c>
      <c r="AH21" s="8">
        <f t="shared" si="3"/>
        <v>7.1169524357150848E-7</v>
      </c>
      <c r="AI21" s="8">
        <f t="shared" si="4"/>
        <v>3.3050463250852358E-12</v>
      </c>
      <c r="AJ21" s="8">
        <f t="shared" si="5"/>
        <v>-2.2920241567102549E-12</v>
      </c>
      <c r="AK21" s="8">
        <f t="shared" si="6"/>
        <v>7.62939453125E-6</v>
      </c>
      <c r="AM21" s="8">
        <v>17</v>
      </c>
      <c r="AN21" s="8">
        <f t="shared" si="13"/>
        <v>1066.162109375</v>
      </c>
      <c r="AO21" s="8">
        <v>-9.8478192347783988E-3</v>
      </c>
      <c r="AP21" s="8">
        <f t="shared" si="14"/>
        <v>1066.192626953125</v>
      </c>
      <c r="AQ21" s="8">
        <v>5.4568849193401547E-3</v>
      </c>
      <c r="AR21" s="8">
        <f t="shared" si="9"/>
        <v>1066.1773681640625</v>
      </c>
      <c r="AS21" s="8">
        <v>-2.1956612005169518E-3</v>
      </c>
      <c r="AT21" s="8">
        <f t="shared" si="10"/>
        <v>2.1622474603507469E-5</v>
      </c>
      <c r="AU21" s="8">
        <f t="shared" si="11"/>
        <v>-1.1981470493081253E-5</v>
      </c>
      <c r="AV21" s="8">
        <f t="shared" si="12"/>
        <v>3.0517578125E-2</v>
      </c>
    </row>
    <row r="22" spans="2:48" x14ac:dyDescent="0.2">
      <c r="B22" t="s">
        <v>5</v>
      </c>
      <c r="C22" s="1">
        <v>7.32</v>
      </c>
      <c r="F22" s="4" t="s">
        <v>114</v>
      </c>
      <c r="G22">
        <f xml:space="preserve"> 1/1000 * (S22 + S17 * (S27 * S24 + $C$20 * SIN(S16/180*PI())))</f>
        <v>35.625026185585838</v>
      </c>
      <c r="H22" t="s">
        <v>162</v>
      </c>
      <c r="J22" s="14" t="s">
        <v>85</v>
      </c>
      <c r="K22">
        <f xml:space="preserve"> $C$33 * (0.054 * ($C$49*3.28084)^0.501 * ($C$17*2.20462*$C$50)^0.684 * 0.453592)</f>
        <v>12.929765367147903</v>
      </c>
      <c r="L22" t="s">
        <v>12</v>
      </c>
      <c r="N22" t="s">
        <v>4</v>
      </c>
      <c r="O22" s="1">
        <v>1.2E-2</v>
      </c>
      <c r="R22" t="s">
        <v>46</v>
      </c>
      <c r="S22">
        <f xml:space="preserve"> ($C$8 * $S$21 / 8) * (1 + 4.65 * S19^2) * ( PI() * $C$30 * S18^3 * $C$19^5)</f>
        <v>2918.983971136362</v>
      </c>
      <c r="T22" t="s">
        <v>29</v>
      </c>
      <c r="V22" t="s">
        <v>46</v>
      </c>
      <c r="W22">
        <f xml:space="preserve"> ($C$8 * $W$21 / 8) * (1 + 4.65 * W19^2) * ( PI() * $C$30 * W18^3 * $C$19^ 5)</f>
        <v>2918.983971136362</v>
      </c>
      <c r="X22" t="s">
        <v>29</v>
      </c>
      <c r="AB22" s="8">
        <v>18</v>
      </c>
      <c r="AC22" s="8">
        <f t="shared" si="7"/>
        <v>0.32725143432617188</v>
      </c>
      <c r="AD22" s="8">
        <f t="shared" si="0"/>
        <v>7.1169524357150848E-7</v>
      </c>
      <c r="AE22" s="8">
        <f t="shared" si="8"/>
        <v>0.3272552490234375</v>
      </c>
      <c r="AF22" s="8">
        <f t="shared" si="1"/>
        <v>-3.2205135237495242E-6</v>
      </c>
      <c r="AG22" s="8">
        <f t="shared" si="2"/>
        <v>0.32725334167480469</v>
      </c>
      <c r="AH22" s="8">
        <f t="shared" si="3"/>
        <v>-1.2544094788458082E-6</v>
      </c>
      <c r="AI22" s="8">
        <f t="shared" si="4"/>
        <v>-8.9275725958557649E-13</v>
      </c>
      <c r="AJ22" s="8">
        <f t="shared" si="5"/>
        <v>4.0398426909425179E-12</v>
      </c>
      <c r="AK22" s="8">
        <f t="shared" si="6"/>
        <v>3.814697265625E-6</v>
      </c>
      <c r="AM22" s="8">
        <v>18</v>
      </c>
      <c r="AN22" s="8">
        <f t="shared" si="13"/>
        <v>1066.1773681640625</v>
      </c>
      <c r="AO22" s="8">
        <v>-2.1956612005169518E-3</v>
      </c>
      <c r="AP22" s="8">
        <f t="shared" si="14"/>
        <v>1066.192626953125</v>
      </c>
      <c r="AQ22" s="8">
        <v>5.4568849193401547E-3</v>
      </c>
      <c r="AR22" s="8">
        <f t="shared" si="9"/>
        <v>1066.1849975585938</v>
      </c>
      <c r="AS22" s="8">
        <v>1.6306750578678475E-3</v>
      </c>
      <c r="AT22" s="8">
        <f t="shared" si="10"/>
        <v>-3.5804099552111677E-6</v>
      </c>
      <c r="AU22" s="8">
        <f t="shared" si="11"/>
        <v>8.8984061316231915E-6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35.625026185585838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110.71114228414268</v>
      </c>
      <c r="L23" t="s">
        <v>12</v>
      </c>
      <c r="N23" t="s">
        <v>46</v>
      </c>
      <c r="O23">
        <f xml:space="preserve"> ($C$8 * $O$22 / 8) * (1 + 4.65 * O20^2) * ( PI() * $C$30 * O19^3 * $C$19^ 5)</f>
        <v>2918.983971136362</v>
      </c>
      <c r="P23" t="s">
        <v>29</v>
      </c>
      <c r="R23" t="s">
        <v>47</v>
      </c>
      <c r="S23" s="5">
        <f>AG34</f>
        <v>0.32725212490186095</v>
      </c>
      <c r="V23" t="s">
        <v>47</v>
      </c>
      <c r="W23" s="5">
        <f>AG104</f>
        <v>0.32221742579713464</v>
      </c>
      <c r="AB23" s="8">
        <v>19</v>
      </c>
      <c r="AC23" s="8">
        <f t="shared" si="7"/>
        <v>0.32725143432617188</v>
      </c>
      <c r="AD23" s="8">
        <f t="shared" si="0"/>
        <v>7.1169524357150848E-7</v>
      </c>
      <c r="AE23" s="8">
        <f t="shared" si="8"/>
        <v>0.32725334167480469</v>
      </c>
      <c r="AF23" s="8">
        <f t="shared" si="1"/>
        <v>-1.2544094788458082E-6</v>
      </c>
      <c r="AG23" s="8">
        <f t="shared" si="2"/>
        <v>0.32725238800048828</v>
      </c>
      <c r="AH23" s="8">
        <f t="shared" si="3"/>
        <v>-2.7135720231941107E-7</v>
      </c>
      <c r="AI23" s="8">
        <f t="shared" si="4"/>
        <v>-1.9312363019959638E-13</v>
      </c>
      <c r="AJ23" s="8">
        <f t="shared" si="5"/>
        <v>3.4039304674254899E-13</v>
      </c>
      <c r="AK23" s="8">
        <f t="shared" si="6"/>
        <v>1.9073486328125E-6</v>
      </c>
      <c r="AM23" s="8">
        <v>19</v>
      </c>
      <c r="AN23" s="8">
        <f t="shared" si="13"/>
        <v>1066.1773681640625</v>
      </c>
      <c r="AO23" s="8">
        <v>-2.1956612005169518E-3</v>
      </c>
      <c r="AP23" s="8">
        <f t="shared" si="14"/>
        <v>1066.1849975585938</v>
      </c>
      <c r="AQ23" s="8">
        <v>1.6306750578678475E-3</v>
      </c>
      <c r="AR23" s="8">
        <f t="shared" si="9"/>
        <v>1066.1811828613281</v>
      </c>
      <c r="AS23" s="8">
        <v>-2.8241270331363921E-4</v>
      </c>
      <c r="AT23" s="8">
        <f t="shared" si="10"/>
        <v>6.2008261519886284E-7</v>
      </c>
      <c r="AU23" s="8">
        <f t="shared" si="11"/>
        <v>-4.6052335131858389E-7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1600.2478630521136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10.852602574685196</v>
      </c>
      <c r="L24" t="s">
        <v>12</v>
      </c>
      <c r="N24" t="s">
        <v>47</v>
      </c>
      <c r="O24" s="5">
        <f>AG69</f>
        <v>0.33531283168122172</v>
      </c>
      <c r="R24" t="s">
        <v>48</v>
      </c>
      <c r="S24">
        <f xml:space="preserve"> S18 * $C$19 * S23 - $C$20 * SIN(S16/180*PI())</f>
        <v>1.5949086685795066</v>
      </c>
      <c r="T24" t="s">
        <v>16</v>
      </c>
      <c r="V24" t="s">
        <v>48</v>
      </c>
      <c r="W24">
        <f xml:space="preserve"> W18 * $C$19 * W23 - $G$27 * SIN(W16/180*PI())</f>
        <v>0.80405998255734801</v>
      </c>
      <c r="X24" t="s">
        <v>16</v>
      </c>
      <c r="AB24" s="8">
        <v>20</v>
      </c>
      <c r="AC24" s="8">
        <f t="shared" si="7"/>
        <v>0.32725143432617188</v>
      </c>
      <c r="AD24" s="8">
        <f t="shared" si="0"/>
        <v>7.1169524357150848E-7</v>
      </c>
      <c r="AE24" s="8">
        <f t="shared" si="8"/>
        <v>0.32725238800048828</v>
      </c>
      <c r="AF24" s="8">
        <f t="shared" si="1"/>
        <v>-2.7135720231941107E-7</v>
      </c>
      <c r="AG24" s="8">
        <f t="shared" si="2"/>
        <v>0.32725191116333008</v>
      </c>
      <c r="AH24" s="8">
        <f t="shared" si="3"/>
        <v>2.2016899947630009E-7</v>
      </c>
      <c r="AI24" s="8">
        <f t="shared" si="4"/>
        <v>1.5669322970918071E-13</v>
      </c>
      <c r="AJ24" s="8">
        <f t="shared" si="5"/>
        <v>-5.9744443735352679E-14</v>
      </c>
      <c r="AK24" s="8">
        <f t="shared" si="6"/>
        <v>9.5367431640625E-7</v>
      </c>
      <c r="AM24" s="8">
        <v>20</v>
      </c>
      <c r="AN24" s="8">
        <f t="shared" si="13"/>
        <v>1066.1811828613281</v>
      </c>
      <c r="AO24" s="8">
        <v>-2.8241270331363921E-4</v>
      </c>
      <c r="AP24" s="8">
        <f t="shared" si="14"/>
        <v>1066.1849975585938</v>
      </c>
      <c r="AQ24" s="8">
        <v>1.6306750578678475E-3</v>
      </c>
      <c r="AR24" s="8">
        <f t="shared" si="9"/>
        <v>1066.1830902099609</v>
      </c>
      <c r="AS24" s="8">
        <v>6.7406296761873818E-4</v>
      </c>
      <c r="AT24" s="8">
        <f t="shared" si="10"/>
        <v>-1.9036394488882191E-7</v>
      </c>
      <c r="AU24" s="8">
        <f t="shared" si="11"/>
        <v>1.0991776687282589E-6</v>
      </c>
      <c r="AV24" s="8">
        <f t="shared" si="12"/>
        <v>3.814697265625E-3</v>
      </c>
    </row>
    <row r="25" spans="2:48" x14ac:dyDescent="0.2">
      <c r="B25" s="37" t="s">
        <v>20</v>
      </c>
      <c r="C25" s="37"/>
      <c r="D25" s="37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5.5676833495433371</v>
      </c>
      <c r="L25" t="s">
        <v>12</v>
      </c>
      <c r="N25" t="s">
        <v>48</v>
      </c>
      <c r="O25">
        <f xml:space="preserve"> O19 * $C$19 * O24 - $G$11 * SIN(O17/180*PI())</f>
        <v>2.8610815286185698</v>
      </c>
      <c r="P25" t="s">
        <v>16</v>
      </c>
      <c r="R25" t="s">
        <v>49</v>
      </c>
      <c r="S25">
        <f xml:space="preserve"> 1/$C$9 - S22 * SQRT( (2*$C$30*PI()*$C$19^2) / S17^3 )</f>
        <v>0.82520193451119017</v>
      </c>
      <c r="V25" t="s">
        <v>49</v>
      </c>
      <c r="W25">
        <f xml:space="preserve"> 1/$C$9 - W22 * SQRT( (2*$C$30*PI()*$C$19^2) / W17^3 )</f>
        <v>-0.11936039117416497</v>
      </c>
      <c r="AB25" s="8">
        <v>21</v>
      </c>
      <c r="AC25" s="8">
        <f t="shared" si="7"/>
        <v>0.32725191116333008</v>
      </c>
      <c r="AD25" s="8">
        <f t="shared" si="0"/>
        <v>2.2016899947630009E-7</v>
      </c>
      <c r="AE25" s="8">
        <f t="shared" si="8"/>
        <v>0.32725238800048828</v>
      </c>
      <c r="AF25" s="8">
        <f t="shared" si="1"/>
        <v>-2.7135720231941107E-7</v>
      </c>
      <c r="AG25" s="8">
        <f t="shared" si="2"/>
        <v>0.32725214958190918</v>
      </c>
      <c r="AH25" s="8">
        <f t="shared" si="3"/>
        <v>-2.5594106722870436E-8</v>
      </c>
      <c r="AI25" s="8">
        <f t="shared" si="4"/>
        <v>-5.6350288696640295E-15</v>
      </c>
      <c r="AJ25" s="8">
        <f t="shared" si="5"/>
        <v>6.9451451961825519E-15</v>
      </c>
      <c r="AK25" s="8">
        <f t="shared" si="6"/>
        <v>4.76837158203125E-7</v>
      </c>
      <c r="AM25" s="8">
        <v>21</v>
      </c>
      <c r="AN25" s="8">
        <f t="shared" si="13"/>
        <v>1066.1811828613281</v>
      </c>
      <c r="AO25" s="8">
        <v>-2.8241270331363921E-4</v>
      </c>
      <c r="AP25" s="8">
        <f t="shared" si="14"/>
        <v>1066.1830902099609</v>
      </c>
      <c r="AQ25" s="8">
        <v>6.7406296761873818E-4</v>
      </c>
      <c r="AR25" s="8">
        <f t="shared" si="9"/>
        <v>1066.1821365356445</v>
      </c>
      <c r="AS25" s="8">
        <v>1.9581654282774252E-4</v>
      </c>
      <c r="AT25" s="8">
        <f t="shared" si="10"/>
        <v>-5.5301079213513774E-8</v>
      </c>
      <c r="AU25" s="8">
        <f t="shared" si="11"/>
        <v>1.3199267996730986E-7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3" t="s">
        <v>131</v>
      </c>
      <c r="G26" s="44"/>
      <c r="H26" s="44"/>
      <c r="J26" s="14" t="s">
        <v>192</v>
      </c>
      <c r="K26">
        <f>$C$33*(0.14*$G$6*1000/745.7)*0.453592</f>
        <v>13.640897542922696</v>
      </c>
      <c r="L26" t="s">
        <v>12</v>
      </c>
      <c r="N26" t="s">
        <v>49</v>
      </c>
      <c r="O26">
        <f xml:space="preserve"> 1/$C$9 - O23 * SQRT( (2*$C$30*PI()*$C$19^2) / O18^3 )</f>
        <v>1.1293741509667878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0.32725191116333008</v>
      </c>
      <c r="AD26" s="8">
        <f t="shared" si="0"/>
        <v>2.2016899947630009E-7</v>
      </c>
      <c r="AE26" s="8">
        <f t="shared" si="8"/>
        <v>0.32725214958190918</v>
      </c>
      <c r="AF26" s="8">
        <f t="shared" si="1"/>
        <v>-2.5594106722870436E-8</v>
      </c>
      <c r="AG26" s="8">
        <f t="shared" si="2"/>
        <v>0.32725203037261963</v>
      </c>
      <c r="AH26" s="8">
        <f t="shared" si="3"/>
        <v>9.7287445044447196E-8</v>
      </c>
      <c r="AI26" s="8">
        <f t="shared" si="4"/>
        <v>2.1419679437041468E-14</v>
      </c>
      <c r="AJ26" s="8">
        <f t="shared" si="5"/>
        <v>-2.4899852512629739E-15</v>
      </c>
      <c r="AK26" s="8">
        <f t="shared" si="6"/>
        <v>2.384185791015625E-7</v>
      </c>
      <c r="AM26" s="8">
        <v>22</v>
      </c>
      <c r="AN26" s="8">
        <f t="shared" si="13"/>
        <v>1066.1811828613281</v>
      </c>
      <c r="AO26" s="8">
        <v>-2.8241270331363921E-4</v>
      </c>
      <c r="AP26" s="8">
        <f t="shared" si="14"/>
        <v>1066.1821365356445</v>
      </c>
      <c r="AQ26" s="8">
        <v>1.9581654282774252E-4</v>
      </c>
      <c r="AR26" s="8">
        <f t="shared" si="9"/>
        <v>1066.1816596984863</v>
      </c>
      <c r="AS26" s="8">
        <v>-4.3428718527138699E-5</v>
      </c>
      <c r="AT26" s="8">
        <f t="shared" si="10"/>
        <v>1.2264821800696367E-8</v>
      </c>
      <c r="AU26" s="8">
        <f t="shared" si="11"/>
        <v>-8.5040615214234296E-9</v>
      </c>
      <c r="AV26" s="8">
        <f t="shared" si="12"/>
        <v>9.5367431640625E-4</v>
      </c>
    </row>
    <row r="27" spans="2:48" x14ac:dyDescent="0.2">
      <c r="B27" t="s">
        <v>21</v>
      </c>
      <c r="C27" s="1">
        <v>96000</v>
      </c>
      <c r="D27" t="s">
        <v>14</v>
      </c>
      <c r="F27" s="4" t="s">
        <v>154</v>
      </c>
      <c r="G27" s="1">
        <f>$C$20</f>
        <v>50</v>
      </c>
      <c r="H27" t="s">
        <v>16</v>
      </c>
      <c r="J27" s="15" t="s">
        <v>88</v>
      </c>
      <c r="K27">
        <f xml:space="preserve"> $C$33 * (0.0268 * $C$17)</f>
        <v>22.858936637369336</v>
      </c>
      <c r="L27" t="s">
        <v>12</v>
      </c>
      <c r="N27" t="s">
        <v>50</v>
      </c>
      <c r="O27" s="1">
        <v>1.1499999999999999</v>
      </c>
      <c r="R27" t="s">
        <v>51</v>
      </c>
      <c r="S27">
        <f xml:space="preserve"> 1/$C$36 * LN( EXP($C$36 * S25) + EXP($C$36 * S26) )</f>
        <v>1.1500019549055651</v>
      </c>
      <c r="V27" t="s">
        <v>51</v>
      </c>
      <c r="W27">
        <f xml:space="preserve"> 1/$C$36 * LN( EXP($C$36 * W25) + EXP($C$36 * W26) )</f>
        <v>1.1499999999999999</v>
      </c>
      <c r="AB27" s="8">
        <v>23</v>
      </c>
      <c r="AC27" s="8">
        <f t="shared" si="7"/>
        <v>0.32725203037261963</v>
      </c>
      <c r="AD27" s="8">
        <f t="shared" si="0"/>
        <v>9.7287445044447196E-8</v>
      </c>
      <c r="AE27" s="8">
        <f t="shared" si="8"/>
        <v>0.32725214958190918</v>
      </c>
      <c r="AF27" s="8">
        <f t="shared" si="1"/>
        <v>-2.5594106722870436E-8</v>
      </c>
      <c r="AG27" s="8">
        <f t="shared" si="2"/>
        <v>0.3272520899772644</v>
      </c>
      <c r="AH27" s="8">
        <f t="shared" si="3"/>
        <v>3.5846668799965897E-8</v>
      </c>
      <c r="AI27" s="8">
        <f t="shared" si="4"/>
        <v>3.487430820903182E-15</v>
      </c>
      <c r="AJ27" s="8">
        <f t="shared" si="5"/>
        <v>-9.1746346692571704E-16</v>
      </c>
      <c r="AK27" s="8">
        <f t="shared" si="6"/>
        <v>1.1920928955078125E-7</v>
      </c>
      <c r="AM27" s="8">
        <v>23</v>
      </c>
      <c r="AN27" s="8">
        <f t="shared" si="13"/>
        <v>1066.1816596984863</v>
      </c>
      <c r="AO27" s="8">
        <v>-4.3428718527138699E-5</v>
      </c>
      <c r="AP27" s="8">
        <f t="shared" si="14"/>
        <v>1066.1821365356445</v>
      </c>
      <c r="AQ27" s="8">
        <v>1.9581654282774252E-4</v>
      </c>
      <c r="AR27" s="8">
        <f t="shared" si="9"/>
        <v>1066.1818981170654</v>
      </c>
      <c r="AS27" s="8">
        <v>7.6123044550513441E-5</v>
      </c>
      <c r="AT27" s="8">
        <f t="shared" si="10"/>
        <v>-3.3059262752130875E-9</v>
      </c>
      <c r="AU27" s="8">
        <f t="shared" si="11"/>
        <v>1.4906151413403767E-8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89</v>
      </c>
      <c r="K28">
        <f xml:space="preserve"> $C$33 * (11.5 * ($C$17*2.20462/1000)^0.4 * 0.453592)</f>
        <v>5.87380071713027</v>
      </c>
      <c r="L28" t="s">
        <v>12</v>
      </c>
      <c r="N28" t="s">
        <v>51</v>
      </c>
      <c r="O28">
        <f xml:space="preserve"> 1/$C$36 * LN( EXP($C$36 * O26) + EXP($C$36 * O27) )</f>
        <v>1.1643625077366089</v>
      </c>
      <c r="AB28" s="8">
        <v>24</v>
      </c>
      <c r="AC28" s="8">
        <f t="shared" si="7"/>
        <v>0.3272520899772644</v>
      </c>
      <c r="AD28" s="8">
        <f t="shared" si="0"/>
        <v>3.5846668799965897E-8</v>
      </c>
      <c r="AE28" s="8">
        <f t="shared" si="8"/>
        <v>0.32725214958190918</v>
      </c>
      <c r="AF28" s="8">
        <f t="shared" si="1"/>
        <v>-2.5594106722870436E-8</v>
      </c>
      <c r="AG28" s="8">
        <f t="shared" si="2"/>
        <v>0.32725211977958679</v>
      </c>
      <c r="AH28" s="8">
        <f t="shared" si="3"/>
        <v>5.126280955281004E-9</v>
      </c>
      <c r="AI28" s="8">
        <f t="shared" si="4"/>
        <v>1.8376009557953093E-16</v>
      </c>
      <c r="AJ28" s="8">
        <f t="shared" si="5"/>
        <v>-1.3120258186088022E-16</v>
      </c>
      <c r="AK28" s="8">
        <f t="shared" si="6"/>
        <v>5.9604644775390625E-8</v>
      </c>
      <c r="AM28" s="8">
        <v>24</v>
      </c>
      <c r="AN28" s="8">
        <f t="shared" si="13"/>
        <v>1066.1816596984863</v>
      </c>
      <c r="AO28" s="8">
        <v>-4.3428718527138699E-5</v>
      </c>
      <c r="AP28" s="8">
        <f t="shared" si="14"/>
        <v>1066.1818981170654</v>
      </c>
      <c r="AQ28" s="8">
        <v>7.6123044550513441E-5</v>
      </c>
      <c r="AR28" s="8">
        <f t="shared" si="9"/>
        <v>1066.1817789077759</v>
      </c>
      <c r="AS28" s="8">
        <v>1.6486457980136038E-5</v>
      </c>
      <c r="AT28" s="8">
        <f t="shared" si="10"/>
        <v>-7.159857431288276E-10</v>
      </c>
      <c r="AU28" s="8">
        <f t="shared" si="11"/>
        <v>1.2549993753020635E-9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90</v>
      </c>
      <c r="K29">
        <f xml:space="preserve"> $C$33 * (8 * ($C$17/1000))</f>
        <v>6.8235631753341295</v>
      </c>
      <c r="L29" t="s">
        <v>12</v>
      </c>
      <c r="S29">
        <v>1.6</v>
      </c>
      <c r="T29" t="s">
        <v>194</v>
      </c>
      <c r="AB29" s="8">
        <v>25</v>
      </c>
      <c r="AC29" s="8">
        <f t="shared" si="7"/>
        <v>0.32725211977958679</v>
      </c>
      <c r="AD29" s="8">
        <f t="shared" si="0"/>
        <v>5.126280955281004E-9</v>
      </c>
      <c r="AE29" s="8">
        <f t="shared" si="8"/>
        <v>0.32725214958190918</v>
      </c>
      <c r="AF29" s="8">
        <f t="shared" si="1"/>
        <v>-2.5594106722870436E-8</v>
      </c>
      <c r="AG29" s="8">
        <f t="shared" si="2"/>
        <v>0.32725213468074799</v>
      </c>
      <c r="AH29" s="8">
        <f t="shared" si="3"/>
        <v>-1.0233912883794716E-8</v>
      </c>
      <c r="AI29" s="8">
        <f t="shared" si="4"/>
        <v>-5.246191271420175E-17</v>
      </c>
      <c r="AJ29" s="8">
        <f t="shared" si="5"/>
        <v>2.6192785854040068E-16</v>
      </c>
      <c r="AK29" s="8">
        <f t="shared" si="6"/>
        <v>2.9802322387695312E-8</v>
      </c>
      <c r="AM29" s="8">
        <v>25</v>
      </c>
      <c r="AN29" s="8">
        <f t="shared" si="13"/>
        <v>1066.1816596984863</v>
      </c>
      <c r="AO29" s="8">
        <v>-4.3428718527138699E-5</v>
      </c>
      <c r="AP29" s="8">
        <f t="shared" si="14"/>
        <v>1066.1817789077759</v>
      </c>
      <c r="AQ29" s="8">
        <v>1.6486457980136038E-5</v>
      </c>
      <c r="AR29" s="8">
        <f t="shared" si="9"/>
        <v>1066.1817193031311</v>
      </c>
      <c r="AS29" s="8">
        <v>-1.3619066976389149E-5</v>
      </c>
      <c r="AT29" s="8">
        <f t="shared" si="10"/>
        <v>5.9145862631985426E-10</v>
      </c>
      <c r="AU29" s="8">
        <f t="shared" si="11"/>
        <v>-2.2453017543489807E-10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49.976768843133506</v>
      </c>
      <c r="H30" t="s">
        <v>16</v>
      </c>
      <c r="J30" s="15" t="s">
        <v>91</v>
      </c>
      <c r="K30">
        <f xml:space="preserve"> $C$33 * (13 * ($C$17*2.20462/1000)^1.3 * 0.453592)</f>
        <v>14.328911722180861</v>
      </c>
      <c r="L30" t="s">
        <v>12</v>
      </c>
      <c r="S30">
        <v>4.0999999999999996</v>
      </c>
      <c r="T30" t="s">
        <v>193</v>
      </c>
      <c r="AB30" s="8">
        <v>26</v>
      </c>
      <c r="AC30" s="8">
        <f>IF(AI29&gt;0, AG29, AC29)</f>
        <v>0.32725211977958679</v>
      </c>
      <c r="AD30" s="8">
        <f t="shared" si="0"/>
        <v>5.126280955281004E-9</v>
      </c>
      <c r="AE30" s="8">
        <f t="shared" si="8"/>
        <v>0.32725213468074799</v>
      </c>
      <c r="AF30" s="8">
        <f t="shared" si="1"/>
        <v>-1.0233912883794716E-8</v>
      </c>
      <c r="AG30" s="8">
        <f t="shared" si="2"/>
        <v>0.32725212723016739</v>
      </c>
      <c r="AH30" s="8">
        <f t="shared" si="3"/>
        <v>-2.5538159920124315E-9</v>
      </c>
      <c r="AI30" s="8">
        <f t="shared" si="4"/>
        <v>-1.3091578283145392E-17</v>
      </c>
      <c r="AJ30" s="8">
        <f t="shared" si="5"/>
        <v>2.6135530383497005E-17</v>
      </c>
      <c r="AK30" s="8">
        <f t="shared" si="6"/>
        <v>1.4901161193847656E-8</v>
      </c>
      <c r="AM30" s="8">
        <v>26</v>
      </c>
      <c r="AN30" s="8">
        <f t="shared" si="13"/>
        <v>1066.1817193031311</v>
      </c>
      <c r="AO30" s="8">
        <v>-1.3619066976389149E-5</v>
      </c>
      <c r="AP30" s="8">
        <f t="shared" si="14"/>
        <v>1066.1817789077759</v>
      </c>
      <c r="AQ30" s="8">
        <v>1.6486457980136038E-5</v>
      </c>
      <c r="AR30" s="8">
        <f t="shared" si="9"/>
        <v>1066.1817491054535</v>
      </c>
      <c r="AS30" s="8">
        <v>1.5021190620245761E-6</v>
      </c>
      <c r="AT30" s="8">
        <f t="shared" si="10"/>
        <v>-2.0457460112223549E-11</v>
      </c>
      <c r="AU30" s="8">
        <f t="shared" si="11"/>
        <v>2.4764622797229533E-11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9995.3537686267009</v>
      </c>
      <c r="H31" t="s">
        <v>14</v>
      </c>
      <c r="J31" s="3" t="s">
        <v>78</v>
      </c>
      <c r="K31" s="3">
        <f>$C$17 - $C$26 - SUM(K17:K30)</f>
        <v>5.2170889830449596E-10</v>
      </c>
      <c r="L31" s="3" t="s">
        <v>12</v>
      </c>
      <c r="AB31" s="8">
        <v>27</v>
      </c>
      <c r="AC31" s="8">
        <f t="shared" si="7"/>
        <v>0.32725211977958679</v>
      </c>
      <c r="AD31" s="8">
        <f t="shared" si="0"/>
        <v>5.126280955281004E-9</v>
      </c>
      <c r="AE31" s="8">
        <f t="shared" si="8"/>
        <v>0.32725212723016739</v>
      </c>
      <c r="AF31" s="8">
        <f t="shared" si="1"/>
        <v>-2.5538159920124315E-9</v>
      </c>
      <c r="AG31" s="8">
        <f t="shared" si="2"/>
        <v>0.32725212350487709</v>
      </c>
      <c r="AH31" s="8">
        <f t="shared" si="3"/>
        <v>1.2862325093898619E-9</v>
      </c>
      <c r="AI31" s="8">
        <f t="shared" si="4"/>
        <v>6.5935892169485442E-18</v>
      </c>
      <c r="AJ31" s="8">
        <f t="shared" si="5"/>
        <v>-3.2848011519261092E-18</v>
      </c>
      <c r="AK31" s="8">
        <f t="shared" si="6"/>
        <v>7.4505805969238281E-9</v>
      </c>
      <c r="AM31" s="8">
        <v>27</v>
      </c>
      <c r="AN31" s="8">
        <f t="shared" si="13"/>
        <v>1066.1817193031311</v>
      </c>
      <c r="AO31" s="8">
        <v>-1.3619066976389149E-5</v>
      </c>
      <c r="AP31" s="8">
        <f t="shared" si="14"/>
        <v>1066.1817491054535</v>
      </c>
      <c r="AQ31" s="8">
        <v>1.5021190620245761E-6</v>
      </c>
      <c r="AR31" s="8">
        <f t="shared" si="9"/>
        <v>1066.1817342042923</v>
      </c>
      <c r="AS31" s="8">
        <v>-6.0584741277125431E-6</v>
      </c>
      <c r="AT31" s="8">
        <f t="shared" si="10"/>
        <v>8.2510764920037953E-11</v>
      </c>
      <c r="AU31" s="8">
        <f t="shared" si="11"/>
        <v>-9.1005494740197273E-12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1.7466458786346903</v>
      </c>
      <c r="H32" t="s">
        <v>62</v>
      </c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0.32725212350487709</v>
      </c>
      <c r="AD32" s="8">
        <f t="shared" si="0"/>
        <v>1.2862325093898619E-9</v>
      </c>
      <c r="AE32" s="8">
        <f t="shared" si="8"/>
        <v>0.32725212723016739</v>
      </c>
      <c r="AF32" s="8">
        <f t="shared" si="1"/>
        <v>-2.5538159920124315E-9</v>
      </c>
      <c r="AG32" s="8">
        <f t="shared" si="2"/>
        <v>0.32725212536752224</v>
      </c>
      <c r="AH32" s="8">
        <f t="shared" si="3"/>
        <v>-6.337917413112848E-10</v>
      </c>
      <c r="AI32" s="8">
        <f t="shared" si="4"/>
        <v>-8.1520354185738404E-19</v>
      </c>
      <c r="AJ32" s="8">
        <f t="shared" si="5"/>
        <v>1.6185874845661651E-18</v>
      </c>
      <c r="AK32" s="8">
        <f t="shared" si="6"/>
        <v>3.7252902984619141E-9</v>
      </c>
      <c r="AM32" s="8">
        <v>28</v>
      </c>
      <c r="AN32" s="8">
        <f t="shared" si="13"/>
        <v>1066.1817342042923</v>
      </c>
      <c r="AO32" s="8">
        <v>-6.0584741277125431E-6</v>
      </c>
      <c r="AP32" s="8">
        <f t="shared" si="14"/>
        <v>1066.1817491054535</v>
      </c>
      <c r="AQ32" s="8">
        <v>1.5021190620245761E-6</v>
      </c>
      <c r="AR32" s="8">
        <f t="shared" si="9"/>
        <v>1066.1817416548729</v>
      </c>
      <c r="AS32" s="8">
        <v>-2.2781774760005646E-6</v>
      </c>
      <c r="AT32" s="8">
        <f t="shared" si="10"/>
        <v>1.3802279296686884E-11</v>
      </c>
      <c r="AU32" s="8">
        <f t="shared" si="11"/>
        <v>-3.4220938133754844E-12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18.869680316625011</v>
      </c>
      <c r="H33" t="s">
        <v>162</v>
      </c>
      <c r="AB33" s="8">
        <v>29</v>
      </c>
      <c r="AC33" s="8">
        <f t="shared" si="7"/>
        <v>0.32725212350487709</v>
      </c>
      <c r="AD33" s="8">
        <f t="shared" si="0"/>
        <v>1.2862325093898619E-9</v>
      </c>
      <c r="AE33" s="8">
        <f t="shared" si="8"/>
        <v>0.32725212536752224</v>
      </c>
      <c r="AF33" s="8">
        <f t="shared" si="1"/>
        <v>-6.337917413112848E-10</v>
      </c>
      <c r="AG33" s="8">
        <f t="shared" si="2"/>
        <v>0.32725212443619967</v>
      </c>
      <c r="AH33" s="8">
        <f t="shared" si="3"/>
        <v>3.2622038403928855E-10</v>
      </c>
      <c r="AI33" s="8">
        <f t="shared" si="4"/>
        <v>4.1959526317697856E-19</v>
      </c>
      <c r="AJ33" s="8">
        <f t="shared" si="5"/>
        <v>-2.0675578525149675E-19</v>
      </c>
      <c r="AK33" s="8">
        <f t="shared" si="6"/>
        <v>1.862645149230957E-9</v>
      </c>
      <c r="AM33" s="8">
        <v>29</v>
      </c>
      <c r="AN33" s="8">
        <f t="shared" si="13"/>
        <v>1066.1817416548729</v>
      </c>
      <c r="AO33" s="8">
        <v>-2.2781774760005646E-6</v>
      </c>
      <c r="AP33" s="8">
        <f t="shared" si="14"/>
        <v>1066.1817491054535</v>
      </c>
      <c r="AQ33" s="8">
        <v>1.5021190620245761E-6</v>
      </c>
      <c r="AR33" s="8">
        <f t="shared" si="9"/>
        <v>1066.1817453801632</v>
      </c>
      <c r="AS33" s="8">
        <v>-3.880294343616697E-7</v>
      </c>
      <c r="AT33" s="8">
        <f t="shared" si="10"/>
        <v>8.8399991738799545E-13</v>
      </c>
      <c r="AU33" s="8">
        <f t="shared" si="11"/>
        <v>-5.8286640998127812E-13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18.869680316625011</v>
      </c>
      <c r="H34" t="s">
        <v>162</v>
      </c>
      <c r="J34" s="2" t="s">
        <v>80</v>
      </c>
      <c r="K34" s="2"/>
      <c r="L34" s="2"/>
      <c r="AB34" s="8">
        <v>30</v>
      </c>
      <c r="AC34" s="8">
        <f t="shared" si="7"/>
        <v>0.32725212443619967</v>
      </c>
      <c r="AD34" s="8">
        <f t="shared" si="0"/>
        <v>3.2622038403928855E-10</v>
      </c>
      <c r="AE34" s="8">
        <f t="shared" si="8"/>
        <v>0.32725212536752224</v>
      </c>
      <c r="AF34" s="8">
        <f t="shared" si="1"/>
        <v>-6.337917413112848E-10</v>
      </c>
      <c r="AG34" s="8">
        <f t="shared" si="2"/>
        <v>0.32725212490186095</v>
      </c>
      <c r="AH34" s="8">
        <f t="shared" si="3"/>
        <v>-1.5378570639157374E-10</v>
      </c>
      <c r="AI34" s="8">
        <f t="shared" si="4"/>
        <v>-5.0168032198812457E-20</v>
      </c>
      <c r="AJ34" s="8">
        <f t="shared" si="5"/>
        <v>9.74681106427015E-20</v>
      </c>
      <c r="AK34" s="8">
        <f t="shared" si="6"/>
        <v>9.3132257461547852E-10</v>
      </c>
      <c r="AM34" s="8">
        <v>30</v>
      </c>
      <c r="AN34" s="8">
        <f t="shared" si="13"/>
        <v>1066.1817453801632</v>
      </c>
      <c r="AO34" s="8">
        <v>-3.880294343616697E-7</v>
      </c>
      <c r="AP34" s="8">
        <f t="shared" si="14"/>
        <v>1066.1817491054535</v>
      </c>
      <c r="AQ34" s="8">
        <v>1.5021190620245761E-6</v>
      </c>
      <c r="AR34" s="8">
        <f t="shared" si="9"/>
        <v>1066.1817472428083</v>
      </c>
      <c r="AS34" s="8">
        <v>5.5704481383145321E-7</v>
      </c>
      <c r="AT34" s="8">
        <f t="shared" si="10"/>
        <v>-2.1614978402512039E-13</v>
      </c>
      <c r="AU34" s="8">
        <f t="shared" si="11"/>
        <v>8.3674763325815713E-13</v>
      </c>
      <c r="AV34" s="8">
        <f t="shared" si="12"/>
        <v>3.7252902984619141E-6</v>
      </c>
    </row>
    <row r="35" spans="2:48" x14ac:dyDescent="0.2">
      <c r="B35" s="41" t="s">
        <v>27</v>
      </c>
      <c r="C35" s="41"/>
      <c r="D35" s="41"/>
      <c r="F35" t="s">
        <v>132</v>
      </c>
      <c r="G35">
        <f>$G$29/$G$28</f>
        <v>200</v>
      </c>
      <c r="H35" t="s">
        <v>22</v>
      </c>
      <c r="J35" t="s">
        <v>81</v>
      </c>
      <c r="K35">
        <f>ROUND($C$26/$C$17 * 100, 2)</f>
        <v>37.520000000000003</v>
      </c>
      <c r="L35" t="s">
        <v>82</v>
      </c>
      <c r="AM35" s="8">
        <v>31</v>
      </c>
      <c r="AN35" s="8">
        <f t="shared" si="13"/>
        <v>1066.1817453801632</v>
      </c>
      <c r="AO35">
        <v>-3.880294343616697E-7</v>
      </c>
      <c r="AP35" s="8">
        <f t="shared" si="14"/>
        <v>1066.1817472428083</v>
      </c>
      <c r="AQ35">
        <v>5.5704481383145321E-7</v>
      </c>
      <c r="AR35" s="8">
        <f t="shared" si="9"/>
        <v>1066.1817463114858</v>
      </c>
      <c r="AS35">
        <v>8.4507632891472895E-8</v>
      </c>
      <c r="AT35" s="8">
        <f t="shared" si="10"/>
        <v>-3.2791448990121861E-14</v>
      </c>
      <c r="AU35" s="8">
        <f t="shared" si="11"/>
        <v>4.7074538631367311E-14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74</v>
      </c>
      <c r="K36">
        <f>ROUND(K17/$C$17 * 100, 2)</f>
        <v>15.13</v>
      </c>
      <c r="L36" t="s">
        <v>82</v>
      </c>
      <c r="AM36" s="8">
        <v>32</v>
      </c>
      <c r="AN36" s="8">
        <f t="shared" si="13"/>
        <v>1066.1817453801632</v>
      </c>
      <c r="AO36">
        <v>-3.880294343616697E-7</v>
      </c>
      <c r="AP36" s="8">
        <f t="shared" si="14"/>
        <v>1066.1817463114858</v>
      </c>
      <c r="AQ36">
        <v>8.4507632891472895E-8</v>
      </c>
      <c r="AR36" s="8">
        <f t="shared" si="9"/>
        <v>1066.1817458458245</v>
      </c>
      <c r="AS36">
        <v>-1.5176078704826068E-7</v>
      </c>
      <c r="AT36" s="8">
        <f t="shared" si="10"/>
        <v>5.8887652356618401E-14</v>
      </c>
      <c r="AU36" s="8">
        <f t="shared" si="11"/>
        <v>-1.2824944879195408E-14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8" t="s">
        <v>108</v>
      </c>
      <c r="K37">
        <f>ROUND(SUM(K18:K20)/$C$17 * 100, 2)</f>
        <v>13</v>
      </c>
      <c r="L37" t="s">
        <v>82</v>
      </c>
      <c r="AB37" s="6" t="s">
        <v>142</v>
      </c>
      <c r="AM37" s="8">
        <v>33</v>
      </c>
      <c r="AN37" s="8">
        <f t="shared" si="13"/>
        <v>1066.1817458458245</v>
      </c>
      <c r="AO37">
        <v>-1.5176078704826068E-7</v>
      </c>
      <c r="AP37" s="8">
        <f t="shared" si="14"/>
        <v>1066.1817463114858</v>
      </c>
      <c r="AQ37">
        <v>8.4507632891472895E-8</v>
      </c>
      <c r="AR37" s="8">
        <f t="shared" si="9"/>
        <v>1066.1817460786551</v>
      </c>
      <c r="AS37">
        <v>-3.3626633921812754E-8</v>
      </c>
      <c r="AT37" s="8">
        <f t="shared" si="10"/>
        <v>5.1032044297580443E-15</v>
      </c>
      <c r="AU37" s="8">
        <f t="shared" si="11"/>
        <v>-2.8417072348405017E-15</v>
      </c>
      <c r="AV37" s="8">
        <f t="shared" si="12"/>
        <v>4.6566128730773926E-7</v>
      </c>
    </row>
    <row r="38" spans="2:48" x14ac:dyDescent="0.2">
      <c r="B38" s="37" t="s">
        <v>184</v>
      </c>
      <c r="C38" s="37"/>
      <c r="D38" s="37"/>
      <c r="F38" t="s">
        <v>117</v>
      </c>
      <c r="G38" s="1">
        <v>1.524</v>
      </c>
      <c r="H38" t="s">
        <v>16</v>
      </c>
      <c r="J38" s="17" t="s">
        <v>95</v>
      </c>
      <c r="K38">
        <f>ROUND(SUM(K21:K26)/$C$17 * 100, 2)</f>
        <v>29.67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1066.1817460786551</v>
      </c>
      <c r="AO38">
        <v>-3.3626633921812754E-8</v>
      </c>
      <c r="AP38" s="8">
        <f t="shared" si="14"/>
        <v>1066.1817463114858</v>
      </c>
      <c r="AQ38">
        <v>8.4507632891472895E-8</v>
      </c>
      <c r="AR38" s="8">
        <f t="shared" si="9"/>
        <v>1066.1817461950704</v>
      </c>
      <c r="AS38">
        <v>2.5440613171667792E-8</v>
      </c>
      <c r="AT38" s="8">
        <f t="shared" si="10"/>
        <v>-8.5548218587012053E-16</v>
      </c>
      <c r="AU38" s="8">
        <f t="shared" si="11"/>
        <v>2.1499259984452717E-15</v>
      </c>
      <c r="AV38" s="8">
        <f t="shared" si="12"/>
        <v>2.3283064365386963E-7</v>
      </c>
    </row>
    <row r="39" spans="2:48" x14ac:dyDescent="0.2">
      <c r="B39" t="s">
        <v>182</v>
      </c>
      <c r="C39" s="1">
        <v>2</v>
      </c>
      <c r="F39" t="s">
        <v>123</v>
      </c>
      <c r="G39" s="1">
        <v>152.4</v>
      </c>
      <c r="H39" t="s">
        <v>14</v>
      </c>
      <c r="J39" s="15" t="s">
        <v>96</v>
      </c>
      <c r="K39">
        <f>ROUND(SUM(K27:K30)/$C$17*100, 2)</f>
        <v>4.68</v>
      </c>
      <c r="L39" t="s">
        <v>82</v>
      </c>
      <c r="AB39" s="8">
        <v>0</v>
      </c>
      <c r="AC39" s="9">
        <v>0</v>
      </c>
      <c r="AD39" s="8">
        <f t="shared" ref="AD39:AD69" si="15" xml:space="preserve"> $O$20 * TAN($O$17/180*PI()) + $O$21 / (2 * SQRT($O$20^2 + AC39^2)) - AC39</f>
        <v>0.53799864893176652</v>
      </c>
      <c r="AE39" s="9">
        <v>1</v>
      </c>
      <c r="AF39" s="8">
        <f t="shared" ref="AF39:AF69" si="16" xml:space="preserve"> $O$20 * TAN($O$17/180*PI()) + $O$21 / (2 * SQRT($O$20^2 + AE39^2)) - AE39</f>
        <v>-0.67677540934207769</v>
      </c>
      <c r="AG39" s="8">
        <f xml:space="preserve"> (AC39 + AE39)/2</f>
        <v>0.5</v>
      </c>
      <c r="AH39" s="8">
        <f t="shared" ref="AH39:AH69" si="17" xml:space="preserve"> $O$20 * TAN($O$17/180*PI()) + $O$21 / (2 * SQRT($O$20^2 + AG39^2)) - AG39</f>
        <v>-0.17066354888816138</v>
      </c>
      <c r="AI39" s="8">
        <f>AD39*AH39</f>
        <v>-9.1816758723731309E-2</v>
      </c>
      <c r="AJ39" s="8">
        <f>AF39*AH39</f>
        <v>0.11550089315855711</v>
      </c>
      <c r="AK39" s="8">
        <f>AE39-AC39</f>
        <v>1</v>
      </c>
      <c r="AM39" s="8">
        <v>35</v>
      </c>
      <c r="AN39" s="8">
        <f t="shared" si="13"/>
        <v>1066.1817460786551</v>
      </c>
      <c r="AO39">
        <v>-3.3626633921812754E-8</v>
      </c>
      <c r="AP39" s="8">
        <f t="shared" si="14"/>
        <v>1066.1817461950704</v>
      </c>
      <c r="AQ39">
        <v>2.5440613171667792E-8</v>
      </c>
      <c r="AR39" s="8">
        <f t="shared" si="9"/>
        <v>1066.1817461368628</v>
      </c>
      <c r="AS39">
        <v>-4.0930672184913419E-9</v>
      </c>
      <c r="AT39" s="8">
        <f t="shared" si="10"/>
        <v>1.3763607297358073E-16</v>
      </c>
      <c r="AU39" s="8">
        <f t="shared" si="11"/>
        <v>-1.0413013979127249E-16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181.66181215249026</v>
      </c>
      <c r="H40" t="s">
        <v>162</v>
      </c>
      <c r="J40" s="3" t="s">
        <v>83</v>
      </c>
      <c r="K40" s="3">
        <f>SUM(K35:K39)</f>
        <v>100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0.53799864893176652</v>
      </c>
      <c r="AE40" s="8">
        <f>IF(AJ39&gt;0, AG39, AE39)</f>
        <v>0.5</v>
      </c>
      <c r="AF40" s="8">
        <f t="shared" si="16"/>
        <v>-0.17066354888816138</v>
      </c>
      <c r="AG40" s="8">
        <f t="shared" ref="AG40:AG69" si="18" xml:space="preserve"> (AC40 + AE40)/2</f>
        <v>0.25</v>
      </c>
      <c r="AH40" s="8">
        <f t="shared" si="17"/>
        <v>9.1462374449763462E-2</v>
      </c>
      <c r="AI40" s="8">
        <f t="shared" ref="AI40:AI69" si="19">AD40*AH40</f>
        <v>4.9206633882064067E-2</v>
      </c>
      <c r="AJ40" s="8">
        <f t="shared" ref="AJ40:AJ69" si="20">AF40*AH40</f>
        <v>-1.5609293413334528E-2</v>
      </c>
      <c r="AK40" s="8">
        <f t="shared" ref="AK40:AK69" si="21">AE40-AC40</f>
        <v>0.5</v>
      </c>
      <c r="AM40" s="8">
        <v>36</v>
      </c>
      <c r="AN40" s="8">
        <f t="shared" si="13"/>
        <v>1066.1817461368628</v>
      </c>
      <c r="AO40">
        <v>-4.0930672184913419E-9</v>
      </c>
      <c r="AP40" s="8">
        <f t="shared" si="14"/>
        <v>1066.1817461950704</v>
      </c>
      <c r="AQ40">
        <v>2.5440613171667792E-8</v>
      </c>
      <c r="AR40" s="8">
        <f t="shared" si="9"/>
        <v>1066.1817461659666</v>
      </c>
      <c r="AS40">
        <v>1.0673716133169364E-8</v>
      </c>
      <c r="AT40" s="8">
        <f t="shared" si="10"/>
        <v>-4.3688237604157691E-17</v>
      </c>
      <c r="AU40" s="8">
        <f t="shared" si="11"/>
        <v>2.7154588324815154E-16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1306.958902605282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9.1462374449763462E-2</v>
      </c>
      <c r="AE41" s="8">
        <f t="shared" ref="AE41:AE69" si="23">IF(AJ40&gt;0, AG40, AE40)</f>
        <v>0.5</v>
      </c>
      <c r="AF41" s="8">
        <f t="shared" si="16"/>
        <v>-0.17066354888816138</v>
      </c>
      <c r="AG41" s="8">
        <f t="shared" si="18"/>
        <v>0.375</v>
      </c>
      <c r="AH41" s="8">
        <f t="shared" si="17"/>
        <v>-4.1603712757186995E-2</v>
      </c>
      <c r="AI41" s="8">
        <f t="shared" si="19"/>
        <v>-3.8051743546982379E-3</v>
      </c>
      <c r="AJ41" s="8">
        <f t="shared" si="20"/>
        <v>7.100237266065206E-3</v>
      </c>
      <c r="AK41" s="8">
        <f t="shared" si="21"/>
        <v>0.25</v>
      </c>
      <c r="AM41" s="8">
        <v>37</v>
      </c>
      <c r="AN41" s="8">
        <f t="shared" si="13"/>
        <v>1066.1817461368628</v>
      </c>
      <c r="AO41">
        <v>-4.0930672184913419E-9</v>
      </c>
      <c r="AP41" s="8">
        <f t="shared" si="14"/>
        <v>1066.1817461659666</v>
      </c>
      <c r="AQ41">
        <v>1.0673716133169364E-8</v>
      </c>
      <c r="AR41" s="8">
        <f t="shared" si="9"/>
        <v>1066.1817461514147</v>
      </c>
      <c r="AS41">
        <v>3.2904381441767327E-9</v>
      </c>
      <c r="AT41" s="8">
        <f t="shared" si="10"/>
        <v>-1.3467984502403273E-17</v>
      </c>
      <c r="AU41" s="8">
        <f t="shared" si="11"/>
        <v>3.5121202704695055E-17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s="41" t="s">
        <v>188</v>
      </c>
      <c r="K42" s="41"/>
      <c r="L42" s="41"/>
      <c r="AB42" s="8">
        <v>3</v>
      </c>
      <c r="AC42" s="8">
        <f>IF(AI41&gt;0, AG41, AC41)</f>
        <v>0.25</v>
      </c>
      <c r="AD42" s="8">
        <f t="shared" si="15"/>
        <v>9.1462374449763462E-2</v>
      </c>
      <c r="AE42" s="8">
        <f t="shared" si="23"/>
        <v>0.375</v>
      </c>
      <c r="AF42" s="8">
        <f t="shared" si="16"/>
        <v>-4.1603712757186995E-2</v>
      </c>
      <c r="AG42" s="8">
        <f t="shared" si="18"/>
        <v>0.3125</v>
      </c>
      <c r="AH42" s="8">
        <f t="shared" si="17"/>
        <v>2.4132442388553221E-2</v>
      </c>
      <c r="AI42" s="8">
        <f t="shared" si="19"/>
        <v>2.2072104821291988E-3</v>
      </c>
      <c r="AJ42" s="8">
        <f t="shared" si="20"/>
        <v>-1.003999201262732E-3</v>
      </c>
      <c r="AK42" s="8">
        <f t="shared" si="21"/>
        <v>0.125</v>
      </c>
      <c r="AM42" s="8">
        <v>38</v>
      </c>
      <c r="AN42" s="8">
        <f t="shared" si="13"/>
        <v>1066.1817461368628</v>
      </c>
      <c r="AO42">
        <v>-4.0930672184913419E-9</v>
      </c>
      <c r="AP42" s="8">
        <f t="shared" si="14"/>
        <v>1066.1817461514147</v>
      </c>
      <c r="AQ42">
        <v>3.2904381441767327E-9</v>
      </c>
      <c r="AR42" s="8">
        <f t="shared" si="9"/>
        <v>1066.1817461441387</v>
      </c>
      <c r="AS42">
        <v>-4.0131453715730458E-10</v>
      </c>
      <c r="AT42" s="8">
        <f t="shared" si="10"/>
        <v>1.642607376342589E-18</v>
      </c>
      <c r="AU42" s="8">
        <f t="shared" si="11"/>
        <v>-1.3205006608750258E-18</v>
      </c>
      <c r="AV42" s="8">
        <f t="shared" si="12"/>
        <v>1.4551915228366852E-8</v>
      </c>
    </row>
    <row r="43" spans="2:48" x14ac:dyDescent="0.2">
      <c r="B43" s="37" t="s">
        <v>165</v>
      </c>
      <c r="C43" s="37"/>
      <c r="D43" s="37"/>
      <c r="J43" t="s">
        <v>81</v>
      </c>
      <c r="K43">
        <f>C26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2.4132442388553221E-2</v>
      </c>
      <c r="AE43" s="8">
        <f t="shared" si="23"/>
        <v>0.375</v>
      </c>
      <c r="AF43" s="8">
        <f t="shared" si="16"/>
        <v>-4.1603712757186995E-2</v>
      </c>
      <c r="AG43" s="8">
        <f t="shared" si="18"/>
        <v>0.34375</v>
      </c>
      <c r="AH43" s="8">
        <f t="shared" si="17"/>
        <v>-8.8812974385625854E-3</v>
      </c>
      <c r="AI43" s="8">
        <f t="shared" si="19"/>
        <v>-2.143273987717169E-4</v>
      </c>
      <c r="AJ43" s="8">
        <f t="shared" si="20"/>
        <v>3.6949494754509842E-4</v>
      </c>
      <c r="AK43" s="8">
        <f t="shared" si="21"/>
        <v>6.25E-2</v>
      </c>
      <c r="AM43" s="8">
        <v>39</v>
      </c>
      <c r="AN43" s="8">
        <f t="shared" si="13"/>
        <v>1066.1817461441387</v>
      </c>
      <c r="AO43">
        <v>-4.0131453715730458E-10</v>
      </c>
      <c r="AP43" s="8">
        <f t="shared" si="14"/>
        <v>1066.1817461514147</v>
      </c>
      <c r="AQ43">
        <v>3.2904381441767327E-9</v>
      </c>
      <c r="AR43" s="8">
        <f t="shared" si="9"/>
        <v>1066.1817461477767</v>
      </c>
      <c r="AS43">
        <v>1.4446186469285749E-9</v>
      </c>
      <c r="AT43" s="8">
        <f t="shared" si="10"/>
        <v>-5.7974646366095264E-19</v>
      </c>
      <c r="AU43" s="8">
        <f t="shared" si="11"/>
        <v>4.7534282996427627E-18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6" t="s">
        <v>74</v>
      </c>
      <c r="K44">
        <f>ROUND(K17, 2)</f>
        <v>161.33000000000001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2.4132442388553221E-2</v>
      </c>
      <c r="AE44" s="8">
        <f t="shared" si="23"/>
        <v>0.34375</v>
      </c>
      <c r="AF44" s="8">
        <f t="shared" si="16"/>
        <v>-8.8812974385625854E-3</v>
      </c>
      <c r="AG44" s="8">
        <f t="shared" si="18"/>
        <v>0.328125</v>
      </c>
      <c r="AH44" s="8">
        <f t="shared" si="17"/>
        <v>7.5840264308927874E-3</v>
      </c>
      <c r="AI44" s="8">
        <f t="shared" si="19"/>
        <v>1.8302108091678511E-4</v>
      </c>
      <c r="AJ44" s="8">
        <f t="shared" si="20"/>
        <v>-6.7355994514679059E-5</v>
      </c>
      <c r="AK44" s="8">
        <f t="shared" si="21"/>
        <v>3.125E-2</v>
      </c>
      <c r="AM44" s="8">
        <v>40</v>
      </c>
      <c r="AN44" s="8">
        <f t="shared" si="13"/>
        <v>1066.1817461441387</v>
      </c>
      <c r="AO44">
        <v>-4.0131453715730458E-10</v>
      </c>
      <c r="AP44" s="8">
        <f t="shared" si="14"/>
        <v>1066.1817461477767</v>
      </c>
      <c r="AQ44">
        <v>1.4446186469285749E-9</v>
      </c>
      <c r="AR44" s="11">
        <f t="shared" si="9"/>
        <v>1066.1817461459577</v>
      </c>
      <c r="AS44">
        <v>5.2170889830449596E-10</v>
      </c>
      <c r="AT44" s="8">
        <f t="shared" si="10"/>
        <v>-2.0936936505391608E-19</v>
      </c>
      <c r="AU44" s="8">
        <f t="shared" si="11"/>
        <v>7.5367040275923843E-19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8" t="s">
        <v>108</v>
      </c>
      <c r="K45">
        <f>ROUND(SUM(K18:K20), 2)</f>
        <v>138.61000000000001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7.5840264308927874E-3</v>
      </c>
      <c r="AE45" s="8">
        <f t="shared" si="23"/>
        <v>0.34375</v>
      </c>
      <c r="AF45" s="8">
        <f t="shared" si="16"/>
        <v>-8.8812974385625854E-3</v>
      </c>
      <c r="AG45" s="8">
        <f t="shared" si="18"/>
        <v>0.3359375</v>
      </c>
      <c r="AH45" s="8">
        <f t="shared" si="17"/>
        <v>-6.5830739590799769E-4</v>
      </c>
      <c r="AI45" s="8">
        <f t="shared" si="19"/>
        <v>-4.9926206902184572E-6</v>
      </c>
      <c r="AJ45" s="8">
        <f t="shared" si="20"/>
        <v>5.8466237890645056E-6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7" t="s">
        <v>95</v>
      </c>
      <c r="K46">
        <f>ROUND(SUM(K21:K25), 2)</f>
        <v>302.72000000000003</v>
      </c>
      <c r="L46" t="s">
        <v>12</v>
      </c>
      <c r="AB46" s="8">
        <v>7</v>
      </c>
      <c r="AC46" s="8">
        <f t="shared" si="22"/>
        <v>0.328125</v>
      </c>
      <c r="AD46" s="8">
        <f t="shared" si="15"/>
        <v>7.5840264308927874E-3</v>
      </c>
      <c r="AE46" s="8">
        <f t="shared" si="23"/>
        <v>0.3359375</v>
      </c>
      <c r="AF46" s="8">
        <f t="shared" si="16"/>
        <v>-6.5830739590799769E-4</v>
      </c>
      <c r="AG46" s="8">
        <f t="shared" si="18"/>
        <v>0.33203125</v>
      </c>
      <c r="AH46" s="8">
        <f t="shared" si="17"/>
        <v>3.460357379569623E-3</v>
      </c>
      <c r="AI46" s="8">
        <f t="shared" si="19"/>
        <v>2.6243441826990927E-5</v>
      </c>
      <c r="AJ46" s="8">
        <f t="shared" si="20"/>
        <v>-2.2779788554555014E-6</v>
      </c>
      <c r="AK46" s="8">
        <f t="shared" si="21"/>
        <v>7.8125E-3</v>
      </c>
    </row>
    <row r="47" spans="2:48" x14ac:dyDescent="0.2">
      <c r="G47" s="1">
        <v>16.2</v>
      </c>
      <c r="J47" s="15" t="s">
        <v>96</v>
      </c>
      <c r="K47">
        <f>ROUND(SUM(K27:K30), 2)</f>
        <v>49.89</v>
      </c>
      <c r="L47" t="s">
        <v>12</v>
      </c>
      <c r="AB47" s="8">
        <v>8</v>
      </c>
      <c r="AC47" s="8">
        <f t="shared" si="22"/>
        <v>0.33203125</v>
      </c>
      <c r="AD47" s="8">
        <f t="shared" si="15"/>
        <v>3.460357379569623E-3</v>
      </c>
      <c r="AE47" s="8">
        <f t="shared" si="23"/>
        <v>0.3359375</v>
      </c>
      <c r="AF47" s="8">
        <f t="shared" si="16"/>
        <v>-6.5830739590799769E-4</v>
      </c>
      <c r="AG47" s="8">
        <f t="shared" si="18"/>
        <v>0.333984375</v>
      </c>
      <c r="AH47" s="8">
        <f t="shared" si="17"/>
        <v>1.4004102802971929E-3</v>
      </c>
      <c r="AI47" s="8">
        <f t="shared" si="19"/>
        <v>4.8459200478515561E-6</v>
      </c>
      <c r="AJ47" s="8">
        <f t="shared" si="20"/>
        <v>-9.2190044482523417E-7</v>
      </c>
      <c r="AK47" s="8">
        <f t="shared" si="21"/>
        <v>3.90625E-3</v>
      </c>
    </row>
    <row r="48" spans="2:48" x14ac:dyDescent="0.2">
      <c r="B48" s="37" t="s">
        <v>169</v>
      </c>
      <c r="C48" s="37"/>
      <c r="D48" s="37"/>
      <c r="G48" s="1">
        <v>7.32</v>
      </c>
      <c r="J48" s="3" t="s">
        <v>83</v>
      </c>
      <c r="K48" s="3">
        <f>SUM(K43:K47)</f>
        <v>1052.5500000000002</v>
      </c>
      <c r="L48" t="s">
        <v>12</v>
      </c>
      <c r="AB48" s="8">
        <v>9</v>
      </c>
      <c r="AC48" s="8">
        <f t="shared" si="22"/>
        <v>0.333984375</v>
      </c>
      <c r="AD48" s="8">
        <f t="shared" si="15"/>
        <v>1.4004102802971929E-3</v>
      </c>
      <c r="AE48" s="8">
        <f t="shared" si="23"/>
        <v>0.3359375</v>
      </c>
      <c r="AF48" s="8">
        <f t="shared" si="16"/>
        <v>-6.5830739590799769E-4</v>
      </c>
      <c r="AG48" s="8">
        <f t="shared" si="18"/>
        <v>0.3349609375</v>
      </c>
      <c r="AH48" s="8">
        <f t="shared" si="17"/>
        <v>3.7089909004556221E-4</v>
      </c>
      <c r="AI48" s="8">
        <f t="shared" si="19"/>
        <v>5.1941089865267954E-7</v>
      </c>
      <c r="AJ48" s="8">
        <f t="shared" si="20"/>
        <v>-2.4416561411253999E-7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0.3349609375</v>
      </c>
      <c r="AD49" s="8">
        <f t="shared" si="15"/>
        <v>3.7089909004556221E-4</v>
      </c>
      <c r="AE49" s="8">
        <f t="shared" si="23"/>
        <v>0.3359375</v>
      </c>
      <c r="AF49" s="8">
        <f t="shared" si="16"/>
        <v>-6.5830739590799769E-4</v>
      </c>
      <c r="AG49" s="8">
        <f t="shared" si="18"/>
        <v>0.33544921875</v>
      </c>
      <c r="AH49" s="8">
        <f t="shared" si="17"/>
        <v>-1.437420769112574E-4</v>
      </c>
      <c r="AI49" s="8">
        <f t="shared" si="19"/>
        <v>-5.3313805527644587E-8</v>
      </c>
      <c r="AJ49" s="8">
        <f t="shared" si="20"/>
        <v>9.4626472333856985E-8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AB50" s="8">
        <v>11</v>
      </c>
      <c r="AC50" s="8">
        <f t="shared" si="22"/>
        <v>0.3349609375</v>
      </c>
      <c r="AD50" s="8">
        <f t="shared" si="15"/>
        <v>3.7089909004556221E-4</v>
      </c>
      <c r="AE50" s="8">
        <f t="shared" si="23"/>
        <v>0.33544921875</v>
      </c>
      <c r="AF50" s="8">
        <f t="shared" si="16"/>
        <v>-1.437420769112574E-4</v>
      </c>
      <c r="AG50" s="8">
        <f t="shared" si="18"/>
        <v>0.335205078125</v>
      </c>
      <c r="AH50" s="8">
        <f t="shared" si="17"/>
        <v>1.1356900513836976E-4</v>
      </c>
      <c r="AI50" s="8">
        <f t="shared" si="19"/>
        <v>4.2122640663201126E-8</v>
      </c>
      <c r="AJ50" s="8">
        <f t="shared" si="20"/>
        <v>-1.6324644671334532E-8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6" t="s">
        <v>189</v>
      </c>
      <c r="AB51" s="8">
        <v>12</v>
      </c>
      <c r="AC51" s="8">
        <f t="shared" si="22"/>
        <v>0.335205078125</v>
      </c>
      <c r="AD51" s="8">
        <f t="shared" si="15"/>
        <v>1.1356900513836976E-4</v>
      </c>
      <c r="AE51" s="8">
        <f t="shared" si="23"/>
        <v>0.33544921875</v>
      </c>
      <c r="AF51" s="8">
        <f t="shared" si="16"/>
        <v>-1.437420769112574E-4</v>
      </c>
      <c r="AG51" s="8">
        <f t="shared" si="18"/>
        <v>0.3353271484375</v>
      </c>
      <c r="AH51" s="8">
        <f t="shared" si="17"/>
        <v>-1.5088908684846025E-5</v>
      </c>
      <c r="AI51" s="8">
        <f t="shared" si="19"/>
        <v>-1.7136323479616704E-9</v>
      </c>
      <c r="AJ51" s="8">
        <f t="shared" si="20"/>
        <v>2.1689110726840771E-9</v>
      </c>
      <c r="AK51" s="8">
        <f t="shared" si="21"/>
        <v>2.44140625E-4</v>
      </c>
    </row>
    <row r="52" spans="2:39" x14ac:dyDescent="0.2">
      <c r="B52" s="37" t="s">
        <v>181</v>
      </c>
      <c r="C52" s="37"/>
      <c r="D52" s="37"/>
      <c r="G52" s="1">
        <v>0.87</v>
      </c>
      <c r="J52" s="3" t="s">
        <v>109</v>
      </c>
      <c r="K52" s="5">
        <v>951.81985409544723</v>
      </c>
      <c r="L52" t="s">
        <v>12</v>
      </c>
      <c r="AB52" s="8">
        <v>13</v>
      </c>
      <c r="AC52" s="8">
        <f t="shared" si="22"/>
        <v>0.335205078125</v>
      </c>
      <c r="AD52" s="8">
        <f t="shared" si="15"/>
        <v>1.1356900513836976E-4</v>
      </c>
      <c r="AE52" s="8">
        <f t="shared" si="23"/>
        <v>0.3353271484375</v>
      </c>
      <c r="AF52" s="8">
        <f t="shared" si="16"/>
        <v>-1.5088908684846025E-5</v>
      </c>
      <c r="AG52" s="8">
        <f t="shared" si="18"/>
        <v>0.33526611328125</v>
      </c>
      <c r="AH52" s="8">
        <f t="shared" si="17"/>
        <v>4.9239454707583619E-5</v>
      </c>
      <c r="AI52" s="8">
        <f t="shared" si="19"/>
        <v>5.592075884696089E-9</v>
      </c>
      <c r="AJ52" s="8">
        <f t="shared" si="20"/>
        <v>-7.4296963577434093E-10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6" t="s">
        <v>74</v>
      </c>
      <c r="K53">
        <v>121.42795988165344</v>
      </c>
      <c r="L53" t="s">
        <v>12</v>
      </c>
      <c r="AB53" s="8">
        <v>14</v>
      </c>
      <c r="AC53" s="8">
        <f t="shared" si="22"/>
        <v>0.33526611328125</v>
      </c>
      <c r="AD53" s="8">
        <f t="shared" si="15"/>
        <v>4.9239454707583619E-5</v>
      </c>
      <c r="AE53" s="8">
        <f t="shared" si="23"/>
        <v>0.3353271484375</v>
      </c>
      <c r="AF53" s="8">
        <f t="shared" si="16"/>
        <v>-1.5088908684846025E-5</v>
      </c>
      <c r="AG53" s="8">
        <f t="shared" si="18"/>
        <v>0.335296630859375</v>
      </c>
      <c r="AH53" s="8">
        <f t="shared" si="17"/>
        <v>1.7075124671528386E-5</v>
      </c>
      <c r="AI53" s="8">
        <f t="shared" si="19"/>
        <v>8.4076982789006559E-10</v>
      </c>
      <c r="AJ53" s="8">
        <f t="shared" si="20"/>
        <v>-2.576449969510533E-10</v>
      </c>
      <c r="AK53" s="8">
        <f t="shared" si="21"/>
        <v>6.103515625E-5</v>
      </c>
    </row>
    <row r="54" spans="2:39" x14ac:dyDescent="0.2">
      <c r="G54" s="1">
        <v>20</v>
      </c>
      <c r="J54" s="12" t="s">
        <v>75</v>
      </c>
      <c r="K54">
        <v>53.5762135527537</v>
      </c>
      <c r="L54" t="s">
        <v>12</v>
      </c>
      <c r="AB54" s="8">
        <v>15</v>
      </c>
      <c r="AC54" s="8">
        <f t="shared" si="22"/>
        <v>0.335296630859375</v>
      </c>
      <c r="AD54" s="8">
        <f t="shared" si="15"/>
        <v>1.7075124671528386E-5</v>
      </c>
      <c r="AE54" s="8">
        <f t="shared" si="23"/>
        <v>0.3353271484375</v>
      </c>
      <c r="AF54" s="8">
        <f t="shared" si="16"/>
        <v>-1.5088908684846025E-5</v>
      </c>
      <c r="AG54" s="8">
        <f t="shared" si="18"/>
        <v>0.3353118896484375</v>
      </c>
      <c r="AH54" s="8">
        <f t="shared" si="17"/>
        <v>9.9307091339095876E-7</v>
      </c>
      <c r="AI54" s="8">
        <f t="shared" si="19"/>
        <v>1.6956809653819187E-11</v>
      </c>
      <c r="AJ54" s="8">
        <f t="shared" si="20"/>
        <v>-1.4984356329732814E-11</v>
      </c>
      <c r="AK54" s="8">
        <f t="shared" si="21"/>
        <v>3.0517578125E-5</v>
      </c>
    </row>
    <row r="55" spans="2:39" x14ac:dyDescent="0.2">
      <c r="B55" s="37" t="s">
        <v>172</v>
      </c>
      <c r="C55" s="37"/>
      <c r="D55" s="37"/>
      <c r="G55" s="1">
        <v>6</v>
      </c>
      <c r="J55" s="13" t="s">
        <v>76</v>
      </c>
      <c r="K55">
        <v>40.873500379260243</v>
      </c>
      <c r="L55" t="s">
        <v>12</v>
      </c>
      <c r="AB55" s="8">
        <v>16</v>
      </c>
      <c r="AC55" s="8">
        <f t="shared" si="22"/>
        <v>0.3353118896484375</v>
      </c>
      <c r="AD55" s="8">
        <f t="shared" si="15"/>
        <v>9.9307091339095876E-7</v>
      </c>
      <c r="AE55" s="8">
        <f t="shared" si="23"/>
        <v>0.3353271484375</v>
      </c>
      <c r="AF55" s="8">
        <f t="shared" si="16"/>
        <v>-1.5088908684846025E-5</v>
      </c>
      <c r="AG55" s="8">
        <f t="shared" si="18"/>
        <v>0.33531951904296875</v>
      </c>
      <c r="AH55" s="8">
        <f t="shared" si="17"/>
        <v>-7.0479281550905881E-6</v>
      </c>
      <c r="AI55" s="8">
        <f t="shared" si="19"/>
        <v>-6.9990924504896655E-12</v>
      </c>
      <c r="AJ55" s="8">
        <f t="shared" si="20"/>
        <v>1.0634554434951719E-10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3" t="s">
        <v>107</v>
      </c>
      <c r="K56">
        <v>23.21527784186987</v>
      </c>
      <c r="L56" t="s">
        <v>12</v>
      </c>
      <c r="AB56" s="8">
        <v>17</v>
      </c>
      <c r="AC56" s="8">
        <f t="shared" si="22"/>
        <v>0.3353118896484375</v>
      </c>
      <c r="AD56" s="8">
        <f t="shared" si="15"/>
        <v>9.9307091339095876E-7</v>
      </c>
      <c r="AE56" s="8">
        <f t="shared" si="23"/>
        <v>0.33531951904296875</v>
      </c>
      <c r="AF56" s="8">
        <f t="shared" si="16"/>
        <v>-7.0479281550905881E-6</v>
      </c>
      <c r="AG56" s="8">
        <f t="shared" si="18"/>
        <v>0.33531570434570312</v>
      </c>
      <c r="AH56" s="8">
        <f t="shared" si="17"/>
        <v>-3.0274309382738451E-6</v>
      </c>
      <c r="AI56" s="8">
        <f t="shared" si="19"/>
        <v>-3.0064536070996549E-12</v>
      </c>
      <c r="AJ56" s="8">
        <f t="shared" si="20"/>
        <v>2.133711574745255E-11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84</v>
      </c>
      <c r="K57">
        <v>160.02087517267341</v>
      </c>
      <c r="L57" t="s">
        <v>12</v>
      </c>
      <c r="AB57" s="8">
        <v>18</v>
      </c>
      <c r="AC57" s="8">
        <f t="shared" si="22"/>
        <v>0.3353118896484375</v>
      </c>
      <c r="AD57" s="8">
        <f t="shared" si="15"/>
        <v>9.9307091339095876E-7</v>
      </c>
      <c r="AE57" s="8">
        <f t="shared" si="23"/>
        <v>0.33531570434570312</v>
      </c>
      <c r="AF57" s="8">
        <f t="shared" si="16"/>
        <v>-3.0274309382738451E-6</v>
      </c>
      <c r="AG57" s="8">
        <f t="shared" si="18"/>
        <v>0.33531379699707031</v>
      </c>
      <c r="AH57" s="8">
        <f t="shared" si="17"/>
        <v>-1.0171805918113286E-6</v>
      </c>
      <c r="AI57" s="8">
        <f t="shared" si="19"/>
        <v>-1.0101324593936321E-12</v>
      </c>
      <c r="AJ57" s="8">
        <f t="shared" si="20"/>
        <v>3.0794439934613157E-12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85</v>
      </c>
      <c r="K58">
        <v>11.964251380071035</v>
      </c>
      <c r="L58" t="s">
        <v>12</v>
      </c>
      <c r="AB58" s="8">
        <v>19</v>
      </c>
      <c r="AC58" s="8">
        <f t="shared" si="22"/>
        <v>0.3353118896484375</v>
      </c>
      <c r="AD58" s="8">
        <f t="shared" si="15"/>
        <v>9.9307091339095876E-7</v>
      </c>
      <c r="AE58" s="8">
        <f t="shared" si="23"/>
        <v>0.33531379699707031</v>
      </c>
      <c r="AF58" s="8">
        <f t="shared" si="16"/>
        <v>-1.0171805918113286E-6</v>
      </c>
      <c r="AG58" s="8">
        <f t="shared" si="18"/>
        <v>0.33531284332275391</v>
      </c>
      <c r="AH58" s="8">
        <f t="shared" si="17"/>
        <v>-1.2054984066534047E-8</v>
      </c>
      <c r="AI58" s="8">
        <f t="shared" si="19"/>
        <v>-1.197145403786642E-14</v>
      </c>
      <c r="AJ58" s="8">
        <f t="shared" si="20"/>
        <v>1.2262095827073239E-14</v>
      </c>
      <c r="AK58" s="8">
        <f t="shared" si="21"/>
        <v>1.9073486328125E-6</v>
      </c>
    </row>
    <row r="59" spans="2:39" x14ac:dyDescent="0.2">
      <c r="J59" s="14" t="s">
        <v>77</v>
      </c>
      <c r="K59">
        <v>81.231772721223109</v>
      </c>
      <c r="L59" t="s">
        <v>12</v>
      </c>
      <c r="AB59" s="8">
        <v>20</v>
      </c>
      <c r="AC59" s="8">
        <f t="shared" si="22"/>
        <v>0.3353118896484375</v>
      </c>
      <c r="AD59" s="8">
        <f t="shared" si="15"/>
        <v>9.9307091339095876E-7</v>
      </c>
      <c r="AE59" s="8">
        <f t="shared" si="23"/>
        <v>0.33531284332275391</v>
      </c>
      <c r="AF59" s="8">
        <f t="shared" si="16"/>
        <v>-1.2054984066534047E-8</v>
      </c>
      <c r="AG59" s="8">
        <f t="shared" si="18"/>
        <v>0.3353123664855957</v>
      </c>
      <c r="AH59" s="8">
        <f t="shared" si="17"/>
        <v>4.9050792844118618E-7</v>
      </c>
      <c r="AI59" s="8">
        <f t="shared" si="19"/>
        <v>4.8710915652259585E-13</v>
      </c>
      <c r="AJ59" s="8">
        <f t="shared" si="20"/>
        <v>-5.9130652618671215E-15</v>
      </c>
      <c r="AK59" s="8">
        <f t="shared" si="21"/>
        <v>9.5367431640625E-7</v>
      </c>
    </row>
    <row r="60" spans="2:39" x14ac:dyDescent="0.2">
      <c r="B60" s="37" t="s">
        <v>176</v>
      </c>
      <c r="C60" s="37"/>
      <c r="D60" s="37"/>
      <c r="J60" s="14" t="s">
        <v>86</v>
      </c>
      <c r="K60">
        <v>9.8135391340138352</v>
      </c>
      <c r="L60" t="s">
        <v>12</v>
      </c>
      <c r="AB60" s="8">
        <v>21</v>
      </c>
      <c r="AC60" s="8">
        <f t="shared" si="22"/>
        <v>0.3353123664855957</v>
      </c>
      <c r="AD60" s="8">
        <f t="shared" si="15"/>
        <v>4.9050792844118618E-7</v>
      </c>
      <c r="AE60" s="8">
        <f t="shared" si="23"/>
        <v>0.33531284332275391</v>
      </c>
      <c r="AF60" s="8">
        <f t="shared" si="16"/>
        <v>-1.2054984066534047E-8</v>
      </c>
      <c r="AG60" s="8">
        <f t="shared" si="18"/>
        <v>0.3353126049041748</v>
      </c>
      <c r="AH60" s="8">
        <f t="shared" si="17"/>
        <v>2.3922646313900842E-7</v>
      </c>
      <c r="AI60" s="8">
        <f t="shared" si="19"/>
        <v>1.1734247686262681E-13</v>
      </c>
      <c r="AJ60" s="8">
        <f t="shared" si="20"/>
        <v>-2.8838712014340409E-15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4" t="s">
        <v>87</v>
      </c>
      <c r="K61">
        <v>5.2207724142141938</v>
      </c>
      <c r="L61" t="s">
        <v>12</v>
      </c>
      <c r="AB61" s="8">
        <v>22</v>
      </c>
      <c r="AC61" s="8">
        <f t="shared" si="22"/>
        <v>0.3353126049041748</v>
      </c>
      <c r="AD61" s="8">
        <f t="shared" si="15"/>
        <v>2.3922646313900842E-7</v>
      </c>
      <c r="AE61" s="8">
        <f t="shared" si="23"/>
        <v>0.33531284332275391</v>
      </c>
      <c r="AF61" s="8">
        <f t="shared" si="16"/>
        <v>-1.2054984066534047E-8</v>
      </c>
      <c r="AG61" s="8">
        <f t="shared" si="18"/>
        <v>0.33531272411346436</v>
      </c>
      <c r="AH61" s="8">
        <f t="shared" si="17"/>
        <v>1.1358573726027998E-7</v>
      </c>
      <c r="AI61" s="8">
        <f t="shared" si="19"/>
        <v>2.7172714187813465E-14</v>
      </c>
      <c r="AJ61" s="8">
        <f t="shared" si="20"/>
        <v>-1.3692742528581978E-15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88</v>
      </c>
      <c r="K62">
        <v>20.40701767180639</v>
      </c>
      <c r="L62" t="s">
        <v>12</v>
      </c>
      <c r="AB62" s="8">
        <v>23</v>
      </c>
      <c r="AC62" s="8">
        <f t="shared" si="22"/>
        <v>0.33531272411346436</v>
      </c>
      <c r="AD62" s="8">
        <f t="shared" si="15"/>
        <v>1.1358573726027998E-7</v>
      </c>
      <c r="AE62" s="8">
        <f t="shared" si="23"/>
        <v>0.33531284332275391</v>
      </c>
      <c r="AF62" s="8">
        <f t="shared" si="16"/>
        <v>-1.2054984066534047E-8</v>
      </c>
      <c r="AG62" s="8">
        <f t="shared" si="18"/>
        <v>0.33531278371810913</v>
      </c>
      <c r="AH62" s="8">
        <f t="shared" si="17"/>
        <v>5.0765376069517032E-8</v>
      </c>
      <c r="AI62" s="8">
        <f t="shared" si="19"/>
        <v>5.7662226681514665E-15</v>
      </c>
      <c r="AJ62" s="8">
        <f t="shared" si="20"/>
        <v>-6.119757996496366E-16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89</v>
      </c>
      <c r="K63">
        <v>5.613175418363693</v>
      </c>
      <c r="L63" t="s">
        <v>12</v>
      </c>
      <c r="AB63" s="8">
        <v>24</v>
      </c>
      <c r="AC63" s="8">
        <f t="shared" si="22"/>
        <v>0.33531278371810913</v>
      </c>
      <c r="AD63" s="8">
        <f t="shared" si="15"/>
        <v>5.0765376069517032E-8</v>
      </c>
      <c r="AE63" s="8">
        <f t="shared" si="23"/>
        <v>0.33531284332275391</v>
      </c>
      <c r="AF63" s="8">
        <f t="shared" si="16"/>
        <v>-1.2054984066534047E-8</v>
      </c>
      <c r="AG63" s="8">
        <f t="shared" si="18"/>
        <v>0.33531281352043152</v>
      </c>
      <c r="AH63" s="8">
        <f t="shared" si="17"/>
        <v>1.9355195834958039E-8</v>
      </c>
      <c r="AI63" s="8">
        <f t="shared" si="19"/>
        <v>9.8257379546079458E-16</v>
      </c>
      <c r="AJ63" s="8">
        <f t="shared" si="20"/>
        <v>-2.3332657739506529E-16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90</v>
      </c>
      <c r="K64">
        <v>6.0916470662108626</v>
      </c>
      <c r="L64" t="s">
        <v>12</v>
      </c>
      <c r="AB64" s="8">
        <v>25</v>
      </c>
      <c r="AC64" s="8">
        <f t="shared" si="22"/>
        <v>0.33531281352043152</v>
      </c>
      <c r="AD64" s="8">
        <f t="shared" si="15"/>
        <v>1.9355195834958039E-8</v>
      </c>
      <c r="AE64" s="8">
        <f t="shared" si="23"/>
        <v>0.33531284332275391</v>
      </c>
      <c r="AF64" s="8">
        <f t="shared" si="16"/>
        <v>-1.2054984066534047E-8</v>
      </c>
      <c r="AG64" s="8">
        <f t="shared" si="18"/>
        <v>0.33531282842159271</v>
      </c>
      <c r="AH64" s="8">
        <f t="shared" si="17"/>
        <v>3.650105884211996E-9</v>
      </c>
      <c r="AI64" s="8">
        <f t="shared" si="19"/>
        <v>7.0648514207255848E-17</v>
      </c>
      <c r="AJ64" s="8">
        <f t="shared" si="20"/>
        <v>-4.400196827533778E-17</v>
      </c>
      <c r="AK64" s="8">
        <f t="shared" si="21"/>
        <v>2.9802322387695312E-8</v>
      </c>
    </row>
    <row r="65" spans="10:37" x14ac:dyDescent="0.2">
      <c r="J65" s="15" t="s">
        <v>91</v>
      </c>
      <c r="K65">
        <v>12.363851461833493</v>
      </c>
      <c r="L65" t="s">
        <v>12</v>
      </c>
      <c r="AB65" s="8">
        <v>26</v>
      </c>
      <c r="AC65" s="8">
        <f t="shared" si="22"/>
        <v>0.33531282842159271</v>
      </c>
      <c r="AD65" s="8">
        <f t="shared" si="15"/>
        <v>3.650105884211996E-9</v>
      </c>
      <c r="AE65" s="8">
        <f t="shared" si="23"/>
        <v>0.33531284332275391</v>
      </c>
      <c r="AF65" s="8">
        <f t="shared" si="16"/>
        <v>-1.2054984066534047E-8</v>
      </c>
      <c r="AG65" s="8">
        <f t="shared" si="18"/>
        <v>0.33531283587217331</v>
      </c>
      <c r="AH65" s="8">
        <f t="shared" si="17"/>
        <v>-4.202439118916601E-9</v>
      </c>
      <c r="AI65" s="8">
        <f t="shared" si="19"/>
        <v>-1.5339347756000161E-17</v>
      </c>
      <c r="AJ65" s="8">
        <f t="shared" si="20"/>
        <v>5.0660336619119007E-17</v>
      </c>
      <c r="AK65" s="8">
        <f t="shared" si="21"/>
        <v>1.4901161193847656E-8</v>
      </c>
    </row>
    <row r="66" spans="10:37" x14ac:dyDescent="0.2">
      <c r="AB66" s="8">
        <v>27</v>
      </c>
      <c r="AC66" s="8">
        <f t="shared" si="22"/>
        <v>0.33531282842159271</v>
      </c>
      <c r="AD66" s="8">
        <f t="shared" si="15"/>
        <v>3.650105884211996E-9</v>
      </c>
      <c r="AE66" s="8">
        <f t="shared" si="23"/>
        <v>0.33531283587217331</v>
      </c>
      <c r="AF66" s="8">
        <f t="shared" si="16"/>
        <v>-4.202439118916601E-9</v>
      </c>
      <c r="AG66" s="8">
        <f t="shared" si="18"/>
        <v>0.33531283214688301</v>
      </c>
      <c r="AH66" s="8">
        <f t="shared" si="17"/>
        <v>-2.7616664510787814E-10</v>
      </c>
      <c r="AI66" s="8">
        <f t="shared" si="19"/>
        <v>-1.008037496331352E-18</v>
      </c>
      <c r="AJ66" s="8">
        <f t="shared" si="20"/>
        <v>1.1605735127413051E-18</v>
      </c>
      <c r="AK66" s="8">
        <f t="shared" si="21"/>
        <v>7.4505805969238281E-9</v>
      </c>
    </row>
    <row r="67" spans="10:37" x14ac:dyDescent="0.2">
      <c r="J67" s="6" t="s">
        <v>190</v>
      </c>
      <c r="AB67" s="8">
        <v>28</v>
      </c>
      <c r="AC67" s="8">
        <f t="shared" si="22"/>
        <v>0.33531282842159271</v>
      </c>
      <c r="AD67" s="8">
        <f t="shared" si="15"/>
        <v>3.650105884211996E-9</v>
      </c>
      <c r="AE67" s="8">
        <f t="shared" si="23"/>
        <v>0.33531283214688301</v>
      </c>
      <c r="AF67" s="8">
        <f t="shared" si="16"/>
        <v>-2.7616664510787814E-10</v>
      </c>
      <c r="AG67" s="8">
        <f t="shared" si="18"/>
        <v>0.33531283028423786</v>
      </c>
      <c r="AH67" s="8">
        <f t="shared" si="17"/>
        <v>1.6869696195520589E-9</v>
      </c>
      <c r="AI67" s="8">
        <f t="shared" si="19"/>
        <v>6.1576177348138426E-18</v>
      </c>
      <c r="AJ67" s="8">
        <f t="shared" si="20"/>
        <v>-4.6588474023060566E-19</v>
      </c>
      <c r="AK67" s="8">
        <f t="shared" si="21"/>
        <v>3.7252902984619141E-9</v>
      </c>
    </row>
    <row r="68" spans="10:37" x14ac:dyDescent="0.2">
      <c r="J68" s="3" t="s">
        <v>109</v>
      </c>
      <c r="K68">
        <v>1164.3186685523688</v>
      </c>
      <c r="L68" t="s">
        <v>12</v>
      </c>
      <c r="AB68" s="8">
        <v>29</v>
      </c>
      <c r="AC68" s="8">
        <f t="shared" si="22"/>
        <v>0.33531283028423786</v>
      </c>
      <c r="AD68" s="8">
        <f t="shared" si="15"/>
        <v>1.6869696195520589E-9</v>
      </c>
      <c r="AE68" s="8">
        <f t="shared" si="23"/>
        <v>0.33531283214688301</v>
      </c>
      <c r="AF68" s="8">
        <f t="shared" si="16"/>
        <v>-2.7616664510787814E-10</v>
      </c>
      <c r="AG68" s="8">
        <f t="shared" si="18"/>
        <v>0.33531283121556044</v>
      </c>
      <c r="AH68" s="8">
        <f t="shared" si="17"/>
        <v>7.0540151497766601E-10</v>
      </c>
      <c r="AI68" s="8">
        <f t="shared" si="19"/>
        <v>1.1899909253533192E-18</v>
      </c>
      <c r="AJ68" s="8">
        <f t="shared" si="20"/>
        <v>-1.9480836984539668E-19</v>
      </c>
      <c r="AK68" s="8">
        <f t="shared" si="21"/>
        <v>1.862645149230957E-9</v>
      </c>
    </row>
    <row r="69" spans="10:37" x14ac:dyDescent="0.2">
      <c r="J69" s="16" t="s">
        <v>74</v>
      </c>
      <c r="K69">
        <v>202.24983079170909</v>
      </c>
      <c r="L69" t="s">
        <v>12</v>
      </c>
      <c r="AB69" s="8">
        <v>30</v>
      </c>
      <c r="AC69" s="8">
        <f t="shared" si="22"/>
        <v>0.33531283121556044</v>
      </c>
      <c r="AD69" s="8">
        <f t="shared" si="15"/>
        <v>7.0540151497766601E-10</v>
      </c>
      <c r="AE69" s="8">
        <f t="shared" si="23"/>
        <v>0.33531283214688301</v>
      </c>
      <c r="AF69" s="8">
        <f t="shared" si="16"/>
        <v>-2.7616664510787814E-10</v>
      </c>
      <c r="AG69" s="8">
        <f t="shared" si="18"/>
        <v>0.33531283168122172</v>
      </c>
      <c r="AH69" s="8">
        <f t="shared" si="17"/>
        <v>2.1461743493489394E-10</v>
      </c>
      <c r="AI69" s="8">
        <f t="shared" si="19"/>
        <v>1.5139146374369485E-19</v>
      </c>
      <c r="AJ69" s="8">
        <f t="shared" si="20"/>
        <v>-5.9270176987627981E-20</v>
      </c>
      <c r="AK69" s="8">
        <f t="shared" si="21"/>
        <v>9.3132257461547852E-10</v>
      </c>
    </row>
    <row r="70" spans="10:37" x14ac:dyDescent="0.2">
      <c r="J70" s="12" t="s">
        <v>75</v>
      </c>
      <c r="K70">
        <v>67.099143770220167</v>
      </c>
      <c r="L70" t="s">
        <v>12</v>
      </c>
    </row>
    <row r="71" spans="10:37" x14ac:dyDescent="0.2">
      <c r="J71" s="13" t="s">
        <v>76</v>
      </c>
      <c r="K71">
        <v>82.233160449029171</v>
      </c>
      <c r="L71" t="s">
        <v>12</v>
      </c>
    </row>
    <row r="72" spans="10:37" x14ac:dyDescent="0.2">
      <c r="J72" s="13" t="s">
        <v>107</v>
      </c>
      <c r="K72">
        <v>47.469416866632521</v>
      </c>
      <c r="L72" t="s">
        <v>12</v>
      </c>
      <c r="AB72" s="6" t="s">
        <v>150</v>
      </c>
    </row>
    <row r="73" spans="10:37" x14ac:dyDescent="0.2">
      <c r="J73" s="14" t="s">
        <v>84</v>
      </c>
      <c r="K73">
        <v>164.73242963959723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85</v>
      </c>
      <c r="K74">
        <v>13.732424713984726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0.3767712591401936</v>
      </c>
      <c r="AE74" s="9">
        <v>1</v>
      </c>
      <c r="AF74" s="8">
        <f xml:space="preserve"> $W$19 * TAN($W$16/180*PI()) + $W$20 / (2 * SQRT($W$19^2 + AE74^2)) - AE74</f>
        <v>-0.68124654550440022</v>
      </c>
      <c r="AG74" s="8">
        <f xml:space="preserve"> (AC74 + AE74)/2</f>
        <v>0.5</v>
      </c>
      <c r="AH74" s="8">
        <f xml:space="preserve"> $W$19 * TAN($W$16/180*PI()) + $W$20 / (2 * SQRT($W$19^2 + AG74^2)) - AG74</f>
        <v>-0.1795955233619671</v>
      </c>
      <c r="AI74" s="8">
        <f>AD74*AH74</f>
        <v>-6.7666431473030406E-2</v>
      </c>
      <c r="AJ74" s="8">
        <f>AF74*AH74</f>
        <v>0.12234882987839489</v>
      </c>
      <c r="AK74" s="8">
        <f>AE74-AC74</f>
        <v>1</v>
      </c>
    </row>
    <row r="75" spans="10:37" x14ac:dyDescent="0.2">
      <c r="J75" s="14" t="s">
        <v>77</v>
      </c>
      <c r="K75">
        <v>114.6496826955896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0.3767712591401936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-0.1795955233619671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7.3680102460859376E-2</v>
      </c>
      <c r="AI75" s="8">
        <f t="shared" ref="AI75:AI104" si="28">AD75*AH75</f>
        <v>2.7760544977756464E-2</v>
      </c>
      <c r="AJ75" s="8">
        <f t="shared" ref="AJ75:AJ104" si="29">AF75*AH75</f>
        <v>-1.32326165628214E-2</v>
      </c>
      <c r="AK75" s="8">
        <f t="shared" ref="AK75:AK104" si="30">AE75-AC75</f>
        <v>0.5</v>
      </c>
    </row>
    <row r="76" spans="10:37" x14ac:dyDescent="0.2">
      <c r="J76" s="14" t="s">
        <v>86</v>
      </c>
      <c r="K76">
        <v>11.734195716688115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7.3680102460859376E-2</v>
      </c>
      <c r="AE76" s="8">
        <f t="shared" ref="AE76:AE104" si="32">IF(AJ75&gt;0, AG75, AE75)</f>
        <v>0.5</v>
      </c>
      <c r="AF76" s="8">
        <f t="shared" si="25"/>
        <v>-0.1795955233619671</v>
      </c>
      <c r="AG76" s="8">
        <f t="shared" si="26"/>
        <v>0.375</v>
      </c>
      <c r="AH76" s="8">
        <f t="shared" si="27"/>
        <v>-5.3498823036848664E-2</v>
      </c>
      <c r="AI76" s="8">
        <f t="shared" si="28"/>
        <v>-3.9417987628903939E-3</v>
      </c>
      <c r="AJ76" s="8">
        <f t="shared" si="29"/>
        <v>9.6081491225520985E-3</v>
      </c>
      <c r="AK76" s="8">
        <f t="shared" si="30"/>
        <v>0.25</v>
      </c>
    </row>
    <row r="77" spans="10:37" x14ac:dyDescent="0.2">
      <c r="J77" s="14" t="s">
        <v>87</v>
      </c>
      <c r="K77">
        <v>5.8527093626715798</v>
      </c>
      <c r="L77" t="s">
        <v>12</v>
      </c>
      <c r="AB77" s="8">
        <v>3</v>
      </c>
      <c r="AC77" s="8">
        <f t="shared" si="31"/>
        <v>0.25</v>
      </c>
      <c r="AD77" s="8">
        <f t="shared" si="24"/>
        <v>7.3680102460859376E-2</v>
      </c>
      <c r="AE77" s="8">
        <f t="shared" si="32"/>
        <v>0.375</v>
      </c>
      <c r="AF77" s="8">
        <f t="shared" si="25"/>
        <v>-5.3498823036848664E-2</v>
      </c>
      <c r="AG77" s="8">
        <f t="shared" si="26"/>
        <v>0.3125</v>
      </c>
      <c r="AH77" s="8">
        <f t="shared" si="27"/>
        <v>9.875372937069915E-3</v>
      </c>
      <c r="AI77" s="8">
        <f t="shared" si="28"/>
        <v>7.2761848984250908E-4</v>
      </c>
      <c r="AJ77" s="8">
        <f t="shared" si="29"/>
        <v>-5.2832082918318781E-4</v>
      </c>
      <c r="AK77" s="8">
        <f t="shared" si="30"/>
        <v>0.125</v>
      </c>
    </row>
    <row r="78" spans="10:37" x14ac:dyDescent="0.2">
      <c r="J78" s="15" t="s">
        <v>88</v>
      </c>
      <c r="K78">
        <v>24.962992253762788</v>
      </c>
      <c r="L78" t="s">
        <v>12</v>
      </c>
      <c r="AB78" s="8">
        <v>4</v>
      </c>
      <c r="AC78" s="8">
        <f t="shared" si="31"/>
        <v>0.3125</v>
      </c>
      <c r="AD78" s="8">
        <f t="shared" si="24"/>
        <v>9.875372937069915E-3</v>
      </c>
      <c r="AE78" s="8">
        <f t="shared" si="32"/>
        <v>0.375</v>
      </c>
      <c r="AF78" s="8">
        <f t="shared" si="25"/>
        <v>-5.3498823036848664E-2</v>
      </c>
      <c r="AG78" s="8">
        <f t="shared" si="26"/>
        <v>0.34375</v>
      </c>
      <c r="AH78" s="8">
        <f t="shared" si="27"/>
        <v>-2.1851073397072651E-2</v>
      </c>
      <c r="AI78" s="8">
        <f t="shared" si="28"/>
        <v>-2.1578749887137964E-4</v>
      </c>
      <c r="AJ78" s="8">
        <f t="shared" si="29"/>
        <v>1.1690067088351813E-3</v>
      </c>
      <c r="AK78" s="8">
        <f t="shared" si="30"/>
        <v>6.25E-2</v>
      </c>
    </row>
    <row r="79" spans="10:37" x14ac:dyDescent="0.2">
      <c r="J79" s="15" t="s">
        <v>89</v>
      </c>
      <c r="K79">
        <v>6.0843677430285634</v>
      </c>
      <c r="L79" t="s">
        <v>12</v>
      </c>
      <c r="AB79" s="8">
        <v>5</v>
      </c>
      <c r="AC79" s="8">
        <f t="shared" si="31"/>
        <v>0.3125</v>
      </c>
      <c r="AD79" s="8">
        <f t="shared" si="24"/>
        <v>9.875372937069915E-3</v>
      </c>
      <c r="AE79" s="8">
        <f t="shared" si="32"/>
        <v>0.34375</v>
      </c>
      <c r="AF79" s="8">
        <f t="shared" si="25"/>
        <v>-2.1851073397072651E-2</v>
      </c>
      <c r="AG79" s="8">
        <f t="shared" si="26"/>
        <v>0.328125</v>
      </c>
      <c r="AH79" s="8">
        <f t="shared" si="27"/>
        <v>-5.9990732347248721E-3</v>
      </c>
      <c r="AI79" s="8">
        <f t="shared" si="28"/>
        <v>-5.9243085469702478E-5</v>
      </c>
      <c r="AJ79" s="8">
        <f t="shared" si="29"/>
        <v>1.3108618956638723E-4</v>
      </c>
      <c r="AK79" s="8">
        <f t="shared" si="30"/>
        <v>3.125E-2</v>
      </c>
    </row>
    <row r="80" spans="10:37" x14ac:dyDescent="0.2">
      <c r="J80" s="15" t="s">
        <v>90</v>
      </c>
      <c r="K80">
        <v>7.4516394787351601</v>
      </c>
      <c r="L80" t="s">
        <v>12</v>
      </c>
      <c r="AB80" s="8">
        <v>6</v>
      </c>
      <c r="AC80" s="8">
        <f t="shared" si="31"/>
        <v>0.3125</v>
      </c>
      <c r="AD80" s="8">
        <f t="shared" si="24"/>
        <v>9.875372937069915E-3</v>
      </c>
      <c r="AE80" s="8">
        <f t="shared" si="32"/>
        <v>0.328125</v>
      </c>
      <c r="AF80" s="8">
        <f t="shared" si="25"/>
        <v>-5.9990732347248721E-3</v>
      </c>
      <c r="AG80" s="8">
        <f t="shared" si="26"/>
        <v>0.3203125</v>
      </c>
      <c r="AH80" s="8">
        <f t="shared" si="27"/>
        <v>1.9351418125062581E-3</v>
      </c>
      <c r="AI80" s="8">
        <f t="shared" si="28"/>
        <v>1.9110247084616725E-5</v>
      </c>
      <c r="AJ80" s="8">
        <f t="shared" si="29"/>
        <v>-1.1609057452803269E-5</v>
      </c>
      <c r="AK80" s="8">
        <f t="shared" si="30"/>
        <v>1.5625E-2</v>
      </c>
    </row>
    <row r="81" spans="10:37" x14ac:dyDescent="0.2">
      <c r="J81" s="15" t="s">
        <v>91</v>
      </c>
      <c r="K81">
        <v>16.066675069990328</v>
      </c>
      <c r="L81" t="s">
        <v>12</v>
      </c>
      <c r="AB81" s="8">
        <v>7</v>
      </c>
      <c r="AC81" s="8">
        <f t="shared" si="31"/>
        <v>0.3203125</v>
      </c>
      <c r="AD81" s="8">
        <f t="shared" si="24"/>
        <v>1.9351418125062581E-3</v>
      </c>
      <c r="AE81" s="8">
        <f t="shared" si="32"/>
        <v>0.328125</v>
      </c>
      <c r="AF81" s="8">
        <f t="shared" si="25"/>
        <v>-5.9990732347248721E-3</v>
      </c>
      <c r="AG81" s="8">
        <f t="shared" si="26"/>
        <v>0.32421875</v>
      </c>
      <c r="AH81" s="8">
        <f t="shared" si="27"/>
        <v>-2.0326909393165171E-3</v>
      </c>
      <c r="AI81" s="8">
        <f t="shared" si="28"/>
        <v>-3.9335452285740129E-6</v>
      </c>
      <c r="AJ81" s="8">
        <f t="shared" si="29"/>
        <v>1.2194261808521477E-5</v>
      </c>
      <c r="AK81" s="8">
        <f t="shared" si="30"/>
        <v>7.8125E-3</v>
      </c>
    </row>
    <row r="82" spans="10:37" x14ac:dyDescent="0.2">
      <c r="AB82" s="8">
        <v>8</v>
      </c>
      <c r="AC82" s="8">
        <f t="shared" si="31"/>
        <v>0.3203125</v>
      </c>
      <c r="AD82" s="8">
        <f t="shared" si="24"/>
        <v>1.9351418125062581E-3</v>
      </c>
      <c r="AE82" s="8">
        <f t="shared" si="32"/>
        <v>0.32421875</v>
      </c>
      <c r="AF82" s="8">
        <f t="shared" si="25"/>
        <v>-2.0326909393165171E-3</v>
      </c>
      <c r="AG82" s="8">
        <f t="shared" si="26"/>
        <v>0.322265625</v>
      </c>
      <c r="AH82" s="8">
        <f t="shared" si="27"/>
        <v>-4.8959118575664373E-5</v>
      </c>
      <c r="AI82" s="8">
        <f t="shared" si="28"/>
        <v>-9.4742837459219966E-8</v>
      </c>
      <c r="AJ82" s="8">
        <f t="shared" si="29"/>
        <v>9.951875672567595E-8</v>
      </c>
      <c r="AK82" s="8">
        <f t="shared" si="30"/>
        <v>3.90625E-3</v>
      </c>
    </row>
    <row r="83" spans="10:37" x14ac:dyDescent="0.2">
      <c r="AB83" s="8">
        <v>9</v>
      </c>
      <c r="AC83" s="8">
        <f t="shared" si="31"/>
        <v>0.3203125</v>
      </c>
      <c r="AD83" s="8">
        <f t="shared" si="24"/>
        <v>1.9351418125062581E-3</v>
      </c>
      <c r="AE83" s="8">
        <f t="shared" si="32"/>
        <v>0.322265625</v>
      </c>
      <c r="AF83" s="8">
        <f t="shared" si="25"/>
        <v>-4.8959118575664373E-5</v>
      </c>
      <c r="AG83" s="8">
        <f t="shared" si="26"/>
        <v>0.3212890625</v>
      </c>
      <c r="AH83" s="8">
        <f t="shared" si="27"/>
        <v>9.4304479367895988E-4</v>
      </c>
      <c r="AI83" s="8">
        <f t="shared" si="28"/>
        <v>1.8249254113144926E-6</v>
      </c>
      <c r="AJ83" s="8">
        <f t="shared" si="29"/>
        <v>-4.617064187589114E-8</v>
      </c>
      <c r="AK83" s="8">
        <f t="shared" si="30"/>
        <v>1.953125E-3</v>
      </c>
    </row>
    <row r="84" spans="10:37" x14ac:dyDescent="0.2">
      <c r="AB84" s="8">
        <v>10</v>
      </c>
      <c r="AC84" s="8">
        <f t="shared" si="31"/>
        <v>0.3212890625</v>
      </c>
      <c r="AD84" s="8">
        <f t="shared" si="24"/>
        <v>9.4304479367895988E-4</v>
      </c>
      <c r="AE84" s="8">
        <f t="shared" si="32"/>
        <v>0.322265625</v>
      </c>
      <c r="AF84" s="8">
        <f t="shared" si="25"/>
        <v>-4.8959118575664373E-5</v>
      </c>
      <c r="AG84" s="8">
        <f t="shared" si="26"/>
        <v>0.32177734375</v>
      </c>
      <c r="AH84" s="8">
        <f t="shared" si="27"/>
        <v>4.4703125142758759E-4</v>
      </c>
      <c r="AI84" s="8">
        <f t="shared" si="28"/>
        <v>4.215704942705766E-7</v>
      </c>
      <c r="AJ84" s="8">
        <f t="shared" si="29"/>
        <v>-2.1886256045670895E-8</v>
      </c>
      <c r="AK84" s="8">
        <f t="shared" si="30"/>
        <v>9.765625E-4</v>
      </c>
    </row>
    <row r="85" spans="10:37" x14ac:dyDescent="0.2">
      <c r="AB85" s="8">
        <v>11</v>
      </c>
      <c r="AC85" s="8">
        <f t="shared" si="31"/>
        <v>0.32177734375</v>
      </c>
      <c r="AD85" s="8">
        <f t="shared" si="24"/>
        <v>4.4703125142758759E-4</v>
      </c>
      <c r="AE85" s="8">
        <f t="shared" si="32"/>
        <v>0.322265625</v>
      </c>
      <c r="AF85" s="8">
        <f t="shared" si="25"/>
        <v>-4.8959118575664373E-5</v>
      </c>
      <c r="AG85" s="8">
        <f t="shared" si="26"/>
        <v>0.322021484375</v>
      </c>
      <c r="AH85" s="8">
        <f t="shared" si="27"/>
        <v>1.9903317638564344E-4</v>
      </c>
      <c r="AI85" s="8">
        <f t="shared" si="28"/>
        <v>8.8974049915281958E-8</v>
      </c>
      <c r="AJ85" s="8">
        <f t="shared" si="29"/>
        <v>-9.7444888831558397E-9</v>
      </c>
      <c r="AK85" s="8">
        <f t="shared" si="30"/>
        <v>4.8828125E-4</v>
      </c>
    </row>
    <row r="86" spans="10:37" x14ac:dyDescent="0.2">
      <c r="AB86" s="8">
        <v>12</v>
      </c>
      <c r="AC86" s="8">
        <f t="shared" si="31"/>
        <v>0.322021484375</v>
      </c>
      <c r="AD86" s="8">
        <f t="shared" si="24"/>
        <v>1.9903317638564344E-4</v>
      </c>
      <c r="AE86" s="8">
        <f t="shared" si="32"/>
        <v>0.322265625</v>
      </c>
      <c r="AF86" s="8">
        <f t="shared" si="25"/>
        <v>-4.8959118575664373E-5</v>
      </c>
      <c r="AG86" s="8">
        <f t="shared" si="26"/>
        <v>0.3221435546875</v>
      </c>
      <c r="AH86" s="8">
        <f t="shared" si="27"/>
        <v>7.5036307204123798E-5</v>
      </c>
      <c r="AI86" s="8">
        <f t="shared" si="28"/>
        <v>1.4934714567085699E-8</v>
      </c>
      <c r="AJ86" s="8">
        <f t="shared" si="29"/>
        <v>-3.6737114618866757E-9</v>
      </c>
      <c r="AK86" s="8">
        <f t="shared" si="30"/>
        <v>2.44140625E-4</v>
      </c>
    </row>
    <row r="87" spans="10:37" x14ac:dyDescent="0.2">
      <c r="AB87" s="8">
        <v>13</v>
      </c>
      <c r="AC87" s="8">
        <f t="shared" si="31"/>
        <v>0.3221435546875</v>
      </c>
      <c r="AD87" s="8">
        <f t="shared" si="24"/>
        <v>7.5036307204123798E-5</v>
      </c>
      <c r="AE87" s="8">
        <f t="shared" si="32"/>
        <v>0.322265625</v>
      </c>
      <c r="AF87" s="8">
        <f t="shared" si="25"/>
        <v>-4.8959118575664373E-5</v>
      </c>
      <c r="AG87" s="8">
        <f t="shared" si="26"/>
        <v>0.32220458984375</v>
      </c>
      <c r="AH87" s="8">
        <f t="shared" si="27"/>
        <v>1.3038413990029696E-5</v>
      </c>
      <c r="AI87" s="8">
        <f t="shared" si="28"/>
        <v>9.7835443761041373E-10</v>
      </c>
      <c r="AJ87" s="8">
        <f t="shared" si="29"/>
        <v>-6.3834925657646507E-10</v>
      </c>
      <c r="AK87" s="8">
        <f t="shared" si="30"/>
        <v>1.220703125E-4</v>
      </c>
    </row>
    <row r="88" spans="10:37" x14ac:dyDescent="0.2">
      <c r="AB88" s="8">
        <v>14</v>
      </c>
      <c r="AC88" s="8">
        <f t="shared" si="31"/>
        <v>0.32220458984375</v>
      </c>
      <c r="AD88" s="8">
        <f t="shared" si="24"/>
        <v>1.3038413990029696E-5</v>
      </c>
      <c r="AE88" s="8">
        <f t="shared" si="32"/>
        <v>0.322265625</v>
      </c>
      <c r="AF88" s="8">
        <f t="shared" si="25"/>
        <v>-4.8959118575664373E-5</v>
      </c>
      <c r="AG88" s="8">
        <f t="shared" si="26"/>
        <v>0.322235107421875</v>
      </c>
      <c r="AH88" s="8">
        <f t="shared" si="27"/>
        <v>-1.7960397361238556E-5</v>
      </c>
      <c r="AI88" s="8">
        <f t="shared" si="28"/>
        <v>-2.341750962212652E-10</v>
      </c>
      <c r="AJ88" s="8">
        <f t="shared" si="29"/>
        <v>8.7932522407492797E-10</v>
      </c>
      <c r="AK88" s="8">
        <f t="shared" si="30"/>
        <v>6.103515625E-5</v>
      </c>
    </row>
    <row r="89" spans="10:37" x14ac:dyDescent="0.2">
      <c r="AB89" s="8">
        <v>15</v>
      </c>
      <c r="AC89" s="8">
        <f t="shared" si="31"/>
        <v>0.32220458984375</v>
      </c>
      <c r="AD89" s="8">
        <f t="shared" si="24"/>
        <v>1.3038413990029696E-5</v>
      </c>
      <c r="AE89" s="8">
        <f t="shared" si="32"/>
        <v>0.322235107421875</v>
      </c>
      <c r="AF89" s="8">
        <f t="shared" si="25"/>
        <v>-1.7960397361238556E-5</v>
      </c>
      <c r="AG89" s="8">
        <f t="shared" si="26"/>
        <v>0.3222198486328125</v>
      </c>
      <c r="AH89" s="8">
        <f t="shared" si="27"/>
        <v>-2.4610029542571077E-6</v>
      </c>
      <c r="AI89" s="8">
        <f t="shared" si="28"/>
        <v>-3.2087575348290283E-11</v>
      </c>
      <c r="AJ89" s="8">
        <f t="shared" si="29"/>
        <v>4.4200590965639646E-11</v>
      </c>
      <c r="AK89" s="8">
        <f t="shared" si="30"/>
        <v>3.0517578125E-5</v>
      </c>
    </row>
    <row r="90" spans="10:37" x14ac:dyDescent="0.2">
      <c r="AB90" s="8">
        <v>16</v>
      </c>
      <c r="AC90" s="8">
        <f t="shared" si="31"/>
        <v>0.32220458984375</v>
      </c>
      <c r="AD90" s="8">
        <f t="shared" si="24"/>
        <v>1.3038413990029696E-5</v>
      </c>
      <c r="AE90" s="8">
        <f t="shared" si="32"/>
        <v>0.3222198486328125</v>
      </c>
      <c r="AF90" s="8">
        <f t="shared" si="25"/>
        <v>-2.4610029542571077E-6</v>
      </c>
      <c r="AG90" s="8">
        <f t="shared" si="26"/>
        <v>0.32221221923828125</v>
      </c>
      <c r="AH90" s="8">
        <f t="shared" si="27"/>
        <v>5.28870270050108E-6</v>
      </c>
      <c r="AI90" s="8">
        <f t="shared" si="28"/>
        <v>6.8956295279321109E-11</v>
      </c>
      <c r="AJ90" s="8">
        <f t="shared" si="29"/>
        <v>-1.3015512970120702E-11</v>
      </c>
      <c r="AK90" s="8">
        <f t="shared" si="30"/>
        <v>1.52587890625E-5</v>
      </c>
    </row>
    <row r="91" spans="10:37" x14ac:dyDescent="0.2">
      <c r="AB91" s="8">
        <v>17</v>
      </c>
      <c r="AC91" s="8">
        <f t="shared" si="31"/>
        <v>0.32221221923828125</v>
      </c>
      <c r="AD91" s="8">
        <f t="shared" si="24"/>
        <v>5.28870270050108E-6</v>
      </c>
      <c r="AE91" s="8">
        <f t="shared" si="32"/>
        <v>0.3222198486328125</v>
      </c>
      <c r="AF91" s="8">
        <f t="shared" si="25"/>
        <v>-2.4610029542571077E-6</v>
      </c>
      <c r="AG91" s="8">
        <f t="shared" si="26"/>
        <v>0.32221603393554688</v>
      </c>
      <c r="AH91" s="8">
        <f t="shared" si="27"/>
        <v>1.4138491687964994E-6</v>
      </c>
      <c r="AI91" s="8">
        <f t="shared" si="28"/>
        <v>7.4774279171152534E-12</v>
      </c>
      <c r="AJ91" s="8">
        <f t="shared" si="29"/>
        <v>-3.4794869812821411E-12</v>
      </c>
      <c r="AK91" s="8">
        <f t="shared" si="30"/>
        <v>7.62939453125E-6</v>
      </c>
    </row>
    <row r="92" spans="10:37" x14ac:dyDescent="0.2">
      <c r="AB92" s="8">
        <v>18</v>
      </c>
      <c r="AC92" s="8">
        <f t="shared" si="31"/>
        <v>0.32221603393554688</v>
      </c>
      <c r="AD92" s="8">
        <f t="shared" si="24"/>
        <v>1.4138491687964994E-6</v>
      </c>
      <c r="AE92" s="8">
        <f t="shared" si="32"/>
        <v>0.3222198486328125</v>
      </c>
      <c r="AF92" s="8">
        <f t="shared" si="25"/>
        <v>-2.4610029542571077E-6</v>
      </c>
      <c r="AG92" s="8">
        <f t="shared" si="26"/>
        <v>0.32221794128417969</v>
      </c>
      <c r="AH92" s="8">
        <f t="shared" si="27"/>
        <v>-5.2357706881167587E-7</v>
      </c>
      <c r="AI92" s="8">
        <f t="shared" si="28"/>
        <v>-7.4025900354029551E-13</v>
      </c>
      <c r="AJ92" s="8">
        <f t="shared" si="29"/>
        <v>1.2885247131268112E-12</v>
      </c>
      <c r="AK92" s="8">
        <f t="shared" si="30"/>
        <v>3.814697265625E-6</v>
      </c>
    </row>
    <row r="93" spans="10:37" x14ac:dyDescent="0.2">
      <c r="AB93" s="8">
        <v>19</v>
      </c>
      <c r="AC93" s="8">
        <f t="shared" si="31"/>
        <v>0.32221603393554688</v>
      </c>
      <c r="AD93" s="8">
        <f t="shared" si="24"/>
        <v>1.4138491687964994E-6</v>
      </c>
      <c r="AE93" s="8">
        <f t="shared" si="32"/>
        <v>0.32221794128417969</v>
      </c>
      <c r="AF93" s="8">
        <f t="shared" si="25"/>
        <v>-5.2357706881167587E-7</v>
      </c>
      <c r="AG93" s="8">
        <f t="shared" si="26"/>
        <v>0.32221698760986328</v>
      </c>
      <c r="AH93" s="8">
        <f t="shared" si="27"/>
        <v>4.4513600594431324E-7</v>
      </c>
      <c r="AI93" s="8">
        <f t="shared" si="28"/>
        <v>6.2935517200576087E-13</v>
      </c>
      <c r="AJ93" s="8">
        <f t="shared" si="29"/>
        <v>-2.3306300521486024E-13</v>
      </c>
      <c r="AK93" s="8">
        <f t="shared" si="30"/>
        <v>1.9073486328125E-6</v>
      </c>
    </row>
    <row r="94" spans="10:37" x14ac:dyDescent="0.2">
      <c r="AB94" s="8">
        <v>20</v>
      </c>
      <c r="AC94" s="8">
        <f t="shared" si="31"/>
        <v>0.32221698760986328</v>
      </c>
      <c r="AD94" s="8">
        <f t="shared" si="24"/>
        <v>4.4513600594431324E-7</v>
      </c>
      <c r="AE94" s="8">
        <f t="shared" si="32"/>
        <v>0.32221794128417969</v>
      </c>
      <c r="AF94" s="8">
        <f t="shared" si="25"/>
        <v>-5.2357706881167587E-7</v>
      </c>
      <c r="AG94" s="8">
        <f t="shared" si="26"/>
        <v>0.32221746444702148</v>
      </c>
      <c r="AH94" s="8">
        <f t="shared" si="27"/>
        <v>-3.922054242488926E-8</v>
      </c>
      <c r="AI94" s="8">
        <f t="shared" si="28"/>
        <v>-1.7458475605984695E-14</v>
      </c>
      <c r="AJ94" s="8">
        <f t="shared" si="29"/>
        <v>2.0534976640027495E-14</v>
      </c>
      <c r="AK94" s="8">
        <f t="shared" si="30"/>
        <v>9.5367431640625E-7</v>
      </c>
    </row>
    <row r="95" spans="10:37" x14ac:dyDescent="0.2">
      <c r="AB95" s="8">
        <v>21</v>
      </c>
      <c r="AC95" s="8">
        <f t="shared" si="31"/>
        <v>0.32221698760986328</v>
      </c>
      <c r="AD95" s="8">
        <f t="shared" si="24"/>
        <v>4.4513600594431324E-7</v>
      </c>
      <c r="AE95" s="8">
        <f t="shared" si="32"/>
        <v>0.32221746444702148</v>
      </c>
      <c r="AF95" s="8">
        <f t="shared" si="25"/>
        <v>-3.922054242488926E-8</v>
      </c>
      <c r="AG95" s="8">
        <f t="shared" si="26"/>
        <v>0.32221722602844238</v>
      </c>
      <c r="AH95" s="8">
        <f t="shared" si="27"/>
        <v>2.0295772901191E-7</v>
      </c>
      <c r="AI95" s="8">
        <f t="shared" si="28"/>
        <v>9.0343792867889882E-14</v>
      </c>
      <c r="AJ95" s="8">
        <f t="shared" si="29"/>
        <v>-7.9601122211707945E-15</v>
      </c>
      <c r="AK95" s="8">
        <f t="shared" si="30"/>
        <v>4.76837158203125E-7</v>
      </c>
    </row>
    <row r="96" spans="10:37" x14ac:dyDescent="0.2">
      <c r="AB96" s="8">
        <v>22</v>
      </c>
      <c r="AC96" s="8">
        <f t="shared" si="31"/>
        <v>0.32221722602844238</v>
      </c>
      <c r="AD96" s="8">
        <f t="shared" si="24"/>
        <v>2.0295772901191E-7</v>
      </c>
      <c r="AE96" s="8">
        <f t="shared" si="32"/>
        <v>0.32221746444702148</v>
      </c>
      <c r="AF96" s="8">
        <f t="shared" si="25"/>
        <v>-3.922054242488926E-8</v>
      </c>
      <c r="AG96" s="8">
        <f t="shared" si="26"/>
        <v>0.32221734523773193</v>
      </c>
      <c r="AH96" s="8">
        <f t="shared" si="27"/>
        <v>8.1868592627376557E-8</v>
      </c>
      <c r="AI96" s="8">
        <f t="shared" si="28"/>
        <v>1.6615863637053544E-14</v>
      </c>
      <c r="AJ96" s="8">
        <f t="shared" si="29"/>
        <v>-3.2109306104079983E-15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0.32221734523773193</v>
      </c>
      <c r="AD97" s="8">
        <f t="shared" si="24"/>
        <v>8.1868592627376557E-8</v>
      </c>
      <c r="AE97" s="8">
        <f t="shared" si="32"/>
        <v>0.32221746444702148</v>
      </c>
      <c r="AF97" s="8">
        <f t="shared" si="25"/>
        <v>-3.922054242488926E-8</v>
      </c>
      <c r="AG97" s="8">
        <f t="shared" si="26"/>
        <v>0.32221740484237671</v>
      </c>
      <c r="AH97" s="8">
        <f t="shared" si="27"/>
        <v>2.1324024934710195E-8</v>
      </c>
      <c r="AI97" s="8">
        <f t="shared" si="28"/>
        <v>1.7457679105558089E-15</v>
      </c>
      <c r="AJ97" s="8">
        <f t="shared" si="29"/>
        <v>-8.363398246211976E-16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0.32221740484237671</v>
      </c>
      <c r="AD98" s="8">
        <f t="shared" si="24"/>
        <v>2.1324024934710195E-8</v>
      </c>
      <c r="AE98" s="8">
        <f t="shared" si="32"/>
        <v>0.32221746444702148</v>
      </c>
      <c r="AF98" s="8">
        <f t="shared" si="25"/>
        <v>-3.922054242488926E-8</v>
      </c>
      <c r="AG98" s="8">
        <f t="shared" si="26"/>
        <v>0.3222174346446991</v>
      </c>
      <c r="AH98" s="8">
        <f t="shared" si="27"/>
        <v>-8.9482588006006836E-9</v>
      </c>
      <c r="AI98" s="8">
        <f t="shared" si="28"/>
        <v>-1.9081289378624891E-16</v>
      </c>
      <c r="AJ98" s="8">
        <f t="shared" si="29"/>
        <v>3.5095556391784781E-16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0.32221740484237671</v>
      </c>
      <c r="AD99" s="8">
        <f t="shared" si="24"/>
        <v>2.1324024934710195E-8</v>
      </c>
      <c r="AE99" s="8">
        <f t="shared" si="32"/>
        <v>0.3222174346446991</v>
      </c>
      <c r="AF99" s="8">
        <f t="shared" si="25"/>
        <v>-8.9482588006006836E-9</v>
      </c>
      <c r="AG99" s="8">
        <f t="shared" si="26"/>
        <v>0.3222174197435379</v>
      </c>
      <c r="AH99" s="8">
        <f t="shared" si="27"/>
        <v>6.1878830392991802E-9</v>
      </c>
      <c r="AI99" s="8">
        <f t="shared" si="28"/>
        <v>1.3195057222308603E-16</v>
      </c>
      <c r="AJ99" s="8">
        <f t="shared" si="29"/>
        <v>-5.5370778863496594E-17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0.3222174197435379</v>
      </c>
      <c r="AD100" s="8">
        <f t="shared" si="24"/>
        <v>6.1878830392991802E-9</v>
      </c>
      <c r="AE100" s="8">
        <f t="shared" si="32"/>
        <v>0.3222174346446991</v>
      </c>
      <c r="AF100" s="8">
        <f t="shared" si="25"/>
        <v>-8.9482588006006836E-9</v>
      </c>
      <c r="AG100" s="8">
        <f t="shared" si="26"/>
        <v>0.3222174271941185</v>
      </c>
      <c r="AH100" s="8">
        <f t="shared" si="27"/>
        <v>-1.3801878528951761E-9</v>
      </c>
      <c r="AI100" s="8">
        <f t="shared" si="28"/>
        <v>-8.540441005976812E-18</v>
      </c>
      <c r="AJ100" s="8">
        <f t="shared" si="29"/>
        <v>1.2350278101151421E-17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0.3222174197435379</v>
      </c>
      <c r="AD101" s="8">
        <f t="shared" si="24"/>
        <v>6.1878830392991802E-9</v>
      </c>
      <c r="AE101" s="8">
        <f t="shared" si="32"/>
        <v>0.3222174271941185</v>
      </c>
      <c r="AF101" s="8">
        <f t="shared" si="25"/>
        <v>-1.3801878528951761E-9</v>
      </c>
      <c r="AG101" s="8">
        <f t="shared" si="26"/>
        <v>0.3222174234688282</v>
      </c>
      <c r="AH101" s="8">
        <f t="shared" si="27"/>
        <v>2.4038475654464264E-9</v>
      </c>
      <c r="AI101" s="8">
        <f t="shared" si="28"/>
        <v>1.4874727579286568E-17</v>
      </c>
      <c r="AJ101" s="8">
        <f t="shared" si="29"/>
        <v>-3.3177612100407996E-18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0.3222174234688282</v>
      </c>
      <c r="AD102" s="8">
        <f t="shared" si="24"/>
        <v>2.4038475654464264E-9</v>
      </c>
      <c r="AE102" s="8">
        <f t="shared" si="32"/>
        <v>0.3222174271941185</v>
      </c>
      <c r="AF102" s="8">
        <f t="shared" si="25"/>
        <v>-1.3801878528951761E-9</v>
      </c>
      <c r="AG102" s="8">
        <f t="shared" si="26"/>
        <v>0.32221742533147335</v>
      </c>
      <c r="AH102" s="8">
        <f t="shared" si="27"/>
        <v>5.1182985627562516E-10</v>
      </c>
      <c r="AI102" s="8">
        <f t="shared" si="28"/>
        <v>1.2303609539309559E-18</v>
      </c>
      <c r="AJ102" s="8">
        <f t="shared" si="29"/>
        <v>-7.0642135038070166E-19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0.32221742533147335</v>
      </c>
      <c r="AD103" s="8">
        <f t="shared" si="24"/>
        <v>5.1182985627562516E-10</v>
      </c>
      <c r="AE103" s="8">
        <f t="shared" si="32"/>
        <v>0.3222174271941185</v>
      </c>
      <c r="AF103" s="8">
        <f t="shared" si="25"/>
        <v>-1.3801878528951761E-9</v>
      </c>
      <c r="AG103" s="8">
        <f t="shared" si="26"/>
        <v>0.32221742626279593</v>
      </c>
      <c r="AH103" s="8">
        <f t="shared" si="27"/>
        <v>-4.3417902606535108E-10</v>
      </c>
      <c r="AI103" s="8">
        <f t="shared" si="28"/>
        <v>-2.2222578850891955E-19</v>
      </c>
      <c r="AJ103" s="8">
        <f t="shared" si="29"/>
        <v>5.992486177572556E-19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0.32221742533147335</v>
      </c>
      <c r="AD104" s="8">
        <f t="shared" si="24"/>
        <v>5.1182985627562516E-10</v>
      </c>
      <c r="AE104" s="8">
        <f t="shared" si="32"/>
        <v>0.32221742626279593</v>
      </c>
      <c r="AF104" s="8">
        <f t="shared" si="25"/>
        <v>-4.3417902606535108E-10</v>
      </c>
      <c r="AG104" s="8">
        <f t="shared" si="26"/>
        <v>0.32221742579713464</v>
      </c>
      <c r="AH104" s="8">
        <f t="shared" si="27"/>
        <v>3.8825442860712656E-11</v>
      </c>
      <c r="AI104" s="8">
        <f t="shared" si="28"/>
        <v>1.9872020839236056E-20</v>
      </c>
      <c r="AJ104" s="8">
        <f t="shared" si="29"/>
        <v>-1.6857192967820159E-20</v>
      </c>
      <c r="AK104" s="8">
        <f t="shared" si="30"/>
        <v>9.3132257461547852E-10</v>
      </c>
    </row>
  </sheetData>
  <mergeCells count="25">
    <mergeCell ref="B60:D60"/>
    <mergeCell ref="B52:D52"/>
    <mergeCell ref="R15:T15"/>
    <mergeCell ref="N16:P16"/>
    <mergeCell ref="V15:X15"/>
    <mergeCell ref="F26:H26"/>
    <mergeCell ref="B35:D35"/>
    <mergeCell ref="J42:L42"/>
    <mergeCell ref="B38:D38"/>
    <mergeCell ref="B43:D43"/>
    <mergeCell ref="B48:D48"/>
    <mergeCell ref="B55:D55"/>
    <mergeCell ref="B1:D1"/>
    <mergeCell ref="B3:D3"/>
    <mergeCell ref="F3:H3"/>
    <mergeCell ref="N3:P3"/>
    <mergeCell ref="R3:T3"/>
    <mergeCell ref="V3:X3"/>
    <mergeCell ref="J10:L10"/>
    <mergeCell ref="J3:L3"/>
    <mergeCell ref="F21:H21"/>
    <mergeCell ref="B25:D25"/>
    <mergeCell ref="F10:H10"/>
    <mergeCell ref="B11:D11"/>
    <mergeCell ref="B16:D16"/>
  </mergeCells>
  <conditionalFormatting sqref="K32">
    <cfRule type="containsText" dxfId="5" priority="1" operator="containsText" text="FALSE">
      <formula>NOT(ISERROR(SEARCH("FALSE",K32)))</formula>
    </cfRule>
    <cfRule type="containsText" dxfId="4" priority="2" operator="containsText" text="TRUE">
      <formula>NOT(ISERROR(SEARCH("TRUE",K32)))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NOT(ISERROR(SEARCH("YES",K32)))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multirotor_aerofidelity1</vt:lpstr>
      <vt:lpstr>lift+cruise_aerofidelity1</vt:lpstr>
      <vt:lpstr>multirotor_aerofidelity0</vt:lpstr>
      <vt:lpstr>lift+cruise_aerofidelity0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2024-12-19T10:51:53Z</dcterms:modified>
</cp:coreProperties>
</file>