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weight/multirotor/"/>
    </mc:Choice>
  </mc:AlternateContent>
  <xr:revisionPtr revIDLastSave="0" documentId="13_ncr:1_{4D716929-483F-E94F-B7BE-0D8085D2EF25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opt_250_test_250" sheetId="13" r:id="rId1"/>
    <sheet name="multirotor_opt_250_test_550" sheetId="19" r:id="rId2"/>
    <sheet name="multirotor_opt_550_test_550" sheetId="20" r:id="rId3"/>
    <sheet name="multirotor_opt_550_test_250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1" l="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K19" i="21" s="1"/>
  <c r="AN30" i="21"/>
  <c r="AM30" i="21"/>
  <c r="AN29" i="21"/>
  <c r="AM29" i="21"/>
  <c r="AN28" i="21"/>
  <c r="AM28" i="21"/>
  <c r="G28" i="21"/>
  <c r="AN27" i="21"/>
  <c r="AM27" i="21"/>
  <c r="AN26" i="21"/>
  <c r="AM26" i="21"/>
  <c r="K26" i="21"/>
  <c r="G26" i="21"/>
  <c r="AN25" i="21"/>
  <c r="AM25" i="21"/>
  <c r="K25" i="21"/>
  <c r="G25" i="21"/>
  <c r="G31" i="21" s="1"/>
  <c r="G29" i="21" s="1"/>
  <c r="AN24" i="21"/>
  <c r="AM24" i="21"/>
  <c r="K24" i="21"/>
  <c r="AN23" i="21"/>
  <c r="AM23" i="21"/>
  <c r="K23" i="21"/>
  <c r="AN22" i="21"/>
  <c r="AM22" i="21"/>
  <c r="AN21" i="21"/>
  <c r="AM21" i="21"/>
  <c r="K21" i="21"/>
  <c r="AN20" i="21"/>
  <c r="AM20" i="21"/>
  <c r="K20" i="21"/>
  <c r="AN19" i="21"/>
  <c r="AM19" i="21"/>
  <c r="O19" i="21"/>
  <c r="AN18" i="21"/>
  <c r="AM18" i="21"/>
  <c r="K18" i="21"/>
  <c r="AN17" i="21"/>
  <c r="AM17" i="21"/>
  <c r="AN16" i="21"/>
  <c r="AM16" i="21"/>
  <c r="G16" i="21"/>
  <c r="G17" i="21" s="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G8" i="21"/>
  <c r="C8" i="21"/>
  <c r="AN7" i="21"/>
  <c r="AM7" i="21"/>
  <c r="G7" i="21"/>
  <c r="AN6" i="21"/>
  <c r="AM6" i="21"/>
  <c r="AG6" i="21"/>
  <c r="AO5" i="21"/>
  <c r="AN5" i="21"/>
  <c r="AM5" i="2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K19" i="19"/>
  <c r="AN18" i="19"/>
  <c r="AM18" i="19"/>
  <c r="K18" i="19"/>
  <c r="AN17" i="19"/>
  <c r="AM17" i="19"/>
  <c r="AN16" i="19"/>
  <c r="AM16" i="19"/>
  <c r="G16" i="19"/>
  <c r="G17" i="19" s="1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G8" i="19"/>
  <c r="C8" i="19"/>
  <c r="AN7" i="19"/>
  <c r="AM7" i="19"/>
  <c r="G7" i="19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K35" i="21" l="1"/>
  <c r="K43" i="21"/>
  <c r="O46" i="21"/>
  <c r="O47" i="21" s="1"/>
  <c r="G10" i="21"/>
  <c r="G30" i="21"/>
  <c r="O4" i="21"/>
  <c r="O8" i="21" s="1"/>
  <c r="O9" i="21" s="1"/>
  <c r="O13" i="21" s="1"/>
  <c r="G15" i="21"/>
  <c r="K9" i="21" s="1"/>
  <c r="K22" i="21"/>
  <c r="K34" i="21" s="1"/>
  <c r="AI6" i="21"/>
  <c r="AO6" i="21" s="1"/>
  <c r="AG7" i="21"/>
  <c r="G11" i="21"/>
  <c r="G27" i="21"/>
  <c r="K47" i="21"/>
  <c r="O8" i="20"/>
  <c r="O9" i="20" s="1"/>
  <c r="O13" i="20" s="1"/>
  <c r="O14" i="20" s="1"/>
  <c r="O17" i="20" s="1"/>
  <c r="O20" i="20" s="1"/>
  <c r="O23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K47" i="20"/>
  <c r="G30" i="19"/>
  <c r="K35" i="19"/>
  <c r="K43" i="19"/>
  <c r="AO6" i="19"/>
  <c r="O18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O18" i="20" l="1"/>
  <c r="K42" i="21"/>
  <c r="O18" i="21"/>
  <c r="O14" i="21"/>
  <c r="O17" i="21" s="1"/>
  <c r="O20" i="21" s="1"/>
  <c r="AK6" i="21"/>
  <c r="AI7" i="21" s="1"/>
  <c r="AO7" i="21" s="1"/>
  <c r="K34" i="19"/>
  <c r="AI7" i="19"/>
  <c r="AK7" i="19" s="1"/>
  <c r="O21" i="20"/>
  <c r="G18" i="20"/>
  <c r="K14" i="20"/>
  <c r="O26" i="20"/>
  <c r="O28" i="20" s="1"/>
  <c r="AK6" i="20"/>
  <c r="O21" i="19"/>
  <c r="G21" i="19" s="1"/>
  <c r="G18" i="19"/>
  <c r="K14" i="19"/>
  <c r="O23" i="19"/>
  <c r="AG6" i="13"/>
  <c r="AI6" i="13"/>
  <c r="G27" i="13"/>
  <c r="G15" i="13"/>
  <c r="K9" i="13" s="1"/>
  <c r="K31" i="13"/>
  <c r="AK7" i="21" l="1"/>
  <c r="O23" i="21"/>
  <c r="O21" i="21"/>
  <c r="G21" i="21" s="1"/>
  <c r="G18" i="21"/>
  <c r="K14" i="21"/>
  <c r="AI8" i="19"/>
  <c r="AG8" i="19"/>
  <c r="AO7" i="19"/>
  <c r="AG7" i="20"/>
  <c r="AG8" i="20" s="1"/>
  <c r="AI7" i="20"/>
  <c r="W4" i="19"/>
  <c r="Y4" i="19"/>
  <c r="G21" i="20"/>
  <c r="W4" i="20"/>
  <c r="Y4" i="20"/>
  <c r="AA4" i="20"/>
  <c r="K15" i="20"/>
  <c r="K15" i="19"/>
  <c r="AK8" i="19"/>
  <c r="AI9" i="19" s="1"/>
  <c r="O26" i="19"/>
  <c r="O28" i="19" s="1"/>
  <c r="AA4" i="19"/>
  <c r="AO6" i="13"/>
  <c r="AK6" i="13"/>
  <c r="AG7" i="13" s="1"/>
  <c r="AI7" i="13"/>
  <c r="AI8" i="21" l="1"/>
  <c r="AG8" i="21"/>
  <c r="W4" i="21"/>
  <c r="Y4" i="21"/>
  <c r="AK7" i="20"/>
  <c r="AI8" i="20" s="1"/>
  <c r="AK8" i="20" s="1"/>
  <c r="AI9" i="20" s="1"/>
  <c r="AO8" i="19"/>
  <c r="O26" i="21"/>
  <c r="O28" i="21" s="1"/>
  <c r="AA4" i="21"/>
  <c r="AC4" i="21" s="1"/>
  <c r="X5" i="21" s="1"/>
  <c r="AO8" i="21"/>
  <c r="K15" i="21"/>
  <c r="AK8" i="21"/>
  <c r="AG9" i="21" s="1"/>
  <c r="AB4" i="19"/>
  <c r="V5" i="19" s="1"/>
  <c r="W5" i="19" s="1"/>
  <c r="AO7" i="20"/>
  <c r="AG9" i="19"/>
  <c r="AK9" i="19" s="1"/>
  <c r="AI10" i="19" s="1"/>
  <c r="AC4" i="20"/>
  <c r="X5" i="20" s="1"/>
  <c r="AB4" i="20"/>
  <c r="V5" i="20" s="1"/>
  <c r="AC4" i="19"/>
  <c r="X5" i="19" s="1"/>
  <c r="AK7" i="13"/>
  <c r="AI8" i="13" s="1"/>
  <c r="AO7" i="13"/>
  <c r="AO8" i="20" l="1"/>
  <c r="AI9" i="21"/>
  <c r="AK9" i="21" s="1"/>
  <c r="AO9" i="19"/>
  <c r="AG10" i="19"/>
  <c r="AG11" i="19" s="1"/>
  <c r="Y5" i="21"/>
  <c r="AO9" i="21"/>
  <c r="AB4" i="21"/>
  <c r="V5" i="21" s="1"/>
  <c r="AG9" i="20"/>
  <c r="AO9" i="20" s="1"/>
  <c r="AK10" i="19"/>
  <c r="AI11" i="19" s="1"/>
  <c r="AD5" i="20"/>
  <c r="Y5" i="20"/>
  <c r="AK9" i="20"/>
  <c r="AI10" i="20" s="1"/>
  <c r="Z5" i="20"/>
  <c r="AA5" i="20" s="1"/>
  <c r="W5" i="20"/>
  <c r="AD5" i="19"/>
  <c r="Y5" i="19"/>
  <c r="AO10" i="19"/>
  <c r="Z5" i="19"/>
  <c r="AA5" i="19" s="1"/>
  <c r="AB5" i="19" s="1"/>
  <c r="V6" i="19" s="1"/>
  <c r="AG8" i="13"/>
  <c r="AK8" i="13" s="1"/>
  <c r="AI9" i="13" s="1"/>
  <c r="AG10" i="21" l="1"/>
  <c r="AI10" i="21"/>
  <c r="AG10" i="20"/>
  <c r="AO10" i="20" s="1"/>
  <c r="Z5" i="21"/>
  <c r="AA5" i="21" s="1"/>
  <c r="AC5" i="21" s="1"/>
  <c r="X6" i="21" s="1"/>
  <c r="W5" i="21"/>
  <c r="AB5" i="21" s="1"/>
  <c r="V6" i="21" s="1"/>
  <c r="AO10" i="21"/>
  <c r="AD5" i="21"/>
  <c r="AO11" i="19"/>
  <c r="AB5" i="20"/>
  <c r="V6" i="20" s="1"/>
  <c r="W6" i="20" s="1"/>
  <c r="AO8" i="13"/>
  <c r="AK10" i="20"/>
  <c r="AI11" i="20" s="1"/>
  <c r="AC5" i="20"/>
  <c r="X6" i="20" s="1"/>
  <c r="W6" i="19"/>
  <c r="AC5" i="19"/>
  <c r="X6" i="19" s="1"/>
  <c r="AK11" i="19"/>
  <c r="AG9" i="13"/>
  <c r="AK9" i="13" s="1"/>
  <c r="AK10" i="21" l="1"/>
  <c r="AD6" i="21"/>
  <c r="Y6" i="21"/>
  <c r="Z6" i="21"/>
  <c r="AA6" i="21" s="1"/>
  <c r="W6" i="21"/>
  <c r="AG11" i="20"/>
  <c r="AD6" i="20"/>
  <c r="Y6" i="20"/>
  <c r="AO11" i="20"/>
  <c r="AK11" i="20"/>
  <c r="AG12" i="20" s="1"/>
  <c r="Z6" i="20"/>
  <c r="AA6" i="20" s="1"/>
  <c r="AB6" i="20" s="1"/>
  <c r="V7" i="20" s="1"/>
  <c r="AI12" i="19"/>
  <c r="AG12" i="19"/>
  <c r="AD6" i="19"/>
  <c r="Y6" i="19"/>
  <c r="Z6" i="19"/>
  <c r="AA6" i="19" s="1"/>
  <c r="AB6" i="19" s="1"/>
  <c r="V7" i="19" s="1"/>
  <c r="AO9" i="13"/>
  <c r="AG10" i="13"/>
  <c r="AI10" i="13"/>
  <c r="AK12" i="19" l="1"/>
  <c r="AG11" i="21"/>
  <c r="AI11" i="21"/>
  <c r="AO11" i="21" s="1"/>
  <c r="AB6" i="21"/>
  <c r="V7" i="21" s="1"/>
  <c r="W7" i="21"/>
  <c r="AC6" i="21"/>
  <c r="X7" i="21" s="1"/>
  <c r="AI12" i="20"/>
  <c r="AK12" i="20"/>
  <c r="AG13" i="20" s="1"/>
  <c r="W7" i="20"/>
  <c r="AO12" i="20"/>
  <c r="AI13" i="20"/>
  <c r="AO13" i="20" s="1"/>
  <c r="AC6" i="20"/>
  <c r="X7" i="20" s="1"/>
  <c r="W7" i="19"/>
  <c r="AC6" i="19"/>
  <c r="X7" i="19" s="1"/>
  <c r="AI13" i="19"/>
  <c r="AG13" i="19"/>
  <c r="AO12" i="19"/>
  <c r="AO10" i="13"/>
  <c r="AK10" i="13"/>
  <c r="AG11" i="13" s="1"/>
  <c r="AK11" i="21" l="1"/>
  <c r="AI12" i="21" s="1"/>
  <c r="AD7" i="21"/>
  <c r="Y7" i="21"/>
  <c r="Z7" i="21"/>
  <c r="AA7" i="21" s="1"/>
  <c r="AB7" i="21" s="1"/>
  <c r="V8" i="21" s="1"/>
  <c r="AK13" i="19"/>
  <c r="AG14" i="19" s="1"/>
  <c r="AK13" i="20"/>
  <c r="AD7" i="20"/>
  <c r="Y7" i="20"/>
  <c r="AI14" i="20"/>
  <c r="AG14" i="20"/>
  <c r="Z7" i="20"/>
  <c r="AA7" i="20" s="1"/>
  <c r="AB7" i="20" s="1"/>
  <c r="V8" i="20" s="1"/>
  <c r="AI14" i="19"/>
  <c r="AO13" i="19"/>
  <c r="AD7" i="19"/>
  <c r="Y7" i="19"/>
  <c r="Z7" i="19"/>
  <c r="AA7" i="19" s="1"/>
  <c r="AB7" i="19" s="1"/>
  <c r="V8" i="19" s="1"/>
  <c r="AI11" i="13"/>
  <c r="AK11" i="13" s="1"/>
  <c r="AG12" i="21" l="1"/>
  <c r="AO12" i="21" s="1"/>
  <c r="AK12" i="21"/>
  <c r="AI13" i="21" s="1"/>
  <c r="W8" i="21"/>
  <c r="AC7" i="21"/>
  <c r="X8" i="21" s="1"/>
  <c r="AK14" i="20"/>
  <c r="AK14" i="19"/>
  <c r="AI15" i="19" s="1"/>
  <c r="W8" i="20"/>
  <c r="AG15" i="20"/>
  <c r="AI15" i="20"/>
  <c r="AO14" i="20"/>
  <c r="AC7" i="20"/>
  <c r="X8" i="20" s="1"/>
  <c r="W8" i="19"/>
  <c r="AC7" i="19"/>
  <c r="X8" i="19" s="1"/>
  <c r="AG15" i="19"/>
  <c r="AO14" i="19"/>
  <c r="AO11" i="13"/>
  <c r="AG12" i="13"/>
  <c r="AI12" i="13"/>
  <c r="AG13" i="21" l="1"/>
  <c r="AO13" i="21" s="1"/>
  <c r="AK13" i="21"/>
  <c r="AD8" i="21"/>
  <c r="Y8" i="21"/>
  <c r="Z8" i="21"/>
  <c r="AA8" i="21" s="1"/>
  <c r="AB8" i="21" s="1"/>
  <c r="V9" i="21" s="1"/>
  <c r="AK15" i="19"/>
  <c r="AG16" i="19" s="1"/>
  <c r="AK15" i="20"/>
  <c r="AI16" i="20" s="1"/>
  <c r="AG16" i="20"/>
  <c r="AD8" i="20"/>
  <c r="Y8" i="20"/>
  <c r="AO15" i="20"/>
  <c r="Z8" i="20"/>
  <c r="AA8" i="20" s="1"/>
  <c r="AB8" i="20" s="1"/>
  <c r="V9" i="20" s="1"/>
  <c r="AI16" i="19"/>
  <c r="AO15" i="19"/>
  <c r="AD8" i="19"/>
  <c r="Y8" i="19"/>
  <c r="Z8" i="19"/>
  <c r="AA8" i="19" s="1"/>
  <c r="AB8" i="19" s="1"/>
  <c r="V9" i="19" s="1"/>
  <c r="AO12" i="13"/>
  <c r="AK12" i="13"/>
  <c r="AI13" i="13" s="1"/>
  <c r="AO16" i="20" l="1"/>
  <c r="AG14" i="21"/>
  <c r="AI14" i="21"/>
  <c r="AO14" i="21" s="1"/>
  <c r="W9" i="21"/>
  <c r="AC8" i="21"/>
  <c r="X9" i="21" s="1"/>
  <c r="AO16" i="19"/>
  <c r="W9" i="20"/>
  <c r="AC8" i="20"/>
  <c r="X9" i="20" s="1"/>
  <c r="AK16" i="20"/>
  <c r="W9" i="19"/>
  <c r="AC8" i="19"/>
  <c r="X9" i="19" s="1"/>
  <c r="AK16" i="19"/>
  <c r="AG13" i="13"/>
  <c r="AK13" i="13" s="1"/>
  <c r="AI14" i="13" s="1"/>
  <c r="AK14" i="21" l="1"/>
  <c r="AD9" i="21"/>
  <c r="Y9" i="21"/>
  <c r="Z9" i="21"/>
  <c r="AA9" i="21" s="1"/>
  <c r="AB9" i="21" s="1"/>
  <c r="V10" i="21" s="1"/>
  <c r="AI17" i="20"/>
  <c r="AG17" i="20"/>
  <c r="AK17" i="20" s="1"/>
  <c r="AD9" i="20"/>
  <c r="Y9" i="20"/>
  <c r="Z9" i="20"/>
  <c r="AA9" i="20" s="1"/>
  <c r="AB9" i="20" s="1"/>
  <c r="V10" i="20" s="1"/>
  <c r="AG17" i="19"/>
  <c r="AI17" i="19"/>
  <c r="AD9" i="19"/>
  <c r="Y9" i="19"/>
  <c r="Z9" i="19"/>
  <c r="AA9" i="19" s="1"/>
  <c r="AB9" i="19" s="1"/>
  <c r="V10" i="19" s="1"/>
  <c r="AO13" i="13"/>
  <c r="AG14" i="13"/>
  <c r="AO14" i="13" s="1"/>
  <c r="AO17" i="19" l="1"/>
  <c r="AG15" i="21"/>
  <c r="AI15" i="21"/>
  <c r="AO15" i="21" s="1"/>
  <c r="W10" i="21"/>
  <c r="AC9" i="21"/>
  <c r="X10" i="21" s="1"/>
  <c r="W10" i="20"/>
  <c r="AG18" i="20"/>
  <c r="AI18" i="20"/>
  <c r="AC9" i="20"/>
  <c r="X10" i="20" s="1"/>
  <c r="AO17" i="20"/>
  <c r="W10" i="19"/>
  <c r="AC9" i="19"/>
  <c r="X10" i="19" s="1"/>
  <c r="AK17" i="19"/>
  <c r="AK14" i="13"/>
  <c r="AG15" i="13" s="1"/>
  <c r="AK15" i="21" l="1"/>
  <c r="AI16" i="21" s="1"/>
  <c r="AD10" i="21"/>
  <c r="Y10" i="21"/>
  <c r="Z10" i="21"/>
  <c r="AA10" i="21" s="1"/>
  <c r="AB10" i="21" s="1"/>
  <c r="V11" i="21" s="1"/>
  <c r="AK18" i="20"/>
  <c r="AO18" i="20"/>
  <c r="AG19" i="20"/>
  <c r="AI19" i="20"/>
  <c r="AD10" i="20"/>
  <c r="Y10" i="20"/>
  <c r="Z10" i="20"/>
  <c r="AA10" i="20" s="1"/>
  <c r="AB10" i="20" s="1"/>
  <c r="V11" i="20" s="1"/>
  <c r="AG18" i="19"/>
  <c r="AI18" i="19"/>
  <c r="AD10" i="19"/>
  <c r="Y10" i="19"/>
  <c r="Z10" i="19"/>
  <c r="AA10" i="19" s="1"/>
  <c r="AB10" i="19" s="1"/>
  <c r="V11" i="19" s="1"/>
  <c r="AI15" i="13"/>
  <c r="AK15" i="13" s="1"/>
  <c r="AG16" i="21" l="1"/>
  <c r="AO16" i="21" s="1"/>
  <c r="AK16" i="21"/>
  <c r="W11" i="21"/>
  <c r="AC10" i="21"/>
  <c r="X11" i="21" s="1"/>
  <c r="AO19" i="20"/>
  <c r="W11" i="20"/>
  <c r="AC10" i="20"/>
  <c r="X11" i="20" s="1"/>
  <c r="AK19" i="20"/>
  <c r="AO18" i="19"/>
  <c r="W11" i="19"/>
  <c r="AC10" i="19"/>
  <c r="X11" i="19" s="1"/>
  <c r="AK18" i="19"/>
  <c r="AO15" i="13"/>
  <c r="AG16" i="13"/>
  <c r="AI16" i="13"/>
  <c r="AG17" i="21" l="1"/>
  <c r="AI17" i="21"/>
  <c r="AD11" i="21"/>
  <c r="Y11" i="21"/>
  <c r="Z11" i="21"/>
  <c r="AA11" i="21" s="1"/>
  <c r="AB11" i="21" s="1"/>
  <c r="V12" i="21" s="1"/>
  <c r="AG20" i="20"/>
  <c r="AI20" i="20"/>
  <c r="AD11" i="20"/>
  <c r="Y11" i="20"/>
  <c r="Z11" i="20"/>
  <c r="AA11" i="20" s="1"/>
  <c r="AB11" i="20" s="1"/>
  <c r="V12" i="20" s="1"/>
  <c r="AG19" i="19"/>
  <c r="AI19" i="19"/>
  <c r="AD11" i="19"/>
  <c r="Y11" i="19"/>
  <c r="Z11" i="19"/>
  <c r="AA11" i="19" s="1"/>
  <c r="AB11" i="19" s="1"/>
  <c r="V12" i="19" s="1"/>
  <c r="AO16" i="13"/>
  <c r="AK16" i="13"/>
  <c r="AK17" i="21" l="1"/>
  <c r="AO17" i="21"/>
  <c r="AO19" i="19"/>
  <c r="W12" i="21"/>
  <c r="AC11" i="21"/>
  <c r="X12" i="21" s="1"/>
  <c r="AO20" i="20"/>
  <c r="W12" i="20"/>
  <c r="AC11" i="20"/>
  <c r="X12" i="20" s="1"/>
  <c r="AK20" i="20"/>
  <c r="W12" i="19"/>
  <c r="AC11" i="19"/>
  <c r="X12" i="19" s="1"/>
  <c r="AK19" i="19"/>
  <c r="AG17" i="13"/>
  <c r="AI17" i="13"/>
  <c r="AG18" i="21" l="1"/>
  <c r="AI18" i="21"/>
  <c r="AO18" i="21" s="1"/>
  <c r="AD12" i="21"/>
  <c r="Y12" i="21"/>
  <c r="Z12" i="21"/>
  <c r="AA12" i="21" s="1"/>
  <c r="AB12" i="21" s="1"/>
  <c r="V13" i="21" s="1"/>
  <c r="AI21" i="20"/>
  <c r="AG21" i="20"/>
  <c r="AK21" i="20" s="1"/>
  <c r="AD12" i="20"/>
  <c r="Y12" i="20"/>
  <c r="Z12" i="20"/>
  <c r="AA12" i="20" s="1"/>
  <c r="AB12" i="20" s="1"/>
  <c r="V13" i="20" s="1"/>
  <c r="AI20" i="19"/>
  <c r="AG20" i="19"/>
  <c r="AK20" i="19" s="1"/>
  <c r="AD12" i="19"/>
  <c r="Y12" i="19"/>
  <c r="Z12" i="19"/>
  <c r="AA12" i="19" s="1"/>
  <c r="AB12" i="19" s="1"/>
  <c r="V13" i="19" s="1"/>
  <c r="AK17" i="13"/>
  <c r="AO17" i="13"/>
  <c r="AK18" i="21" l="1"/>
  <c r="W13" i="21"/>
  <c r="AC12" i="21"/>
  <c r="X13" i="21" s="1"/>
  <c r="W13" i="20"/>
  <c r="AG22" i="20"/>
  <c r="AI22" i="20"/>
  <c r="AC12" i="20"/>
  <c r="X13" i="20" s="1"/>
  <c r="AO21" i="20"/>
  <c r="W13" i="19"/>
  <c r="AC12" i="19"/>
  <c r="X13" i="19" s="1"/>
  <c r="AI21" i="19"/>
  <c r="AG21" i="19"/>
  <c r="AO20" i="19"/>
  <c r="AI18" i="13"/>
  <c r="AG18" i="13"/>
  <c r="AG19" i="21" l="1"/>
  <c r="AI19" i="21"/>
  <c r="AO19" i="21" s="1"/>
  <c r="AD13" i="21"/>
  <c r="Y13" i="21"/>
  <c r="Z13" i="21"/>
  <c r="AA13" i="21" s="1"/>
  <c r="AB13" i="21" s="1"/>
  <c r="V14" i="21" s="1"/>
  <c r="AO22" i="20"/>
  <c r="AK22" i="20"/>
  <c r="AD13" i="20"/>
  <c r="Y13" i="20"/>
  <c r="Z13" i="20"/>
  <c r="AA13" i="20" s="1"/>
  <c r="AB13" i="20" s="1"/>
  <c r="V14" i="20" s="1"/>
  <c r="AK21" i="19"/>
  <c r="AI22" i="19" s="1"/>
  <c r="AG22" i="19"/>
  <c r="AO21" i="19"/>
  <c r="AD13" i="19"/>
  <c r="Y13" i="19"/>
  <c r="Z13" i="19"/>
  <c r="AA13" i="19" s="1"/>
  <c r="AB13" i="19" s="1"/>
  <c r="V14" i="19" s="1"/>
  <c r="AK18" i="13"/>
  <c r="AG19" i="13" s="1"/>
  <c r="AO18" i="13"/>
  <c r="AK19" i="21" l="1"/>
  <c r="AI20" i="21" s="1"/>
  <c r="AO22" i="19"/>
  <c r="W14" i="21"/>
  <c r="AC13" i="21"/>
  <c r="X14" i="21" s="1"/>
  <c r="W14" i="20"/>
  <c r="AC13" i="20"/>
  <c r="X14" i="20" s="1"/>
  <c r="AI23" i="20"/>
  <c r="AG23" i="20"/>
  <c r="W14" i="19"/>
  <c r="AC13" i="19"/>
  <c r="X14" i="19" s="1"/>
  <c r="AK22" i="19"/>
  <c r="AI19" i="13"/>
  <c r="AO19" i="13" s="1"/>
  <c r="AG20" i="21" l="1"/>
  <c r="AO20" i="21" s="1"/>
  <c r="AK20" i="21"/>
  <c r="AI21" i="21" s="1"/>
  <c r="AD14" i="21"/>
  <c r="Y14" i="21"/>
  <c r="Z14" i="21"/>
  <c r="AA14" i="21" s="1"/>
  <c r="AB14" i="21" s="1"/>
  <c r="V15" i="21" s="1"/>
  <c r="AO23" i="20"/>
  <c r="AD14" i="20"/>
  <c r="Y14" i="20"/>
  <c r="AK23" i="20"/>
  <c r="Z14" i="20"/>
  <c r="AA14" i="20" s="1"/>
  <c r="AB14" i="20" s="1"/>
  <c r="V15" i="20" s="1"/>
  <c r="AG23" i="19"/>
  <c r="AI23" i="19"/>
  <c r="AD14" i="19"/>
  <c r="Y14" i="19"/>
  <c r="Z14" i="19"/>
  <c r="AA14" i="19" s="1"/>
  <c r="AB14" i="19" s="1"/>
  <c r="V15" i="19" s="1"/>
  <c r="AK19" i="13"/>
  <c r="AG20" i="13" s="1"/>
  <c r="AG21" i="21" l="1"/>
  <c r="AK21" i="21" s="1"/>
  <c r="AG22" i="21"/>
  <c r="AI22" i="21"/>
  <c r="AO21" i="21"/>
  <c r="AO23" i="19"/>
  <c r="W15" i="21"/>
  <c r="AC14" i="21"/>
  <c r="X15" i="21" s="1"/>
  <c r="W15" i="20"/>
  <c r="AI24" i="20"/>
  <c r="AG24" i="20"/>
  <c r="AC14" i="20"/>
  <c r="X15" i="20" s="1"/>
  <c r="W15" i="19"/>
  <c r="AC14" i="19"/>
  <c r="X15" i="19" s="1"/>
  <c r="AK23" i="19"/>
  <c r="AI20" i="13"/>
  <c r="AO20" i="13" s="1"/>
  <c r="AO22" i="21" l="1"/>
  <c r="AK22" i="21"/>
  <c r="AI23" i="21" s="1"/>
  <c r="AD15" i="21"/>
  <c r="Y15" i="21"/>
  <c r="Z15" i="21"/>
  <c r="AA15" i="21" s="1"/>
  <c r="AB15" i="21" s="1"/>
  <c r="V16" i="21" s="1"/>
  <c r="AK24" i="20"/>
  <c r="AG25" i="20" s="1"/>
  <c r="AO24" i="20"/>
  <c r="AD15" i="20"/>
  <c r="Y15" i="20"/>
  <c r="Z15" i="20"/>
  <c r="AA15" i="20" s="1"/>
  <c r="AB15" i="20" s="1"/>
  <c r="V16" i="20" s="1"/>
  <c r="AI24" i="19"/>
  <c r="AG24" i="19"/>
  <c r="AD15" i="19"/>
  <c r="Y15" i="19"/>
  <c r="Z15" i="19"/>
  <c r="AA15" i="19" s="1"/>
  <c r="AB15" i="19" s="1"/>
  <c r="V16" i="19" s="1"/>
  <c r="AK20" i="13"/>
  <c r="AG21" i="13" s="1"/>
  <c r="AG23" i="21" l="1"/>
  <c r="AO23" i="21" s="1"/>
  <c r="W16" i="21"/>
  <c r="AC15" i="21"/>
  <c r="X16" i="21" s="1"/>
  <c r="AI25" i="20"/>
  <c r="AO25" i="20" s="1"/>
  <c r="AK24" i="19"/>
  <c r="AG25" i="19" s="1"/>
  <c r="W16" i="20"/>
  <c r="AC15" i="20"/>
  <c r="X16" i="20" s="1"/>
  <c r="AK25" i="20"/>
  <c r="W16" i="19"/>
  <c r="AC15" i="19"/>
  <c r="X16" i="19" s="1"/>
  <c r="AI25" i="19"/>
  <c r="AO24" i="19"/>
  <c r="AI21" i="13"/>
  <c r="AO21" i="13" s="1"/>
  <c r="AK23" i="21" l="1"/>
  <c r="AI24" i="21" s="1"/>
  <c r="AG24" i="21"/>
  <c r="AO24" i="21" s="1"/>
  <c r="AK24" i="21"/>
  <c r="AI25" i="21" s="1"/>
  <c r="AD16" i="21"/>
  <c r="Y16" i="21"/>
  <c r="Z16" i="21"/>
  <c r="AA16" i="21" s="1"/>
  <c r="AB16" i="21" s="1"/>
  <c r="V17" i="21" s="1"/>
  <c r="AI26" i="20"/>
  <c r="AG26" i="20"/>
  <c r="AD16" i="20"/>
  <c r="Y16" i="20"/>
  <c r="Z16" i="20"/>
  <c r="AA16" i="20" s="1"/>
  <c r="AB16" i="20" s="1"/>
  <c r="V17" i="20" s="1"/>
  <c r="AK25" i="19"/>
  <c r="AG26" i="19" s="1"/>
  <c r="AO25" i="19"/>
  <c r="AD16" i="19"/>
  <c r="Y16" i="19"/>
  <c r="Z16" i="19"/>
  <c r="AA16" i="19" s="1"/>
  <c r="AB16" i="19" s="1"/>
  <c r="V17" i="19" s="1"/>
  <c r="AK21" i="13"/>
  <c r="AG22" i="13" s="1"/>
  <c r="AG25" i="21" l="1"/>
  <c r="AK25" i="21" s="1"/>
  <c r="AI26" i="21"/>
  <c r="AG26" i="21"/>
  <c r="AO25" i="21"/>
  <c r="AI26" i="19"/>
  <c r="AO26" i="19" s="1"/>
  <c r="W17" i="21"/>
  <c r="AC16" i="21"/>
  <c r="X17" i="21" s="1"/>
  <c r="AK26" i="20"/>
  <c r="W17" i="20"/>
  <c r="AI27" i="20"/>
  <c r="AG27" i="20"/>
  <c r="AC16" i="20"/>
  <c r="X17" i="20" s="1"/>
  <c r="AO26" i="20"/>
  <c r="W17" i="19"/>
  <c r="AC16" i="19"/>
  <c r="X17" i="19" s="1"/>
  <c r="AI22" i="13"/>
  <c r="AO22" i="13" s="1"/>
  <c r="AK26" i="21" l="1"/>
  <c r="AK26" i="19"/>
  <c r="AG27" i="21"/>
  <c r="AI27" i="21"/>
  <c r="AO27" i="21" s="1"/>
  <c r="AO26" i="21"/>
  <c r="AD17" i="21"/>
  <c r="Y17" i="21"/>
  <c r="Z17" i="21"/>
  <c r="AA17" i="21" s="1"/>
  <c r="AB17" i="21" s="1"/>
  <c r="V18" i="21" s="1"/>
  <c r="AK27" i="20"/>
  <c r="AG28" i="20" s="1"/>
  <c r="AD17" i="20"/>
  <c r="Y17" i="20"/>
  <c r="AI28" i="20"/>
  <c r="AO2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K22" i="13"/>
  <c r="AG23" i="13" s="1"/>
  <c r="AK27" i="21" l="1"/>
  <c r="AG28" i="21"/>
  <c r="AI28" i="21"/>
  <c r="AO28" i="21" s="1"/>
  <c r="W18" i="21"/>
  <c r="AC17" i="21"/>
  <c r="X18" i="21" s="1"/>
  <c r="AK28" i="20"/>
  <c r="AO27" i="19"/>
  <c r="W18" i="20"/>
  <c r="AI29" i="20"/>
  <c r="AG29" i="20"/>
  <c r="AO28" i="20"/>
  <c r="AC17" i="20"/>
  <c r="X18" i="20" s="1"/>
  <c r="W18" i="19"/>
  <c r="AC17" i="19"/>
  <c r="X18" i="19" s="1"/>
  <c r="AK27" i="19"/>
  <c r="AI23" i="13"/>
  <c r="AO23" i="13" s="1"/>
  <c r="AK28" i="21" l="1"/>
  <c r="AD18" i="21"/>
  <c r="Y18" i="21"/>
  <c r="Z18" i="21"/>
  <c r="AA18" i="21" s="1"/>
  <c r="AB18" i="21" s="1"/>
  <c r="V19" i="21" s="1"/>
  <c r="AK29" i="20"/>
  <c r="AD18" i="20"/>
  <c r="Y18" i="20"/>
  <c r="AI30" i="20"/>
  <c r="AG30" i="20"/>
  <c r="AO29" i="20"/>
  <c r="Z18" i="20"/>
  <c r="AA18" i="20" s="1"/>
  <c r="AB18" i="20" s="1"/>
  <c r="V19" i="20" s="1"/>
  <c r="AG28" i="19"/>
  <c r="AI28" i="19"/>
  <c r="AD18" i="19"/>
  <c r="Y18" i="19"/>
  <c r="Z18" i="19"/>
  <c r="AA18" i="19" s="1"/>
  <c r="AB18" i="19" s="1"/>
  <c r="V19" i="19" s="1"/>
  <c r="AK23" i="13"/>
  <c r="AG24" i="13" s="1"/>
  <c r="AI29" i="21" l="1"/>
  <c r="AG29" i="21"/>
  <c r="AK29" i="21" s="1"/>
  <c r="W19" i="21"/>
  <c r="AC18" i="21"/>
  <c r="X19" i="21" s="1"/>
  <c r="AK30" i="20"/>
  <c r="AO28" i="19"/>
  <c r="W19" i="20"/>
  <c r="AG31" i="20"/>
  <c r="AI31" i="20"/>
  <c r="AO30" i="20"/>
  <c r="AC18" i="20"/>
  <c r="X19" i="20" s="1"/>
  <c r="W19" i="19"/>
  <c r="AC18" i="19"/>
  <c r="X19" i="19" s="1"/>
  <c r="AK28" i="19"/>
  <c r="AI24" i="13"/>
  <c r="AO24" i="13" s="1"/>
  <c r="AG30" i="21" l="1"/>
  <c r="AI30" i="21"/>
  <c r="AO30" i="21" s="1"/>
  <c r="AO29" i="2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G29" i="19"/>
  <c r="AI29" i="19"/>
  <c r="AD19" i="19"/>
  <c r="Y19" i="19"/>
  <c r="Z19" i="19"/>
  <c r="AA19" i="19" s="1"/>
  <c r="AB19" i="19" s="1"/>
  <c r="V20" i="19" s="1"/>
  <c r="AK24" i="13"/>
  <c r="AI25" i="13" s="1"/>
  <c r="AK30" i="21" l="1"/>
  <c r="AO29" i="19"/>
  <c r="W20" i="21"/>
  <c r="AC19" i="21"/>
  <c r="X20" i="21" s="1"/>
  <c r="W20" i="20"/>
  <c r="AG32" i="20"/>
  <c r="AI32" i="20"/>
  <c r="AC19" i="20"/>
  <c r="X20" i="20" s="1"/>
  <c r="W20" i="19"/>
  <c r="AC19" i="19"/>
  <c r="X20" i="19" s="1"/>
  <c r="AK29" i="19"/>
  <c r="AG25" i="13"/>
  <c r="AK25" i="13" s="1"/>
  <c r="AG31" i="21" l="1"/>
  <c r="AI31" i="21"/>
  <c r="AO31" i="21" s="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K31" i="21" l="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I27" i="13"/>
  <c r="AG32" i="21" l="1"/>
  <c r="AI32" i="21"/>
  <c r="AO32" i="21" s="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K31" i="19" s="1"/>
  <c r="AD21" i="19"/>
  <c r="Y21" i="19"/>
  <c r="Z21" i="19"/>
  <c r="AA21" i="19" s="1"/>
  <c r="AB21" i="19" s="1"/>
  <c r="V22" i="19" s="1"/>
  <c r="AK27" i="13"/>
  <c r="AI28" i="13" s="1"/>
  <c r="AO27" i="13"/>
  <c r="AK32" i="21" l="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G28" i="13"/>
  <c r="AO28" i="13" s="1"/>
  <c r="AI33" i="21" l="1"/>
  <c r="AG33" i="21"/>
  <c r="AK33" i="21" s="1"/>
  <c r="AD22" i="21"/>
  <c r="Y22" i="21"/>
  <c r="Z22" i="21"/>
  <c r="AA22" i="21" s="1"/>
  <c r="AB22" i="21" s="1"/>
  <c r="V23" i="21" s="1"/>
  <c r="AK34" i="20"/>
  <c r="AD22" i="20"/>
  <c r="Y22" i="20"/>
  <c r="AO34" i="20"/>
  <c r="AI35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28" i="13"/>
  <c r="AG29" i="13" s="1"/>
  <c r="AI34" i="21" l="1"/>
  <c r="AG34" i="21"/>
  <c r="AK34" i="21" s="1"/>
  <c r="AO33" i="21"/>
  <c r="W23" i="21"/>
  <c r="AC22" i="21"/>
  <c r="X23" i="21" s="1"/>
  <c r="AK35" i="20"/>
  <c r="W23" i="20"/>
  <c r="AG36" i="20"/>
  <c r="AI36" i="20"/>
  <c r="AO35" i="20"/>
  <c r="AC22" i="20"/>
  <c r="X23" i="20" s="1"/>
  <c r="W23" i="19"/>
  <c r="AC22" i="19"/>
  <c r="X23" i="19" s="1"/>
  <c r="AG33" i="19"/>
  <c r="AI33" i="19"/>
  <c r="AI29" i="13"/>
  <c r="AK29" i="13" s="1"/>
  <c r="AG35" i="21" l="1"/>
  <c r="AI35" i="21"/>
  <c r="AO35" i="21" s="1"/>
  <c r="AO34" i="21"/>
  <c r="AD23" i="21"/>
  <c r="Y23" i="21"/>
  <c r="Z23" i="21"/>
  <c r="AA23" i="21" s="1"/>
  <c r="AB23" i="21" s="1"/>
  <c r="V24" i="21" s="1"/>
  <c r="AO33" i="19"/>
  <c r="AK36" i="20"/>
  <c r="AD23" i="20"/>
  <c r="Y23" i="20"/>
  <c r="AI37" i="20"/>
  <c r="AG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5" i="21" l="1"/>
  <c r="W24" i="21"/>
  <c r="AC23" i="21"/>
  <c r="X24" i="21" s="1"/>
  <c r="AK37" i="20"/>
  <c r="W24" i="20"/>
  <c r="AG38" i="20"/>
  <c r="AI38" i="20"/>
  <c r="AO37" i="20"/>
  <c r="AC23" i="20"/>
  <c r="X24" i="20" s="1"/>
  <c r="W24" i="19"/>
  <c r="AC23" i="19"/>
  <c r="X24" i="19" s="1"/>
  <c r="AI34" i="19"/>
  <c r="AG34" i="19"/>
  <c r="AK30" i="13"/>
  <c r="AO30" i="13"/>
  <c r="AG36" i="21" l="1"/>
  <c r="AI36" i="21"/>
  <c r="AO36" i="21" s="1"/>
  <c r="AD24" i="21"/>
  <c r="Y24" i="21"/>
  <c r="Z24" i="21"/>
  <c r="AA24" i="21" s="1"/>
  <c r="AB24" i="21" s="1"/>
  <c r="V25" i="21" s="1"/>
  <c r="AO38" i="20"/>
  <c r="AK38" i="20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K36" i="21" l="1"/>
  <c r="AI35" i="19"/>
  <c r="AO35" i="19" s="1"/>
  <c r="W25" i="21"/>
  <c r="AC24" i="21"/>
  <c r="X25" i="21" s="1"/>
  <c r="W25" i="20"/>
  <c r="AC24" i="20"/>
  <c r="X25" i="20" s="1"/>
  <c r="AI39" i="20"/>
  <c r="AG39" i="20"/>
  <c r="W25" i="19"/>
  <c r="AK35" i="19"/>
  <c r="AC24" i="19"/>
  <c r="X25" i="19" s="1"/>
  <c r="AK31" i="13"/>
  <c r="AO31" i="13"/>
  <c r="AI37" i="21" l="1"/>
  <c r="AG37" i="21"/>
  <c r="AK37" i="21" s="1"/>
  <c r="AD25" i="21"/>
  <c r="Y25" i="21"/>
  <c r="Z25" i="21"/>
  <c r="AA25" i="21" s="1"/>
  <c r="AB25" i="21" s="1"/>
  <c r="V26" i="21" s="1"/>
  <c r="AK39" i="20"/>
  <c r="AG40" i="20"/>
  <c r="AI40" i="20"/>
  <c r="AO40" i="20" s="1"/>
  <c r="AD25" i="20"/>
  <c r="Y25" i="20"/>
  <c r="AO39" i="20"/>
  <c r="Z25" i="20"/>
  <c r="AA25" i="20" s="1"/>
  <c r="AB25" i="20" s="1"/>
  <c r="V26" i="20" s="1"/>
  <c r="AD25" i="19"/>
  <c r="Y25" i="19"/>
  <c r="AG36" i="19"/>
  <c r="AI36" i="19"/>
  <c r="Z25" i="19"/>
  <c r="AA25" i="19" s="1"/>
  <c r="AB25" i="19" s="1"/>
  <c r="V26" i="19" s="1"/>
  <c r="AG32" i="13"/>
  <c r="AI32" i="13"/>
  <c r="AI38" i="21" l="1"/>
  <c r="AG38" i="21"/>
  <c r="AO37" i="21"/>
  <c r="AO36" i="19"/>
  <c r="W26" i="21"/>
  <c r="AC25" i="21"/>
  <c r="X26" i="21" s="1"/>
  <c r="W26" i="20"/>
  <c r="AC25" i="20"/>
  <c r="X26" i="20" s="1"/>
  <c r="AK40" i="20"/>
  <c r="W26" i="19"/>
  <c r="AK36" i="19"/>
  <c r="AC25" i="19"/>
  <c r="X26" i="19" s="1"/>
  <c r="AO32" i="13"/>
  <c r="AK32" i="13"/>
  <c r="AK38" i="21" l="1"/>
  <c r="AG39" i="21"/>
  <c r="AI39" i="21"/>
  <c r="AO39" i="21" s="1"/>
  <c r="AO38" i="21"/>
  <c r="AD26" i="21"/>
  <c r="Y26" i="21"/>
  <c r="Z26" i="21"/>
  <c r="AA26" i="21" s="1"/>
  <c r="AB26" i="21" s="1"/>
  <c r="V27" i="21" s="1"/>
  <c r="AI41" i="20"/>
  <c r="AG41" i="20"/>
  <c r="AK41" i="20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39" i="21" l="1"/>
  <c r="W27" i="21"/>
  <c r="AC26" i="21"/>
  <c r="X27" i="21" s="1"/>
  <c r="AK37" i="19"/>
  <c r="W27" i="20"/>
  <c r="AG42" i="20"/>
  <c r="AI42" i="20"/>
  <c r="AC26" i="20"/>
  <c r="X27" i="20" s="1"/>
  <c r="AO41" i="20"/>
  <c r="W27" i="19"/>
  <c r="AG38" i="19"/>
  <c r="AI38" i="19"/>
  <c r="AO38" i="19" s="1"/>
  <c r="AO37" i="19"/>
  <c r="AC26" i="19"/>
  <c r="X27" i="19" s="1"/>
  <c r="AK33" i="13"/>
  <c r="AO33" i="13"/>
  <c r="AG40" i="21" l="1"/>
  <c r="AI40" i="21"/>
  <c r="AO40" i="21" s="1"/>
  <c r="AD27" i="21"/>
  <c r="Y27" i="21"/>
  <c r="Z27" i="21"/>
  <c r="AA27" i="21" s="1"/>
  <c r="AB27" i="21" s="1"/>
  <c r="V28" i="21" s="1"/>
  <c r="AO42" i="20"/>
  <c r="AD27" i="20"/>
  <c r="Y27" i="20"/>
  <c r="AK42" i="20"/>
  <c r="Z27" i="20"/>
  <c r="AA27" i="20" s="1"/>
  <c r="AB27" i="20" s="1"/>
  <c r="V28" i="20" s="1"/>
  <c r="AD27" i="19"/>
  <c r="Y27" i="19"/>
  <c r="AK38" i="19"/>
  <c r="Z27" i="19"/>
  <c r="AA27" i="19" s="1"/>
  <c r="AB27" i="19" s="1"/>
  <c r="V28" i="19" s="1"/>
  <c r="AG34" i="13"/>
  <c r="AI34" i="13"/>
  <c r="AK40" i="21" l="1"/>
  <c r="W28" i="21"/>
  <c r="AC27" i="21"/>
  <c r="X28" i="21" s="1"/>
  <c r="W28" i="20"/>
  <c r="AI43" i="20"/>
  <c r="AG43" i="20"/>
  <c r="AC27" i="20"/>
  <c r="X28" i="20" s="1"/>
  <c r="W28" i="19"/>
  <c r="AI39" i="19"/>
  <c r="AG39" i="19"/>
  <c r="AK39" i="19" s="1"/>
  <c r="AC27" i="19"/>
  <c r="X28" i="19" s="1"/>
  <c r="AO34" i="13"/>
  <c r="AK34" i="13"/>
  <c r="AI41" i="21" l="1"/>
  <c r="AG41" i="21"/>
  <c r="AD28" i="21"/>
  <c r="Y28" i="21"/>
  <c r="Z28" i="21"/>
  <c r="AA28" i="21" s="1"/>
  <c r="AB28" i="21" s="1"/>
  <c r="V29" i="21" s="1"/>
  <c r="AK43" i="20"/>
  <c r="AI44" i="20"/>
  <c r="AG44" i="20"/>
  <c r="AD28" i="20"/>
  <c r="Y28" i="20"/>
  <c r="AO43" i="20"/>
  <c r="Z28" i="20"/>
  <c r="AA28" i="20" s="1"/>
  <c r="AB28" i="20" s="1"/>
  <c r="V29" i="20" s="1"/>
  <c r="AD28" i="19"/>
  <c r="Y28" i="19"/>
  <c r="AG40" i="19"/>
  <c r="AI40" i="19"/>
  <c r="AO39" i="19"/>
  <c r="Z28" i="19"/>
  <c r="AA28" i="19" s="1"/>
  <c r="AB28" i="19" s="1"/>
  <c r="V29" i="19" s="1"/>
  <c r="AG35" i="13"/>
  <c r="AI35" i="13"/>
  <c r="AK41" i="21" l="1"/>
  <c r="AG42" i="21"/>
  <c r="AI42" i="21"/>
  <c r="AO42" i="21" s="1"/>
  <c r="AO41" i="21"/>
  <c r="W29" i="21"/>
  <c r="AC28" i="21"/>
  <c r="X29" i="21" s="1"/>
  <c r="AK44" i="20"/>
  <c r="AO40" i="19"/>
  <c r="W29" i="20"/>
  <c r="AC28" i="20"/>
  <c r="X29" i="20" s="1"/>
  <c r="AO44" i="20"/>
  <c r="W29" i="19"/>
  <c r="AK40" i="19"/>
  <c r="AC28" i="19"/>
  <c r="X29" i="19" s="1"/>
  <c r="AO35" i="13"/>
  <c r="AK35" i="13"/>
  <c r="AK42" i="21" l="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I43" i="21" l="1"/>
  <c r="AG43" i="21"/>
  <c r="AK43" i="21" s="1"/>
  <c r="W30" i="21"/>
  <c r="AC29" i="21"/>
  <c r="X30" i="21" s="1"/>
  <c r="AK41" i="19"/>
  <c r="W30" i="20"/>
  <c r="AC29" i="20"/>
  <c r="X30" i="20" s="1"/>
  <c r="W30" i="19"/>
  <c r="AG42" i="19"/>
  <c r="AI42" i="19"/>
  <c r="AO41" i="19"/>
  <c r="AC29" i="19"/>
  <c r="X30" i="19" s="1"/>
  <c r="AO36" i="13"/>
  <c r="AK36" i="13"/>
  <c r="AI44" i="21" l="1"/>
  <c r="AG44" i="21"/>
  <c r="AK44" i="21" s="1"/>
  <c r="AO43" i="21"/>
  <c r="AD30" i="21"/>
  <c r="Y30" i="21"/>
  <c r="Z30" i="21"/>
  <c r="AA30" i="21" s="1"/>
  <c r="AB30" i="21" s="1"/>
  <c r="V31" i="21" s="1"/>
  <c r="AO42" i="19"/>
  <c r="AD30" i="20"/>
  <c r="Y30" i="20"/>
  <c r="Z30" i="20"/>
  <c r="AA30" i="20" s="1"/>
  <c r="AB30" i="20" s="1"/>
  <c r="V31" i="20" s="1"/>
  <c r="AD30" i="19"/>
  <c r="Y30" i="19"/>
  <c r="AK42" i="19"/>
  <c r="Z30" i="19"/>
  <c r="AA30" i="19" s="1"/>
  <c r="AB30" i="19" s="1"/>
  <c r="V31" i="19" s="1"/>
  <c r="AG37" i="13"/>
  <c r="AI37" i="13"/>
  <c r="AO44" i="21" l="1"/>
  <c r="W31" i="21"/>
  <c r="AC30" i="21"/>
  <c r="X31" i="21" s="1"/>
  <c r="W31" i="20"/>
  <c r="AC30" i="20"/>
  <c r="X31" i="20" s="1"/>
  <c r="W31" i="19"/>
  <c r="AI43" i="19"/>
  <c r="AG43" i="19"/>
  <c r="AC30" i="19"/>
  <c r="X31" i="19" s="1"/>
  <c r="AO37" i="13"/>
  <c r="AK37" i="13"/>
  <c r="AD31" i="21" l="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K43" i="19"/>
  <c r="AD31" i="19"/>
  <c r="Y31" i="19"/>
  <c r="AI44" i="19"/>
  <c r="AG44" i="19"/>
  <c r="AO43" i="19"/>
  <c r="Z31" i="19"/>
  <c r="AA31" i="19" s="1"/>
  <c r="AB31" i="19" s="1"/>
  <c r="V32" i="19" s="1"/>
  <c r="AI38" i="13"/>
  <c r="AG38" i="13"/>
  <c r="W32" i="21" l="1"/>
  <c r="AC31" i="21"/>
  <c r="X32" i="21" s="1"/>
  <c r="AK44" i="19"/>
  <c r="W32" i="20"/>
  <c r="AC31" i="20"/>
  <c r="X32" i="20" s="1"/>
  <c r="W32" i="19"/>
  <c r="AO44" i="19"/>
  <c r="AC31" i="19"/>
  <c r="X32" i="19" s="1"/>
  <c r="AK38" i="13"/>
  <c r="AI39" i="13" s="1"/>
  <c r="AO38" i="13"/>
  <c r="AD32" i="21" l="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W33" i="21" l="1"/>
  <c r="AC32" i="21"/>
  <c r="X33" i="21" s="1"/>
  <c r="W33" i="20"/>
  <c r="AC32" i="20"/>
  <c r="X33" i="20" s="1"/>
  <c r="W33" i="19"/>
  <c r="AC32" i="19"/>
  <c r="X33" i="19" s="1"/>
  <c r="AK39" i="13"/>
  <c r="AG40" i="13" s="1"/>
  <c r="AI40" i="13"/>
  <c r="AD33" i="21" l="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/>
  <c r="AK40" i="13"/>
  <c r="W34" i="21" l="1"/>
  <c r="AC33" i="21"/>
  <c r="X34" i="21" s="1"/>
  <c r="W34" i="20"/>
  <c r="AC33" i="20"/>
  <c r="X34" i="20" s="1"/>
  <c r="W34" i="19"/>
  <c r="AC33" i="19"/>
  <c r="X34" i="19" s="1"/>
  <c r="AI41" i="13"/>
  <c r="AG41" i="13"/>
  <c r="AD34" i="21" l="1"/>
  <c r="Y34" i="21"/>
  <c r="Z34" i="21"/>
  <c r="AD34" i="20"/>
  <c r="Y34" i="20"/>
  <c r="Z34" i="20"/>
  <c r="AD34" i="19"/>
  <c r="Y34" i="19"/>
  <c r="Z34" i="19"/>
  <c r="AK41" i="13"/>
  <c r="AI42" i="13" s="1"/>
  <c r="AO41" i="13"/>
  <c r="O24" i="21" l="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AC34" i="21" l="1"/>
  <c r="G22" i="21"/>
  <c r="G20" i="21"/>
  <c r="AC34" i="20"/>
  <c r="G22" i="20"/>
  <c r="G20" i="20"/>
  <c r="AC34" i="19"/>
  <c r="G22" i="19"/>
  <c r="G20" i="19"/>
  <c r="AK42" i="13"/>
  <c r="AG43" i="13" s="1"/>
  <c r="G35" i="21" l="1"/>
  <c r="K4" i="21"/>
  <c r="K8" i="21"/>
  <c r="K13" i="21" s="1"/>
  <c r="G35" i="20"/>
  <c r="K4" i="20"/>
  <c r="K8" i="20"/>
  <c r="K13" i="20" s="1"/>
  <c r="G35" i="19"/>
  <c r="K8" i="19"/>
  <c r="K13" i="19" s="1"/>
  <c r="K4" i="19"/>
  <c r="AI43" i="13"/>
  <c r="AK43" i="13" s="1"/>
  <c r="AG44" i="13" s="1"/>
  <c r="K48" i="21" l="1"/>
  <c r="K32" i="21"/>
  <c r="K40" i="21"/>
  <c r="K17" i="21"/>
  <c r="K16" i="21"/>
  <c r="K5" i="21"/>
  <c r="K48" i="20"/>
  <c r="K32" i="20"/>
  <c r="K40" i="20"/>
  <c r="K5" i="20"/>
  <c r="K17" i="20"/>
  <c r="K16" i="20"/>
  <c r="K17" i="19"/>
  <c r="K5" i="19"/>
  <c r="K16" i="19"/>
  <c r="K27" i="19" s="1"/>
  <c r="K48" i="19"/>
  <c r="K40" i="19"/>
  <c r="K32" i="19"/>
  <c r="AI44" i="13"/>
  <c r="AK44" i="13" s="1"/>
  <c r="AO43" i="13"/>
  <c r="K49" i="21" l="1"/>
  <c r="K41" i="21"/>
  <c r="K33" i="21"/>
  <c r="K36" i="21" s="1"/>
  <c r="K27" i="21"/>
  <c r="K44" i="21"/>
  <c r="K50" i="21"/>
  <c r="K41" i="20"/>
  <c r="K33" i="20"/>
  <c r="K36" i="20" s="1"/>
  <c r="K49" i="20"/>
  <c r="K50" i="20" s="1"/>
  <c r="K27" i="20"/>
  <c r="K44" i="20"/>
  <c r="K28" i="19"/>
  <c r="AH4" i="19"/>
  <c r="AL4" i="19"/>
  <c r="AJ4" i="19"/>
  <c r="K49" i="19"/>
  <c r="K50" i="19" s="1"/>
  <c r="K33" i="19"/>
  <c r="K36" i="19" s="1"/>
  <c r="K41" i="19"/>
  <c r="K44" i="19" s="1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K28" i="21" l="1"/>
  <c r="AH4" i="21"/>
  <c r="AJ4" i="21"/>
  <c r="AL4" i="21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/>
  <c r="AA29" i="13" s="1"/>
  <c r="Y29" i="13" l="1"/>
  <c r="AB29" i="13"/>
  <c r="V30" i="13" s="1"/>
  <c r="W30" i="13" s="1"/>
  <c r="AC29" i="13"/>
  <c r="X30" i="13" s="1"/>
  <c r="Z30" i="13" l="1"/>
  <c r="AA30" i="13" s="1"/>
  <c r="AB30" i="13" s="1"/>
  <c r="V31" i="13" s="1"/>
  <c r="Y30" i="13"/>
  <c r="AD30" i="13"/>
  <c r="AC30" i="13" l="1"/>
  <c r="X31" i="13" s="1"/>
  <c r="AD31" i="13" s="1"/>
  <c r="W31" i="13"/>
  <c r="Z31" i="13"/>
  <c r="AA31" i="13" s="1"/>
  <c r="Y31" i="13" l="1"/>
  <c r="AC31" i="13" s="1"/>
  <c r="X32" i="13" s="1"/>
  <c r="AB31" i="13"/>
  <c r="V32" i="13" s="1"/>
  <c r="W32" i="13" s="1"/>
  <c r="AD32" i="13" l="1"/>
  <c r="Z32" i="13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W34" i="13" s="1"/>
  <c r="AD33" i="13" l="1"/>
  <c r="Y33" i="13"/>
  <c r="AC33" i="13" s="1"/>
  <c r="X34" i="13" s="1"/>
  <c r="Z34" i="13" s="1"/>
  <c r="AD34" i="13" l="1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<sst xmlns="http://schemas.openxmlformats.org/spreadsheetml/2006/main" count="1076" uniqueCount="160">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</sst>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45.08</c:v>
                </c:pt>
                <c:pt idx="2">
                  <c:v>23.23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1341.92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multirotor_opt_250_test_550!$K$39:$K$43</c:f>
              <c:numCache>
                <c:formatCode>General</c:formatCode>
                <c:ptCount val="5"/>
                <c:pt idx="0">
                  <c:v>33.61</c:v>
                </c:pt>
                <c:pt idx="1">
                  <c:v>26.85</c:v>
                </c:pt>
                <c:pt idx="2">
                  <c:v>25.78</c:v>
                </c:pt>
                <c:pt idx="3">
                  <c:v>9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479.26</c:v>
                </c:pt>
                <c:pt idx="2">
                  <c:v>460.14</c:v>
                </c:pt>
                <c:pt idx="3">
                  <c:v>160.66</c:v>
                </c:pt>
                <c:pt idx="4">
                  <c:v>84.91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multirotor_opt_550_test_550!$K$39:$K$43</c:f>
              <c:numCache>
                <c:formatCode>General</c:formatCode>
                <c:ptCount val="5"/>
                <c:pt idx="0">
                  <c:v>38.19</c:v>
                </c:pt>
                <c:pt idx="1">
                  <c:v>27.58</c:v>
                </c:pt>
                <c:pt idx="2">
                  <c:v>19.47</c:v>
                </c:pt>
                <c:pt idx="3">
                  <c:v>10.029999999999999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433.25</c:v>
                </c:pt>
                <c:pt idx="2">
                  <c:v>305.82</c:v>
                </c:pt>
                <c:pt idx="3">
                  <c:v>157.63999999999999</c:v>
                </c:pt>
                <c:pt idx="4">
                  <c:v>74.31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multirotor_opt_550_test_250!$K$39:$K$43</c:f>
              <c:numCache>
                <c:formatCode>General</c:formatCode>
                <c:ptCount val="5"/>
                <c:pt idx="0">
                  <c:v>18.91</c:v>
                </c:pt>
                <c:pt idx="1">
                  <c:v>49.71</c:v>
                </c:pt>
                <c:pt idx="2">
                  <c:v>19.690000000000001</c:v>
                </c:pt>
                <c:pt idx="3">
                  <c:v>6.76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1577.01</c:v>
                </c:pt>
                <c:pt idx="2">
                  <c:v>624.82000000000005</c:v>
                </c:pt>
                <c:pt idx="3">
                  <c:v>214.34</c:v>
                </c:pt>
                <c:pt idx="4">
                  <c:v>156.56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abSelected="1" workbookViewId="0">
      <selection activeCell="E13" sqref="E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580.43151794592461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5.0288022584465436E-2</v>
      </c>
      <c r="X4" s="3">
        <v>1</v>
      </c>
      <c r="Y4" s="2">
        <f t="shared" ref="Y4:Y34" si="1" xml:space="preserve"> $O$20 * TAN($O$17/180*PI()) + $O$21 / (2 * SQRT($O$20^2 + X4^2)) - X4</f>
        <v>-0.95443439330407998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-0.45220885186999848</v>
      </c>
      <c r="AB4" s="2">
        <f>W4*AA4</f>
        <v>-2.2740688955733668E-2</v>
      </c>
      <c r="AC4" s="2">
        <f>Y4*AA4</f>
        <v>0.43160368118127657</v>
      </c>
      <c r="AD4" s="2">
        <f>X4-V4</f>
        <v>1</v>
      </c>
      <c r="AF4" s="2">
        <v>0</v>
      </c>
      <c r="AG4" s="2"/>
      <c r="AH4" s="2">
        <f>K27</f>
        <v>-1.5235350401781034E-3</v>
      </c>
      <c r="AI4" s="2"/>
      <c r="AJ4" s="2">
        <f>K27</f>
        <v>-1.5235350401781034E-3</v>
      </c>
      <c r="AK4" s="2"/>
      <c r="AL4" s="2">
        <f>K27</f>
        <v>-1.5235350401781034E-3</v>
      </c>
      <c r="AM4" s="2"/>
      <c r="AN4" s="2"/>
      <c r="AO4" s="2"/>
    </row>
    <row r="5" spans="2:41" x14ac:dyDescent="0.2">
      <c r="B5" s="10" t="s">
        <v>37</v>
      </c>
      <c r="C5" s="10">
        <v>2976.9479556256501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145.10787948648115</v>
      </c>
      <c r="L5" s="6" t="s">
        <v>101</v>
      </c>
      <c r="N5" s="6" t="s">
        <v>114</v>
      </c>
      <c r="O5" s="6">
        <f xml:space="preserve"> $C$18 * 0.85 * ($C$5/$C$18 *2.20462/1000)^(2/3) * 0.3048^2</f>
        <v>0.4394122616352249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5.0288022584465436E-2</v>
      </c>
      <c r="X5" s="2">
        <f>IF(AC4&gt;0, Z4, X4)</f>
        <v>0.5</v>
      </c>
      <c r="Y5" s="2">
        <f t="shared" si="1"/>
        <v>-0.45220885186999848</v>
      </c>
      <c r="Z5" s="2">
        <f t="shared" ref="Z5:Z34" si="3" xml:space="preserve"> (V5 + X5)/2</f>
        <v>0.25</v>
      </c>
      <c r="AA5" s="2">
        <f t="shared" si="2"/>
        <v>-0.20061031740886551</v>
      </c>
      <c r="AB5" s="2">
        <f t="shared" ref="AB5:AB34" si="4">W5*AA5</f>
        <v>-1.0088296172533808E-2</v>
      </c>
      <c r="AC5" s="2">
        <f t="shared" ref="AC5:AC34" si="5">Y5*AA5</f>
        <v>9.0717761308739042E-2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-1261.1502708095952</v>
      </c>
      <c r="AI5" s="3">
        <v>10000</v>
      </c>
      <c r="AJ5" s="2">
        <f t="dataTable" ref="AJ5:AJ44" dt2D="0" dtr="0" r1="C5" ca="1"/>
        <v>1640.5350868024361</v>
      </c>
      <c r="AK5" s="2">
        <f>(AG5+AI5)/2</f>
        <v>5250</v>
      </c>
      <c r="AL5" s="2">
        <f t="dataTable" ref="AL5:AL44" dt2D="0" dtr="0" r1="C5" ca="1"/>
        <v>845.83591262165965</v>
      </c>
      <c r="AM5" s="2">
        <f>AH5*AL5</f>
        <v>-1066726.1902632872</v>
      </c>
      <c r="AN5" s="2">
        <f>AJ5*AL5</f>
        <v>1387623.4923333921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5.0288022584465436E-2</v>
      </c>
      <c r="X6" s="2">
        <f t="shared" ref="X6:X34" si="8">IF(AC5&gt;0, Z5, X5)</f>
        <v>0.25</v>
      </c>
      <c r="Y6" s="2">
        <f t="shared" si="1"/>
        <v>-0.20061031740886551</v>
      </c>
      <c r="Z6" s="2">
        <f t="shared" si="3"/>
        <v>0.125</v>
      </c>
      <c r="AA6" s="2">
        <f t="shared" si="2"/>
        <v>-7.4965833244369257E-2</v>
      </c>
      <c r="AB6" s="2">
        <f t="shared" si="4"/>
        <v>-3.7698835152561111E-3</v>
      </c>
      <c r="AC6" s="2">
        <f t="shared" si="5"/>
        <v>1.5038919601972999E-2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-1261.1502708095952</v>
      </c>
      <c r="AI6" s="2">
        <f>IF(AN5&gt;0, AK5, AI5)</f>
        <v>5250</v>
      </c>
      <c r="AJ6" s="2">
        <v>845.83591262165965</v>
      </c>
      <c r="AK6" s="2">
        <f t="shared" ref="AK6:AK43" si="9">(AG6+AI6)/2</f>
        <v>2875</v>
      </c>
      <c r="AL6" s="2">
        <v>-45.294366829739829</v>
      </c>
      <c r="AM6" s="2">
        <f t="shared" ref="AM6:AM44" si="10">AH6*AL6</f>
        <v>57123.002993475529</v>
      </c>
      <c r="AN6" s="2">
        <f t="shared" ref="AN6:AN44" si="11">AJ6*AL6</f>
        <v>-38311.602104053214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326.57500192613901</v>
      </c>
      <c r="D7" s="6" t="s">
        <v>125</v>
      </c>
      <c r="F7" t="s">
        <v>121</v>
      </c>
      <c r="G7" s="8">
        <f>$C$6*2*PI()/60*$C$9</f>
        <v>163.0826736315118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1.069688884970321</v>
      </c>
      <c r="P7" s="6" t="s">
        <v>115</v>
      </c>
      <c r="U7" s="2">
        <v>3</v>
      </c>
      <c r="V7" s="2">
        <f t="shared" si="7"/>
        <v>0</v>
      </c>
      <c r="W7" s="2">
        <f t="shared" si="0"/>
        <v>5.0288022584465436E-2</v>
      </c>
      <c r="X7" s="2">
        <f t="shared" si="8"/>
        <v>0.125</v>
      </c>
      <c r="Y7" s="2">
        <f t="shared" si="1"/>
        <v>-7.4965833244369257E-2</v>
      </c>
      <c r="Z7" s="2">
        <f t="shared" si="3"/>
        <v>6.25E-2</v>
      </c>
      <c r="AA7" s="2">
        <f t="shared" si="2"/>
        <v>-1.2277616601105101E-2</v>
      </c>
      <c r="AB7" s="2">
        <f t="shared" si="4"/>
        <v>-6.1741706091978114E-4</v>
      </c>
      <c r="AC7" s="2">
        <f t="shared" si="5"/>
        <v>9.2040175875674466E-4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-45.294366829739829</v>
      </c>
      <c r="AI7" s="2">
        <f t="shared" ref="AI7:AI44" si="14">IF(AN6&gt;0, AK6, AI6)</f>
        <v>5250</v>
      </c>
      <c r="AJ7" s="2">
        <v>845.83591262165965</v>
      </c>
      <c r="AK7" s="2">
        <f t="shared" si="9"/>
        <v>4062.5</v>
      </c>
      <c r="AL7" s="2">
        <v>443.72363017472208</v>
      </c>
      <c r="AM7" s="2">
        <f t="shared" si="10"/>
        <v>-20098.180876157676</v>
      </c>
      <c r="AN7" s="2">
        <f t="shared" si="11"/>
        <v>375317.38168063184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0.48839292608091334</v>
      </c>
      <c r="H8" s="6" t="s">
        <v>122</v>
      </c>
      <c r="J8" s="6" t="s">
        <v>96</v>
      </c>
      <c r="K8" s="6">
        <f xml:space="preserve"> $C$15 * (G12*G6 + G22*G15 + G31*G27 +G35*G34)/3600</f>
        <v>228.12627814855546</v>
      </c>
      <c r="L8" s="6" t="s">
        <v>102</v>
      </c>
      <c r="N8" s="6" t="s">
        <v>38</v>
      </c>
      <c r="O8" s="6">
        <f xml:space="preserve"> O4 *O7</f>
        <v>2425.4808085227278</v>
      </c>
      <c r="P8" s="6" t="s">
        <v>20</v>
      </c>
      <c r="U8" s="2">
        <v>4</v>
      </c>
      <c r="V8" s="2">
        <f t="shared" si="7"/>
        <v>0</v>
      </c>
      <c r="W8" s="2">
        <f t="shared" si="0"/>
        <v>5.0288022584465436E-2</v>
      </c>
      <c r="X8" s="2">
        <f t="shared" si="8"/>
        <v>6.25E-2</v>
      </c>
      <c r="Y8" s="2">
        <f t="shared" si="1"/>
        <v>-1.2277616601105101E-2</v>
      </c>
      <c r="Z8" s="2">
        <f t="shared" si="3"/>
        <v>3.125E-2</v>
      </c>
      <c r="AA8" s="2">
        <f t="shared" si="2"/>
        <v>1.9021470290915575E-2</v>
      </c>
      <c r="AB8" s="2">
        <f t="shared" si="4"/>
        <v>9.565521275793008E-4</v>
      </c>
      <c r="AC8" s="2">
        <f t="shared" si="5"/>
        <v>-2.3353831942117255E-4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-45.294366829739829</v>
      </c>
      <c r="AI8" s="2">
        <f t="shared" si="14"/>
        <v>4062.5</v>
      </c>
      <c r="AJ8" s="2">
        <v>443.72363017472208</v>
      </c>
      <c r="AK8" s="2">
        <f t="shared" si="9"/>
        <v>3468.75</v>
      </c>
      <c r="AL8" s="2">
        <v>210.10648730032881</v>
      </c>
      <c r="AM8" s="2">
        <f t="shared" si="10"/>
        <v>-9516.6403090891654</v>
      </c>
      <c r="AN8" s="2">
        <f t="shared" si="11"/>
        <v>93229.213268161038</v>
      </c>
      <c r="AO8" s="2">
        <f t="shared" si="12"/>
        <v>1187.5</v>
      </c>
    </row>
    <row r="9" spans="2:41" x14ac:dyDescent="0.2">
      <c r="B9" s="6" t="s">
        <v>95</v>
      </c>
      <c r="C9" s="17">
        <v>3.8933120461646098</v>
      </c>
      <c r="D9" s="6" t="s">
        <v>8</v>
      </c>
      <c r="F9" t="s">
        <v>19</v>
      </c>
      <c r="G9" s="6">
        <f xml:space="preserve"> $C$5 * $C$44 / $C$18</f>
        <v>7294.632291825199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2425.4808085227278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1.9021470290915575E-2</v>
      </c>
      <c r="X9" s="2">
        <f t="shared" si="8"/>
        <v>6.25E-2</v>
      </c>
      <c r="Y9" s="2">
        <f t="shared" si="1"/>
        <v>-1.2277616601105101E-2</v>
      </c>
      <c r="Z9" s="2">
        <f t="shared" si="3"/>
        <v>4.6875E-2</v>
      </c>
      <c r="AA9" s="2">
        <f t="shared" si="2"/>
        <v>3.3759142640311379E-3</v>
      </c>
      <c r="AB9" s="2">
        <f t="shared" si="4"/>
        <v>6.4214852877946414E-5</v>
      </c>
      <c r="AC9" s="2">
        <f t="shared" si="5"/>
        <v>-4.1448181011976208E-5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-45.294366829739829</v>
      </c>
      <c r="AI9" s="2">
        <f t="shared" si="14"/>
        <v>3468.75</v>
      </c>
      <c r="AJ9" s="2">
        <v>210.10648730032881</v>
      </c>
      <c r="AK9" s="2">
        <f t="shared" si="9"/>
        <v>3171.875</v>
      </c>
      <c r="AL9" s="2">
        <v>84.990193689905482</v>
      </c>
      <c r="AM9" s="2">
        <f t="shared" si="10"/>
        <v>-3849.5770099212182</v>
      </c>
      <c r="AN9" s="2">
        <f t="shared" si="11"/>
        <v>17856.99105116061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96.738586324320764</v>
      </c>
      <c r="H10" s="6" t="s">
        <v>101</v>
      </c>
      <c r="N10" s="6" t="s">
        <v>113</v>
      </c>
      <c r="O10" s="6">
        <f>O7/(0.3048^2)/($C$5*2.20462/1000)^(2/3)</f>
        <v>3.2846636248094834</v>
      </c>
      <c r="U10" s="2">
        <v>6</v>
      </c>
      <c r="V10" s="2">
        <f t="shared" si="7"/>
        <v>4.6875E-2</v>
      </c>
      <c r="W10" s="2">
        <f t="shared" si="0"/>
        <v>3.3759142640311379E-3</v>
      </c>
      <c r="X10" s="2">
        <f t="shared" si="8"/>
        <v>6.25E-2</v>
      </c>
      <c r="Y10" s="2">
        <f t="shared" si="1"/>
        <v>-1.2277616601105101E-2</v>
      </c>
      <c r="Z10" s="2">
        <f t="shared" si="3"/>
        <v>5.46875E-2</v>
      </c>
      <c r="AA10" s="2">
        <f t="shared" si="2"/>
        <v>-4.4498678925730395E-3</v>
      </c>
      <c r="AB10" s="2">
        <f t="shared" si="4"/>
        <v>-1.5022372491591504E-5</v>
      </c>
      <c r="AC10" s="2">
        <f t="shared" si="5"/>
        <v>5.4633771910579323E-5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-45.294366829739829</v>
      </c>
      <c r="AI10" s="2">
        <f t="shared" si="14"/>
        <v>3171.875</v>
      </c>
      <c r="AJ10" s="2">
        <v>84.990193689905482</v>
      </c>
      <c r="AK10" s="2">
        <f t="shared" si="9"/>
        <v>3023.4375</v>
      </c>
      <c r="AL10" s="2">
        <v>20.46403887550423</v>
      </c>
      <c r="AM10" s="2">
        <f t="shared" si="10"/>
        <v>-926.90568364514513</v>
      </c>
      <c r="AN10" s="2">
        <f t="shared" si="11"/>
        <v>1739.24262770686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7.6932795607672233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4.6875E-2</v>
      </c>
      <c r="W11" s="2">
        <f t="shared" si="0"/>
        <v>3.3759142640311379E-3</v>
      </c>
      <c r="X11" s="2">
        <f t="shared" si="8"/>
        <v>5.46875E-2</v>
      </c>
      <c r="Y11" s="2">
        <f t="shared" si="1"/>
        <v>-4.4498678925730395E-3</v>
      </c>
      <c r="Z11" s="2">
        <f t="shared" si="3"/>
        <v>5.078125E-2</v>
      </c>
      <c r="AA11" s="2">
        <f t="shared" si="2"/>
        <v>-5.3672914172461089E-4</v>
      </c>
      <c r="AB11" s="2">
        <f t="shared" si="4"/>
        <v>-1.811951565469304E-6</v>
      </c>
      <c r="AC11" s="2">
        <f t="shared" si="5"/>
        <v>2.3883737747686305E-6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-45.294366829739829</v>
      </c>
      <c r="AI11" s="2">
        <f t="shared" si="14"/>
        <v>3023.4375</v>
      </c>
      <c r="AJ11" s="2">
        <v>20.46403887550423</v>
      </c>
      <c r="AK11" s="2">
        <f t="shared" si="9"/>
        <v>2949.21875</v>
      </c>
      <c r="AL11" s="2">
        <v>-12.26517459075103</v>
      </c>
      <c r="AM11" s="2">
        <f t="shared" si="10"/>
        <v>555.54331714428122</v>
      </c>
      <c r="AN11" s="2">
        <f t="shared" si="11"/>
        <v>-250.99500963997576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386.95434529728306</v>
      </c>
      <c r="H12" s="25" t="s">
        <v>101</v>
      </c>
      <c r="J12" s="10" t="s">
        <v>79</v>
      </c>
      <c r="K12" s="6">
        <f>C5</f>
        <v>2976.9479556256501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4.6875E-2</v>
      </c>
      <c r="W12" s="2">
        <f t="shared" si="0"/>
        <v>3.3759142640311379E-3</v>
      </c>
      <c r="X12" s="2">
        <f t="shared" si="8"/>
        <v>5.078125E-2</v>
      </c>
      <c r="Y12" s="2">
        <f t="shared" si="1"/>
        <v>-5.3672914172461089E-4</v>
      </c>
      <c r="Z12" s="2">
        <f t="shared" si="3"/>
        <v>4.8828125E-2</v>
      </c>
      <c r="AA12" s="2">
        <f t="shared" si="2"/>
        <v>1.4196546975614732E-3</v>
      </c>
      <c r="AB12" s="2">
        <f t="shared" si="4"/>
        <v>4.7926325434965888E-6</v>
      </c>
      <c r="AC12" s="2">
        <f t="shared" si="5"/>
        <v>-7.6197004736748159E-7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-12.26517459075103</v>
      </c>
      <c r="AI12" s="2">
        <f t="shared" si="14"/>
        <v>3023.4375</v>
      </c>
      <c r="AJ12" s="2">
        <v>20.46403887550423</v>
      </c>
      <c r="AK12" s="2">
        <f t="shared" si="9"/>
        <v>2986.328125</v>
      </c>
      <c r="AL12" s="2">
        <v>4.1374455604482137</v>
      </c>
      <c r="AM12" s="2">
        <f t="shared" si="10"/>
        <v>-50.746492158625088</v>
      </c>
      <c r="AN12" s="2">
        <f t="shared" si="11"/>
        <v>84.668846794294623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1341.9192832267968</v>
      </c>
      <c r="L13" s="6" t="s">
        <v>7</v>
      </c>
      <c r="N13" s="6" t="s">
        <v>74</v>
      </c>
      <c r="O13" s="6">
        <f xml:space="preserve"> SQRT( ($C$5*$C$50)^2 + O9^2)</f>
        <v>29276.383937377341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1.4196546975614732E-3</v>
      </c>
      <c r="X13" s="2">
        <f t="shared" si="8"/>
        <v>5.078125E-2</v>
      </c>
      <c r="Y13" s="2">
        <f t="shared" si="1"/>
        <v>-5.3672914172461089E-4</v>
      </c>
      <c r="Z13" s="2">
        <f t="shared" si="3"/>
        <v>4.98046875E-2</v>
      </c>
      <c r="AA13" s="2">
        <f t="shared" si="2"/>
        <v>4.4147828534407685E-4</v>
      </c>
      <c r="AB13" s="2">
        <f t="shared" si="4"/>
        <v>6.2674672166010319E-7</v>
      </c>
      <c r="AC13" s="2">
        <f t="shared" si="5"/>
        <v>-2.3695426118277924E-7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-12.26517459075103</v>
      </c>
      <c r="AI13" s="2">
        <f t="shared" si="14"/>
        <v>2986.328125</v>
      </c>
      <c r="AJ13" s="2">
        <v>4.1374455604482137</v>
      </c>
      <c r="AK13" s="2">
        <f t="shared" si="9"/>
        <v>2967.7734375</v>
      </c>
      <c r="AL13" s="2">
        <v>-4.0544289105964708</v>
      </c>
      <c r="AM13" s="2">
        <f t="shared" si="10"/>
        <v>49.728278454254216</v>
      </c>
      <c r="AN13" s="2">
        <f t="shared" si="11"/>
        <v>-16.774978896300254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216.33251792406782</v>
      </c>
      <c r="L14" s="6" t="s">
        <v>7</v>
      </c>
      <c r="N14" s="6" t="s">
        <v>75</v>
      </c>
      <c r="O14" s="6">
        <f>$C$5*$C$50/O13</f>
        <v>0.99656222088967572</v>
      </c>
      <c r="U14" s="2">
        <v>10</v>
      </c>
      <c r="V14" s="2">
        <f t="shared" si="7"/>
        <v>4.98046875E-2</v>
      </c>
      <c r="W14" s="2">
        <f t="shared" si="0"/>
        <v>4.4147828534407685E-4</v>
      </c>
      <c r="X14" s="2">
        <f t="shared" si="8"/>
        <v>5.078125E-2</v>
      </c>
      <c r="Y14" s="2">
        <f t="shared" si="1"/>
        <v>-5.3672914172461089E-4</v>
      </c>
      <c r="Z14" s="2">
        <f t="shared" si="3"/>
        <v>5.029296875E-2</v>
      </c>
      <c r="AA14" s="2">
        <f t="shared" si="2"/>
        <v>-4.7621554721807846E-5</v>
      </c>
      <c r="AB14" s="2">
        <f t="shared" si="4"/>
        <v>-2.1023882324002853E-8</v>
      </c>
      <c r="AC14" s="2">
        <f t="shared" si="5"/>
        <v>2.5559876193427516E-8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-4.0544289105964708</v>
      </c>
      <c r="AI14" s="2">
        <f t="shared" si="14"/>
        <v>2986.328125</v>
      </c>
      <c r="AJ14" s="2">
        <v>4.1374455604482137</v>
      </c>
      <c r="AK14" s="2">
        <f t="shared" si="9"/>
        <v>2977.05078125</v>
      </c>
      <c r="AL14" s="2">
        <v>4.3861999869022839E-2</v>
      </c>
      <c r="AM14" s="2">
        <f t="shared" si="10"/>
        <v>-0.17783536034554481</v>
      </c>
      <c r="AN14" s="2">
        <f t="shared" si="11"/>
        <v>0.18147663663046867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322.51669751493165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4.4147828534407685E-4</v>
      </c>
      <c r="X15" s="2">
        <f t="shared" si="8"/>
        <v>5.029296875E-2</v>
      </c>
      <c r="Y15" s="2">
        <f t="shared" si="1"/>
        <v>-4.7621554721807846E-5</v>
      </c>
      <c r="Z15" s="2">
        <f t="shared" si="3"/>
        <v>5.0048828125E-2</v>
      </c>
      <c r="AA15" s="2">
        <f t="shared" si="2"/>
        <v>1.9692933410411784E-4</v>
      </c>
      <c r="AB15" s="2">
        <f t="shared" si="4"/>
        <v>8.6940024754236773E-8</v>
      </c>
      <c r="AC15" s="2">
        <f t="shared" si="5"/>
        <v>-9.3780810603684276E-9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-4.0544289105964708</v>
      </c>
      <c r="AI15" s="2">
        <f t="shared" si="14"/>
        <v>2977.05078125</v>
      </c>
      <c r="AJ15" s="2">
        <v>4.3861999869022839E-2</v>
      </c>
      <c r="AK15" s="2">
        <f t="shared" si="9"/>
        <v>2972.412109375</v>
      </c>
      <c r="AL15" s="2">
        <v>-2.004688411026109</v>
      </c>
      <c r="AM15" s="2">
        <f t="shared" si="10"/>
        <v>8.1278666504019572</v>
      </c>
      <c r="AN15" s="2">
        <f t="shared" si="11"/>
        <v>-8.7929642821858792E-2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133.14681113832714</v>
      </c>
      <c r="H16" s="6" t="s">
        <v>10</v>
      </c>
      <c r="J16" s="13" t="s">
        <v>53</v>
      </c>
      <c r="K16" s="6">
        <f xml:space="preserve"> $C$54 * 0.2138 * K4</f>
        <v>99.277006829470949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5.0048828125E-2</v>
      </c>
      <c r="W16" s="2">
        <f t="shared" si="0"/>
        <v>1.9692933410411784E-4</v>
      </c>
      <c r="X16" s="2">
        <f t="shared" si="8"/>
        <v>5.029296875E-2</v>
      </c>
      <c r="Y16" s="2">
        <f t="shared" si="1"/>
        <v>-4.7621554721807846E-5</v>
      </c>
      <c r="Z16" s="2">
        <f t="shared" si="3"/>
        <v>5.01708984375E-2</v>
      </c>
      <c r="AA16" s="2">
        <f t="shared" si="2"/>
        <v>7.4654131836320026E-5</v>
      </c>
      <c r="AB16" s="2">
        <f t="shared" si="4"/>
        <v>1.4701588470647527E-8</v>
      </c>
      <c r="AC16" s="2">
        <f t="shared" si="5"/>
        <v>-3.5551458244523713E-9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-2.004688411026109</v>
      </c>
      <c r="AI16" s="2">
        <f t="shared" si="14"/>
        <v>2977.05078125</v>
      </c>
      <c r="AJ16" s="2">
        <v>4.3861999869022839E-2</v>
      </c>
      <c r="AK16" s="2">
        <f t="shared" si="9"/>
        <v>2974.7314453125</v>
      </c>
      <c r="AL16" s="2">
        <v>-0.98027034022470616</v>
      </c>
      <c r="AM16" s="2">
        <f t="shared" si="10"/>
        <v>1.9651365907210894</v>
      </c>
      <c r="AN16" s="2">
        <f t="shared" si="11"/>
        <v>-4.2996617534543036E-2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0.40017465127757584</v>
      </c>
      <c r="H17" s="6" t="s">
        <v>122</v>
      </c>
      <c r="J17" s="13" t="s">
        <v>77</v>
      </c>
      <c r="K17" s="6">
        <f xml:space="preserve"> $C$54 * 0.1149 * K4</f>
        <v>53.353265129589388</v>
      </c>
      <c r="L17" s="6" t="s">
        <v>7</v>
      </c>
      <c r="N17" s="6" t="s">
        <v>25</v>
      </c>
      <c r="O17" s="6">
        <f xml:space="preserve"> ACOS(O14)/PI()*180</f>
        <v>4.7522700343911506</v>
      </c>
      <c r="P17" s="6" t="s">
        <v>40</v>
      </c>
      <c r="U17" s="2">
        <v>13</v>
      </c>
      <c r="V17" s="2">
        <f t="shared" si="7"/>
        <v>5.01708984375E-2</v>
      </c>
      <c r="W17" s="2">
        <f t="shared" si="0"/>
        <v>7.4654131836320026E-5</v>
      </c>
      <c r="X17" s="2">
        <f t="shared" si="8"/>
        <v>5.029296875E-2</v>
      </c>
      <c r="Y17" s="2">
        <f t="shared" si="1"/>
        <v>-4.7621554721807846E-5</v>
      </c>
      <c r="Z17" s="2">
        <f t="shared" si="3"/>
        <v>5.023193359375E-2</v>
      </c>
      <c r="AA17" s="2">
        <f t="shared" si="2"/>
        <v>1.3516349086896418E-5</v>
      </c>
      <c r="AB17" s="2">
        <f t="shared" si="4"/>
        <v>1.0090513066788889E-9</v>
      </c>
      <c r="AC17" s="2">
        <f t="shared" si="5"/>
        <v>-6.4366955768069528E-10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-0.98027034022470616</v>
      </c>
      <c r="AI17" s="2">
        <f t="shared" si="14"/>
        <v>2977.05078125</v>
      </c>
      <c r="AJ17" s="2">
        <v>4.3861999869022839E-2</v>
      </c>
      <c r="AK17" s="2">
        <f t="shared" si="9"/>
        <v>2975.89111328125</v>
      </c>
      <c r="AL17" s="2">
        <v>-0.46815932295839957</v>
      </c>
      <c r="AM17" s="2">
        <f t="shared" si="10"/>
        <v>0.45892269879579844</v>
      </c>
      <c r="AN17" s="2">
        <f t="shared" si="11"/>
        <v>-2.0534404162283144E-2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7319.0959843443352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137.66930469055134</v>
      </c>
      <c r="L18" s="6" t="s">
        <v>7</v>
      </c>
      <c r="N18" s="6" t="s">
        <v>19</v>
      </c>
      <c r="O18" s="6">
        <f xml:space="preserve"> O13 / $C$18</f>
        <v>7319.0959843443352</v>
      </c>
      <c r="P18" s="6" t="s">
        <v>20</v>
      </c>
      <c r="U18" s="2">
        <v>14</v>
      </c>
      <c r="V18" s="2">
        <f t="shared" si="7"/>
        <v>5.023193359375E-2</v>
      </c>
      <c r="W18" s="2">
        <f t="shared" si="0"/>
        <v>1.3516349086896418E-5</v>
      </c>
      <c r="X18" s="2">
        <f t="shared" si="8"/>
        <v>5.029296875E-2</v>
      </c>
      <c r="Y18" s="2">
        <f t="shared" si="1"/>
        <v>-4.7621554721807846E-5</v>
      </c>
      <c r="Z18" s="2">
        <f t="shared" si="3"/>
        <v>5.0262451171875E-2</v>
      </c>
      <c r="AA18" s="2">
        <f t="shared" si="2"/>
        <v>-1.7052587685875698E-5</v>
      </c>
      <c r="AB18" s="2">
        <f t="shared" si="4"/>
        <v>-2.3048872799720709E-10</v>
      </c>
      <c r="AC18" s="2">
        <f t="shared" si="5"/>
        <v>8.1207073763135617E-10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-0.46815932295839957</v>
      </c>
      <c r="AI18" s="2">
        <f t="shared" si="14"/>
        <v>2977.05078125</v>
      </c>
      <c r="AJ18" s="2">
        <v>4.3861999869022839E-2</v>
      </c>
      <c r="AK18" s="2">
        <f t="shared" si="9"/>
        <v>2976.470947265625</v>
      </c>
      <c r="AL18" s="2">
        <v>-0.21213292206402912</v>
      </c>
      <c r="AM18" s="2">
        <f t="shared" si="10"/>
        <v>9.931200517068281E-2</v>
      </c>
      <c r="AN18" s="2">
        <f t="shared" si="11"/>
        <v>-9.3045741997878767E-3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67.049067933794873</v>
      </c>
      <c r="H19" s="6" t="s">
        <v>101</v>
      </c>
      <c r="J19" s="14" t="s">
        <v>61</v>
      </c>
      <c r="K19" s="6">
        <f xml:space="preserve"> $C$55 * C31 * $C$5</f>
        <v>33.341817103007287</v>
      </c>
      <c r="L19" s="6" t="s">
        <v>7</v>
      </c>
      <c r="N19" s="6" t="s">
        <v>26</v>
      </c>
      <c r="O19" s="6">
        <f>$C$7*2*PI()/60</f>
        <v>34.198854229907695</v>
      </c>
      <c r="P19" s="6" t="s">
        <v>27</v>
      </c>
      <c r="U19" s="2">
        <v>15</v>
      </c>
      <c r="V19" s="2">
        <f t="shared" si="7"/>
        <v>5.023193359375E-2</v>
      </c>
      <c r="W19" s="2">
        <f t="shared" si="0"/>
        <v>1.3516349086896418E-5</v>
      </c>
      <c r="X19" s="2">
        <f t="shared" si="8"/>
        <v>5.0262451171875E-2</v>
      </c>
      <c r="Y19" s="2">
        <f t="shared" si="1"/>
        <v>-1.7052587685875698E-5</v>
      </c>
      <c r="Z19" s="2">
        <f t="shared" si="3"/>
        <v>5.02471923828125E-2</v>
      </c>
      <c r="AA19" s="2">
        <f t="shared" si="2"/>
        <v>-1.7681155164914197E-6</v>
      </c>
      <c r="AB19" s="2">
        <f t="shared" si="4"/>
        <v>-2.3898466546856188E-11</v>
      </c>
      <c r="AC19" s="2">
        <f t="shared" si="5"/>
        <v>3.0150944883727335E-11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-0.21213292206402912</v>
      </c>
      <c r="AI19" s="2">
        <f t="shared" si="14"/>
        <v>2977.05078125</v>
      </c>
      <c r="AJ19" s="2">
        <v>4.3861999869022839E-2</v>
      </c>
      <c r="AK19" s="2">
        <f t="shared" si="9"/>
        <v>2976.7608642578125</v>
      </c>
      <c r="AL19" s="2">
        <v>-8.4129267337175406E-2</v>
      </c>
      <c r="AM19" s="2">
        <f t="shared" si="10"/>
        <v>1.7846587311340902E-2</v>
      </c>
      <c r="AN19" s="2">
        <f t="shared" si="11"/>
        <v>-3.690077912924175E-3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11.138176268071868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0.50189317876004291</v>
      </c>
      <c r="U20" s="2">
        <v>16</v>
      </c>
      <c r="V20" s="2">
        <f t="shared" si="7"/>
        <v>5.023193359375E-2</v>
      </c>
      <c r="W20" s="2">
        <f t="shared" si="0"/>
        <v>1.3516349086896418E-5</v>
      </c>
      <c r="X20" s="2">
        <f t="shared" si="8"/>
        <v>5.02471923828125E-2</v>
      </c>
      <c r="Y20" s="2">
        <f t="shared" si="1"/>
        <v>-1.7681155164914197E-6</v>
      </c>
      <c r="Z20" s="2">
        <f t="shared" si="3"/>
        <v>5.023956298828125E-2</v>
      </c>
      <c r="AA20" s="2">
        <f t="shared" si="2"/>
        <v>5.8741177309667991E-6</v>
      </c>
      <c r="AB20" s="2">
        <f t="shared" si="4"/>
        <v>7.9396625829275152E-11</v>
      </c>
      <c r="AC20" s="2">
        <f t="shared" si="5"/>
        <v>-1.0386118705819769E-11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-8.4129267337175406E-2</v>
      </c>
      <c r="AI20" s="2">
        <f t="shared" si="14"/>
        <v>2977.05078125</v>
      </c>
      <c r="AJ20" s="2">
        <v>4.3861999869022839E-2</v>
      </c>
      <c r="AK20" s="2">
        <f t="shared" si="9"/>
        <v>2976.9058227539062</v>
      </c>
      <c r="AL20" s="2">
        <v>-2.0134341768425656E-2</v>
      </c>
      <c r="AM20" s="2">
        <f t="shared" si="10"/>
        <v>1.693887421293939E-3</v>
      </c>
      <c r="AN20" s="2">
        <f t="shared" si="11"/>
        <v>-8.8313249600954725E-4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0.14000069145838104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8.5963192431910886E-3</v>
      </c>
      <c r="U21" s="2">
        <v>17</v>
      </c>
      <c r="V21" s="2">
        <f t="shared" si="7"/>
        <v>5.023956298828125E-2</v>
      </c>
      <c r="W21" s="2">
        <f t="shared" si="0"/>
        <v>5.8741177309667991E-6</v>
      </c>
      <c r="X21" s="2">
        <f t="shared" si="8"/>
        <v>5.02471923828125E-2</v>
      </c>
      <c r="Y21" s="2">
        <f t="shared" si="1"/>
        <v>-1.7681155164914197E-6</v>
      </c>
      <c r="Z21" s="2">
        <f t="shared" si="3"/>
        <v>5.0243377685546875E-2</v>
      </c>
      <c r="AA21" s="2">
        <f t="shared" si="2"/>
        <v>2.05300134367703E-6</v>
      </c>
      <c r="AB21" s="2">
        <f t="shared" si="4"/>
        <v>1.2059571594591906E-11</v>
      </c>
      <c r="AC21" s="2">
        <f t="shared" si="5"/>
        <v>-3.6299435311330905E-12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-2.0134341768425656E-2</v>
      </c>
      <c r="AI21" s="2">
        <f t="shared" si="14"/>
        <v>2977.05078125</v>
      </c>
      <c r="AJ21" s="2">
        <v>4.3861999869022839E-2</v>
      </c>
      <c r="AK21" s="2">
        <f t="shared" si="9"/>
        <v>2976.9783020019531</v>
      </c>
      <c r="AL21" s="2">
        <v>1.1863652043757611E-2</v>
      </c>
      <c r="AM21" s="2">
        <f t="shared" si="10"/>
        <v>-2.3886682487069726E-4</v>
      </c>
      <c r="AN21" s="2">
        <f t="shared" si="11"/>
        <v>5.2036350438942891E-4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268.19627173517949</v>
      </c>
      <c r="H22" s="25" t="s">
        <v>101</v>
      </c>
      <c r="J22" s="14" t="s">
        <v>112</v>
      </c>
      <c r="K22" s="6">
        <f>$C$55*(0.14*$G$12*1000/745.7)*0.453592</f>
        <v>26.36203873395943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5.0243377685546875E-2</v>
      </c>
      <c r="W22" s="2">
        <f t="shared" si="0"/>
        <v>2.05300134367703E-6</v>
      </c>
      <c r="X22" s="2">
        <f t="shared" si="8"/>
        <v>5.02471923828125E-2</v>
      </c>
      <c r="Y22" s="2">
        <f t="shared" si="1"/>
        <v>-1.7681155164914197E-6</v>
      </c>
      <c r="Z22" s="2">
        <f t="shared" si="3"/>
        <v>5.0245285034179688E-2</v>
      </c>
      <c r="AA22" s="2">
        <f t="shared" si="2"/>
        <v>1.4244297270177286E-7</v>
      </c>
      <c r="AB22" s="2">
        <f t="shared" si="4"/>
        <v>2.9243561435409021E-13</v>
      </c>
      <c r="AC22" s="2">
        <f t="shared" si="5"/>
        <v>-2.5185563024916831E-13</v>
      </c>
      <c r="AD22" s="2">
        <f t="shared" si="6"/>
        <v>3.814697265625E-6</v>
      </c>
      <c r="AF22" s="2">
        <v>18</v>
      </c>
      <c r="AG22" s="2">
        <f t="shared" si="13"/>
        <v>2976.9058227539062</v>
      </c>
      <c r="AH22" s="2">
        <v>-2.0134341768425656E-2</v>
      </c>
      <c r="AI22" s="2">
        <f t="shared" si="14"/>
        <v>2976.9783020019531</v>
      </c>
      <c r="AJ22" s="2">
        <v>1.1863652043757611E-2</v>
      </c>
      <c r="AK22" s="2">
        <f t="shared" si="9"/>
        <v>2976.9420623779297</v>
      </c>
      <c r="AL22" s="2">
        <v>-4.1263616803917103E-3</v>
      </c>
      <c r="AM22" s="2">
        <f t="shared" si="10"/>
        <v>8.3081576333141895E-5</v>
      </c>
      <c r="AN22" s="2">
        <f t="shared" si="11"/>
        <v>-4.8953719182862206E-5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63.825764168613944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16814.419306214077</v>
      </c>
      <c r="P23" s="6" t="s">
        <v>18</v>
      </c>
      <c r="U23" s="2">
        <v>19</v>
      </c>
      <c r="V23" s="2">
        <f t="shared" si="7"/>
        <v>5.0245285034179688E-2</v>
      </c>
      <c r="W23" s="2">
        <f t="shared" si="0"/>
        <v>1.4244297270177286E-7</v>
      </c>
      <c r="X23" s="2">
        <f t="shared" si="8"/>
        <v>5.02471923828125E-2</v>
      </c>
      <c r="Y23" s="2">
        <f t="shared" si="1"/>
        <v>-1.7681155164914197E-6</v>
      </c>
      <c r="Z23" s="2">
        <f t="shared" si="3"/>
        <v>5.0246238708496094E-2</v>
      </c>
      <c r="AA23" s="2">
        <f t="shared" si="2"/>
        <v>-8.1283625712191832E-7</v>
      </c>
      <c r="AB23" s="2">
        <f t="shared" si="4"/>
        <v>-1.1578281278422865E-13</v>
      </c>
      <c r="AC23" s="2">
        <f t="shared" si="5"/>
        <v>1.4371883985840731E-12</v>
      </c>
      <c r="AD23" s="2">
        <f t="shared" si="6"/>
        <v>1.9073486328125E-6</v>
      </c>
      <c r="AF23" s="2">
        <v>19</v>
      </c>
      <c r="AG23" s="2">
        <f t="shared" si="13"/>
        <v>2976.9420623779297</v>
      </c>
      <c r="AH23" s="2">
        <v>-4.1263616803917103E-3</v>
      </c>
      <c r="AI23" s="2">
        <f t="shared" si="14"/>
        <v>2976.9783020019531</v>
      </c>
      <c r="AJ23" s="2">
        <v>1.1863652043757611E-2</v>
      </c>
      <c r="AK23" s="2">
        <f t="shared" si="9"/>
        <v>2976.9601821899414</v>
      </c>
      <c r="AL23" s="2">
        <v>3.8686341449647443E-3</v>
      </c>
      <c r="AM23" s="2">
        <f t="shared" si="10"/>
        <v>-1.596338369123747E-5</v>
      </c>
      <c r="AN23" s="2">
        <f t="shared" si="11"/>
        <v>4.5896129380461466E-5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8.8571746359715249</v>
      </c>
      <c r="L24" s="6" t="s">
        <v>7</v>
      </c>
      <c r="N24" s="6" t="s">
        <v>31</v>
      </c>
      <c r="O24" s="18">
        <f>Z34</f>
        <v>5.0245427060872316E-2</v>
      </c>
      <c r="U24" s="2">
        <v>20</v>
      </c>
      <c r="V24" s="2">
        <f t="shared" si="7"/>
        <v>5.0245285034179688E-2</v>
      </c>
      <c r="W24" s="2">
        <f t="shared" si="0"/>
        <v>1.4244297270177286E-7</v>
      </c>
      <c r="X24" s="2">
        <f t="shared" si="8"/>
        <v>5.0246238708496094E-2</v>
      </c>
      <c r="Y24" s="2">
        <f t="shared" si="1"/>
        <v>-8.1283625712191832E-7</v>
      </c>
      <c r="Z24" s="2">
        <f t="shared" si="3"/>
        <v>5.0245761871337891E-2</v>
      </c>
      <c r="AA24" s="2">
        <f t="shared" si="2"/>
        <v>-3.3519663851511172E-7</v>
      </c>
      <c r="AB24" s="2">
        <f t="shared" si="4"/>
        <v>-4.7746405629734088E-14</v>
      </c>
      <c r="AC24" s="2">
        <f t="shared" si="5"/>
        <v>2.7245998105047208E-13</v>
      </c>
      <c r="AD24" s="2">
        <f t="shared" si="6"/>
        <v>9.5367431640625E-7</v>
      </c>
      <c r="AF24" s="2">
        <v>20</v>
      </c>
      <c r="AG24" s="2">
        <f t="shared" si="13"/>
        <v>2976.9420623779297</v>
      </c>
      <c r="AH24" s="2">
        <v>-4.1263616803917103E-3</v>
      </c>
      <c r="AI24" s="2">
        <f t="shared" si="14"/>
        <v>2976.9601821899414</v>
      </c>
      <c r="AJ24" s="2">
        <v>3.8686341449647443E-3</v>
      </c>
      <c r="AK24" s="2">
        <f t="shared" si="9"/>
        <v>2976.9511222839355</v>
      </c>
      <c r="AL24" s="2">
        <v>-1.3789398735752911E-4</v>
      </c>
      <c r="AM24" s="2">
        <f t="shared" si="10"/>
        <v>5.690004653885271E-7</v>
      </c>
      <c r="AN24" s="2">
        <f t="shared" si="11"/>
        <v>-5.3346138787667388E-7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19.05246691600416</v>
      </c>
      <c r="L25" s="6" t="s">
        <v>7</v>
      </c>
      <c r="N25" s="6" t="s">
        <v>32</v>
      </c>
      <c r="O25" s="6">
        <f xml:space="preserve"> O19 * $C$9 * O24 - $C$8 * SIN(O17/180*PI())</f>
        <v>1.1345836232206326</v>
      </c>
      <c r="P25" s="6" t="s">
        <v>10</v>
      </c>
      <c r="U25" s="2">
        <v>21</v>
      </c>
      <c r="V25" s="2">
        <f t="shared" si="7"/>
        <v>5.0245285034179688E-2</v>
      </c>
      <c r="W25" s="2">
        <f t="shared" si="0"/>
        <v>1.4244297270177286E-7</v>
      </c>
      <c r="X25" s="2">
        <f t="shared" si="8"/>
        <v>5.0245761871337891E-2</v>
      </c>
      <c r="Y25" s="2">
        <f t="shared" si="1"/>
        <v>-3.3519663851511172E-7</v>
      </c>
      <c r="Z25" s="2">
        <f t="shared" si="3"/>
        <v>5.0245523452758789E-2</v>
      </c>
      <c r="AA25" s="2">
        <f t="shared" si="2"/>
        <v>-9.6376831980327093E-8</v>
      </c>
      <c r="AB25" s="2">
        <f t="shared" si="4"/>
        <v>-1.3728202446857082E-14</v>
      </c>
      <c r="AC25" s="2">
        <f t="shared" si="5"/>
        <v>3.230519011054136E-14</v>
      </c>
      <c r="AD25" s="2">
        <f t="shared" si="6"/>
        <v>4.76837158203125E-7</v>
      </c>
      <c r="AF25" s="2">
        <v>21</v>
      </c>
      <c r="AG25" s="2">
        <f t="shared" si="13"/>
        <v>2976.9511222839355</v>
      </c>
      <c r="AH25" s="2">
        <v>-1.3789398735752911E-4</v>
      </c>
      <c r="AI25" s="2">
        <f t="shared" si="14"/>
        <v>2976.9601821899414</v>
      </c>
      <c r="AJ25" s="2">
        <v>3.8686341449647443E-3</v>
      </c>
      <c r="AK25" s="2">
        <f t="shared" si="9"/>
        <v>2976.9556522369385</v>
      </c>
      <c r="AL25" s="2">
        <v>1.8743968616945494E-3</v>
      </c>
      <c r="AM25" s="2">
        <f t="shared" si="10"/>
        <v>-2.5846805714950047E-7</v>
      </c>
      <c r="AN25" s="2">
        <f t="shared" si="11"/>
        <v>7.2513557003662939E-6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54.44214228772627</v>
      </c>
      <c r="L26" s="6" t="s">
        <v>7</v>
      </c>
      <c r="N26" s="6" t="s">
        <v>33</v>
      </c>
      <c r="O26" s="6">
        <f xml:space="preserve"> 1/$C$21 - O23 * SQRT( (2*$C$47*PI()*$C$9^2) / O18^3 )</f>
        <v>1.0701536311208348</v>
      </c>
      <c r="U26" s="2">
        <v>22</v>
      </c>
      <c r="V26" s="2">
        <f t="shared" si="7"/>
        <v>5.0245285034179688E-2</v>
      </c>
      <c r="W26" s="2">
        <f t="shared" si="0"/>
        <v>1.4244297270177286E-7</v>
      </c>
      <c r="X26" s="2">
        <f t="shared" si="8"/>
        <v>5.0245523452758789E-2</v>
      </c>
      <c r="Y26" s="2">
        <f t="shared" si="1"/>
        <v>-9.6376831980327093E-8</v>
      </c>
      <c r="Z26" s="2">
        <f t="shared" si="3"/>
        <v>5.0245404243469238E-2</v>
      </c>
      <c r="AA26" s="2">
        <f t="shared" si="2"/>
        <v>2.3033070589706384E-8</v>
      </c>
      <c r="AB26" s="2">
        <f t="shared" si="4"/>
        <v>3.2808990452475539E-15</v>
      </c>
      <c r="AC26" s="2">
        <f t="shared" si="5"/>
        <v>-2.2198543742151457E-15</v>
      </c>
      <c r="AD26" s="2">
        <f t="shared" si="6"/>
        <v>2.384185791015625E-7</v>
      </c>
      <c r="AF26" s="2">
        <v>22</v>
      </c>
      <c r="AG26" s="2">
        <f t="shared" si="13"/>
        <v>2976.9511222839355</v>
      </c>
      <c r="AH26" s="2">
        <v>-1.3789398735752911E-4</v>
      </c>
      <c r="AI26" s="2">
        <f t="shared" si="14"/>
        <v>2976.9556522369385</v>
      </c>
      <c r="AJ26" s="2">
        <v>1.8743968616945494E-3</v>
      </c>
      <c r="AK26" s="2">
        <f t="shared" si="9"/>
        <v>2976.953387260437</v>
      </c>
      <c r="AL26" s="2">
        <v>8.6825125936229597E-4</v>
      </c>
      <c r="AM26" s="2">
        <f t="shared" si="10"/>
        <v>-1.1972662818166318E-7</v>
      </c>
      <c r="AN26" s="2">
        <f t="shared" si="11"/>
        <v>1.6274474357110279E-6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-1.5235350401781034E-3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5.0245404243469238E-2</v>
      </c>
      <c r="W27" s="2">
        <f t="shared" si="0"/>
        <v>2.3033070589706384E-8</v>
      </c>
      <c r="X27" s="2">
        <f t="shared" si="8"/>
        <v>5.0245523452758789E-2</v>
      </c>
      <c r="Y27" s="2">
        <f t="shared" si="1"/>
        <v>-9.6376831980327093E-8</v>
      </c>
      <c r="Z27" s="2">
        <f t="shared" si="3"/>
        <v>5.0245463848114014E-2</v>
      </c>
      <c r="AA27" s="2">
        <f t="shared" si="2"/>
        <v>-3.6671880636329757E-8</v>
      </c>
      <c r="AB27" s="2">
        <f t="shared" si="4"/>
        <v>-8.4466601535386989E-16</v>
      </c>
      <c r="AC27" s="2">
        <f t="shared" si="5"/>
        <v>3.5343196784901635E-15</v>
      </c>
      <c r="AD27" s="2">
        <f t="shared" si="6"/>
        <v>1.1920928955078125E-7</v>
      </c>
      <c r="AF27" s="2">
        <v>23</v>
      </c>
      <c r="AG27" s="2">
        <f t="shared" si="13"/>
        <v>2976.9511222839355</v>
      </c>
      <c r="AH27" s="2">
        <v>-1.3789398735752911E-4</v>
      </c>
      <c r="AI27" s="2">
        <f t="shared" si="14"/>
        <v>2976.953387260437</v>
      </c>
      <c r="AJ27" s="2">
        <v>8.6825125936229597E-4</v>
      </c>
      <c r="AK27" s="2">
        <f t="shared" si="9"/>
        <v>2976.9522547721863</v>
      </c>
      <c r="AL27" s="2">
        <v>3.6517859143714304E-4</v>
      </c>
      <c r="AM27" s="2">
        <f t="shared" si="10"/>
        <v>-5.0355932070873691E-8</v>
      </c>
      <c r="AN27" s="2">
        <f t="shared" si="11"/>
        <v>3.170667719074488E-7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7294.632291825199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1.1529073433514729</v>
      </c>
      <c r="U28" s="2">
        <v>24</v>
      </c>
      <c r="V28" s="2">
        <f t="shared" si="7"/>
        <v>5.0245404243469238E-2</v>
      </c>
      <c r="W28" s="2">
        <f t="shared" si="0"/>
        <v>2.3033070589706384E-8</v>
      </c>
      <c r="X28" s="2">
        <f t="shared" si="8"/>
        <v>5.0245463848114014E-2</v>
      </c>
      <c r="Y28" s="2">
        <f t="shared" si="1"/>
        <v>-3.6671880636329757E-8</v>
      </c>
      <c r="Z28" s="2">
        <f t="shared" si="3"/>
        <v>5.0245434045791626E-2</v>
      </c>
      <c r="AA28" s="2">
        <f t="shared" si="2"/>
        <v>-6.8194050129033457E-9</v>
      </c>
      <c r="AB28" s="2">
        <f t="shared" si="4"/>
        <v>-1.5707183704200032E-16</v>
      </c>
      <c r="AC28" s="2">
        <f t="shared" si="5"/>
        <v>2.500804066439803E-16</v>
      </c>
      <c r="AD28" s="2">
        <f t="shared" si="6"/>
        <v>5.9604644775390625E-8</v>
      </c>
      <c r="AF28" s="2">
        <v>24</v>
      </c>
      <c r="AG28" s="2">
        <f t="shared" si="13"/>
        <v>2976.9511222839355</v>
      </c>
      <c r="AH28" s="2">
        <v>-1.3789398735752911E-4</v>
      </c>
      <c r="AI28" s="2">
        <f t="shared" si="14"/>
        <v>2976.9522547721863</v>
      </c>
      <c r="AJ28" s="2">
        <v>3.6517859143714304E-4</v>
      </c>
      <c r="AK28" s="2">
        <f t="shared" si="9"/>
        <v>2976.9516885280609</v>
      </c>
      <c r="AL28" s="2">
        <v>1.2266975409147562E-4</v>
      </c>
      <c r="AM28" s="2">
        <f t="shared" si="10"/>
        <v>-1.6915421519841145E-8</v>
      </c>
      <c r="AN28" s="2">
        <f t="shared" si="11"/>
        <v>4.4796368011065782E-8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83.477403147814755</v>
      </c>
      <c r="H29" t="s">
        <v>18</v>
      </c>
      <c r="U29" s="2">
        <v>25</v>
      </c>
      <c r="V29" s="2">
        <f t="shared" si="7"/>
        <v>5.0245404243469238E-2</v>
      </c>
      <c r="W29" s="2">
        <f t="shared" si="0"/>
        <v>2.3033070589706384E-8</v>
      </c>
      <c r="X29" s="2">
        <f t="shared" si="8"/>
        <v>5.0245434045791626E-2</v>
      </c>
      <c r="Y29" s="2">
        <f t="shared" si="1"/>
        <v>-6.8194050129033457E-9</v>
      </c>
      <c r="Z29" s="2">
        <f t="shared" si="3"/>
        <v>5.0245419144630432E-2</v>
      </c>
      <c r="AA29" s="2">
        <f t="shared" si="2"/>
        <v>8.1068327953404129E-9</v>
      </c>
      <c r="AB29" s="2">
        <f t="shared" si="4"/>
        <v>1.8672525203402245E-16</v>
      </c>
      <c r="AC29" s="2">
        <f t="shared" si="5"/>
        <v>-5.5283776203313652E-17</v>
      </c>
      <c r="AD29" s="2">
        <f t="shared" si="6"/>
        <v>2.9802322387695312E-8</v>
      </c>
      <c r="AF29" s="2">
        <v>25</v>
      </c>
      <c r="AG29" s="2">
        <f t="shared" si="13"/>
        <v>2976.9511222839355</v>
      </c>
      <c r="AH29" s="2">
        <v>-1.3789398735752911E-4</v>
      </c>
      <c r="AI29" s="2">
        <f t="shared" si="14"/>
        <v>2976.9516885280609</v>
      </c>
      <c r="AJ29" s="2">
        <v>1.2266975409147562E-4</v>
      </c>
      <c r="AK29" s="2">
        <f t="shared" si="9"/>
        <v>2976.9514054059982</v>
      </c>
      <c r="AL29" s="2">
        <v>1.4153447409626096E-6</v>
      </c>
      <c r="AM29" s="2">
        <f t="shared" si="10"/>
        <v>-1.9516752981684341E-10</v>
      </c>
      <c r="AN29" s="2">
        <f t="shared" si="11"/>
        <v>1.7361999132854659E-10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8.915430533800631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5.0245419144630432E-2</v>
      </c>
      <c r="W30" s="2">
        <f t="shared" si="0"/>
        <v>8.1068327953404129E-9</v>
      </c>
      <c r="X30" s="2">
        <f t="shared" si="8"/>
        <v>5.0245434045791626E-2</v>
      </c>
      <c r="Y30" s="2">
        <f t="shared" si="1"/>
        <v>-6.8194050129033457E-9</v>
      </c>
      <c r="Z30" s="2">
        <f t="shared" si="3"/>
        <v>5.0245426595211029E-2</v>
      </c>
      <c r="AA30" s="2">
        <f t="shared" si="2"/>
        <v>6.4371389468798057E-10</v>
      </c>
      <c r="AB30" s="2">
        <f t="shared" si="4"/>
        <v>5.218480912272826E-18</v>
      </c>
      <c r="AC30" s="2">
        <f t="shared" si="5"/>
        <v>-4.3897457603107512E-18</v>
      </c>
      <c r="AD30" s="2">
        <f t="shared" si="6"/>
        <v>1.4901161193847656E-8</v>
      </c>
      <c r="AF30" s="2">
        <v>26</v>
      </c>
      <c r="AG30" s="2">
        <f t="shared" si="13"/>
        <v>2976.9511222839355</v>
      </c>
      <c r="AH30" s="2">
        <v>-1.3789398735752911E-4</v>
      </c>
      <c r="AI30" s="2">
        <f t="shared" si="14"/>
        <v>2976.9514054059982</v>
      </c>
      <c r="AJ30" s="2">
        <v>1.4153447409626096E-6</v>
      </c>
      <c r="AK30" s="2">
        <f t="shared" si="9"/>
        <v>2976.9512638449669</v>
      </c>
      <c r="AL30" s="2">
        <v>-5.9211860389041249E-5</v>
      </c>
      <c r="AM30" s="2">
        <f t="shared" si="10"/>
        <v>8.1649595279022324E-9</v>
      </c>
      <c r="AN30" s="2">
        <f t="shared" si="11"/>
        <v>-8.3805195204241793E-11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333.90961259125902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5.0245426595211029E-2</v>
      </c>
      <c r="W31" s="2">
        <f t="shared" si="0"/>
        <v>6.4371389468798057E-10</v>
      </c>
      <c r="X31" s="2">
        <f t="shared" si="8"/>
        <v>5.0245434045791626E-2</v>
      </c>
      <c r="Y31" s="2">
        <f t="shared" si="1"/>
        <v>-6.8194050129033457E-9</v>
      </c>
      <c r="Z31" s="2">
        <f t="shared" si="3"/>
        <v>5.0245430320501328E-2</v>
      </c>
      <c r="AA31" s="2">
        <f t="shared" si="2"/>
        <v>-3.0878455556382356E-9</v>
      </c>
      <c r="AB31" s="2">
        <f t="shared" si="4"/>
        <v>-1.9876890888148601E-18</v>
      </c>
      <c r="AC31" s="2">
        <f t="shared" si="5"/>
        <v>2.1057269461190701E-17</v>
      </c>
      <c r="AD31" s="2">
        <f t="shared" si="6"/>
        <v>7.4505805969238281E-9</v>
      </c>
      <c r="AF31" s="2">
        <v>27</v>
      </c>
      <c r="AG31" s="2">
        <f t="shared" si="13"/>
        <v>2976.9512638449669</v>
      </c>
      <c r="AH31" s="2">
        <v>-5.9211860389041249E-5</v>
      </c>
      <c r="AI31" s="2">
        <f t="shared" si="14"/>
        <v>2976.9514054059982</v>
      </c>
      <c r="AJ31" s="2">
        <v>1.4153447409626096E-6</v>
      </c>
      <c r="AK31" s="2">
        <f t="shared" si="9"/>
        <v>2976.9513346254826</v>
      </c>
      <c r="AL31" s="2">
        <v>-3.7925721244391752E-5</v>
      </c>
      <c r="AM31" s="2">
        <f t="shared" si="10"/>
        <v>2.2456525114766202E-9</v>
      </c>
      <c r="AN31" s="2">
        <f t="shared" si="11"/>
        <v>-5.3677970110463786E-11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1341.92</v>
      </c>
      <c r="L32" s="6" t="s">
        <v>7</v>
      </c>
      <c r="U32" s="2">
        <v>28</v>
      </c>
      <c r="V32" s="2">
        <f t="shared" si="7"/>
        <v>5.0245426595211029E-2</v>
      </c>
      <c r="W32" s="2">
        <f t="shared" si="0"/>
        <v>6.4371389468798057E-10</v>
      </c>
      <c r="X32" s="2">
        <f t="shared" si="8"/>
        <v>5.0245430320501328E-2</v>
      </c>
      <c r="Y32" s="2">
        <f t="shared" si="1"/>
        <v>-3.0878455556382356E-9</v>
      </c>
      <c r="Z32" s="2">
        <f t="shared" si="3"/>
        <v>5.0245428457856178E-2</v>
      </c>
      <c r="AA32" s="2">
        <f t="shared" si="2"/>
        <v>-1.2220658304751275E-9</v>
      </c>
      <c r="AB32" s="2">
        <f t="shared" si="4"/>
        <v>-7.866607553002458E-19</v>
      </c>
      <c r="AC32" s="2">
        <f t="shared" si="5"/>
        <v>3.7735505433299717E-18</v>
      </c>
      <c r="AD32" s="2">
        <f t="shared" si="6"/>
        <v>3.7252902984619141E-9</v>
      </c>
      <c r="AF32" s="2">
        <v>28</v>
      </c>
      <c r="AG32" s="2">
        <f t="shared" si="13"/>
        <v>2976.9513346254826</v>
      </c>
      <c r="AH32" s="2">
        <v>-3.7925721244391752E-5</v>
      </c>
      <c r="AI32" s="2">
        <f t="shared" si="14"/>
        <v>2976.9514054059982</v>
      </c>
      <c r="AJ32" s="2">
        <v>1.4153447409626096E-6</v>
      </c>
      <c r="AK32" s="2">
        <f t="shared" si="9"/>
        <v>2976.9513700157404</v>
      </c>
      <c r="AL32" s="2">
        <v>-2.728265189944068E-5</v>
      </c>
      <c r="AM32" s="2">
        <f t="shared" si="10"/>
        <v>1.0347142507459624E-9</v>
      </c>
      <c r="AN32" s="2">
        <f t="shared" si="11"/>
        <v>-3.8614357885386919E-11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5.0245426595211029E-2</v>
      </c>
      <c r="W33" s="2">
        <f t="shared" si="0"/>
        <v>6.4371389468798057E-10</v>
      </c>
      <c r="X33" s="2">
        <f t="shared" si="8"/>
        <v>5.0245428457856178E-2</v>
      </c>
      <c r="Y33" s="2">
        <f t="shared" si="1"/>
        <v>-1.2220658304751275E-9</v>
      </c>
      <c r="Z33" s="2">
        <f t="shared" si="3"/>
        <v>5.0245427526533604E-2</v>
      </c>
      <c r="AA33" s="2">
        <f t="shared" si="2"/>
        <v>-2.8917596789357347E-10</v>
      </c>
      <c r="AB33" s="2">
        <f t="shared" si="4"/>
        <v>-1.861465885429386E-19</v>
      </c>
      <c r="AC33" s="2">
        <f t="shared" si="5"/>
        <v>3.5339206935730867E-19</v>
      </c>
      <c r="AD33" s="2">
        <f t="shared" si="6"/>
        <v>1.862645149230957E-9</v>
      </c>
      <c r="AF33" s="2">
        <v>29</v>
      </c>
      <c r="AG33" s="2">
        <f t="shared" si="13"/>
        <v>2976.9513700157404</v>
      </c>
      <c r="AH33" s="2">
        <v>-2.728265189944068E-5</v>
      </c>
      <c r="AI33" s="2">
        <f t="shared" si="14"/>
        <v>2976.9514054059982</v>
      </c>
      <c r="AJ33" s="2">
        <v>1.4153447409626096E-6</v>
      </c>
      <c r="AK33" s="2">
        <f t="shared" si="9"/>
        <v>2976.9513877108693</v>
      </c>
      <c r="AL33" s="2">
        <v>-3.9061892493919004E-6</v>
      </c>
      <c r="AM33" s="2">
        <f t="shared" si="10"/>
        <v>1.0657120154449669E-10</v>
      </c>
      <c r="AN33" s="2">
        <f t="shared" si="11"/>
        <v>-5.5286044113315099E-12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5.0245426595211029E-2</v>
      </c>
      <c r="W34" s="2">
        <f t="shared" si="0"/>
        <v>6.4371389468798057E-10</v>
      </c>
      <c r="X34" s="2">
        <f t="shared" si="8"/>
        <v>5.0245427526533604E-2</v>
      </c>
      <c r="Y34" s="2">
        <f t="shared" si="1"/>
        <v>-2.8917596789357347E-10</v>
      </c>
      <c r="Z34" s="2">
        <f t="shared" si="3"/>
        <v>5.0245427060872316E-2</v>
      </c>
      <c r="AA34" s="2">
        <f t="shared" si="2"/>
        <v>1.7726896339720355E-10</v>
      </c>
      <c r="AB34" s="2">
        <f t="shared" si="4"/>
        <v>1.1411049483571497E-19</v>
      </c>
      <c r="AC34" s="2">
        <f t="shared" si="5"/>
        <v>-5.1261924067876784E-20</v>
      </c>
      <c r="AD34" s="2">
        <f>X34-V34</f>
        <v>9.3132257461547852E-10</v>
      </c>
      <c r="AF34" s="2">
        <v>30</v>
      </c>
      <c r="AG34" s="2">
        <f t="shared" si="13"/>
        <v>2976.9513877108693</v>
      </c>
      <c r="AH34" s="2">
        <v>-3.9061892493919004E-6</v>
      </c>
      <c r="AI34" s="2">
        <f t="shared" si="14"/>
        <v>2976.9514054059982</v>
      </c>
      <c r="AJ34" s="2">
        <v>1.4153447409626096E-6</v>
      </c>
      <c r="AK34" s="2">
        <f t="shared" si="9"/>
        <v>2976.9513965584338</v>
      </c>
      <c r="AL34" s="2">
        <v>-1.2454220268409699E-6</v>
      </c>
      <c r="AM34" s="2">
        <f t="shared" si="10"/>
        <v>4.8648541322020675E-12</v>
      </c>
      <c r="AN34" s="2">
        <f t="shared" si="11"/>
        <v>-1.7627015159683609E-12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268.19627173517949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2976.9513965584338</v>
      </c>
      <c r="AH35" s="2">
        <v>-1.2454220268409699E-6</v>
      </c>
      <c r="AI35" s="2">
        <f t="shared" si="14"/>
        <v>2976.9514054059982</v>
      </c>
      <c r="AJ35" s="2">
        <v>1.4153447409626096E-6</v>
      </c>
      <c r="AK35" s="2">
        <f t="shared" si="9"/>
        <v>2976.951400982216</v>
      </c>
      <c r="AL35" s="2">
        <v>8.4960447566118091E-8</v>
      </c>
      <c r="AM35" s="2">
        <f t="shared" si="10"/>
        <v>-1.0581161280911074E-13</v>
      </c>
      <c r="AN35" s="2">
        <f t="shared" si="11"/>
        <v>1.2024832265253479E-13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2976.95</v>
      </c>
      <c r="L36" s="6" t="s">
        <v>7</v>
      </c>
      <c r="AF36" s="2">
        <v>32</v>
      </c>
      <c r="AG36" s="2">
        <f t="shared" si="13"/>
        <v>2976.9513965584338</v>
      </c>
      <c r="AH36" s="2">
        <v>-1.2454220268409699E-6</v>
      </c>
      <c r="AI36" s="2">
        <f t="shared" si="14"/>
        <v>2976.951400982216</v>
      </c>
      <c r="AJ36" s="2">
        <v>8.4960447566118091E-8</v>
      </c>
      <c r="AK36" s="2">
        <f t="shared" si="9"/>
        <v>2976.9513987703249</v>
      </c>
      <c r="AL36" s="2">
        <v>-5.8022988014272414E-7</v>
      </c>
      <c r="AM36" s="2">
        <f t="shared" si="10"/>
        <v>7.2263107336104455E-13</v>
      </c>
      <c r="AN36" s="2">
        <f t="shared" si="11"/>
        <v>-4.9296590308160899E-14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2976.9513987703249</v>
      </c>
      <c r="AH37" s="2">
        <v>-5.8022988014272414E-7</v>
      </c>
      <c r="AI37" s="2">
        <f t="shared" si="14"/>
        <v>2976.951400982216</v>
      </c>
      <c r="AJ37" s="2">
        <v>8.4960447566118091E-8</v>
      </c>
      <c r="AK37" s="2">
        <f t="shared" si="9"/>
        <v>2976.9513998762704</v>
      </c>
      <c r="AL37" s="2">
        <v>-2.4763448891462758E-7</v>
      </c>
      <c r="AM37" s="2">
        <f t="shared" si="10"/>
        <v>1.4368492982213911E-13</v>
      </c>
      <c r="AN37" s="2">
        <f t="shared" si="11"/>
        <v>-2.1039137010993668E-14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2976.9513998762704</v>
      </c>
      <c r="AH38" s="2">
        <v>-2.4763448891462758E-7</v>
      </c>
      <c r="AI38" s="2">
        <f t="shared" si="14"/>
        <v>2976.951400982216</v>
      </c>
      <c r="AJ38" s="2">
        <v>8.4960447566118091E-8</v>
      </c>
      <c r="AK38" s="2">
        <f t="shared" si="9"/>
        <v>2976.9514004292432</v>
      </c>
      <c r="AL38" s="2">
        <v>-8.1336565926903859E-8</v>
      </c>
      <c r="AM38" s="2">
        <f t="shared" si="10"/>
        <v>2.0141738933379749E-14</v>
      </c>
      <c r="AN38" s="2">
        <f t="shared" si="11"/>
        <v>-6.9103910446408226E-15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2976.9514004292432</v>
      </c>
      <c r="AH39" s="2">
        <v>-8.1336565926903859E-8</v>
      </c>
      <c r="AI39" s="2">
        <f t="shared" si="14"/>
        <v>2976.951400982216</v>
      </c>
      <c r="AJ39" s="2">
        <v>8.4960447566118091E-8</v>
      </c>
      <c r="AK39" s="2">
        <f t="shared" si="9"/>
        <v>2976.9514007057296</v>
      </c>
      <c r="AL39" s="2">
        <v>1.8121681932825595E-9</v>
      </c>
      <c r="AM39" s="2">
        <f t="shared" si="10"/>
        <v>-1.4739553772356516E-16</v>
      </c>
      <c r="AN39" s="2">
        <f t="shared" si="11"/>
        <v>1.5396262076636985E-16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45.08</v>
      </c>
      <c r="L40" s="6" t="s">
        <v>58</v>
      </c>
      <c r="AF40" s="2">
        <v>36</v>
      </c>
      <c r="AG40" s="2">
        <f t="shared" si="13"/>
        <v>2976.9514004292432</v>
      </c>
      <c r="AH40" s="2">
        <v>-8.1336565926903859E-8</v>
      </c>
      <c r="AI40" s="2">
        <f t="shared" si="14"/>
        <v>2976.9514007057296</v>
      </c>
      <c r="AJ40" s="2">
        <v>1.8121681932825595E-9</v>
      </c>
      <c r="AK40" s="2">
        <f t="shared" si="9"/>
        <v>2976.9514005674864</v>
      </c>
      <c r="AL40" s="2">
        <v>-3.976083462475799E-8</v>
      </c>
      <c r="AM40" s="2">
        <f t="shared" si="10"/>
        <v>3.2340097467653499E-15</v>
      </c>
      <c r="AN40" s="2">
        <f t="shared" si="11"/>
        <v>-7.2053319845354322E-17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23.23</v>
      </c>
      <c r="L41" s="6" t="s">
        <v>58</v>
      </c>
      <c r="AF41" s="2">
        <v>37</v>
      </c>
      <c r="AG41" s="2">
        <f t="shared" si="13"/>
        <v>2976.9514005674864</v>
      </c>
      <c r="AH41" s="2">
        <v>-3.976083462475799E-8</v>
      </c>
      <c r="AI41" s="2">
        <f t="shared" si="14"/>
        <v>2976.9514007057296</v>
      </c>
      <c r="AJ41" s="2">
        <v>1.8121681932825595E-9</v>
      </c>
      <c r="AK41" s="2">
        <f t="shared" si="9"/>
        <v>2976.951400636608</v>
      </c>
      <c r="AL41" s="2">
        <v>-1.8976152205141261E-8</v>
      </c>
      <c r="AM41" s="2">
        <f t="shared" si="10"/>
        <v>7.5450764964285835E-16</v>
      </c>
      <c r="AN41" s="2">
        <f t="shared" si="11"/>
        <v>-3.4387979457045697E-17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2976.951400636608</v>
      </c>
      <c r="AH42" s="2">
        <v>-1.8976152205141261E-8</v>
      </c>
      <c r="AI42" s="2">
        <f t="shared" si="14"/>
        <v>2976.9514007057296</v>
      </c>
      <c r="AJ42" s="2">
        <v>1.8121681932825595E-9</v>
      </c>
      <c r="AK42" s="2">
        <f t="shared" si="9"/>
        <v>2976.9514006711688</v>
      </c>
      <c r="AL42" s="2">
        <v>-8.5824467532802373E-9</v>
      </c>
      <c r="AM42" s="2">
        <f t="shared" si="10"/>
        <v>1.6286181588276623E-16</v>
      </c>
      <c r="AN42" s="2">
        <f t="shared" si="11"/>
        <v>-1.5552837026835616E-17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2976.9514006711688</v>
      </c>
      <c r="AH43" s="2">
        <v>-8.5824467532802373E-9</v>
      </c>
      <c r="AI43" s="2">
        <f t="shared" si="14"/>
        <v>2976.9514007057296</v>
      </c>
      <c r="AJ43" s="2">
        <v>1.8121681932825595E-9</v>
      </c>
      <c r="AK43" s="2">
        <f t="shared" si="9"/>
        <v>2976.9514006884492</v>
      </c>
      <c r="AL43" s="2">
        <v>-3.3837750379461795E-9</v>
      </c>
      <c r="AM43" s="2">
        <f t="shared" si="10"/>
        <v>2.90410690882519E-17</v>
      </c>
      <c r="AN43" s="2">
        <f t="shared" si="11"/>
        <v>-6.1319694969895524E-18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99.999999999999986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2976.9514006884492</v>
      </c>
      <c r="AH44" s="2">
        <v>-3.3837750379461795E-9</v>
      </c>
      <c r="AI44" s="2">
        <f t="shared" si="14"/>
        <v>2976.9514007057296</v>
      </c>
      <c r="AJ44" s="2">
        <v>1.8121681932825595E-9</v>
      </c>
      <c r="AK44" s="5">
        <f>(AG44+AI44)/2</f>
        <v>2976.9514006970894</v>
      </c>
      <c r="AL44" s="2">
        <v>-7.8489392763003707E-10</v>
      </c>
      <c r="AM44" s="2">
        <f t="shared" si="10"/>
        <v>2.6559044797500546E-18</v>
      </c>
      <c r="AN44" s="2">
        <f t="shared" si="11"/>
        <v>-1.4223598107517763E-18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3079.2848402475352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99.786038312668978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34.770000000000003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K20" sqref="K2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336.23355240373883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6.6260502065981955E-2</v>
      </c>
      <c r="X4" s="3">
        <v>1</v>
      </c>
      <c r="Y4" s="2">
        <f t="shared" ref="Y4:Y34" si="1" xml:space="preserve"> $O$20 * TAN($O$17/180*PI()) + $O$21 / (2 * SQRT($O$20^2 + X4^2)) - X4</f>
        <v>-0.93660094901624968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-0.43525579345884541</v>
      </c>
      <c r="AB4" s="2">
        <f>W4*AA4</f>
        <v>-2.8840267401710442E-2</v>
      </c>
      <c r="AC4" s="2">
        <f>Y4*AA4</f>
        <v>0.40766098921837535</v>
      </c>
      <c r="AD4" s="2">
        <f>X4-V4</f>
        <v>1</v>
      </c>
      <c r="AF4" s="2">
        <v>0</v>
      </c>
      <c r="AG4" s="2"/>
      <c r="AH4" s="2">
        <f>K27</f>
        <v>1.8091199763148325E-5</v>
      </c>
      <c r="AI4" s="2"/>
      <c r="AJ4" s="2">
        <f>K27</f>
        <v>1.8091199763148325E-5</v>
      </c>
      <c r="AK4" s="2"/>
      <c r="AL4" s="2">
        <f>K27</f>
        <v>1.8091199763148325E-5</v>
      </c>
      <c r="AM4" s="2"/>
      <c r="AN4" s="2"/>
      <c r="AO4" s="2"/>
    </row>
    <row r="5" spans="2:41" x14ac:dyDescent="0.2">
      <c r="B5" s="10" t="s">
        <v>37</v>
      </c>
      <c r="C5" s="10">
        <v>1784.97016100052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84.058388100934707</v>
      </c>
      <c r="L5" s="6" t="s">
        <v>101</v>
      </c>
      <c r="N5" s="6" t="s">
        <v>114</v>
      </c>
      <c r="O5" s="6">
        <f xml:space="preserve"> $C$18 * 0.85 * ($C$5/$C$18 *2.20462/1000)^(2/3) * 0.3048^2</f>
        <v>0.31244864849563453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6.6260502065981955E-2</v>
      </c>
      <c r="X5" s="2">
        <f>IF(AC4&gt;0, Z4, X4)</f>
        <v>0.5</v>
      </c>
      <c r="Y5" s="2">
        <f t="shared" si="1"/>
        <v>-0.43525579345884541</v>
      </c>
      <c r="Z5" s="2">
        <f t="shared" ref="Z5:Z34" si="3" xml:space="preserve"> (V5 + X5)/2</f>
        <v>0.25</v>
      </c>
      <c r="AA5" s="2">
        <f t="shared" si="2"/>
        <v>-0.18428609371499294</v>
      </c>
      <c r="AB5" s="2">
        <f t="shared" ref="AB5:AB34" si="4">W5*AA5</f>
        <v>-1.2210889093334034E-2</v>
      </c>
      <c r="AC5" s="2">
        <f t="shared" ref="AC5:AC34" si="5">Y5*AA5</f>
        <v>8.0211589943350398E-2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-828.08354939649155</v>
      </c>
      <c r="AI5" s="3">
        <v>10000</v>
      </c>
      <c r="AJ5" s="2">
        <f t="dataTable" ref="AJ5:AJ44" dt2D="0" dtr="0" r1="C5" ca="1"/>
        <v>4111.7926814837811</v>
      </c>
      <c r="AK5" s="2">
        <f>(AG5+AI5)/2</f>
        <v>5250</v>
      </c>
      <c r="AL5" s="2">
        <f t="dataTable" ref="AL5:AL44" dt2D="0" dtr="0" r1="C5"/>
        <v>1988.5295506361877</v>
      </c>
      <c r="AM5" s="2">
        <f>AH5*AL5</f>
        <v>-1646668.6083706247</v>
      </c>
      <c r="AN5" s="2">
        <f>AJ5*AL5</f>
        <v>8176421.2532201083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6.6260502065981955E-2</v>
      </c>
      <c r="X6" s="2">
        <f t="shared" ref="X6:X34" si="8">IF(AC5&gt;0, Z5, X5)</f>
        <v>0.25</v>
      </c>
      <c r="Y6" s="2">
        <f t="shared" si="1"/>
        <v>-0.18428609371499294</v>
      </c>
      <c r="Z6" s="2">
        <f t="shared" si="3"/>
        <v>0.125</v>
      </c>
      <c r="AA6" s="2">
        <f t="shared" si="2"/>
        <v>-5.8894089319881868E-2</v>
      </c>
      <c r="AB6" s="2">
        <f t="shared" si="4"/>
        <v>-3.9023519270541583E-3</v>
      </c>
      <c r="AC6" s="2">
        <f t="shared" si="5"/>
        <v>1.0853361663662915E-2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-828.08354939649155</v>
      </c>
      <c r="AI6" s="2">
        <f>IF(AN5&gt;0, AK5, AI5)</f>
        <v>5250</v>
      </c>
      <c r="AJ6" s="2">
        <v>1988.5295506361877</v>
      </c>
      <c r="AK6" s="2">
        <f t="shared" ref="AK6:AK43" si="9">(AG6+AI6)/2</f>
        <v>2875</v>
      </c>
      <c r="AL6" s="2">
        <v>671.87907189668499</v>
      </c>
      <c r="AM6" s="2">
        <f t="shared" ref="AM6:AM44" si="10">AH6*AL6</f>
        <v>-556372.00662142748</v>
      </c>
      <c r="AN6" s="2">
        <f t="shared" ref="AN6:AN44" si="11">AJ6*AL6</f>
        <v>1336051.3889205738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326.57500192613901</v>
      </c>
      <c r="D7" s="6" t="s">
        <v>125</v>
      </c>
      <c r="F7" t="s">
        <v>121</v>
      </c>
      <c r="G7" s="8">
        <f>$C$6*2*PI()/60*$C$9</f>
        <v>163.0826736315118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0.94272527183073063</v>
      </c>
      <c r="P7" s="6" t="s">
        <v>115</v>
      </c>
      <c r="U7" s="2">
        <v>3</v>
      </c>
      <c r="V7" s="2">
        <f t="shared" si="7"/>
        <v>0</v>
      </c>
      <c r="W7" s="2">
        <f t="shared" si="0"/>
        <v>6.6260502065981955E-2</v>
      </c>
      <c r="X7" s="2">
        <f t="shared" si="8"/>
        <v>0.125</v>
      </c>
      <c r="Y7" s="2">
        <f t="shared" si="1"/>
        <v>-5.8894089319881868E-2</v>
      </c>
      <c r="Z7" s="2">
        <f t="shared" si="3"/>
        <v>6.25E-2</v>
      </c>
      <c r="AA7" s="2">
        <f t="shared" si="2"/>
        <v>3.7205192001009413E-3</v>
      </c>
      <c r="AB7" s="2">
        <f t="shared" si="4"/>
        <v>2.4652347014481393E-4</v>
      </c>
      <c r="AC7" s="2">
        <f t="shared" si="5"/>
        <v>-2.1911659008708027E-4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-828.08354939649155</v>
      </c>
      <c r="AI7" s="2">
        <f t="shared" ref="AI7:AI44" si="14">IF(AN6&gt;0, AK6, AI6)</f>
        <v>2875</v>
      </c>
      <c r="AJ7" s="2">
        <v>671.87907189668499</v>
      </c>
      <c r="AK7" s="2">
        <f t="shared" si="9"/>
        <v>1687.5</v>
      </c>
      <c r="AL7" s="2">
        <v>-64.196149025835439</v>
      </c>
      <c r="AM7" s="2">
        <f t="shared" si="10"/>
        <v>53159.77494289993</v>
      </c>
      <c r="AN7" s="2">
        <f t="shared" si="11"/>
        <v>-43132.049026819594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0.48839292608091334</v>
      </c>
      <c r="H8" s="6" t="s">
        <v>122</v>
      </c>
      <c r="J8" s="6" t="s">
        <v>96</v>
      </c>
      <c r="K8" s="6">
        <f xml:space="preserve"> $C$15 * (G12*G6 + G22*G15 + G31*G27 +G35*G34)/3600</f>
        <v>179.24240424529805</v>
      </c>
      <c r="L8" s="6" t="s">
        <v>102</v>
      </c>
      <c r="N8" s="6" t="s">
        <v>38</v>
      </c>
      <c r="O8" s="6">
        <f xml:space="preserve"> O4 *O7</f>
        <v>2137.595413640528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3.7205192001009413E-3</v>
      </c>
      <c r="X8" s="2">
        <f t="shared" si="8"/>
        <v>0.125</v>
      </c>
      <c r="Y8" s="2">
        <f t="shared" si="1"/>
        <v>-5.8894089319881868E-2</v>
      </c>
      <c r="Z8" s="2">
        <f t="shared" si="3"/>
        <v>9.375E-2</v>
      </c>
      <c r="AA8" s="2">
        <f t="shared" si="2"/>
        <v>-2.7578180209033673E-2</v>
      </c>
      <c r="AB8" s="2">
        <f t="shared" si="4"/>
        <v>-1.0260514897155357E-4</v>
      </c>
      <c r="AC8" s="2">
        <f t="shared" si="5"/>
        <v>1.6241918085106275E-3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-64.196149025835439</v>
      </c>
      <c r="AI8" s="2">
        <f t="shared" si="14"/>
        <v>2875</v>
      </c>
      <c r="AJ8" s="2">
        <v>671.87907189668499</v>
      </c>
      <c r="AK8" s="2">
        <f t="shared" si="9"/>
        <v>2281.25</v>
      </c>
      <c r="AL8" s="2">
        <v>316.87818088592326</v>
      </c>
      <c r="AM8" s="2">
        <f t="shared" si="10"/>
        <v>-20342.358923188367</v>
      </c>
      <c r="AN8" s="2">
        <f t="shared" si="11"/>
        <v>212903.81807794399</v>
      </c>
      <c r="AO8" s="2">
        <f t="shared" si="12"/>
        <v>1187.5</v>
      </c>
    </row>
    <row r="9" spans="2:41" x14ac:dyDescent="0.2">
      <c r="B9" s="6" t="s">
        <v>95</v>
      </c>
      <c r="C9" s="17">
        <v>3.8933120461646098</v>
      </c>
      <c r="D9" s="6" t="s">
        <v>8</v>
      </c>
      <c r="F9" t="s">
        <v>19</v>
      </c>
      <c r="G9" s="6">
        <f xml:space="preserve"> $C$5 * $C$44 / $C$18</f>
        <v>4373.8423279362714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2137.595413640528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3.7205192001009413E-3</v>
      </c>
      <c r="X9" s="2">
        <f t="shared" si="8"/>
        <v>9.375E-2</v>
      </c>
      <c r="Y9" s="2">
        <f t="shared" si="1"/>
        <v>-2.7578180209033673E-2</v>
      </c>
      <c r="Z9" s="2">
        <f t="shared" si="3"/>
        <v>7.8125E-2</v>
      </c>
      <c r="AA9" s="2">
        <f t="shared" si="2"/>
        <v>-1.1926567922652564E-2</v>
      </c>
      <c r="AB9" s="2">
        <f t="shared" si="4"/>
        <v>-4.4373024947536865E-5</v>
      </c>
      <c r="AC9" s="2">
        <f t="shared" si="5"/>
        <v>3.289130394461928E-4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-64.196149025835439</v>
      </c>
      <c r="AI9" s="2">
        <f t="shared" si="14"/>
        <v>2281.25</v>
      </c>
      <c r="AJ9" s="2">
        <v>316.87818088592326</v>
      </c>
      <c r="AK9" s="2">
        <f t="shared" si="9"/>
        <v>1984.375</v>
      </c>
      <c r="AL9" s="2">
        <v>131.25445564593178</v>
      </c>
      <c r="AM9" s="2">
        <f t="shared" si="10"/>
        <v>-8426.0305949511439</v>
      </c>
      <c r="AN9" s="2">
        <f t="shared" si="11"/>
        <v>41591.673138254962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46.86543034445009</v>
      </c>
      <c r="H10" s="6" t="s">
        <v>101</v>
      </c>
      <c r="N10" s="6" t="s">
        <v>113</v>
      </c>
      <c r="O10" s="6">
        <f>O7/(0.3048^2)/($C$5*2.20462/1000)^(2/3)</f>
        <v>4.0711029832017811</v>
      </c>
      <c r="U10" s="2">
        <v>6</v>
      </c>
      <c r="V10" s="2">
        <f t="shared" si="7"/>
        <v>6.25E-2</v>
      </c>
      <c r="W10" s="2">
        <f t="shared" si="0"/>
        <v>3.7205192001009413E-3</v>
      </c>
      <c r="X10" s="2">
        <f t="shared" si="8"/>
        <v>7.8125E-2</v>
      </c>
      <c r="Y10" s="2">
        <f t="shared" si="1"/>
        <v>-1.1926567922652564E-2</v>
      </c>
      <c r="Z10" s="2">
        <f t="shared" si="3"/>
        <v>7.03125E-2</v>
      </c>
      <c r="AA10" s="2">
        <f t="shared" si="2"/>
        <v>-4.1024464242743891E-3</v>
      </c>
      <c r="AB10" s="2">
        <f t="shared" si="4"/>
        <v>-1.5263230688898318E-5</v>
      </c>
      <c r="AC10" s="2">
        <f t="shared" si="5"/>
        <v>4.8928105928151643E-5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-64.196149025835439</v>
      </c>
      <c r="AI10" s="2">
        <f t="shared" si="14"/>
        <v>1984.375</v>
      </c>
      <c r="AJ10" s="2">
        <v>131.25445564593178</v>
      </c>
      <c r="AK10" s="2">
        <f t="shared" si="9"/>
        <v>1835.9375</v>
      </c>
      <c r="AL10" s="2">
        <v>33.56254798036548</v>
      </c>
      <c r="AM10" s="2">
        <f t="shared" si="10"/>
        <v>-2154.5863318342945</v>
      </c>
      <c r="AN10" s="2">
        <f t="shared" si="11"/>
        <v>4405.2339652533383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9.5217847562766504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6.25E-2</v>
      </c>
      <c r="W11" s="2">
        <f t="shared" si="0"/>
        <v>3.7205192001009413E-3</v>
      </c>
      <c r="X11" s="2">
        <f t="shared" si="8"/>
        <v>7.03125E-2</v>
      </c>
      <c r="Y11" s="2">
        <f t="shared" si="1"/>
        <v>-4.1024464242743891E-3</v>
      </c>
      <c r="Z11" s="2">
        <f t="shared" si="3"/>
        <v>6.640625E-2</v>
      </c>
      <c r="AA11" s="2">
        <f t="shared" si="2"/>
        <v>-1.9081770495307793E-4</v>
      </c>
      <c r="AB11" s="2">
        <f t="shared" si="4"/>
        <v>-7.0994093499712286E-7</v>
      </c>
      <c r="AC11" s="2">
        <f t="shared" si="5"/>
        <v>7.828194113729999E-7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-64.196149025835439</v>
      </c>
      <c r="AI11" s="2">
        <f t="shared" si="14"/>
        <v>1835.9375</v>
      </c>
      <c r="AJ11" s="2">
        <v>33.56254798036548</v>
      </c>
      <c r="AK11" s="2">
        <f t="shared" si="9"/>
        <v>1761.71875</v>
      </c>
      <c r="AL11" s="2">
        <v>-15.313126344364719</v>
      </c>
      <c r="AM11" s="2">
        <f t="shared" si="10"/>
        <v>983.04374085428412</v>
      </c>
      <c r="AN11" s="2">
        <f t="shared" si="11"/>
        <v>-513.94753766213955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187.46172137780036</v>
      </c>
      <c r="H12" s="25" t="s">
        <v>101</v>
      </c>
      <c r="J12" s="10" t="s">
        <v>79</v>
      </c>
      <c r="K12" s="6">
        <f>C5</f>
        <v>1784.97016100052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6.25E-2</v>
      </c>
      <c r="W12" s="2">
        <f t="shared" si="0"/>
        <v>3.7205192001009413E-3</v>
      </c>
      <c r="X12" s="2">
        <f t="shared" si="8"/>
        <v>6.640625E-2</v>
      </c>
      <c r="Y12" s="2">
        <f t="shared" si="1"/>
        <v>-1.9081770495307793E-4</v>
      </c>
      <c r="Z12" s="2">
        <f t="shared" si="3"/>
        <v>6.4453125E-2</v>
      </c>
      <c r="AA12" s="2">
        <f t="shared" si="2"/>
        <v>1.7648873947806176E-3</v>
      </c>
      <c r="AB12" s="2">
        <f t="shared" si="4"/>
        <v>6.5662974382974174E-6</v>
      </c>
      <c r="AC12" s="2">
        <f t="shared" si="5"/>
        <v>-3.3677176217265428E-7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-15.313126344364719</v>
      </c>
      <c r="AI12" s="2">
        <f t="shared" si="14"/>
        <v>1835.9375</v>
      </c>
      <c r="AJ12" s="2">
        <v>33.56254798036548</v>
      </c>
      <c r="AK12" s="2">
        <f t="shared" si="9"/>
        <v>1798.828125</v>
      </c>
      <c r="AL12" s="2">
        <v>9.1262526805783182</v>
      </c>
      <c r="AM12" s="2">
        <f t="shared" si="10"/>
        <v>-139.75146034829297</v>
      </c>
      <c r="AN12" s="2">
        <f t="shared" si="11"/>
        <v>306.30029347284886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479.25776536175948</v>
      </c>
      <c r="L13" s="6" t="s">
        <v>7</v>
      </c>
      <c r="N13" s="6" t="s">
        <v>74</v>
      </c>
      <c r="O13" s="6">
        <f xml:space="preserve"> SQRT( ($C$5*$C$50)^2 + O9^2)</f>
        <v>17623.810846248944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1.7648873947806176E-3</v>
      </c>
      <c r="X13" s="2">
        <f t="shared" si="8"/>
        <v>6.640625E-2</v>
      </c>
      <c r="Y13" s="2">
        <f t="shared" si="1"/>
        <v>-1.9081770495307793E-4</v>
      </c>
      <c r="Z13" s="2">
        <f t="shared" si="3"/>
        <v>6.54296875E-2</v>
      </c>
      <c r="AA13" s="2">
        <f t="shared" si="2"/>
        <v>7.8704398575082934E-4</v>
      </c>
      <c r="AB13" s="2">
        <f t="shared" si="4"/>
        <v>1.3890440095895348E-6</v>
      </c>
      <c r="AC13" s="2">
        <f t="shared" si="5"/>
        <v>-1.5018192705809623E-7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-15.313126344364719</v>
      </c>
      <c r="AI13" s="2">
        <f t="shared" si="14"/>
        <v>1798.828125</v>
      </c>
      <c r="AJ13" s="2">
        <v>9.1262526805783182</v>
      </c>
      <c r="AK13" s="2">
        <f t="shared" si="9"/>
        <v>1780.2734375</v>
      </c>
      <c r="AL13" s="2">
        <v>-3.0931235265491068</v>
      </c>
      <c r="AM13" s="2">
        <f t="shared" si="10"/>
        <v>47.36539136077343</v>
      </c>
      <c r="AN13" s="2">
        <f t="shared" si="11"/>
        <v>-28.228626875528647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127.77296243149198</v>
      </c>
      <c r="L14" s="6" t="s">
        <v>7</v>
      </c>
      <c r="N14" s="6" t="s">
        <v>75</v>
      </c>
      <c r="O14" s="6">
        <f>$C$5*$C$50/O13</f>
        <v>0.99261709090410377</v>
      </c>
      <c r="U14" s="2">
        <v>10</v>
      </c>
      <c r="V14" s="2">
        <f t="shared" si="7"/>
        <v>6.54296875E-2</v>
      </c>
      <c r="W14" s="2">
        <f t="shared" si="0"/>
        <v>7.8704398575082934E-4</v>
      </c>
      <c r="X14" s="2">
        <f t="shared" si="8"/>
        <v>6.640625E-2</v>
      </c>
      <c r="Y14" s="2">
        <f t="shared" si="1"/>
        <v>-1.9081770495307793E-4</v>
      </c>
      <c r="Z14" s="2">
        <f t="shared" si="3"/>
        <v>6.591796875E-2</v>
      </c>
      <c r="AA14" s="2">
        <f t="shared" si="2"/>
        <v>2.9811542295778148E-4</v>
      </c>
      <c r="AB14" s="2">
        <f t="shared" si="4"/>
        <v>2.3462995069848664E-7</v>
      </c>
      <c r="AC14" s="2">
        <f t="shared" si="5"/>
        <v>-5.6885700819919979E-8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-3.0931235265491068</v>
      </c>
      <c r="AI14" s="2">
        <f t="shared" si="14"/>
        <v>1798.828125</v>
      </c>
      <c r="AJ14" s="2">
        <v>9.1262526805783182</v>
      </c>
      <c r="AK14" s="2">
        <f t="shared" si="9"/>
        <v>1789.55078125</v>
      </c>
      <c r="AL14" s="2">
        <v>3.0166515221833379</v>
      </c>
      <c r="AM14" s="2">
        <f t="shared" si="10"/>
        <v>-9.3308757946654577</v>
      </c>
      <c r="AN14" s="2">
        <f t="shared" si="11"/>
        <v>27.530724040696352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243.95533453127891</v>
      </c>
      <c r="L15" s="6" t="s">
        <v>7</v>
      </c>
      <c r="U15" s="2">
        <v>11</v>
      </c>
      <c r="V15" s="2">
        <f t="shared" si="7"/>
        <v>6.591796875E-2</v>
      </c>
      <c r="W15" s="2">
        <f t="shared" si="0"/>
        <v>2.9811542295778148E-4</v>
      </c>
      <c r="X15" s="2">
        <f t="shared" si="8"/>
        <v>6.640625E-2</v>
      </c>
      <c r="Y15" s="2">
        <f t="shared" si="1"/>
        <v>-1.9081770495307793E-4</v>
      </c>
      <c r="Z15" s="2">
        <f t="shared" si="3"/>
        <v>6.6162109375E-2</v>
      </c>
      <c r="AA15" s="2">
        <f t="shared" si="2"/>
        <v>5.3649429308924579E-5</v>
      </c>
      <c r="AB15" s="2">
        <f t="shared" si="4"/>
        <v>1.5993722309873648E-8</v>
      </c>
      <c r="AC15" s="2">
        <f t="shared" si="5"/>
        <v>-1.0237260972771381E-8</v>
      </c>
      <c r="AD15" s="2">
        <f t="shared" si="6"/>
        <v>4.8828125E-4</v>
      </c>
      <c r="AF15" s="2">
        <v>11</v>
      </c>
      <c r="AG15" s="2">
        <f t="shared" si="13"/>
        <v>1780.2734375</v>
      </c>
      <c r="AH15" s="2">
        <v>-3.0931235265491068</v>
      </c>
      <c r="AI15" s="2">
        <f t="shared" si="14"/>
        <v>1789.55078125</v>
      </c>
      <c r="AJ15" s="2">
        <v>3.0166515221833379</v>
      </c>
      <c r="AK15" s="2">
        <f t="shared" si="9"/>
        <v>1784.912109375</v>
      </c>
      <c r="AL15" s="2">
        <v>-3.8216818943510589E-2</v>
      </c>
      <c r="AM15" s="2">
        <f t="shared" si="10"/>
        <v>0.11820934178404019</v>
      </c>
      <c r="AN15" s="2">
        <f t="shared" si="11"/>
        <v>-0.11528682503894624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133.14681113832714</v>
      </c>
      <c r="H16" s="6" t="s">
        <v>10</v>
      </c>
      <c r="J16" s="13" t="s">
        <v>53</v>
      </c>
      <c r="K16" s="6">
        <f xml:space="preserve"> $C$54 * 0.2138 * K4</f>
        <v>57.509386803135492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6.6162109375E-2</v>
      </c>
      <c r="W16" s="2">
        <f t="shared" si="0"/>
        <v>5.3649429308924579E-5</v>
      </c>
      <c r="X16" s="2">
        <f t="shared" si="8"/>
        <v>6.640625E-2</v>
      </c>
      <c r="Y16" s="2">
        <f t="shared" si="1"/>
        <v>-1.9081770495307793E-4</v>
      </c>
      <c r="Z16" s="2">
        <f t="shared" si="3"/>
        <v>6.62841796875E-2</v>
      </c>
      <c r="AA16" s="2">
        <f t="shared" si="2"/>
        <v>-6.8583995287183064E-5</v>
      </c>
      <c r="AB16" s="2">
        <f t="shared" si="4"/>
        <v>-3.6794922068833441E-9</v>
      </c>
      <c r="AC16" s="2">
        <f t="shared" si="5"/>
        <v>1.3087040577212985E-8</v>
      </c>
      <c r="AD16" s="2">
        <f t="shared" si="6"/>
        <v>2.44140625E-4</v>
      </c>
      <c r="AF16" s="2">
        <v>12</v>
      </c>
      <c r="AG16" s="2">
        <f t="shared" si="13"/>
        <v>1784.912109375</v>
      </c>
      <c r="AH16" s="2">
        <v>-3.8216818943510589E-2</v>
      </c>
      <c r="AI16" s="2">
        <f t="shared" si="14"/>
        <v>1789.55078125</v>
      </c>
      <c r="AJ16" s="2">
        <v>3.0166515221833379</v>
      </c>
      <c r="AK16" s="2">
        <f t="shared" si="9"/>
        <v>1787.2314453125</v>
      </c>
      <c r="AL16" s="2">
        <v>1.4892240512833723</v>
      </c>
      <c r="AM16" s="2">
        <f t="shared" si="10"/>
        <v>-5.6913405934217967E-2</v>
      </c>
      <c r="AN16" s="2">
        <f t="shared" si="11"/>
        <v>4.4924700011760219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0.40017465127757584</v>
      </c>
      <c r="H17" s="6" t="s">
        <v>122</v>
      </c>
      <c r="J17" s="13" t="s">
        <v>77</v>
      </c>
      <c r="K17" s="6">
        <f xml:space="preserve"> $C$54 * 0.1149 * K4</f>
        <v>30.906588136951672</v>
      </c>
      <c r="L17" s="6" t="s">
        <v>7</v>
      </c>
      <c r="N17" s="6" t="s">
        <v>25</v>
      </c>
      <c r="O17" s="6">
        <f xml:space="preserve"> ACOS(O14)/PI()*180</f>
        <v>6.9665691067768636</v>
      </c>
      <c r="P17" s="6" t="s">
        <v>40</v>
      </c>
      <c r="U17" s="2">
        <v>13</v>
      </c>
      <c r="V17" s="2">
        <f t="shared" si="7"/>
        <v>6.6162109375E-2</v>
      </c>
      <c r="W17" s="2">
        <f t="shared" si="0"/>
        <v>5.3649429308924579E-5</v>
      </c>
      <c r="X17" s="2">
        <f t="shared" si="8"/>
        <v>6.62841796875E-2</v>
      </c>
      <c r="Y17" s="2">
        <f t="shared" si="1"/>
        <v>-6.8583995287183064E-5</v>
      </c>
      <c r="Z17" s="2">
        <f t="shared" si="3"/>
        <v>6.622314453125E-2</v>
      </c>
      <c r="AA17" s="2">
        <f t="shared" si="2"/>
        <v>-7.4672473501791181E-6</v>
      </c>
      <c r="AB17" s="2">
        <f t="shared" si="4"/>
        <v>-4.0061355884568896E-10</v>
      </c>
      <c r="AC17" s="2">
        <f t="shared" si="5"/>
        <v>5.1213365707291484E-10</v>
      </c>
      <c r="AD17" s="2">
        <f t="shared" si="6"/>
        <v>1.220703125E-4</v>
      </c>
      <c r="AF17" s="2">
        <v>13</v>
      </c>
      <c r="AG17" s="2">
        <f t="shared" si="13"/>
        <v>1784.912109375</v>
      </c>
      <c r="AH17" s="2">
        <v>-3.8216818943510589E-2</v>
      </c>
      <c r="AI17" s="2">
        <f t="shared" si="14"/>
        <v>1787.2314453125</v>
      </c>
      <c r="AJ17" s="2">
        <v>1.4892240512833723</v>
      </c>
      <c r="AK17" s="2">
        <f t="shared" si="9"/>
        <v>1786.07177734375</v>
      </c>
      <c r="AL17" s="2">
        <v>0.72550579347580424</v>
      </c>
      <c r="AM17" s="2">
        <f t="shared" si="10"/>
        <v>-2.7726523551732798E-2</v>
      </c>
      <c r="AN17" s="2">
        <f t="shared" si="11"/>
        <v>1.0804406769895949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4405.9527115622359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127.89363127044138</v>
      </c>
      <c r="L18" s="6" t="s">
        <v>7</v>
      </c>
      <c r="N18" s="6" t="s">
        <v>19</v>
      </c>
      <c r="O18" s="6">
        <f xml:space="preserve"> O13 / $C$18</f>
        <v>4405.9527115622359</v>
      </c>
      <c r="P18" s="6" t="s">
        <v>20</v>
      </c>
      <c r="U18" s="2">
        <v>14</v>
      </c>
      <c r="V18" s="2">
        <f t="shared" si="7"/>
        <v>6.6162109375E-2</v>
      </c>
      <c r="W18" s="2">
        <f t="shared" si="0"/>
        <v>5.3649429308924579E-5</v>
      </c>
      <c r="X18" s="2">
        <f t="shared" si="8"/>
        <v>6.622314453125E-2</v>
      </c>
      <c r="Y18" s="2">
        <f t="shared" si="1"/>
        <v>-7.4672473501791181E-6</v>
      </c>
      <c r="Z18" s="2">
        <f t="shared" si="3"/>
        <v>6.6192626953125E-2</v>
      </c>
      <c r="AA18" s="2">
        <f t="shared" si="2"/>
        <v>2.3091099889765987E-5</v>
      </c>
      <c r="AB18" s="2">
        <f t="shared" si="4"/>
        <v>1.2388243312013164E-9</v>
      </c>
      <c r="AC18" s="2">
        <f t="shared" si="5"/>
        <v>-1.7242695446457638E-10</v>
      </c>
      <c r="AD18" s="2">
        <f t="shared" si="6"/>
        <v>6.103515625E-5</v>
      </c>
      <c r="AF18" s="2">
        <v>14</v>
      </c>
      <c r="AG18" s="2">
        <f t="shared" si="13"/>
        <v>1784.912109375</v>
      </c>
      <c r="AH18" s="2">
        <v>-3.8216818943510589E-2</v>
      </c>
      <c r="AI18" s="2">
        <f t="shared" si="14"/>
        <v>1786.07177734375</v>
      </c>
      <c r="AJ18" s="2">
        <v>0.72550579347580424</v>
      </c>
      <c r="AK18" s="2">
        <f t="shared" si="9"/>
        <v>1785.491943359375</v>
      </c>
      <c r="AL18" s="2">
        <v>0.3436450016672552</v>
      </c>
      <c r="AM18" s="2">
        <f t="shared" si="10"/>
        <v>-1.3133018809559886E-2</v>
      </c>
      <c r="AN18" s="2">
        <f t="shared" si="11"/>
        <v>0.24931643960859606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56.038925400623135</v>
      </c>
      <c r="H19" s="6" t="s">
        <v>101</v>
      </c>
      <c r="J19" s="14" t="s">
        <v>61</v>
      </c>
      <c r="K19" s="6">
        <f xml:space="preserve"> $C$55 * C31 * $C$5</f>
        <v>19.991665803205827</v>
      </c>
      <c r="L19" s="6" t="s">
        <v>7</v>
      </c>
      <c r="N19" s="6" t="s">
        <v>26</v>
      </c>
      <c r="O19" s="6">
        <f>$C$7*2*PI()/60</f>
        <v>34.198854229907695</v>
      </c>
      <c r="P19" s="6" t="s">
        <v>27</v>
      </c>
      <c r="U19" s="2">
        <v>15</v>
      </c>
      <c r="V19" s="2">
        <f t="shared" si="7"/>
        <v>6.6192626953125E-2</v>
      </c>
      <c r="W19" s="2">
        <f t="shared" si="0"/>
        <v>2.3091099889765987E-5</v>
      </c>
      <c r="X19" s="2">
        <f t="shared" si="8"/>
        <v>6.622314453125E-2</v>
      </c>
      <c r="Y19" s="2">
        <f t="shared" si="1"/>
        <v>-7.4672473501791181E-6</v>
      </c>
      <c r="Z19" s="2">
        <f t="shared" si="3"/>
        <v>6.62078857421875E-2</v>
      </c>
      <c r="AA19" s="2">
        <f t="shared" si="2"/>
        <v>7.8119284973032777E-6</v>
      </c>
      <c r="AB19" s="2">
        <f t="shared" si="4"/>
        <v>1.8038602126293948E-10</v>
      </c>
      <c r="AC19" s="2">
        <f t="shared" si="5"/>
        <v>-5.8333602371276637E-11</v>
      </c>
      <c r="AD19" s="2">
        <f t="shared" si="6"/>
        <v>3.0517578125E-5</v>
      </c>
      <c r="AF19" s="2">
        <v>15</v>
      </c>
      <c r="AG19" s="2">
        <f t="shared" si="13"/>
        <v>1784.912109375</v>
      </c>
      <c r="AH19" s="2">
        <v>-3.8216818943510589E-2</v>
      </c>
      <c r="AI19" s="2">
        <f t="shared" si="14"/>
        <v>1785.491943359375</v>
      </c>
      <c r="AJ19" s="2">
        <v>0.3436450016672552</v>
      </c>
      <c r="AK19" s="2">
        <f t="shared" si="9"/>
        <v>1785.2020263671875</v>
      </c>
      <c r="AL19" s="2">
        <v>0.15271865617137337</v>
      </c>
      <c r="AM19" s="2">
        <f t="shared" si="10"/>
        <v>-5.8364212321976219E-3</v>
      </c>
      <c r="AN19" s="2">
        <f t="shared" si="11"/>
        <v>5.2481002854632572E-2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8.0223096634400868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0.49990631453061968</v>
      </c>
      <c r="U20" s="2">
        <v>16</v>
      </c>
      <c r="V20" s="2">
        <f t="shared" si="7"/>
        <v>6.62078857421875E-2</v>
      </c>
      <c r="W20" s="2">
        <f t="shared" si="0"/>
        <v>7.8119284973032777E-6</v>
      </c>
      <c r="X20" s="2">
        <f t="shared" si="8"/>
        <v>6.622314453125E-2</v>
      </c>
      <c r="Y20" s="2">
        <f t="shared" si="1"/>
        <v>-7.4672473501791181E-6</v>
      </c>
      <c r="Z20" s="2">
        <f t="shared" si="3"/>
        <v>6.621551513671875E-2</v>
      </c>
      <c r="AA20" s="2">
        <f t="shared" si="2"/>
        <v>1.7234113043607113E-7</v>
      </c>
      <c r="AB20" s="2">
        <f t="shared" si="4"/>
        <v>1.3463165881110053E-12</v>
      </c>
      <c r="AC20" s="2">
        <f t="shared" si="5"/>
        <v>-1.2869138495756259E-12</v>
      </c>
      <c r="AD20" s="2">
        <f t="shared" si="6"/>
        <v>1.52587890625E-5</v>
      </c>
      <c r="AF20" s="2">
        <v>16</v>
      </c>
      <c r="AG20" s="2">
        <f t="shared" si="13"/>
        <v>1784.912109375</v>
      </c>
      <c r="AH20" s="2">
        <v>-3.8216818943510589E-2</v>
      </c>
      <c r="AI20" s="2">
        <f t="shared" si="14"/>
        <v>1785.2020263671875</v>
      </c>
      <c r="AJ20" s="2">
        <v>0.15271865617137337</v>
      </c>
      <c r="AK20" s="2">
        <f t="shared" si="9"/>
        <v>1785.0570678710938</v>
      </c>
      <c r="AL20" s="2">
        <v>5.7252059081065454E-2</v>
      </c>
      <c r="AM20" s="2">
        <f t="shared" si="10"/>
        <v>-2.1879915760442499E-3</v>
      </c>
      <c r="AN20" s="2">
        <f t="shared" si="11"/>
        <v>8.7434575259043891E-3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8.4277679575601283E-2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5.1748161466945641E-3</v>
      </c>
      <c r="U21" s="2">
        <v>17</v>
      </c>
      <c r="V21" s="2">
        <f t="shared" si="7"/>
        <v>6.621551513671875E-2</v>
      </c>
      <c r="W21" s="2">
        <f t="shared" si="0"/>
        <v>1.7234113043607113E-7</v>
      </c>
      <c r="X21" s="2">
        <f t="shared" si="8"/>
        <v>6.622314453125E-2</v>
      </c>
      <c r="Y21" s="2">
        <f t="shared" si="1"/>
        <v>-7.4672473501791181E-6</v>
      </c>
      <c r="Z21" s="2">
        <f t="shared" si="3"/>
        <v>6.6219329833984375E-2</v>
      </c>
      <c r="AA21" s="2">
        <f t="shared" si="2"/>
        <v>-3.6474529706564951E-6</v>
      </c>
      <c r="AB21" s="2">
        <f t="shared" si="4"/>
        <v>-6.2860616817534615E-13</v>
      </c>
      <c r="AC21" s="2">
        <f t="shared" si="5"/>
        <v>2.7236433530037665E-11</v>
      </c>
      <c r="AD21" s="2">
        <f t="shared" si="6"/>
        <v>7.62939453125E-6</v>
      </c>
      <c r="AF21" s="2">
        <v>17</v>
      </c>
      <c r="AG21" s="2">
        <f t="shared" si="13"/>
        <v>1784.912109375</v>
      </c>
      <c r="AH21" s="2">
        <v>5.7252059081065454E-2</v>
      </c>
      <c r="AI21" s="2">
        <f t="shared" si="14"/>
        <v>1785.0570678710938</v>
      </c>
      <c r="AJ21" s="2">
        <v>5.7252059081065454E-2</v>
      </c>
      <c r="AK21" s="2">
        <f t="shared" si="9"/>
        <v>1784.9845886230469</v>
      </c>
      <c r="AL21" s="2">
        <v>9.5201248009288975E-3</v>
      </c>
      <c r="AM21" s="2">
        <f t="shared" si="10"/>
        <v>5.4504674756189768E-4</v>
      </c>
      <c r="AN21" s="2">
        <f t="shared" si="11"/>
        <v>5.4504674756189768E-4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224.15570160249254</v>
      </c>
      <c r="H22" s="25" t="s">
        <v>101</v>
      </c>
      <c r="J22" s="14" t="s">
        <v>112</v>
      </c>
      <c r="K22" s="6">
        <f>$C$55*(0.14*$G$12*1000/745.7)*0.453592</f>
        <v>12.77120471744443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6.621551513671875E-2</v>
      </c>
      <c r="W22" s="2">
        <f t="shared" si="0"/>
        <v>1.7234113043607113E-7</v>
      </c>
      <c r="X22" s="2">
        <f t="shared" si="8"/>
        <v>6.6219329833984375E-2</v>
      </c>
      <c r="Y22" s="2">
        <f t="shared" si="1"/>
        <v>-3.6474529706564951E-6</v>
      </c>
      <c r="Z22" s="2">
        <f t="shared" si="3"/>
        <v>6.6217422485351562E-2</v>
      </c>
      <c r="AA22" s="2">
        <f t="shared" si="2"/>
        <v>-1.7375558853116591E-6</v>
      </c>
      <c r="AB22" s="2">
        <f t="shared" si="4"/>
        <v>-2.9945234547045968E-13</v>
      </c>
      <c r="AC22" s="2">
        <f t="shared" si="5"/>
        <v>6.3376533755616872E-12</v>
      </c>
      <c r="AD22" s="2">
        <f t="shared" si="6"/>
        <v>3.814697265625E-6</v>
      </c>
      <c r="AF22" s="2">
        <v>18</v>
      </c>
      <c r="AG22" s="2">
        <f t="shared" si="13"/>
        <v>1784.9845886230469</v>
      </c>
      <c r="AH22" s="2">
        <v>5.7252059081065454E-2</v>
      </c>
      <c r="AI22" s="2">
        <f t="shared" si="14"/>
        <v>1784.9845886230469</v>
      </c>
      <c r="AJ22" s="2">
        <v>9.5201248009288975E-3</v>
      </c>
      <c r="AK22" s="2">
        <f t="shared" si="9"/>
        <v>1784.9845886230469</v>
      </c>
      <c r="AL22" s="2">
        <v>9.5201248009288975E-3</v>
      </c>
      <c r="AM22" s="2">
        <f t="shared" si="10"/>
        <v>5.4504674756189768E-4</v>
      </c>
      <c r="AN22" s="2">
        <f t="shared" si="11"/>
        <v>9.0632776225261485E-5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38.269760251851146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16742.745576801983</v>
      </c>
      <c r="P23" s="6" t="s">
        <v>18</v>
      </c>
      <c r="U23" s="2">
        <v>19</v>
      </c>
      <c r="V23" s="2">
        <f t="shared" si="7"/>
        <v>6.621551513671875E-2</v>
      </c>
      <c r="W23" s="2">
        <f t="shared" si="0"/>
        <v>1.7234113043607113E-7</v>
      </c>
      <c r="X23" s="2">
        <f t="shared" si="8"/>
        <v>6.6217422485351562E-2</v>
      </c>
      <c r="Y23" s="2">
        <f t="shared" si="1"/>
        <v>-1.7375558853116591E-6</v>
      </c>
      <c r="Z23" s="2">
        <f t="shared" si="3"/>
        <v>6.6216468811035156E-2</v>
      </c>
      <c r="AA23" s="2">
        <f t="shared" si="2"/>
        <v>-7.826073687433599E-7</v>
      </c>
      <c r="AB23" s="2">
        <f t="shared" si="4"/>
        <v>-1.3487543861682981E-13</v>
      </c>
      <c r="AC23" s="2">
        <f t="shared" si="5"/>
        <v>1.3598240394482968E-12</v>
      </c>
      <c r="AD23" s="2">
        <f t="shared" si="6"/>
        <v>1.9073486328125E-6</v>
      </c>
      <c r="AF23" s="2">
        <v>19</v>
      </c>
      <c r="AG23" s="2">
        <f t="shared" si="13"/>
        <v>1784.9845886230469</v>
      </c>
      <c r="AH23" s="2">
        <v>5.7252059081065454E-2</v>
      </c>
      <c r="AI23" s="2">
        <f t="shared" si="14"/>
        <v>1784.9845886230469</v>
      </c>
      <c r="AJ23" s="2">
        <v>9.5201248009288975E-3</v>
      </c>
      <c r="AK23" s="2">
        <f t="shared" si="9"/>
        <v>1784.9845886230469</v>
      </c>
      <c r="AL23" s="2">
        <v>9.5201248009288975E-3</v>
      </c>
      <c r="AM23" s="2">
        <f t="shared" si="10"/>
        <v>5.4504674756189768E-4</v>
      </c>
      <c r="AN23" s="2">
        <f t="shared" si="11"/>
        <v>9.0632776225261485E-5</v>
      </c>
      <c r="AO23" s="2">
        <f t="shared" si="12"/>
        <v>0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7.2183692623367808</v>
      </c>
      <c r="L24" s="6" t="s">
        <v>7</v>
      </c>
      <c r="N24" s="6" t="s">
        <v>31</v>
      </c>
      <c r="O24" s="18">
        <f>Z34</f>
        <v>6.6215686965733767E-2</v>
      </c>
      <c r="U24" s="2">
        <v>20</v>
      </c>
      <c r="V24" s="2">
        <f t="shared" si="7"/>
        <v>6.621551513671875E-2</v>
      </c>
      <c r="W24" s="2">
        <f t="shared" si="0"/>
        <v>1.7234113043607113E-7</v>
      </c>
      <c r="X24" s="2">
        <f t="shared" si="8"/>
        <v>6.6216468811035156E-2</v>
      </c>
      <c r="Y24" s="2">
        <f t="shared" si="1"/>
        <v>-7.826073687433599E-7</v>
      </c>
      <c r="Z24" s="2">
        <f t="shared" si="3"/>
        <v>6.6215991973876953E-2</v>
      </c>
      <c r="AA24" s="2">
        <f t="shared" si="2"/>
        <v>-3.0513311698177059E-7</v>
      </c>
      <c r="AB24" s="2">
        <f t="shared" si="4"/>
        <v>-5.2586986314120279E-14</v>
      </c>
      <c r="AC24" s="2">
        <f t="shared" si="5"/>
        <v>2.3879942579756329E-13</v>
      </c>
      <c r="AD24" s="2">
        <f t="shared" si="6"/>
        <v>9.5367431640625E-7</v>
      </c>
      <c r="AF24" s="2">
        <v>20</v>
      </c>
      <c r="AG24" s="2">
        <f t="shared" si="13"/>
        <v>1784.9845886230469</v>
      </c>
      <c r="AH24" s="2">
        <v>5.7252059081065454E-2</v>
      </c>
      <c r="AI24" s="2">
        <f t="shared" si="14"/>
        <v>1784.9845886230469</v>
      </c>
      <c r="AJ24" s="2">
        <v>9.5201248009288975E-3</v>
      </c>
      <c r="AK24" s="2">
        <f t="shared" si="9"/>
        <v>1784.9845886230469</v>
      </c>
      <c r="AL24" s="2">
        <v>9.5201248009288975E-3</v>
      </c>
      <c r="AM24" s="2">
        <f t="shared" si="10"/>
        <v>5.4504674756189768E-4</v>
      </c>
      <c r="AN24" s="2">
        <f t="shared" si="11"/>
        <v>9.0632776225261485E-5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11.423809030403328</v>
      </c>
      <c r="L25" s="6" t="s">
        <v>7</v>
      </c>
      <c r="N25" s="6" t="s">
        <v>32</v>
      </c>
      <c r="O25" s="6">
        <f xml:space="preserve"> O19 * $C$9 * O24 - $C$8 * SIN(O17/180*PI())</f>
        <v>0.68317240516559252</v>
      </c>
      <c r="P25" s="6" t="s">
        <v>10</v>
      </c>
      <c r="U25" s="2">
        <v>21</v>
      </c>
      <c r="V25" s="2">
        <f t="shared" si="7"/>
        <v>6.621551513671875E-2</v>
      </c>
      <c r="W25" s="2">
        <f t="shared" si="0"/>
        <v>1.7234113043607113E-7</v>
      </c>
      <c r="X25" s="2">
        <f t="shared" si="8"/>
        <v>6.6215991973876953E-2</v>
      </c>
      <c r="Y25" s="2">
        <f t="shared" si="1"/>
        <v>-3.0513311698177059E-7</v>
      </c>
      <c r="Z25" s="2">
        <f t="shared" si="3"/>
        <v>6.6215753555297852E-2</v>
      </c>
      <c r="AA25" s="2">
        <f t="shared" si="2"/>
        <v>-6.6395992731616005E-8</v>
      </c>
      <c r="AB25" s="2">
        <f t="shared" si="4"/>
        <v>-1.1442760443791865E-14</v>
      </c>
      <c r="AC25" s="2">
        <f t="shared" si="5"/>
        <v>2.0259616217296978E-14</v>
      </c>
      <c r="AD25" s="2">
        <f t="shared" si="6"/>
        <v>4.76837158203125E-7</v>
      </c>
      <c r="AF25" s="2">
        <v>21</v>
      </c>
      <c r="AG25" s="2">
        <f t="shared" si="13"/>
        <v>1784.9845886230469</v>
      </c>
      <c r="AH25" s="2">
        <v>5.7252059081065454E-2</v>
      </c>
      <c r="AI25" s="2">
        <f t="shared" si="14"/>
        <v>1784.9845886230469</v>
      </c>
      <c r="AJ25" s="2">
        <v>9.5201248009288975E-3</v>
      </c>
      <c r="AK25" s="2">
        <f t="shared" si="9"/>
        <v>1784.9845886230469</v>
      </c>
      <c r="AL25" s="2">
        <v>9.5201248009288975E-3</v>
      </c>
      <c r="AM25" s="2">
        <f t="shared" si="10"/>
        <v>5.4504674756189768E-4</v>
      </c>
      <c r="AN25" s="2">
        <f t="shared" si="11"/>
        <v>9.0632776225261485E-5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27.9996653090198</v>
      </c>
      <c r="L26" s="6" t="s">
        <v>7</v>
      </c>
      <c r="N26" s="6" t="s">
        <v>33</v>
      </c>
      <c r="O26" s="6">
        <f xml:space="preserve"> 1/$C$21 - O23 * SQRT( (2*$C$47*PI()*$C$9^2) / O18^3 )</f>
        <v>0.77225485293584528</v>
      </c>
      <c r="U26" s="2">
        <v>22</v>
      </c>
      <c r="V26" s="2">
        <f t="shared" si="7"/>
        <v>6.621551513671875E-2</v>
      </c>
      <c r="W26" s="2">
        <f t="shared" si="0"/>
        <v>1.7234113043607113E-7</v>
      </c>
      <c r="X26" s="2">
        <f t="shared" si="8"/>
        <v>6.6215753555297852E-2</v>
      </c>
      <c r="Y26" s="2">
        <f t="shared" si="1"/>
        <v>-6.6395992731616005E-8</v>
      </c>
      <c r="Z26" s="2">
        <f t="shared" si="3"/>
        <v>6.6215634346008301E-2</v>
      </c>
      <c r="AA26" s="2">
        <f t="shared" si="2"/>
        <v>5.2972568984066548E-8</v>
      </c>
      <c r="AB26" s="2">
        <f t="shared" si="4"/>
        <v>9.1293524208167892E-15</v>
      </c>
      <c r="AC26" s="2">
        <f t="shared" si="5"/>
        <v>-3.51716630524111E-15</v>
      </c>
      <c r="AD26" s="2">
        <f t="shared" si="6"/>
        <v>2.384185791015625E-7</v>
      </c>
      <c r="AF26" s="2">
        <v>22</v>
      </c>
      <c r="AG26" s="2">
        <f t="shared" si="13"/>
        <v>1784.9845886230469</v>
      </c>
      <c r="AH26" s="2">
        <v>5.7252059081065454E-2</v>
      </c>
      <c r="AI26" s="2">
        <f t="shared" si="14"/>
        <v>1784.9845886230469</v>
      </c>
      <c r="AJ26" s="2">
        <v>9.5201248009288975E-3</v>
      </c>
      <c r="AK26" s="2">
        <f t="shared" si="9"/>
        <v>1784.9845886230469</v>
      </c>
      <c r="AL26" s="2">
        <v>9.5201248009288975E-3</v>
      </c>
      <c r="AM26" s="2">
        <f t="shared" si="10"/>
        <v>5.4504674756189768E-4</v>
      </c>
      <c r="AN26" s="2">
        <f t="shared" si="11"/>
        <v>9.0632776225261485E-5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1.8091199763148325E-5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6.6215634346008301E-2</v>
      </c>
      <c r="W27" s="2">
        <f t="shared" si="0"/>
        <v>5.2972568984066548E-8</v>
      </c>
      <c r="X27" s="2">
        <f t="shared" si="8"/>
        <v>6.6215753555297852E-2</v>
      </c>
      <c r="Y27" s="2">
        <f t="shared" si="1"/>
        <v>-6.6395992731616005E-8</v>
      </c>
      <c r="Z27" s="2">
        <f t="shared" si="3"/>
        <v>6.6215693950653076E-2</v>
      </c>
      <c r="AA27" s="2">
        <f t="shared" si="2"/>
        <v>-6.7117118390802588E-9</v>
      </c>
      <c r="AB27" s="2">
        <f t="shared" si="4"/>
        <v>-3.5553661839685515E-16</v>
      </c>
      <c r="AC27" s="2">
        <f t="shared" si="5"/>
        <v>4.4563077048427398E-16</v>
      </c>
      <c r="AD27" s="2">
        <f t="shared" si="6"/>
        <v>1.1920928955078125E-7</v>
      </c>
      <c r="AF27" s="2">
        <v>23</v>
      </c>
      <c r="AG27" s="2">
        <f t="shared" si="13"/>
        <v>1784.9845886230469</v>
      </c>
      <c r="AH27" s="2">
        <v>5.7252059081065454E-2</v>
      </c>
      <c r="AI27" s="2">
        <f t="shared" si="14"/>
        <v>1784.9845886230469</v>
      </c>
      <c r="AJ27" s="2">
        <v>9.5201248009288975E-3</v>
      </c>
      <c r="AK27" s="2">
        <f t="shared" si="9"/>
        <v>1784.9845886230469</v>
      </c>
      <c r="AL27" s="2">
        <v>9.5201248009288975E-3</v>
      </c>
      <c r="AM27" s="2">
        <f t="shared" si="10"/>
        <v>5.4504674756189768E-4</v>
      </c>
      <c r="AN27" s="2">
        <f t="shared" si="11"/>
        <v>9.0632776225261485E-5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4373.8423279362714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1.1500003992980194</v>
      </c>
      <c r="U28" s="2">
        <v>24</v>
      </c>
      <c r="V28" s="2">
        <f t="shared" si="7"/>
        <v>6.6215634346008301E-2</v>
      </c>
      <c r="W28" s="2">
        <f t="shared" si="0"/>
        <v>5.2972568984066548E-8</v>
      </c>
      <c r="X28" s="2">
        <f t="shared" si="8"/>
        <v>6.6215693950653076E-2</v>
      </c>
      <c r="Y28" s="2">
        <f t="shared" si="1"/>
        <v>-6.7117118390802588E-9</v>
      </c>
      <c r="Z28" s="2">
        <f t="shared" si="3"/>
        <v>6.6215664148330688E-2</v>
      </c>
      <c r="AA28" s="2">
        <f t="shared" si="2"/>
        <v>2.3130428586370932E-8</v>
      </c>
      <c r="AB28" s="2">
        <f t="shared" si="4"/>
        <v>1.2252782239225592E-15</v>
      </c>
      <c r="AC28" s="2">
        <f t="shared" si="5"/>
        <v>-1.5524477138614624E-16</v>
      </c>
      <c r="AD28" s="2">
        <f t="shared" si="6"/>
        <v>5.9604644775390625E-8</v>
      </c>
      <c r="AF28" s="2">
        <v>24</v>
      </c>
      <c r="AG28" s="2">
        <f t="shared" si="13"/>
        <v>1784.9845886230469</v>
      </c>
      <c r="AH28" s="2">
        <v>5.7252059081065454E-2</v>
      </c>
      <c r="AI28" s="2">
        <f t="shared" si="14"/>
        <v>1784.9845886230469</v>
      </c>
      <c r="AJ28" s="2">
        <v>9.5201248009288975E-3</v>
      </c>
      <c r="AK28" s="2">
        <f t="shared" si="9"/>
        <v>1784.9845886230469</v>
      </c>
      <c r="AL28" s="2">
        <v>9.5201248009288975E-3</v>
      </c>
      <c r="AM28" s="2">
        <f t="shared" si="10"/>
        <v>5.4504674756189768E-4</v>
      </c>
      <c r="AN28" s="2">
        <f t="shared" si="11"/>
        <v>9.0632776225261485E-5</v>
      </c>
      <c r="AO28" s="2">
        <f t="shared" si="12"/>
        <v>0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38.757745608945754</v>
      </c>
      <c r="H29" t="s">
        <v>18</v>
      </c>
      <c r="U29" s="2">
        <v>25</v>
      </c>
      <c r="V29" s="2">
        <f t="shared" si="7"/>
        <v>6.6215664148330688E-2</v>
      </c>
      <c r="W29" s="2">
        <f t="shared" si="0"/>
        <v>2.3130428586370932E-8</v>
      </c>
      <c r="X29" s="2">
        <f t="shared" si="8"/>
        <v>6.6215693950653076E-2</v>
      </c>
      <c r="Y29" s="2">
        <f t="shared" si="1"/>
        <v>-6.7117118390802588E-9</v>
      </c>
      <c r="Z29" s="2">
        <f t="shared" si="3"/>
        <v>6.6215679049491882E-2</v>
      </c>
      <c r="AA29" s="2">
        <f t="shared" si="2"/>
        <v>8.2093583736453368E-9</v>
      </c>
      <c r="AB29" s="2">
        <f t="shared" si="4"/>
        <v>1.8988597760152968E-16</v>
      </c>
      <c r="AC29" s="2">
        <f t="shared" si="5"/>
        <v>-5.5098847787648067E-17</v>
      </c>
      <c r="AD29" s="2">
        <f t="shared" si="6"/>
        <v>2.9802322387695312E-8</v>
      </c>
      <c r="AF29" s="2">
        <v>25</v>
      </c>
      <c r="AG29" s="2">
        <f t="shared" si="13"/>
        <v>1784.9845886230469</v>
      </c>
      <c r="AH29" s="2">
        <v>5.7252059081065454E-2</v>
      </c>
      <c r="AI29" s="2">
        <f t="shared" si="14"/>
        <v>1784.9845886230469</v>
      </c>
      <c r="AJ29" s="2">
        <v>9.5201248009288975E-3</v>
      </c>
      <c r="AK29" s="2">
        <f t="shared" si="9"/>
        <v>1784.9845886230469</v>
      </c>
      <c r="AL29" s="2">
        <v>9.5201248009288975E-3</v>
      </c>
      <c r="AM29" s="2">
        <f t="shared" si="10"/>
        <v>5.4504674756189768E-4</v>
      </c>
      <c r="AN29" s="2">
        <f t="shared" si="11"/>
        <v>9.0632776225261485E-5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11.513635100260627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6.6215679049491882E-2</v>
      </c>
      <c r="W30" s="2">
        <f t="shared" si="0"/>
        <v>8.2093583736453368E-9</v>
      </c>
      <c r="X30" s="2">
        <f t="shared" si="8"/>
        <v>6.6215693950653076E-2</v>
      </c>
      <c r="Y30" s="2">
        <f t="shared" si="1"/>
        <v>-6.7117118390802588E-9</v>
      </c>
      <c r="Z30" s="2">
        <f t="shared" si="3"/>
        <v>6.6215686500072479E-2</v>
      </c>
      <c r="AA30" s="2">
        <f t="shared" si="2"/>
        <v>7.4882326728253901E-10</v>
      </c>
      <c r="AB30" s="2">
        <f t="shared" si="4"/>
        <v>6.147358559646372E-18</v>
      </c>
      <c r="AC30" s="2">
        <f t="shared" si="5"/>
        <v>-5.0258859883989779E-18</v>
      </c>
      <c r="AD30" s="2">
        <f t="shared" si="6"/>
        <v>1.4901161193847656E-8</v>
      </c>
      <c r="AF30" s="2">
        <v>26</v>
      </c>
      <c r="AG30" s="2">
        <f t="shared" si="13"/>
        <v>1784.9845886230469</v>
      </c>
      <c r="AH30" s="2">
        <v>5.7252059081065454E-2</v>
      </c>
      <c r="AI30" s="2">
        <f t="shared" si="14"/>
        <v>1784.9845886230469</v>
      </c>
      <c r="AJ30" s="2">
        <v>9.5201248009288975E-3</v>
      </c>
      <c r="AK30" s="2">
        <f t="shared" si="9"/>
        <v>1784.9845886230469</v>
      </c>
      <c r="AL30" s="2">
        <v>9.5201248009288975E-3</v>
      </c>
      <c r="AM30" s="2">
        <f t="shared" si="10"/>
        <v>5.4504674756189768E-4</v>
      </c>
      <c r="AN30" s="2">
        <f t="shared" si="11"/>
        <v>9.0632776225261485E-5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155.03098243578302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6.6215686500072479E-2</v>
      </c>
      <c r="W31" s="2">
        <f t="shared" si="0"/>
        <v>7.4882326728253901E-10</v>
      </c>
      <c r="X31" s="2">
        <f t="shared" si="8"/>
        <v>6.6215693950653076E-2</v>
      </c>
      <c r="Y31" s="2">
        <f t="shared" si="1"/>
        <v>-6.7117118390802588E-9</v>
      </c>
      <c r="Z31" s="2">
        <f t="shared" si="3"/>
        <v>6.6215690225362778E-2</v>
      </c>
      <c r="AA31" s="2">
        <f t="shared" si="2"/>
        <v>-2.9814442858988599E-9</v>
      </c>
      <c r="AB31" s="2">
        <f t="shared" si="4"/>
        <v>-2.2325748513876406E-18</v>
      </c>
      <c r="AC31" s="2">
        <f t="shared" si="5"/>
        <v>2.0010594911225567E-17</v>
      </c>
      <c r="AD31" s="2">
        <f t="shared" si="6"/>
        <v>7.4505805969238281E-9</v>
      </c>
      <c r="AF31" s="2">
        <v>27</v>
      </c>
      <c r="AG31" s="2">
        <f t="shared" si="13"/>
        <v>1784.9845886230469</v>
      </c>
      <c r="AH31" s="2">
        <v>5.7252059081065454E-2</v>
      </c>
      <c r="AI31" s="2">
        <f t="shared" si="14"/>
        <v>1784.9845886230469</v>
      </c>
      <c r="AJ31" s="2">
        <v>9.5201248009288975E-3</v>
      </c>
      <c r="AK31" s="2">
        <f t="shared" si="9"/>
        <v>1784.9845886230469</v>
      </c>
      <c r="AL31" s="2">
        <v>9.5201248009288975E-3</v>
      </c>
      <c r="AM31" s="2">
        <f t="shared" si="10"/>
        <v>5.4504674756189768E-4</v>
      </c>
      <c r="AN31" s="2">
        <f t="shared" si="11"/>
        <v>9.0632776225261485E-5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479.26</v>
      </c>
      <c r="L32" s="6" t="s">
        <v>7</v>
      </c>
      <c r="U32" s="2">
        <v>28</v>
      </c>
      <c r="V32" s="2">
        <f t="shared" si="7"/>
        <v>6.6215686500072479E-2</v>
      </c>
      <c r="W32" s="2">
        <f t="shared" si="0"/>
        <v>7.4882326728253901E-10</v>
      </c>
      <c r="X32" s="2">
        <f t="shared" si="8"/>
        <v>6.6215690225362778E-2</v>
      </c>
      <c r="Y32" s="2">
        <f t="shared" si="1"/>
        <v>-2.9814442858988599E-9</v>
      </c>
      <c r="Z32" s="2">
        <f t="shared" si="3"/>
        <v>6.6215688362717628E-2</v>
      </c>
      <c r="AA32" s="2">
        <f t="shared" si="2"/>
        <v>-1.1163105023692665E-9</v>
      </c>
      <c r="AB32" s="2">
        <f t="shared" si="4"/>
        <v>-8.3591927768596667E-19</v>
      </c>
      <c r="AC32" s="2">
        <f t="shared" si="5"/>
        <v>3.3282175685777354E-18</v>
      </c>
      <c r="AD32" s="2">
        <f t="shared" si="6"/>
        <v>3.7252902984619141E-9</v>
      </c>
      <c r="AF32" s="2">
        <v>28</v>
      </c>
      <c r="AG32" s="2">
        <f t="shared" si="13"/>
        <v>1784.9845886230469</v>
      </c>
      <c r="AH32" s="2">
        <v>5.7252059081065454E-2</v>
      </c>
      <c r="AI32" s="2">
        <f t="shared" si="14"/>
        <v>1784.9845886230469</v>
      </c>
      <c r="AJ32" s="2">
        <v>9.5201248009288975E-3</v>
      </c>
      <c r="AK32" s="2">
        <f t="shared" si="9"/>
        <v>1784.9845886230469</v>
      </c>
      <c r="AL32" s="2">
        <v>9.5201248009288975E-3</v>
      </c>
      <c r="AM32" s="2">
        <f t="shared" si="10"/>
        <v>5.4504674756189768E-4</v>
      </c>
      <c r="AN32" s="2">
        <f t="shared" si="11"/>
        <v>9.0632776225261485E-5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460.14</v>
      </c>
      <c r="L33" s="6" t="s">
        <v>7</v>
      </c>
      <c r="U33" s="2">
        <v>29</v>
      </c>
      <c r="V33" s="2">
        <f t="shared" si="7"/>
        <v>6.6215686500072479E-2</v>
      </c>
      <c r="W33" s="2">
        <f t="shared" si="0"/>
        <v>7.4882326728253901E-10</v>
      </c>
      <c r="X33" s="2">
        <f t="shared" si="8"/>
        <v>6.6215688362717628E-2</v>
      </c>
      <c r="Y33" s="2">
        <f t="shared" si="1"/>
        <v>-1.1163105023692665E-9</v>
      </c>
      <c r="Z33" s="2">
        <f t="shared" si="3"/>
        <v>6.6215687431395054E-2</v>
      </c>
      <c r="AA33" s="2">
        <f t="shared" si="2"/>
        <v>-1.8374361754336377E-10</v>
      </c>
      <c r="AB33" s="2">
        <f t="shared" si="4"/>
        <v>-1.3759149603113491E-19</v>
      </c>
      <c r="AC33" s="2">
        <f t="shared" si="5"/>
        <v>2.0511493000697879E-19</v>
      </c>
      <c r="AD33" s="2">
        <f t="shared" si="6"/>
        <v>1.862645149230957E-9</v>
      </c>
      <c r="AF33" s="2">
        <v>29</v>
      </c>
      <c r="AG33" s="2">
        <f t="shared" si="13"/>
        <v>1784.9845886230469</v>
      </c>
      <c r="AH33" s="2">
        <v>5.7252059081065454E-2</v>
      </c>
      <c r="AI33" s="2">
        <f t="shared" si="14"/>
        <v>1784.9845886230469</v>
      </c>
      <c r="AJ33" s="2">
        <v>9.5201248009288975E-3</v>
      </c>
      <c r="AK33" s="2">
        <f t="shared" si="9"/>
        <v>1784.9845886230469</v>
      </c>
      <c r="AL33" s="2">
        <v>9.5201248009288975E-3</v>
      </c>
      <c r="AM33" s="2">
        <f t="shared" si="10"/>
        <v>5.4504674756189768E-4</v>
      </c>
      <c r="AN33" s="2">
        <f t="shared" si="11"/>
        <v>9.0632776225261485E-5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160.66</v>
      </c>
      <c r="L34" s="6" t="s">
        <v>7</v>
      </c>
      <c r="U34" s="2">
        <v>30</v>
      </c>
      <c r="V34" s="2">
        <f t="shared" si="7"/>
        <v>6.6215686500072479E-2</v>
      </c>
      <c r="W34" s="2">
        <f t="shared" si="0"/>
        <v>7.4882326728253901E-10</v>
      </c>
      <c r="X34" s="2">
        <f t="shared" si="8"/>
        <v>6.6215687431395054E-2</v>
      </c>
      <c r="Y34" s="2">
        <f t="shared" si="1"/>
        <v>-1.8374361754336377E-10</v>
      </c>
      <c r="Z34" s="2">
        <f t="shared" si="3"/>
        <v>6.6215686965733767E-2</v>
      </c>
      <c r="AA34" s="2">
        <f t="shared" si="2"/>
        <v>2.8253982486958762E-10</v>
      </c>
      <c r="AB34" s="2">
        <f t="shared" si="4"/>
        <v>2.1157239479628097E-19</v>
      </c>
      <c r="AC34" s="2">
        <f t="shared" si="5"/>
        <v>-5.1914889521606486E-20</v>
      </c>
      <c r="AD34" s="2">
        <f>X34-V34</f>
        <v>9.3132257461547852E-10</v>
      </c>
      <c r="AF34" s="2">
        <v>30</v>
      </c>
      <c r="AG34" s="2">
        <f t="shared" si="13"/>
        <v>1784.9845886230469</v>
      </c>
      <c r="AH34" s="2">
        <v>5.7252059081065454E-2</v>
      </c>
      <c r="AI34" s="2">
        <f t="shared" si="14"/>
        <v>1784.9845886230469</v>
      </c>
      <c r="AJ34" s="2">
        <v>9.5201248009288975E-3</v>
      </c>
      <c r="AK34" s="2">
        <f t="shared" si="9"/>
        <v>1784.9845886230469</v>
      </c>
      <c r="AL34" s="2">
        <v>9.5201248009288975E-3</v>
      </c>
      <c r="AM34" s="2">
        <f t="shared" si="10"/>
        <v>5.4504674756189768E-4</v>
      </c>
      <c r="AN34" s="2">
        <f t="shared" si="11"/>
        <v>9.0632776225261485E-5</v>
      </c>
      <c r="AO34" s="2">
        <f t="shared" si="12"/>
        <v>0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224.15570160249254</v>
      </c>
      <c r="H35" s="25" t="s">
        <v>101</v>
      </c>
      <c r="J35" s="15" t="s">
        <v>70</v>
      </c>
      <c r="K35" s="6">
        <f>ROUND(SUM(K23:K26),2)</f>
        <v>84.91</v>
      </c>
      <c r="L35" s="6" t="s">
        <v>7</v>
      </c>
      <c r="AF35" s="2">
        <v>31</v>
      </c>
      <c r="AG35" s="2">
        <f t="shared" si="13"/>
        <v>1784.9845886230469</v>
      </c>
      <c r="AH35" s="2">
        <v>5.7252059081065454E-2</v>
      </c>
      <c r="AI35" s="2">
        <f t="shared" si="14"/>
        <v>1784.9845886230469</v>
      </c>
      <c r="AJ35" s="2">
        <v>9.5201248009288975E-3</v>
      </c>
      <c r="AK35" s="2">
        <f t="shared" si="9"/>
        <v>1784.9845886230469</v>
      </c>
      <c r="AL35" s="2">
        <v>9.5201248009288975E-3</v>
      </c>
      <c r="AM35" s="2">
        <f t="shared" si="10"/>
        <v>5.4504674756189768E-4</v>
      </c>
      <c r="AN35" s="2">
        <f t="shared" si="11"/>
        <v>9.0632776225261485E-5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1784.9700000000003</v>
      </c>
      <c r="L36" s="6" t="s">
        <v>7</v>
      </c>
      <c r="AF36" s="2">
        <v>32</v>
      </c>
      <c r="AG36" s="2">
        <f t="shared" si="13"/>
        <v>1784.9845886230469</v>
      </c>
      <c r="AH36" s="2">
        <v>5.7252059081065454E-2</v>
      </c>
      <c r="AI36" s="2">
        <f t="shared" si="14"/>
        <v>1784.9845886230469</v>
      </c>
      <c r="AJ36" s="2">
        <v>9.5201248009288975E-3</v>
      </c>
      <c r="AK36" s="2">
        <f t="shared" si="9"/>
        <v>1784.9845886230469</v>
      </c>
      <c r="AL36" s="2">
        <v>9.5201248009288975E-3</v>
      </c>
      <c r="AM36" s="2">
        <f t="shared" si="10"/>
        <v>5.4504674756189768E-4</v>
      </c>
      <c r="AN36" s="2">
        <f t="shared" si="11"/>
        <v>9.0632776225261485E-5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1784.9845886230469</v>
      </c>
      <c r="AH37" s="2">
        <v>5.7252059081065454E-2</v>
      </c>
      <c r="AI37" s="2">
        <f t="shared" si="14"/>
        <v>1784.9845886230469</v>
      </c>
      <c r="AJ37" s="2">
        <v>9.5201248009288975E-3</v>
      </c>
      <c r="AK37" s="2">
        <f t="shared" si="9"/>
        <v>1784.9845886230469</v>
      </c>
      <c r="AL37" s="2">
        <v>9.5201248009288975E-3</v>
      </c>
      <c r="AM37" s="2">
        <f t="shared" si="10"/>
        <v>5.4504674756189768E-4</v>
      </c>
      <c r="AN37" s="2">
        <f t="shared" si="11"/>
        <v>9.0632776225261485E-5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1784.9845886230469</v>
      </c>
      <c r="AH38" s="2">
        <v>5.7252059081065454E-2</v>
      </c>
      <c r="AI38" s="2">
        <f t="shared" si="14"/>
        <v>1784.9845886230469</v>
      </c>
      <c r="AJ38" s="2">
        <v>9.5201248009288975E-3</v>
      </c>
      <c r="AK38" s="2">
        <f t="shared" si="9"/>
        <v>1784.9845886230469</v>
      </c>
      <c r="AL38" s="2">
        <v>9.5201248009288975E-3</v>
      </c>
      <c r="AM38" s="2">
        <f t="shared" si="10"/>
        <v>5.4504674756189768E-4</v>
      </c>
      <c r="AN38" s="2">
        <f t="shared" si="11"/>
        <v>9.0632776225261485E-5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33.61</v>
      </c>
      <c r="L39" s="6" t="s">
        <v>58</v>
      </c>
      <c r="AF39" s="2">
        <v>35</v>
      </c>
      <c r="AG39" s="2">
        <f t="shared" si="13"/>
        <v>1784.9845886230469</v>
      </c>
      <c r="AH39" s="2">
        <v>5.7252059081065454E-2</v>
      </c>
      <c r="AI39" s="2">
        <f t="shared" si="14"/>
        <v>1784.9845886230469</v>
      </c>
      <c r="AJ39" s="2">
        <v>9.5201248009288975E-3</v>
      </c>
      <c r="AK39" s="2">
        <f t="shared" si="9"/>
        <v>1784.9845886230469</v>
      </c>
      <c r="AL39" s="2">
        <v>9.5201248009288975E-3</v>
      </c>
      <c r="AM39" s="2">
        <f t="shared" si="10"/>
        <v>5.4504674756189768E-4</v>
      </c>
      <c r="AN39" s="2">
        <f t="shared" si="11"/>
        <v>9.0632776225261485E-5</v>
      </c>
      <c r="AO39" s="2">
        <f t="shared" si="12"/>
        <v>0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26.85</v>
      </c>
      <c r="L40" s="6" t="s">
        <v>58</v>
      </c>
      <c r="AF40" s="2">
        <v>36</v>
      </c>
      <c r="AG40" s="2">
        <f t="shared" si="13"/>
        <v>1784.9845886230469</v>
      </c>
      <c r="AH40" s="2">
        <v>5.7252059081065454E-2</v>
      </c>
      <c r="AI40" s="2">
        <f t="shared" si="14"/>
        <v>1784.9845886230469</v>
      </c>
      <c r="AJ40" s="2">
        <v>9.5201248009288975E-3</v>
      </c>
      <c r="AK40" s="2">
        <f t="shared" si="9"/>
        <v>1784.9845886230469</v>
      </c>
      <c r="AL40" s="2">
        <v>9.5201248009288975E-3</v>
      </c>
      <c r="AM40" s="2">
        <f t="shared" si="10"/>
        <v>5.4504674756189768E-4</v>
      </c>
      <c r="AN40" s="2">
        <f t="shared" si="11"/>
        <v>9.0632776225261485E-5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25.78</v>
      </c>
      <c r="L41" s="6" t="s">
        <v>58</v>
      </c>
      <c r="AF41" s="2">
        <v>37</v>
      </c>
      <c r="AG41" s="2">
        <f t="shared" si="13"/>
        <v>1784.9845886230469</v>
      </c>
      <c r="AH41" s="2">
        <v>5.7252059081065454E-2</v>
      </c>
      <c r="AI41" s="2">
        <f t="shared" si="14"/>
        <v>1784.9845886230469</v>
      </c>
      <c r="AJ41" s="2">
        <v>9.5201248009288975E-3</v>
      </c>
      <c r="AK41" s="2">
        <f t="shared" si="9"/>
        <v>1784.9845886230469</v>
      </c>
      <c r="AL41" s="2">
        <v>9.5201248009288975E-3</v>
      </c>
      <c r="AM41" s="2">
        <f t="shared" si="10"/>
        <v>5.4504674756189768E-4</v>
      </c>
      <c r="AN41" s="2">
        <f t="shared" si="11"/>
        <v>9.0632776225261485E-5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</v>
      </c>
      <c r="L42" s="6" t="s">
        <v>58</v>
      </c>
      <c r="AF42" s="2">
        <v>38</v>
      </c>
      <c r="AG42" s="2">
        <f t="shared" si="13"/>
        <v>1784.9845886230469</v>
      </c>
      <c r="AH42" s="2">
        <v>5.7252059081065454E-2</v>
      </c>
      <c r="AI42" s="2">
        <f t="shared" si="14"/>
        <v>1784.9845886230469</v>
      </c>
      <c r="AJ42" s="2">
        <v>9.5201248009288975E-3</v>
      </c>
      <c r="AK42" s="2">
        <f t="shared" si="9"/>
        <v>1784.9845886230469</v>
      </c>
      <c r="AL42" s="2">
        <v>9.5201248009288975E-3</v>
      </c>
      <c r="AM42" s="2">
        <f t="shared" si="10"/>
        <v>5.4504674756189768E-4</v>
      </c>
      <c r="AN42" s="2">
        <f t="shared" si="11"/>
        <v>9.0632776225261485E-5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1784.9845886230469</v>
      </c>
      <c r="AH43" s="2">
        <v>5.7252059081065454E-2</v>
      </c>
      <c r="AI43" s="2">
        <f t="shared" si="14"/>
        <v>1784.9845886230469</v>
      </c>
      <c r="AJ43" s="2">
        <v>9.5201248009288975E-3</v>
      </c>
      <c r="AK43" s="2">
        <f t="shared" si="9"/>
        <v>1784.9845886230469</v>
      </c>
      <c r="AL43" s="2">
        <v>9.5201248009288975E-3</v>
      </c>
      <c r="AM43" s="2">
        <f t="shared" si="10"/>
        <v>5.4504674756189768E-4</v>
      </c>
      <c r="AN43" s="2">
        <f t="shared" si="11"/>
        <v>9.0632776225261485E-5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1784.9845886230469</v>
      </c>
      <c r="AH44" s="2">
        <v>5.7252059081065454E-2</v>
      </c>
      <c r="AI44" s="2">
        <f t="shared" si="14"/>
        <v>1784.9845886230469</v>
      </c>
      <c r="AJ44" s="2">
        <v>9.5201248009288975E-3</v>
      </c>
      <c r="AK44" s="5">
        <f>(AG44+AI44)/2</f>
        <v>1784.9845886230469</v>
      </c>
      <c r="AL44" s="2">
        <v>9.5201248009288975E-3</v>
      </c>
      <c r="AM44" s="2">
        <f t="shared" si="10"/>
        <v>5.4504674756189768E-4</v>
      </c>
      <c r="AN44" s="2">
        <f t="shared" si="11"/>
        <v>9.0632776225261485E-5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1491.7729798896278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33.61</v>
      </c>
      <c r="L47" s="6" t="s">
        <v>58</v>
      </c>
      <c r="N47" s="6" t="s">
        <v>154</v>
      </c>
      <c r="O47" s="6">
        <f>0.377*O46^0.6945</f>
        <v>60.322301195247974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26.85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39.54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E8" sqref="E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318.86627404464423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7.3200129224278071E-2</v>
      </c>
      <c r="X4" s="3">
        <v>1</v>
      </c>
      <c r="Y4" s="2">
        <f t="shared" ref="Y4:Y34" si="1" xml:space="preserve"> $O$20 * TAN($O$17/180*PI()) + $O$21 / (2 * SQRT($O$20^2 + X4^2)) - X4</f>
        <v>-0.93196781215929048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-0.42961747863870259</v>
      </c>
      <c r="AB4" s="2">
        <f>W4*AA4</f>
        <v>-3.1448054953361552E-2</v>
      </c>
      <c r="AC4" s="2">
        <f>Y4*AA4</f>
        <v>0.40038966163230238</v>
      </c>
      <c r="AD4" s="2">
        <f>X4-V4</f>
        <v>1</v>
      </c>
      <c r="AF4" s="2">
        <v>0</v>
      </c>
      <c r="AG4" s="2"/>
      <c r="AH4" s="2">
        <f>K27</f>
        <v>-1.7775903302208462E-5</v>
      </c>
      <c r="AI4" s="2"/>
      <c r="AJ4" s="2">
        <f>K27</f>
        <v>-1.7775903302208462E-5</v>
      </c>
      <c r="AK4" s="2"/>
      <c r="AL4" s="2">
        <f>K27</f>
        <v>-1.7775903302208462E-5</v>
      </c>
      <c r="AM4" s="2"/>
      <c r="AN4" s="2"/>
      <c r="AO4" s="2"/>
    </row>
    <row r="5" spans="2:41" x14ac:dyDescent="0.2">
      <c r="B5" s="10" t="s">
        <v>37</v>
      </c>
      <c r="C5" s="10">
        <v>1571.0340015163499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79.716568511161057</v>
      </c>
      <c r="L5" s="6" t="s">
        <v>101</v>
      </c>
      <c r="N5" s="6" t="s">
        <v>114</v>
      </c>
      <c r="O5" s="6">
        <f xml:space="preserve"> $C$18 * 0.85 * ($C$5/$C$18 *2.20462/1000)^(2/3) * 0.3048^2</f>
        <v>0.28695583914048534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7.3200129224278071E-2</v>
      </c>
      <c r="X5" s="2">
        <f>IF(AC4&gt;0, Z4, X4)</f>
        <v>0.5</v>
      </c>
      <c r="Y5" s="2">
        <f t="shared" si="1"/>
        <v>-0.42961747863870259</v>
      </c>
      <c r="Z5" s="2">
        <f t="shared" ref="Z5:Z34" si="3" xml:space="preserve"> (V5 + X5)/2</f>
        <v>0.25</v>
      </c>
      <c r="AA5" s="2">
        <f t="shared" si="2"/>
        <v>-0.17784175390877399</v>
      </c>
      <c r="AB5" s="2">
        <f t="shared" ref="AB5:AB34" si="4">W5*AA5</f>
        <v>-1.3018039367594516E-2</v>
      </c>
      <c r="AC5" s="2">
        <f t="shared" ref="AC5:AC34" si="5">Y5*AA5</f>
        <v>7.6403925910972115E-2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-697.30357752198279</v>
      </c>
      <c r="AI5" s="3">
        <v>10000</v>
      </c>
      <c r="AJ5" s="2">
        <f t="dataTable" ref="AJ5:AJ44" dt2D="0" dtr="0" r1="C5" ca="1"/>
        <v>2812.8964764945267</v>
      </c>
      <c r="AK5" s="2">
        <f>(AG5+AI5)/2</f>
        <v>5250</v>
      </c>
      <c r="AL5" s="2">
        <f t="dataTable" ref="AL5:AL44" dt2D="0" dtr="0" r1="C5" ca="1"/>
        <v>1739.802032881807</v>
      </c>
      <c r="AM5" s="2">
        <f>AH5*AL5</f>
        <v>-1213170.1817085024</v>
      </c>
      <c r="AN5" s="2">
        <f>AJ5*AL5</f>
        <v>4893883.0080912495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7.3200129224278071E-2</v>
      </c>
      <c r="X6" s="2">
        <f t="shared" ref="X6:X34" si="8">IF(AC5&gt;0, Z5, X5)</f>
        <v>0.25</v>
      </c>
      <c r="Y6" s="2">
        <f t="shared" si="1"/>
        <v>-0.17784175390877399</v>
      </c>
      <c r="Z6" s="2">
        <f t="shared" si="3"/>
        <v>0.125</v>
      </c>
      <c r="AA6" s="2">
        <f t="shared" si="2"/>
        <v>-5.2097972047839114E-2</v>
      </c>
      <c r="AB6" s="2">
        <f t="shared" si="4"/>
        <v>-3.8135782862246501E-3</v>
      </c>
      <c r="AC6" s="2">
        <f t="shared" si="5"/>
        <v>9.2651947240779894E-3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-697.30357752198279</v>
      </c>
      <c r="AI6" s="2">
        <f>IF(AN5&gt;0, AK5, AI5)</f>
        <v>5250</v>
      </c>
      <c r="AJ6" s="2">
        <v>1739.802032881807</v>
      </c>
      <c r="AK6" s="2">
        <f t="shared" ref="AK6:AK43" si="9">(AG6+AI6)/2</f>
        <v>2875</v>
      </c>
      <c r="AL6" s="2">
        <v>712.58331147011836</v>
      </c>
      <c r="AM6" s="2">
        <f t="shared" ref="AM6:AM44" si="10">AH6*AL6</f>
        <v>-496886.89237057487</v>
      </c>
      <c r="AN6" s="2">
        <f t="shared" ref="AN6:AN44" si="11">AJ6*AL6</f>
        <v>1239753.8938933618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495.10963141321901</v>
      </c>
      <c r="D7" s="6" t="s">
        <v>125</v>
      </c>
      <c r="F7" t="s">
        <v>121</v>
      </c>
      <c r="G7" s="8">
        <f>$C$6*2*PI()/60*$C$9</f>
        <v>113.04711788115915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0.91723246247558143</v>
      </c>
      <c r="P7" s="6" t="s">
        <v>115</v>
      </c>
      <c r="U7" s="2">
        <v>3</v>
      </c>
      <c r="V7" s="2">
        <f t="shared" si="7"/>
        <v>0</v>
      </c>
      <c r="W7" s="2">
        <f t="shared" si="0"/>
        <v>7.3200129224278071E-2</v>
      </c>
      <c r="X7" s="2">
        <f t="shared" si="8"/>
        <v>0.125</v>
      </c>
      <c r="Y7" s="2">
        <f t="shared" si="1"/>
        <v>-5.2097972047839114E-2</v>
      </c>
      <c r="Z7" s="2">
        <f t="shared" si="3"/>
        <v>6.25E-2</v>
      </c>
      <c r="AA7" s="2">
        <f t="shared" si="2"/>
        <v>1.0622756869755251E-2</v>
      </c>
      <c r="AB7" s="2">
        <f t="shared" si="4"/>
        <v>7.7758717558417203E-4</v>
      </c>
      <c r="AC7" s="2">
        <f t="shared" si="5"/>
        <v>-5.5342409047150003E-4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-697.30357752198279</v>
      </c>
      <c r="AI7" s="2">
        <f t="shared" ref="AI7:AI44" si="14">IF(AN6&gt;0, AK6, AI6)</f>
        <v>2875</v>
      </c>
      <c r="AJ7" s="2">
        <v>712.58331147011836</v>
      </c>
      <c r="AK7" s="2">
        <f t="shared" si="9"/>
        <v>1687.5</v>
      </c>
      <c r="AL7" s="2">
        <v>68.119604377390829</v>
      </c>
      <c r="AM7" s="2">
        <f t="shared" si="10"/>
        <v>-47500.043831736744</v>
      </c>
      <c r="AN7" s="2">
        <f t="shared" si="11"/>
        <v>48540.893263275524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0.3385486113119805</v>
      </c>
      <c r="H8" s="6" t="s">
        <v>122</v>
      </c>
      <c r="J8" s="6" t="s">
        <v>96</v>
      </c>
      <c r="K8" s="6">
        <f xml:space="preserve"> $C$15 * (G12*G6 + G22*G15 + G31*G27 +G35*G34)/3600</f>
        <v>162.03660434709752</v>
      </c>
      <c r="L8" s="6" t="s">
        <v>102</v>
      </c>
      <c r="N8" s="6" t="s">
        <v>38</v>
      </c>
      <c r="O8" s="6">
        <f xml:space="preserve"> O4 *O7</f>
        <v>2079.7913916346729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1.0622756869755251E-2</v>
      </c>
      <c r="X8" s="2">
        <f t="shared" si="8"/>
        <v>0.125</v>
      </c>
      <c r="Y8" s="2">
        <f t="shared" si="1"/>
        <v>-5.2097972047839114E-2</v>
      </c>
      <c r="Z8" s="2">
        <f t="shared" si="3"/>
        <v>9.375E-2</v>
      </c>
      <c r="AA8" s="2">
        <f t="shared" si="2"/>
        <v>-2.0721224506013325E-2</v>
      </c>
      <c r="AB8" s="2">
        <f t="shared" si="4"/>
        <v>-2.2011652997099389E-4</v>
      </c>
      <c r="AC8" s="2">
        <f t="shared" si="5"/>
        <v>1.0795337751112811E-3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-697.30357752198279</v>
      </c>
      <c r="AI8" s="2">
        <f t="shared" si="14"/>
        <v>1687.5</v>
      </c>
      <c r="AJ8" s="2">
        <v>68.119604377390829</v>
      </c>
      <c r="AK8" s="2">
        <f t="shared" si="9"/>
        <v>1093.75</v>
      </c>
      <c r="AL8" s="2">
        <v>-306.2618983118499</v>
      </c>
      <c r="AM8" s="2">
        <f t="shared" si="10"/>
        <v>213557.51735152665</v>
      </c>
      <c r="AN8" s="2">
        <f t="shared" si="11"/>
        <v>-20862.439348871914</v>
      </c>
      <c r="AO8" s="2">
        <f t="shared" si="12"/>
        <v>1187.5</v>
      </c>
    </row>
    <row r="9" spans="2:41" x14ac:dyDescent="0.2">
      <c r="B9" s="6" t="s">
        <v>95</v>
      </c>
      <c r="C9" s="17">
        <v>2.6988011419618001</v>
      </c>
      <c r="D9" s="6" t="s">
        <v>8</v>
      </c>
      <c r="F9" t="s">
        <v>19</v>
      </c>
      <c r="G9" s="6">
        <f xml:space="preserve"> $C$5 * $C$44 / $C$18</f>
        <v>3849.618982206227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2079.7913916346729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1.0622756869755251E-2</v>
      </c>
      <c r="X9" s="2">
        <f t="shared" si="8"/>
        <v>9.375E-2</v>
      </c>
      <c r="Y9" s="2">
        <f t="shared" si="1"/>
        <v>-2.0721224506013325E-2</v>
      </c>
      <c r="Z9" s="2">
        <f t="shared" si="3"/>
        <v>7.8125E-2</v>
      </c>
      <c r="AA9" s="2">
        <f t="shared" si="2"/>
        <v>-5.0449024205251325E-3</v>
      </c>
      <c r="AB9" s="2">
        <f t="shared" si="4"/>
        <v>-5.3590771844878247E-5</v>
      </c>
      <c r="AC9" s="2">
        <f t="shared" si="5"/>
        <v>1.0453655566663131E-4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-306.2618983118499</v>
      </c>
      <c r="AI9" s="2">
        <f t="shared" si="14"/>
        <v>1687.5</v>
      </c>
      <c r="AJ9" s="2">
        <v>68.119604377390829</v>
      </c>
      <c r="AK9" s="2">
        <f t="shared" si="9"/>
        <v>1390.625</v>
      </c>
      <c r="AL9" s="2">
        <v>-111.17570031472906</v>
      </c>
      <c r="AM9" s="2">
        <f t="shared" si="10"/>
        <v>34048.881024538248</v>
      </c>
      <c r="AN9" s="2">
        <f t="shared" si="11"/>
        <v>-7573.2447218187081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53.144379007440705</v>
      </c>
      <c r="H10" s="6" t="s">
        <v>101</v>
      </c>
      <c r="N10" s="6" t="s">
        <v>113</v>
      </c>
      <c r="O10" s="6">
        <f>O7/(0.3048^2)/($C$5*2.20462/1000)^(2/3)</f>
        <v>4.3129054741146149</v>
      </c>
      <c r="U10" s="2">
        <v>6</v>
      </c>
      <c r="V10" s="2">
        <f t="shared" si="7"/>
        <v>6.25E-2</v>
      </c>
      <c r="W10" s="2">
        <f t="shared" si="0"/>
        <v>1.0622756869755251E-2</v>
      </c>
      <c r="X10" s="2">
        <f t="shared" si="8"/>
        <v>7.8125E-2</v>
      </c>
      <c r="Y10" s="2">
        <f t="shared" si="1"/>
        <v>-5.0449024205251325E-3</v>
      </c>
      <c r="Z10" s="2">
        <f t="shared" si="3"/>
        <v>7.03125E-2</v>
      </c>
      <c r="AA10" s="2">
        <f t="shared" si="2"/>
        <v>2.7900361899483861E-3</v>
      </c>
      <c r="AB10" s="2">
        <f t="shared" si="4"/>
        <v>2.9637876103639984E-5</v>
      </c>
      <c r="AC10" s="2">
        <f t="shared" si="5"/>
        <v>-1.4075460328023331E-5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-111.17570031472906</v>
      </c>
      <c r="AI10" s="2">
        <f t="shared" si="14"/>
        <v>1687.5</v>
      </c>
      <c r="AJ10" s="2">
        <v>68.119604377390829</v>
      </c>
      <c r="AK10" s="2">
        <f t="shared" si="9"/>
        <v>1539.0625</v>
      </c>
      <c r="AL10" s="2">
        <v>-18.842664845267336</v>
      </c>
      <c r="AM10" s="2">
        <f t="shared" si="10"/>
        <v>2094.8464599683221</v>
      </c>
      <c r="AN10" s="2">
        <f t="shared" si="11"/>
        <v>-1283.5548746753811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7.3904053018306533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7.03125E-2</v>
      </c>
      <c r="W11" s="2">
        <f t="shared" si="0"/>
        <v>2.7900361899483861E-3</v>
      </c>
      <c r="X11" s="2">
        <f t="shared" si="8"/>
        <v>7.8125E-2</v>
      </c>
      <c r="Y11" s="2">
        <f t="shared" si="1"/>
        <v>-5.0449024205251325E-3</v>
      </c>
      <c r="Z11" s="2">
        <f t="shared" si="3"/>
        <v>7.421875E-2</v>
      </c>
      <c r="AA11" s="2">
        <f t="shared" si="2"/>
        <v>-1.1271589724910769E-3</v>
      </c>
      <c r="AB11" s="2">
        <f t="shared" si="4"/>
        <v>-3.1448143250751417E-6</v>
      </c>
      <c r="AC11" s="2">
        <f t="shared" si="5"/>
        <v>5.6864070286368552E-6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-18.842664845267336</v>
      </c>
      <c r="AI11" s="2">
        <f t="shared" si="14"/>
        <v>1687.5</v>
      </c>
      <c r="AJ11" s="2">
        <v>68.119604377390829</v>
      </c>
      <c r="AK11" s="2">
        <f t="shared" si="9"/>
        <v>1613.28125</v>
      </c>
      <c r="AL11" s="2">
        <v>24.805822339617066</v>
      </c>
      <c r="AM11" s="2">
        <f t="shared" si="10"/>
        <v>-467.40779655664966</v>
      </c>
      <c r="AN11" s="2">
        <f t="shared" si="11"/>
        <v>1689.7628040305578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212.57751602976282</v>
      </c>
      <c r="H12" s="25" t="s">
        <v>101</v>
      </c>
      <c r="J12" s="10" t="s">
        <v>79</v>
      </c>
      <c r="K12" s="6">
        <f>C5</f>
        <v>1571.0340015163499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7.03125E-2</v>
      </c>
      <c r="W12" s="2">
        <f t="shared" si="0"/>
        <v>2.7900361899483861E-3</v>
      </c>
      <c r="X12" s="2">
        <f t="shared" si="8"/>
        <v>7.421875E-2</v>
      </c>
      <c r="Y12" s="2">
        <f t="shared" si="1"/>
        <v>-1.1271589724910769E-3</v>
      </c>
      <c r="Z12" s="2">
        <f t="shared" si="3"/>
        <v>7.2265625E-2</v>
      </c>
      <c r="AA12" s="2">
        <f t="shared" si="2"/>
        <v>8.3150754254159021E-4</v>
      </c>
      <c r="AB12" s="2">
        <f t="shared" si="4"/>
        <v>2.3199361359060838E-6</v>
      </c>
      <c r="AC12" s="2">
        <f t="shared" si="5"/>
        <v>-9.3724118726975925E-7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-18.842664845267336</v>
      </c>
      <c r="AI12" s="2">
        <f t="shared" si="14"/>
        <v>1613.28125</v>
      </c>
      <c r="AJ12" s="2">
        <v>24.805822339617066</v>
      </c>
      <c r="AK12" s="2">
        <f t="shared" si="9"/>
        <v>1576.171875</v>
      </c>
      <c r="AL12" s="2">
        <v>3.0224274980006385</v>
      </c>
      <c r="AM12" s="2">
        <f t="shared" si="10"/>
        <v>-56.95058836394594</v>
      </c>
      <c r="AN12" s="2">
        <f t="shared" si="11"/>
        <v>74.973799549777155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433.25295279972596</v>
      </c>
      <c r="L13" s="6" t="s">
        <v>7</v>
      </c>
      <c r="N13" s="6" t="s">
        <v>74</v>
      </c>
      <c r="O13" s="6">
        <f xml:space="preserve"> SQRT( ($C$5*$C$50)^2 + O9^2)</f>
        <v>15536.834776656156</v>
      </c>
      <c r="P13" s="6" t="s">
        <v>20</v>
      </c>
      <c r="U13" s="2">
        <v>9</v>
      </c>
      <c r="V13" s="2">
        <f t="shared" si="7"/>
        <v>7.2265625E-2</v>
      </c>
      <c r="W13" s="2">
        <f t="shared" si="0"/>
        <v>8.3150754254159021E-4</v>
      </c>
      <c r="X13" s="2">
        <f t="shared" si="8"/>
        <v>7.421875E-2</v>
      </c>
      <c r="Y13" s="2">
        <f t="shared" si="1"/>
        <v>-1.1271589724910769E-3</v>
      </c>
      <c r="Z13" s="2">
        <f t="shared" si="3"/>
        <v>7.32421875E-2</v>
      </c>
      <c r="AA13" s="2">
        <f t="shared" si="2"/>
        <v>-1.4780853062382193E-4</v>
      </c>
      <c r="AB13" s="2">
        <f t="shared" si="4"/>
        <v>-1.2290390806569755E-7</v>
      </c>
      <c r="AC13" s="2">
        <f t="shared" si="5"/>
        <v>1.66603711503363E-7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-18.842664845267336</v>
      </c>
      <c r="AI13" s="2">
        <f t="shared" si="14"/>
        <v>1576.171875</v>
      </c>
      <c r="AJ13" s="2">
        <v>3.0224274980006385</v>
      </c>
      <c r="AK13" s="2">
        <f t="shared" si="9"/>
        <v>1557.6171875</v>
      </c>
      <c r="AL13" s="2">
        <v>-7.9000386938448628</v>
      </c>
      <c r="AM13" s="2">
        <f t="shared" si="10"/>
        <v>148.85778137276228</v>
      </c>
      <c r="AN13" s="2">
        <f t="shared" si="11"/>
        <v>-23.877294183545761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111.91194430258679</v>
      </c>
      <c r="L14" s="6" t="s">
        <v>7</v>
      </c>
      <c r="N14" s="6" t="s">
        <v>75</v>
      </c>
      <c r="O14" s="6">
        <f>$C$5*$C$50/O13</f>
        <v>0.99099998566814063</v>
      </c>
      <c r="U14" s="2">
        <v>10</v>
      </c>
      <c r="V14" s="2">
        <f t="shared" si="7"/>
        <v>7.2265625E-2</v>
      </c>
      <c r="W14" s="2">
        <f t="shared" si="0"/>
        <v>8.3150754254159021E-4</v>
      </c>
      <c r="X14" s="2">
        <f t="shared" si="8"/>
        <v>7.32421875E-2</v>
      </c>
      <c r="Y14" s="2">
        <f t="shared" si="1"/>
        <v>-1.4780853062382193E-4</v>
      </c>
      <c r="Z14" s="2">
        <f t="shared" si="3"/>
        <v>7.275390625E-2</v>
      </c>
      <c r="AA14" s="2">
        <f t="shared" si="2"/>
        <v>3.418538082261835E-4</v>
      </c>
      <c r="AB14" s="2">
        <f t="shared" si="4"/>
        <v>2.8425401998663789E-7</v>
      </c>
      <c r="AC14" s="2">
        <f t="shared" si="5"/>
        <v>-5.0528909082069991E-8</v>
      </c>
      <c r="AD14" s="2">
        <f t="shared" si="6"/>
        <v>9.765625E-4</v>
      </c>
      <c r="AF14" s="2">
        <v>10</v>
      </c>
      <c r="AG14" s="2">
        <f t="shared" si="13"/>
        <v>1557.6171875</v>
      </c>
      <c r="AH14" s="2">
        <v>-7.9000386938448628</v>
      </c>
      <c r="AI14" s="2">
        <f t="shared" si="14"/>
        <v>1576.171875</v>
      </c>
      <c r="AJ14" s="2">
        <v>3.0224274980006385</v>
      </c>
      <c r="AK14" s="2">
        <f t="shared" si="9"/>
        <v>1566.89453125</v>
      </c>
      <c r="AL14" s="2">
        <v>-2.436268087315284</v>
      </c>
      <c r="AM14" s="2">
        <f t="shared" si="10"/>
        <v>19.246612158370159</v>
      </c>
      <c r="AN14" s="2">
        <f t="shared" si="11"/>
        <v>-7.363443659603135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110.06394225233861</v>
      </c>
      <c r="L15" s="6" t="s">
        <v>7</v>
      </c>
      <c r="U15" s="2">
        <v>11</v>
      </c>
      <c r="V15" s="2">
        <f t="shared" si="7"/>
        <v>7.275390625E-2</v>
      </c>
      <c r="W15" s="2">
        <f t="shared" si="0"/>
        <v>3.418538082261835E-4</v>
      </c>
      <c r="X15" s="2">
        <f t="shared" si="8"/>
        <v>7.32421875E-2</v>
      </c>
      <c r="Y15" s="2">
        <f t="shared" si="1"/>
        <v>-1.4780853062382193E-4</v>
      </c>
      <c r="Z15" s="2">
        <f t="shared" si="3"/>
        <v>7.2998046875E-2</v>
      </c>
      <c r="AA15" s="2">
        <f t="shared" si="2"/>
        <v>9.7023713598154426E-5</v>
      </c>
      <c r="AB15" s="2">
        <f t="shared" si="4"/>
        <v>3.3167925981775635E-8</v>
      </c>
      <c r="AC15" s="2">
        <f t="shared" si="5"/>
        <v>-1.4340932542609737E-8</v>
      </c>
      <c r="AD15" s="2">
        <f t="shared" si="6"/>
        <v>4.8828125E-4</v>
      </c>
      <c r="AF15" s="2">
        <v>11</v>
      </c>
      <c r="AG15" s="2">
        <f t="shared" si="13"/>
        <v>1566.89453125</v>
      </c>
      <c r="AH15" s="2">
        <v>-2.436268087315284</v>
      </c>
      <c r="AI15" s="2">
        <f t="shared" si="14"/>
        <v>1576.171875</v>
      </c>
      <c r="AJ15" s="2">
        <v>3.0224274980006385</v>
      </c>
      <c r="AK15" s="2">
        <f t="shared" si="9"/>
        <v>1571.533203125</v>
      </c>
      <c r="AL15" s="2">
        <v>0.29371713022942458</v>
      </c>
      <c r="AM15" s="2">
        <f t="shared" si="10"/>
        <v>-0.71557367107577441</v>
      </c>
      <c r="AN15" s="2">
        <f t="shared" si="11"/>
        <v>0.8877387310392475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139.92679216616855</v>
      </c>
      <c r="H16" s="6" t="s">
        <v>10</v>
      </c>
      <c r="J16" s="13" t="s">
        <v>53</v>
      </c>
      <c r="K16" s="6">
        <f xml:space="preserve"> $C$54 * 0.2138 * K4</f>
        <v>54.538887512595949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7.2998046875E-2</v>
      </c>
      <c r="W16" s="2">
        <f t="shared" si="0"/>
        <v>9.7023713598154426E-5</v>
      </c>
      <c r="X16" s="2">
        <f t="shared" si="8"/>
        <v>7.32421875E-2</v>
      </c>
      <c r="Y16" s="2">
        <f t="shared" si="1"/>
        <v>-1.4780853062382193E-4</v>
      </c>
      <c r="Z16" s="2">
        <f t="shared" si="3"/>
        <v>7.31201171875E-2</v>
      </c>
      <c r="AA16" s="2">
        <f t="shared" si="2"/>
        <v>-2.5392139910040967E-5</v>
      </c>
      <c r="AB16" s="2">
        <f t="shared" si="4"/>
        <v>-2.4636397102760816E-9</v>
      </c>
      <c r="AC16" s="2">
        <f t="shared" si="5"/>
        <v>3.7531748894976617E-9</v>
      </c>
      <c r="AD16" s="2">
        <f t="shared" si="6"/>
        <v>2.44140625E-4</v>
      </c>
      <c r="AF16" s="2">
        <v>12</v>
      </c>
      <c r="AG16" s="2">
        <f t="shared" si="13"/>
        <v>1566.89453125</v>
      </c>
      <c r="AH16" s="2">
        <v>-2.436268087315284</v>
      </c>
      <c r="AI16" s="2">
        <f t="shared" si="14"/>
        <v>1571.533203125</v>
      </c>
      <c r="AJ16" s="2">
        <v>0.29371713022942458</v>
      </c>
      <c r="AK16" s="2">
        <f t="shared" si="9"/>
        <v>1569.2138671875</v>
      </c>
      <c r="AL16" s="2">
        <v>-1.0711190631483305</v>
      </c>
      <c r="AM16" s="2">
        <f t="shared" si="10"/>
        <v>2.6095331912633219</v>
      </c>
      <c r="AN16" s="2">
        <f t="shared" si="11"/>
        <v>-0.31460601736195742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0.42055198153647538</v>
      </c>
      <c r="H17" s="6" t="s">
        <v>122</v>
      </c>
      <c r="J17" s="13" t="s">
        <v>77</v>
      </c>
      <c r="K17" s="6">
        <f xml:space="preserve"> $C$54 * 0.1149 * K4</f>
        <v>29.310187910183696</v>
      </c>
      <c r="L17" s="6" t="s">
        <v>7</v>
      </c>
      <c r="N17" s="6" t="s">
        <v>25</v>
      </c>
      <c r="O17" s="6">
        <f xml:space="preserve"> ACOS(O14)/PI()*180</f>
        <v>7.6928185859036944</v>
      </c>
      <c r="P17" s="6" t="s">
        <v>40</v>
      </c>
      <c r="U17" s="2">
        <v>13</v>
      </c>
      <c r="V17" s="2">
        <f t="shared" si="7"/>
        <v>7.2998046875E-2</v>
      </c>
      <c r="W17" s="2">
        <f t="shared" si="0"/>
        <v>9.7023713598154426E-5</v>
      </c>
      <c r="X17" s="2">
        <f t="shared" si="8"/>
        <v>7.31201171875E-2</v>
      </c>
      <c r="Y17" s="2">
        <f t="shared" si="1"/>
        <v>-2.5392139910040967E-5</v>
      </c>
      <c r="Z17" s="2">
        <f t="shared" si="3"/>
        <v>7.305908203125E-2</v>
      </c>
      <c r="AA17" s="2">
        <f t="shared" si="2"/>
        <v>3.5815854006818193E-5</v>
      </c>
      <c r="AB17" s="2">
        <f t="shared" si="4"/>
        <v>3.47498716143084E-9</v>
      </c>
      <c r="AC17" s="2">
        <f t="shared" si="5"/>
        <v>-9.0944117593872889E-10</v>
      </c>
      <c r="AD17" s="2">
        <f t="shared" si="6"/>
        <v>1.220703125E-4</v>
      </c>
      <c r="AF17" s="2">
        <v>13</v>
      </c>
      <c r="AG17" s="2">
        <f t="shared" si="13"/>
        <v>1569.2138671875</v>
      </c>
      <c r="AH17" s="2">
        <v>-1.0711190631483305</v>
      </c>
      <c r="AI17" s="2">
        <f t="shared" si="14"/>
        <v>1571.533203125</v>
      </c>
      <c r="AJ17" s="2">
        <v>0.29371713022942458</v>
      </c>
      <c r="AK17" s="2">
        <f t="shared" si="9"/>
        <v>1570.37353515625</v>
      </c>
      <c r="AL17" s="2">
        <v>-0.38866271215567849</v>
      </c>
      <c r="AM17" s="2">
        <f t="shared" si="10"/>
        <v>0.41630404012487959</v>
      </c>
      <c r="AN17" s="2">
        <f t="shared" si="11"/>
        <v>-0.11415689644155078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3884.2086941640391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125.56389650154331</v>
      </c>
      <c r="L18" s="6" t="s">
        <v>7</v>
      </c>
      <c r="N18" s="6" t="s">
        <v>19</v>
      </c>
      <c r="O18" s="6">
        <f xml:space="preserve"> O13 / $C$18</f>
        <v>3884.2086941640391</v>
      </c>
      <c r="P18" s="6" t="s">
        <v>20</v>
      </c>
      <c r="U18" s="2">
        <v>14</v>
      </c>
      <c r="V18" s="2">
        <f t="shared" si="7"/>
        <v>7.305908203125E-2</v>
      </c>
      <c r="W18" s="2">
        <f t="shared" si="0"/>
        <v>3.5815854006818193E-5</v>
      </c>
      <c r="X18" s="2">
        <f t="shared" si="8"/>
        <v>7.31201171875E-2</v>
      </c>
      <c r="Y18" s="2">
        <f t="shared" si="1"/>
        <v>-2.5392139910040967E-5</v>
      </c>
      <c r="Z18" s="2">
        <f t="shared" si="3"/>
        <v>7.3089599609375E-2</v>
      </c>
      <c r="AA18" s="2">
        <f t="shared" si="2"/>
        <v>5.2118738375628304E-6</v>
      </c>
      <c r="AB18" s="2">
        <f t="shared" si="4"/>
        <v>1.866677124681056E-10</v>
      </c>
      <c r="AC18" s="2">
        <f t="shared" si="5"/>
        <v>-1.3234062967687753E-10</v>
      </c>
      <c r="AD18" s="2">
        <f t="shared" si="6"/>
        <v>6.103515625E-5</v>
      </c>
      <c r="AF18" s="2">
        <v>14</v>
      </c>
      <c r="AG18" s="2">
        <f t="shared" si="13"/>
        <v>1570.37353515625</v>
      </c>
      <c r="AH18" s="2">
        <v>-0.38866271215567849</v>
      </c>
      <c r="AI18" s="2">
        <f t="shared" si="14"/>
        <v>1571.533203125</v>
      </c>
      <c r="AJ18" s="2">
        <v>0.29371713022942458</v>
      </c>
      <c r="AK18" s="2">
        <f t="shared" si="9"/>
        <v>1570.953369140625</v>
      </c>
      <c r="AL18" s="2">
        <v>-4.7462045019074139E-2</v>
      </c>
      <c r="AM18" s="2">
        <f t="shared" si="10"/>
        <v>1.8446727141568267E-2</v>
      </c>
      <c r="AN18" s="2">
        <f t="shared" si="11"/>
        <v>-1.3940415657822211E-2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49.326540569268595</v>
      </c>
      <c r="H19" s="6" t="s">
        <v>101</v>
      </c>
      <c r="J19" s="14" t="s">
        <v>61</v>
      </c>
      <c r="K19" s="6">
        <f xml:space="preserve"> $C$55 * C31 * $C$5</f>
        <v>17.595580816983123</v>
      </c>
      <c r="L19" s="6" t="s">
        <v>7</v>
      </c>
      <c r="N19" s="6" t="s">
        <v>26</v>
      </c>
      <c r="O19" s="6">
        <f>$C$7*2*PI()/60</f>
        <v>51.847759358977306</v>
      </c>
      <c r="P19" s="6" t="s">
        <v>27</v>
      </c>
      <c r="U19" s="2">
        <v>15</v>
      </c>
      <c r="V19" s="2">
        <f t="shared" si="7"/>
        <v>7.3089599609375E-2</v>
      </c>
      <c r="W19" s="2">
        <f t="shared" si="0"/>
        <v>5.2118738375628304E-6</v>
      </c>
      <c r="X19" s="2">
        <f t="shared" si="8"/>
        <v>7.31201171875E-2</v>
      </c>
      <c r="Y19" s="2">
        <f t="shared" si="1"/>
        <v>-2.5392139910040967E-5</v>
      </c>
      <c r="Z19" s="2">
        <f t="shared" si="3"/>
        <v>7.31048583984375E-2</v>
      </c>
      <c r="AA19" s="2">
        <f t="shared" si="2"/>
        <v>-1.0090128839124191E-5</v>
      </c>
      <c r="AB19" s="2">
        <f t="shared" si="4"/>
        <v>-5.2588478514269583E-11</v>
      </c>
      <c r="AC19" s="2">
        <f t="shared" si="5"/>
        <v>2.5620996319338071E-10</v>
      </c>
      <c r="AD19" s="2">
        <f t="shared" si="6"/>
        <v>3.0517578125E-5</v>
      </c>
      <c r="AF19" s="2">
        <v>15</v>
      </c>
      <c r="AG19" s="2">
        <f t="shared" si="13"/>
        <v>1570.953369140625</v>
      </c>
      <c r="AH19" s="2">
        <v>-4.7462045019074139E-2</v>
      </c>
      <c r="AI19" s="2">
        <f t="shared" si="14"/>
        <v>1571.533203125</v>
      </c>
      <c r="AJ19" s="2">
        <v>0.29371713022942458</v>
      </c>
      <c r="AK19" s="2">
        <f t="shared" si="9"/>
        <v>1571.2432861328125</v>
      </c>
      <c r="AL19" s="2">
        <v>0.12312908789283483</v>
      </c>
      <c r="AM19" s="2">
        <f t="shared" si="10"/>
        <v>-5.8439583127272631E-3</v>
      </c>
      <c r="AN19" s="2">
        <f t="shared" si="11"/>
        <v>3.6165122343650033E-2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8.0347299932250227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0.47490901499441146</v>
      </c>
      <c r="U20" s="2">
        <v>16</v>
      </c>
      <c r="V20" s="2">
        <f t="shared" si="7"/>
        <v>7.3089599609375E-2</v>
      </c>
      <c r="W20" s="2">
        <f t="shared" si="0"/>
        <v>5.2118738375628304E-6</v>
      </c>
      <c r="X20" s="2">
        <f t="shared" si="8"/>
        <v>7.31048583984375E-2</v>
      </c>
      <c r="Y20" s="2">
        <f t="shared" si="1"/>
        <v>-1.0090128839124191E-5</v>
      </c>
      <c r="Z20" s="2">
        <f t="shared" si="3"/>
        <v>7.309722900390625E-2</v>
      </c>
      <c r="AA20" s="2">
        <f t="shared" si="2"/>
        <v>-2.4391264514811439E-6</v>
      </c>
      <c r="AB20" s="2">
        <f t="shared" si="4"/>
        <v>-1.2712419338982038E-11</v>
      </c>
      <c r="AC20" s="2">
        <f t="shared" si="5"/>
        <v>2.4611100150360541E-11</v>
      </c>
      <c r="AD20" s="2">
        <f t="shared" si="6"/>
        <v>1.52587890625E-5</v>
      </c>
      <c r="AF20" s="2">
        <v>16</v>
      </c>
      <c r="AG20" s="2">
        <f t="shared" si="13"/>
        <v>1570.953369140625</v>
      </c>
      <c r="AH20" s="2">
        <v>-4.7462045019074139E-2</v>
      </c>
      <c r="AI20" s="2">
        <f t="shared" si="14"/>
        <v>1571.2432861328125</v>
      </c>
      <c r="AJ20" s="2">
        <v>0.12312908789283483</v>
      </c>
      <c r="AK20" s="2">
        <f t="shared" si="9"/>
        <v>1571.0983276367188</v>
      </c>
      <c r="AL20" s="2">
        <v>3.7834480164065099E-2</v>
      </c>
      <c r="AM20" s="2">
        <f t="shared" si="10"/>
        <v>-1.7957018008201253E-3</v>
      </c>
      <c r="AN20" s="2">
        <f t="shared" si="11"/>
        <v>4.6585250335008871E-3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0.14000119208904885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8.5963499829038621E-3</v>
      </c>
      <c r="U21" s="2">
        <v>17</v>
      </c>
      <c r="V21" s="2">
        <f t="shared" si="7"/>
        <v>7.3089599609375E-2</v>
      </c>
      <c r="W21" s="2">
        <f t="shared" si="0"/>
        <v>5.2118738375628304E-6</v>
      </c>
      <c r="X21" s="2">
        <f t="shared" si="8"/>
        <v>7.309722900390625E-2</v>
      </c>
      <c r="Y21" s="2">
        <f t="shared" si="1"/>
        <v>-2.4391264514811439E-6</v>
      </c>
      <c r="Z21" s="2">
        <f t="shared" si="3"/>
        <v>7.3093414306640625E-2</v>
      </c>
      <c r="AA21" s="2">
        <f t="shared" si="2"/>
        <v>1.3863739553726662E-6</v>
      </c>
      <c r="AB21" s="2">
        <f t="shared" si="4"/>
        <v>7.225606147085298E-12</v>
      </c>
      <c r="AC21" s="2">
        <f t="shared" si="5"/>
        <v>-3.3815413861940092E-12</v>
      </c>
      <c r="AD21" s="2">
        <f t="shared" si="6"/>
        <v>7.62939453125E-6</v>
      </c>
      <c r="AF21" s="2">
        <v>17</v>
      </c>
      <c r="AG21" s="2">
        <f t="shared" si="13"/>
        <v>1570.953369140625</v>
      </c>
      <c r="AH21" s="2">
        <v>-4.7462045019074139E-2</v>
      </c>
      <c r="AI21" s="2">
        <f t="shared" si="14"/>
        <v>1571.0983276367188</v>
      </c>
      <c r="AJ21" s="2">
        <v>3.7834480164065099E-2</v>
      </c>
      <c r="AK21" s="2">
        <f t="shared" si="9"/>
        <v>1571.0258483886719</v>
      </c>
      <c r="AL21" s="2">
        <v>-4.8164072768486221E-3</v>
      </c>
      <c r="AM21" s="2">
        <f t="shared" si="10"/>
        <v>2.2859653900398559E-4</v>
      </c>
      <c r="AN21" s="2">
        <f t="shared" si="11"/>
        <v>-1.82226265577988E-4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197.30616227707438</v>
      </c>
      <c r="H22" s="25" t="s">
        <v>101</v>
      </c>
      <c r="J22" s="14" t="s">
        <v>112</v>
      </c>
      <c r="K22" s="6">
        <f>$C$55*(0.14*$G$12*1000/745.7)*0.453592</f>
        <v>14.482268463066763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7.3093414306640625E-2</v>
      </c>
      <c r="W22" s="2">
        <f t="shared" si="0"/>
        <v>1.3863739553726662E-6</v>
      </c>
      <c r="X22" s="2">
        <f t="shared" si="8"/>
        <v>7.309722900390625E-2</v>
      </c>
      <c r="Y22" s="2">
        <f t="shared" si="1"/>
        <v>-2.4391264514811439E-6</v>
      </c>
      <c r="Z22" s="2">
        <f t="shared" si="3"/>
        <v>7.3095321655273438E-2</v>
      </c>
      <c r="AA22" s="2">
        <f t="shared" si="2"/>
        <v>-5.263761824747526E-7</v>
      </c>
      <c r="AB22" s="2">
        <f t="shared" si="4"/>
        <v>-7.2975423011148708E-13</v>
      </c>
      <c r="AC22" s="2">
        <f t="shared" si="5"/>
        <v>1.2838980701038345E-12</v>
      </c>
      <c r="AD22" s="2">
        <f t="shared" si="6"/>
        <v>3.814697265625E-6</v>
      </c>
      <c r="AF22" s="2">
        <v>18</v>
      </c>
      <c r="AG22" s="2">
        <f t="shared" si="13"/>
        <v>1571.0258483886719</v>
      </c>
      <c r="AH22" s="2">
        <v>-4.8164072768486221E-3</v>
      </c>
      <c r="AI22" s="2">
        <f t="shared" si="14"/>
        <v>1571.0983276367188</v>
      </c>
      <c r="AJ22" s="2">
        <v>3.7834480164065099E-2</v>
      </c>
      <c r="AK22" s="2">
        <f t="shared" si="9"/>
        <v>1571.0620880126953</v>
      </c>
      <c r="AL22" s="2">
        <v>1.6508953093534728E-2</v>
      </c>
      <c r="AM22" s="2">
        <f t="shared" si="10"/>
        <v>-7.951384181285324E-5</v>
      </c>
      <c r="AN22" s="2">
        <f t="shared" si="11"/>
        <v>6.2460765834682086E-4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33.682968992510546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8848.3361115090793</v>
      </c>
      <c r="P23" s="6" t="s">
        <v>18</v>
      </c>
      <c r="U23" s="2">
        <v>19</v>
      </c>
      <c r="V23" s="2">
        <f t="shared" si="7"/>
        <v>7.3093414306640625E-2</v>
      </c>
      <c r="W23" s="2">
        <f t="shared" si="0"/>
        <v>1.3863739553726662E-6</v>
      </c>
      <c r="X23" s="2">
        <f t="shared" si="8"/>
        <v>7.3095321655273438E-2</v>
      </c>
      <c r="Y23" s="2">
        <f t="shared" si="1"/>
        <v>-5.263761824747526E-7</v>
      </c>
      <c r="Z23" s="2">
        <f t="shared" si="3"/>
        <v>7.3094367980957031E-2</v>
      </c>
      <c r="AA23" s="2">
        <f t="shared" si="2"/>
        <v>4.2999890284556308E-7</v>
      </c>
      <c r="AB23" s="2">
        <f t="shared" si="4"/>
        <v>5.961392797439101E-13</v>
      </c>
      <c r="AC23" s="2">
        <f t="shared" si="5"/>
        <v>-2.2634118094817952E-13</v>
      </c>
      <c r="AD23" s="2">
        <f t="shared" si="6"/>
        <v>1.9073486328125E-6</v>
      </c>
      <c r="AF23" s="2">
        <v>19</v>
      </c>
      <c r="AG23" s="2">
        <f t="shared" si="13"/>
        <v>1571.0258483886719</v>
      </c>
      <c r="AH23" s="2">
        <v>-4.8164072768486221E-3</v>
      </c>
      <c r="AI23" s="2">
        <f t="shared" si="14"/>
        <v>1571.0620880126953</v>
      </c>
      <c r="AJ23" s="2">
        <v>1.6508953093534728E-2</v>
      </c>
      <c r="AK23" s="2">
        <f t="shared" si="9"/>
        <v>1571.0439682006836</v>
      </c>
      <c r="AL23" s="2">
        <v>5.8485436551336534E-3</v>
      </c>
      <c r="AM23" s="2">
        <f t="shared" si="10"/>
        <v>-2.8168968219552566E-5</v>
      </c>
      <c r="AN23" s="2">
        <f t="shared" si="11"/>
        <v>9.6553332868091633E-5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6.8590022388889045</v>
      </c>
      <c r="L24" s="6" t="s">
        <v>7</v>
      </c>
      <c r="N24" s="6" t="s">
        <v>31</v>
      </c>
      <c r="O24" s="18">
        <f>Z34</f>
        <v>7.3094796855002642E-2</v>
      </c>
      <c r="U24" s="2">
        <v>20</v>
      </c>
      <c r="V24" s="2">
        <f t="shared" si="7"/>
        <v>7.3094367980957031E-2</v>
      </c>
      <c r="W24" s="2">
        <f t="shared" si="0"/>
        <v>4.2999890284556308E-7</v>
      </c>
      <c r="X24" s="2">
        <f t="shared" si="8"/>
        <v>7.3095321655273438E-2</v>
      </c>
      <c r="Y24" s="2">
        <f t="shared" si="1"/>
        <v>-5.263761824747526E-7</v>
      </c>
      <c r="Z24" s="2">
        <f t="shared" si="3"/>
        <v>7.3094844818115234E-2</v>
      </c>
      <c r="AA24" s="2">
        <f t="shared" si="2"/>
        <v>-4.8188635720647355E-8</v>
      </c>
      <c r="AB24" s="2">
        <f t="shared" si="4"/>
        <v>-2.0721060489502872E-14</v>
      </c>
      <c r="AC24" s="2">
        <f t="shared" si="5"/>
        <v>2.5365350109300854E-14</v>
      </c>
      <c r="AD24" s="2">
        <f t="shared" si="6"/>
        <v>9.5367431640625E-7</v>
      </c>
      <c r="AF24" s="2">
        <v>20</v>
      </c>
      <c r="AG24" s="2">
        <f t="shared" si="13"/>
        <v>1571.0258483886719</v>
      </c>
      <c r="AH24" s="2">
        <v>-4.8164072768486221E-3</v>
      </c>
      <c r="AI24" s="2">
        <f t="shared" si="14"/>
        <v>1571.0439682006836</v>
      </c>
      <c r="AJ24" s="2">
        <v>5.8485436551336534E-3</v>
      </c>
      <c r="AK24" s="2">
        <f t="shared" si="9"/>
        <v>1571.0349082946777</v>
      </c>
      <c r="AL24" s="2">
        <v>5.1835454416959692E-4</v>
      </c>
      <c r="AM24" s="2">
        <f t="shared" si="10"/>
        <v>-2.4966065985259973E-6</v>
      </c>
      <c r="AN24" s="2">
        <f t="shared" si="11"/>
        <v>3.0316191804127931E-6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10.054617609704641</v>
      </c>
      <c r="L25" s="6" t="s">
        <v>7</v>
      </c>
      <c r="N25" s="6" t="s">
        <v>32</v>
      </c>
      <c r="O25" s="6">
        <f xml:space="preserve"> O19 * $C$9 * O24 - $C$8 * SIN(O17/180*PI())</f>
        <v>1.2516718386215437</v>
      </c>
      <c r="P25" s="6" t="s">
        <v>10</v>
      </c>
      <c r="U25" s="2">
        <v>21</v>
      </c>
      <c r="V25" s="2">
        <f t="shared" si="7"/>
        <v>7.3094367980957031E-2</v>
      </c>
      <c r="W25" s="2">
        <f t="shared" si="0"/>
        <v>4.2999890284556308E-7</v>
      </c>
      <c r="X25" s="2">
        <f t="shared" si="8"/>
        <v>7.3094844818115234E-2</v>
      </c>
      <c r="Y25" s="2">
        <f t="shared" si="1"/>
        <v>-4.8188635720647355E-8</v>
      </c>
      <c r="Z25" s="2">
        <f t="shared" si="3"/>
        <v>7.3094606399536133E-2</v>
      </c>
      <c r="AA25" s="2">
        <f t="shared" si="2"/>
        <v>1.9090513458941416E-7</v>
      </c>
      <c r="AB25" s="2">
        <f t="shared" si="4"/>
        <v>8.2088998421032645E-14</v>
      </c>
      <c r="AC25" s="2">
        <f t="shared" si="5"/>
        <v>-9.1994579879304338E-15</v>
      </c>
      <c r="AD25" s="2">
        <f t="shared" si="6"/>
        <v>4.76837158203125E-7</v>
      </c>
      <c r="AF25" s="2">
        <v>21</v>
      </c>
      <c r="AG25" s="2">
        <f t="shared" si="13"/>
        <v>1571.0258483886719</v>
      </c>
      <c r="AH25" s="2">
        <v>-4.8164072768486221E-3</v>
      </c>
      <c r="AI25" s="2">
        <f t="shared" si="14"/>
        <v>1571.0349082946777</v>
      </c>
      <c r="AJ25" s="2">
        <v>5.1835454416959692E-4</v>
      </c>
      <c r="AK25" s="2">
        <f t="shared" si="9"/>
        <v>1571.0303783416748</v>
      </c>
      <c r="AL25" s="2">
        <v>-2.1513192377824453E-3</v>
      </c>
      <c r="AM25" s="2">
        <f t="shared" si="10"/>
        <v>1.0361629631679801E-5</v>
      </c>
      <c r="AN25" s="2">
        <f t="shared" si="11"/>
        <v>-1.1151461028640042E-6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23.717769892124792</v>
      </c>
      <c r="L26" s="6" t="s">
        <v>7</v>
      </c>
      <c r="N26" s="6" t="s">
        <v>33</v>
      </c>
      <c r="O26" s="6">
        <f xml:space="preserve"> 1/$C$21 - O23 * SQRT( (2*$C$47*PI()*$C$9^2) / O18^3 )</f>
        <v>1.0850107996309564</v>
      </c>
      <c r="U26" s="2">
        <v>22</v>
      </c>
      <c r="V26" s="2">
        <f t="shared" si="7"/>
        <v>7.3094606399536133E-2</v>
      </c>
      <c r="W26" s="2">
        <f t="shared" si="0"/>
        <v>1.9090513458941416E-7</v>
      </c>
      <c r="X26" s="2">
        <f t="shared" si="8"/>
        <v>7.3094844818115234E-2</v>
      </c>
      <c r="Y26" s="2">
        <f t="shared" si="1"/>
        <v>-4.8188635720647355E-8</v>
      </c>
      <c r="Z26" s="2">
        <f t="shared" si="3"/>
        <v>7.3094725608825684E-2</v>
      </c>
      <c r="AA26" s="2">
        <f t="shared" si="2"/>
        <v>7.1358249698061371E-8</v>
      </c>
      <c r="AB26" s="2">
        <f t="shared" si="4"/>
        <v>1.3622656262673429E-14</v>
      </c>
      <c r="AC26" s="2">
        <f t="shared" si="5"/>
        <v>-3.4386567003628736E-15</v>
      </c>
      <c r="AD26" s="2">
        <f t="shared" si="6"/>
        <v>2.384185791015625E-7</v>
      </c>
      <c r="AF26" s="2">
        <v>22</v>
      </c>
      <c r="AG26" s="2">
        <f t="shared" si="13"/>
        <v>1571.0303783416748</v>
      </c>
      <c r="AH26" s="2">
        <v>-2.1513192377824453E-3</v>
      </c>
      <c r="AI26" s="2">
        <f t="shared" si="14"/>
        <v>1571.0349082946777</v>
      </c>
      <c r="AJ26" s="2">
        <v>5.1835454416959692E-4</v>
      </c>
      <c r="AK26" s="2">
        <f t="shared" si="9"/>
        <v>1571.0326433181763</v>
      </c>
      <c r="AL26" s="2">
        <v>-8.1648267564560228E-4</v>
      </c>
      <c r="AM26" s="2">
        <f t="shared" si="10"/>
        <v>1.7565148874324687E-6</v>
      </c>
      <c r="AN26" s="2">
        <f t="shared" si="11"/>
        <v>-4.2322750515664902E-7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-1.7775903302208462E-5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7.3094725608825684E-2</v>
      </c>
      <c r="W27" s="2">
        <f t="shared" si="0"/>
        <v>7.1358249698061371E-8</v>
      </c>
      <c r="X27" s="2">
        <f t="shared" si="8"/>
        <v>7.3094844818115234E-2</v>
      </c>
      <c r="Y27" s="2">
        <f t="shared" si="1"/>
        <v>-4.8188635720647355E-8</v>
      </c>
      <c r="Z27" s="2">
        <f t="shared" si="3"/>
        <v>7.3094785213470459E-2</v>
      </c>
      <c r="AA27" s="2">
        <f t="shared" si="2"/>
        <v>1.1584807058095947E-8</v>
      </c>
      <c r="AB27" s="2">
        <f t="shared" si="4"/>
        <v>8.2667155475547442E-16</v>
      </c>
      <c r="AC27" s="2">
        <f t="shared" si="5"/>
        <v>-5.5825604721656991E-16</v>
      </c>
      <c r="AD27" s="2">
        <f t="shared" si="6"/>
        <v>1.1920928955078125E-7</v>
      </c>
      <c r="AF27" s="2">
        <v>23</v>
      </c>
      <c r="AG27" s="2">
        <f t="shared" si="13"/>
        <v>1571.0326433181763</v>
      </c>
      <c r="AH27" s="2">
        <v>-8.1648267564560228E-4</v>
      </c>
      <c r="AI27" s="2">
        <f t="shared" si="14"/>
        <v>1571.0349082946777</v>
      </c>
      <c r="AJ27" s="2">
        <v>5.1835454416959692E-4</v>
      </c>
      <c r="AK27" s="2">
        <f t="shared" si="9"/>
        <v>1571.033775806427</v>
      </c>
      <c r="AL27" s="2">
        <v>-1.4906414799042977E-4</v>
      </c>
      <c r="AM27" s="2">
        <f t="shared" si="10"/>
        <v>1.2170829439405812E-7</v>
      </c>
      <c r="AN27" s="2">
        <f t="shared" si="11"/>
        <v>-7.7268078483608557E-8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3849.618982206227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1.1544353811568435</v>
      </c>
      <c r="U28" s="2">
        <v>24</v>
      </c>
      <c r="V28" s="2">
        <f t="shared" si="7"/>
        <v>7.3094785213470459E-2</v>
      </c>
      <c r="W28" s="2">
        <f t="shared" si="0"/>
        <v>1.1584807058095947E-8</v>
      </c>
      <c r="X28" s="2">
        <f t="shared" si="8"/>
        <v>7.3094844818115234E-2</v>
      </c>
      <c r="Y28" s="2">
        <f t="shared" si="1"/>
        <v>-4.8188635720647355E-8</v>
      </c>
      <c r="Z28" s="2">
        <f t="shared" si="3"/>
        <v>7.3094815015792847E-2</v>
      </c>
      <c r="AA28" s="2">
        <f t="shared" si="2"/>
        <v>-1.8301914317397916E-8</v>
      </c>
      <c r="AB28" s="2">
        <f t="shared" si="4"/>
        <v>-2.1202414616085865E-16</v>
      </c>
      <c r="AC28" s="2">
        <f t="shared" si="5"/>
        <v>8.819442820315885E-16</v>
      </c>
      <c r="AD28" s="2">
        <f t="shared" si="6"/>
        <v>5.9604644775390625E-8</v>
      </c>
      <c r="AF28" s="2">
        <v>24</v>
      </c>
      <c r="AG28" s="2">
        <f t="shared" si="13"/>
        <v>1571.033775806427</v>
      </c>
      <c r="AH28" s="2">
        <v>-1.4906414799042977E-4</v>
      </c>
      <c r="AI28" s="2">
        <f t="shared" si="14"/>
        <v>1571.0349082946777</v>
      </c>
      <c r="AJ28" s="2">
        <v>5.1835454416959692E-4</v>
      </c>
      <c r="AK28" s="2">
        <f t="shared" si="9"/>
        <v>1571.0343420505524</v>
      </c>
      <c r="AL28" s="2">
        <v>1.8464517734173569E-4</v>
      </c>
      <c r="AM28" s="2">
        <f t="shared" si="10"/>
        <v>-2.7523976040987641E-8</v>
      </c>
      <c r="AN28" s="2">
        <f t="shared" si="11"/>
        <v>9.5711666734089782E-8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46.167756643128889</v>
      </c>
      <c r="H29" t="s">
        <v>18</v>
      </c>
      <c r="U29" s="2">
        <v>25</v>
      </c>
      <c r="V29" s="2">
        <f t="shared" si="7"/>
        <v>7.3094785213470459E-2</v>
      </c>
      <c r="W29" s="2">
        <f t="shared" si="0"/>
        <v>1.1584807058095947E-8</v>
      </c>
      <c r="X29" s="2">
        <f t="shared" si="8"/>
        <v>7.3094815015792847E-2</v>
      </c>
      <c r="Y29" s="2">
        <f t="shared" si="1"/>
        <v>-1.8301914317397916E-8</v>
      </c>
      <c r="Z29" s="2">
        <f t="shared" si="3"/>
        <v>7.3094800114631653E-2</v>
      </c>
      <c r="AA29" s="2">
        <f t="shared" si="2"/>
        <v>-3.3585536296509844E-9</v>
      </c>
      <c r="AB29" s="2">
        <f t="shared" si="4"/>
        <v>-3.8908195793774484E-17</v>
      </c>
      <c r="AC29" s="2">
        <f t="shared" si="5"/>
        <v>6.1467960760258092E-17</v>
      </c>
      <c r="AD29" s="2">
        <f t="shared" si="6"/>
        <v>2.9802322387695312E-8</v>
      </c>
      <c r="AF29" s="2">
        <v>25</v>
      </c>
      <c r="AG29" s="2">
        <f t="shared" si="13"/>
        <v>1571.033775806427</v>
      </c>
      <c r="AH29" s="2">
        <v>-1.4906414799042977E-4</v>
      </c>
      <c r="AI29" s="2">
        <f t="shared" si="14"/>
        <v>1571.0343420505524</v>
      </c>
      <c r="AJ29" s="2">
        <v>1.8464517734173569E-4</v>
      </c>
      <c r="AK29" s="2">
        <f t="shared" si="9"/>
        <v>1571.0340589284897</v>
      </c>
      <c r="AL29" s="2">
        <v>1.7790509787118935E-5</v>
      </c>
      <c r="AM29" s="2">
        <f t="shared" si="10"/>
        <v>-2.6519271837322863E-9</v>
      </c>
      <c r="AN29" s="2">
        <f t="shared" si="11"/>
        <v>3.2849318346424604E-9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8.5072034886828618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7.3094785213470459E-2</v>
      </c>
      <c r="W30" s="2">
        <f t="shared" si="0"/>
        <v>1.1584807058095947E-8</v>
      </c>
      <c r="X30" s="2">
        <f t="shared" si="8"/>
        <v>7.3094800114631653E-2</v>
      </c>
      <c r="Y30" s="2">
        <f t="shared" si="1"/>
        <v>-3.3585536296509844E-9</v>
      </c>
      <c r="Z30" s="2">
        <f t="shared" si="3"/>
        <v>7.3094792664051056E-2</v>
      </c>
      <c r="AA30" s="2">
        <f t="shared" si="2"/>
        <v>4.1131267142224814E-9</v>
      </c>
      <c r="AB30" s="2">
        <f t="shared" si="4"/>
        <v>4.7649779389767597E-17</v>
      </c>
      <c r="AC30" s="2">
        <f t="shared" si="5"/>
        <v>-1.3814156655266342E-17</v>
      </c>
      <c r="AD30" s="2">
        <f t="shared" si="6"/>
        <v>1.4901161193847656E-8</v>
      </c>
      <c r="AF30" s="2">
        <v>26</v>
      </c>
      <c r="AG30" s="2">
        <f t="shared" si="13"/>
        <v>1571.033775806427</v>
      </c>
      <c r="AH30" s="2">
        <v>-1.4906414799042977E-4</v>
      </c>
      <c r="AI30" s="2">
        <f t="shared" si="14"/>
        <v>1571.0340589284897</v>
      </c>
      <c r="AJ30" s="2">
        <v>1.7790509787118935E-5</v>
      </c>
      <c r="AK30" s="2">
        <f t="shared" si="9"/>
        <v>1571.0339173674583</v>
      </c>
      <c r="AL30" s="2">
        <v>-6.5636820522740891E-5</v>
      </c>
      <c r="AM30" s="2">
        <f t="shared" si="10"/>
        <v>9.7840967280231267E-9</v>
      </c>
      <c r="AN30" s="2">
        <f t="shared" si="11"/>
        <v>-1.1677124979051908E-9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184.67102657251556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7.3094792664051056E-2</v>
      </c>
      <c r="W31" s="2">
        <f t="shared" si="0"/>
        <v>4.1131267142224814E-9</v>
      </c>
      <c r="X31" s="2">
        <f t="shared" si="8"/>
        <v>7.3094800114631653E-2</v>
      </c>
      <c r="Y31" s="2">
        <f t="shared" si="1"/>
        <v>-3.3585536296509844E-9</v>
      </c>
      <c r="Z31" s="2">
        <f t="shared" si="3"/>
        <v>7.3094796389341354E-2</v>
      </c>
      <c r="AA31" s="2">
        <f t="shared" si="2"/>
        <v>3.7728654922464244E-10</v>
      </c>
      <c r="AB31" s="2">
        <f t="shared" si="4"/>
        <v>1.5518273845326921E-18</v>
      </c>
      <c r="AC31" s="2">
        <f t="shared" si="5"/>
        <v>-1.2671371093169177E-18</v>
      </c>
      <c r="AD31" s="2">
        <f t="shared" si="6"/>
        <v>7.4505805969238281E-9</v>
      </c>
      <c r="AF31" s="2">
        <v>27</v>
      </c>
      <c r="AG31" s="2">
        <f t="shared" si="13"/>
        <v>1571.0339173674583</v>
      </c>
      <c r="AH31" s="2">
        <v>-6.5636820522740891E-5</v>
      </c>
      <c r="AI31" s="2">
        <f t="shared" si="14"/>
        <v>1571.0340589284897</v>
      </c>
      <c r="AJ31" s="2">
        <v>-6.5636820522740891E-5</v>
      </c>
      <c r="AK31" s="2">
        <f t="shared" si="9"/>
        <v>1571.033988147974</v>
      </c>
      <c r="AL31" s="2">
        <v>-1.0735048408605508E-4</v>
      </c>
      <c r="AM31" s="2">
        <f t="shared" si="10"/>
        <v>7.0461444569857491E-9</v>
      </c>
      <c r="AN31" s="2">
        <f t="shared" si="11"/>
        <v>7.0461444569857491E-9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433.25</v>
      </c>
      <c r="L32" s="6" t="s">
        <v>7</v>
      </c>
      <c r="U32" s="2">
        <v>28</v>
      </c>
      <c r="V32" s="2">
        <f t="shared" si="7"/>
        <v>7.3094796389341354E-2</v>
      </c>
      <c r="W32" s="2">
        <f t="shared" si="0"/>
        <v>3.7728654922464244E-10</v>
      </c>
      <c r="X32" s="2">
        <f t="shared" si="8"/>
        <v>7.3094800114631653E-2</v>
      </c>
      <c r="Y32" s="2">
        <f t="shared" si="1"/>
        <v>-3.3585536296509844E-9</v>
      </c>
      <c r="Z32" s="2">
        <f t="shared" si="3"/>
        <v>7.3094798251986504E-2</v>
      </c>
      <c r="AA32" s="2">
        <f t="shared" si="2"/>
        <v>-1.4906335471520649E-9</v>
      </c>
      <c r="AB32" s="2">
        <f t="shared" si="4"/>
        <v>-5.6239598716349089E-19</v>
      </c>
      <c r="AC32" s="2">
        <f t="shared" si="5"/>
        <v>5.0063727102670888E-18</v>
      </c>
      <c r="AD32" s="2">
        <f t="shared" si="6"/>
        <v>3.7252902984619141E-9</v>
      </c>
      <c r="AF32" s="2">
        <v>28</v>
      </c>
      <c r="AG32" s="2">
        <f t="shared" si="13"/>
        <v>1571.033988147974</v>
      </c>
      <c r="AH32" s="2">
        <v>-2.3923155595184653E-5</v>
      </c>
      <c r="AI32" s="2">
        <f t="shared" si="14"/>
        <v>1571.033988147974</v>
      </c>
      <c r="AJ32" s="2">
        <v>-1.0735048408605508E-4</v>
      </c>
      <c r="AK32" s="2">
        <f t="shared" si="9"/>
        <v>1571.033988147974</v>
      </c>
      <c r="AL32" s="2">
        <v>-1.0735048408605508E-4</v>
      </c>
      <c r="AM32" s="2">
        <f t="shared" si="10"/>
        <v>2.5681623340090894E-9</v>
      </c>
      <c r="AN32" s="2">
        <f t="shared" si="11"/>
        <v>1.1524126433510364E-8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305.82</v>
      </c>
      <c r="L33" s="6" t="s">
        <v>7</v>
      </c>
      <c r="U33" s="2">
        <v>29</v>
      </c>
      <c r="V33" s="2">
        <f t="shared" si="7"/>
        <v>7.3094796389341354E-2</v>
      </c>
      <c r="W33" s="2">
        <f t="shared" si="0"/>
        <v>3.7728654922464244E-10</v>
      </c>
      <c r="X33" s="2">
        <f t="shared" si="8"/>
        <v>7.3094798251986504E-2</v>
      </c>
      <c r="Y33" s="2">
        <f t="shared" si="1"/>
        <v>-1.4906335471520649E-9</v>
      </c>
      <c r="Z33" s="2">
        <f t="shared" si="3"/>
        <v>7.3094797320663929E-2</v>
      </c>
      <c r="AA33" s="2">
        <f t="shared" si="2"/>
        <v>-5.5667349896371121E-10</v>
      </c>
      <c r="AB33" s="2">
        <f t="shared" si="4"/>
        <v>-2.1002542346882617E-19</v>
      </c>
      <c r="AC33" s="2">
        <f t="shared" si="5"/>
        <v>8.2979619236582815E-19</v>
      </c>
      <c r="AD33" s="2">
        <f t="shared" si="6"/>
        <v>1.862645149230957E-9</v>
      </c>
      <c r="AF33" s="2">
        <v>29</v>
      </c>
      <c r="AG33" s="2">
        <f t="shared" si="13"/>
        <v>1571.033988147974</v>
      </c>
      <c r="AH33" s="2">
        <v>-2.3923155595184653E-5</v>
      </c>
      <c r="AI33" s="2">
        <f t="shared" si="14"/>
        <v>1571.033988147974</v>
      </c>
      <c r="AJ33" s="2">
        <v>-1.2820731592455559E-4</v>
      </c>
      <c r="AK33" s="2">
        <f t="shared" si="9"/>
        <v>1571.033988147974</v>
      </c>
      <c r="AL33" s="2">
        <v>-1.0735048408605508E-4</v>
      </c>
      <c r="AM33" s="2">
        <f t="shared" si="10"/>
        <v>2.5681623340090894E-9</v>
      </c>
      <c r="AN33" s="2">
        <f t="shared" si="11"/>
        <v>1.376311742787484E-8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157.63999999999999</v>
      </c>
      <c r="L34" s="6" t="s">
        <v>7</v>
      </c>
      <c r="U34" s="2">
        <v>30</v>
      </c>
      <c r="V34" s="2">
        <f t="shared" si="7"/>
        <v>7.3094796389341354E-2</v>
      </c>
      <c r="W34" s="2">
        <f t="shared" si="0"/>
        <v>3.7728654922464244E-10</v>
      </c>
      <c r="X34" s="2">
        <f t="shared" si="8"/>
        <v>7.3094797320663929E-2</v>
      </c>
      <c r="Y34" s="2">
        <f t="shared" si="1"/>
        <v>-5.5667349896371121E-10</v>
      </c>
      <c r="Z34" s="2">
        <f t="shared" si="3"/>
        <v>7.3094796855002642E-2</v>
      </c>
      <c r="AA34" s="2">
        <f t="shared" si="2"/>
        <v>-8.9693474869534384E-11</v>
      </c>
      <c r="AB34" s="2">
        <f t="shared" si="4"/>
        <v>-3.3840141621493814E-20</v>
      </c>
      <c r="AC34" s="2">
        <f t="shared" si="5"/>
        <v>4.9929980489837407E-20</v>
      </c>
      <c r="AD34" s="2">
        <f>X34-V34</f>
        <v>9.3132257461547852E-10</v>
      </c>
      <c r="AF34" s="2">
        <v>30</v>
      </c>
      <c r="AG34" s="2">
        <f t="shared" si="13"/>
        <v>1571.033988147974</v>
      </c>
      <c r="AH34" s="2">
        <v>-2.3923155595184653E-5</v>
      </c>
      <c r="AI34" s="2">
        <f t="shared" si="14"/>
        <v>1571.033988147974</v>
      </c>
      <c r="AJ34" s="2">
        <v>-1.4092730123138608E-4</v>
      </c>
      <c r="AK34" s="2">
        <f t="shared" si="9"/>
        <v>1571.033988147974</v>
      </c>
      <c r="AL34" s="2">
        <v>-1.0735048408605508E-4</v>
      </c>
      <c r="AM34" s="2">
        <f t="shared" si="10"/>
        <v>2.5681623340090894E-9</v>
      </c>
      <c r="AN34" s="2">
        <f t="shared" si="11"/>
        <v>1.5128614008130602E-8</v>
      </c>
      <c r="AO34" s="2">
        <f t="shared" si="12"/>
        <v>0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197.30616227707438</v>
      </c>
      <c r="H35" s="25" t="s">
        <v>101</v>
      </c>
      <c r="J35" s="15" t="s">
        <v>70</v>
      </c>
      <c r="K35" s="6">
        <f>ROUND(SUM(K23:K26),2)</f>
        <v>74.31</v>
      </c>
      <c r="L35" s="6" t="s">
        <v>7</v>
      </c>
      <c r="AF35" s="2">
        <v>31</v>
      </c>
      <c r="AG35" s="2">
        <f t="shared" si="13"/>
        <v>1571.033988147974</v>
      </c>
      <c r="AH35" s="2">
        <v>-2.3923155595184653E-5</v>
      </c>
      <c r="AI35" s="2">
        <f t="shared" si="14"/>
        <v>1571.033988147974</v>
      </c>
      <c r="AJ35" s="2">
        <v>-1.4499572432669083E-4</v>
      </c>
      <c r="AK35" s="2">
        <f t="shared" si="9"/>
        <v>1571.033988147974</v>
      </c>
      <c r="AL35" s="2">
        <v>-1.0735048408605508E-4</v>
      </c>
      <c r="AM35" s="2">
        <f t="shared" si="10"/>
        <v>2.5681623340090894E-9</v>
      </c>
      <c r="AN35" s="2">
        <f t="shared" si="11"/>
        <v>1.5565361196878452E-8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1571.02</v>
      </c>
      <c r="L36" s="6" t="s">
        <v>7</v>
      </c>
      <c r="AF36" s="2">
        <v>32</v>
      </c>
      <c r="AG36" s="2">
        <f t="shared" si="13"/>
        <v>1571.033988147974</v>
      </c>
      <c r="AH36" s="2">
        <v>-2.3923155595184653E-5</v>
      </c>
      <c r="AI36" s="2">
        <f t="shared" si="14"/>
        <v>1571.033988147974</v>
      </c>
      <c r="AJ36" s="2">
        <v>-1.4702993598803005E-4</v>
      </c>
      <c r="AK36" s="2">
        <f t="shared" si="9"/>
        <v>1571.033988147974</v>
      </c>
      <c r="AL36" s="2">
        <v>-1.0735048408605508E-4</v>
      </c>
      <c r="AM36" s="2">
        <f t="shared" si="10"/>
        <v>2.5681623340090894E-9</v>
      </c>
      <c r="AN36" s="2">
        <f t="shared" si="11"/>
        <v>1.5783734803456717E-8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1571.033988147974</v>
      </c>
      <c r="AH37" s="2">
        <v>-2.3923155595184653E-5</v>
      </c>
      <c r="AI37" s="2">
        <f t="shared" si="14"/>
        <v>1571.033988147974</v>
      </c>
      <c r="AJ37" s="2">
        <v>-1.4804704187554307E-4</v>
      </c>
      <c r="AK37" s="2">
        <f t="shared" si="9"/>
        <v>1571.033988147974</v>
      </c>
      <c r="AL37" s="2">
        <v>-1.0735048408605508E-4</v>
      </c>
      <c r="AM37" s="2">
        <f t="shared" si="10"/>
        <v>2.5681623340090894E-9</v>
      </c>
      <c r="AN37" s="2">
        <f t="shared" si="11"/>
        <v>1.5892921612848018E-8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1571.033988147974</v>
      </c>
      <c r="AH38" s="2">
        <v>-2.3923155595184653E-5</v>
      </c>
      <c r="AI38" s="2">
        <f t="shared" si="14"/>
        <v>1571.033988147974</v>
      </c>
      <c r="AJ38" s="2">
        <v>-1.4855559493298642E-4</v>
      </c>
      <c r="AK38" s="2">
        <f t="shared" si="9"/>
        <v>1571.033988147974</v>
      </c>
      <c r="AL38" s="2">
        <v>-1.0735048408605508E-4</v>
      </c>
      <c r="AM38" s="2">
        <f t="shared" si="10"/>
        <v>2.5681623340090894E-9</v>
      </c>
      <c r="AN38" s="2">
        <f t="shared" si="11"/>
        <v>1.5947515029748001E-8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38.19</v>
      </c>
      <c r="L39" s="6" t="s">
        <v>58</v>
      </c>
      <c r="AF39" s="2">
        <v>35</v>
      </c>
      <c r="AG39" s="2">
        <f t="shared" si="13"/>
        <v>1571.033988147974</v>
      </c>
      <c r="AH39" s="2">
        <v>-2.3923155595184653E-5</v>
      </c>
      <c r="AI39" s="2">
        <f t="shared" si="14"/>
        <v>1571.033988147974</v>
      </c>
      <c r="AJ39" s="2">
        <v>-1.488098714617081E-4</v>
      </c>
      <c r="AK39" s="2">
        <f t="shared" si="9"/>
        <v>1571.033988147974</v>
      </c>
      <c r="AL39" s="2">
        <v>-1.0735048408605508E-4</v>
      </c>
      <c r="AM39" s="2">
        <f t="shared" si="10"/>
        <v>2.5681623340090894E-9</v>
      </c>
      <c r="AN39" s="2">
        <f t="shared" si="11"/>
        <v>1.5974811738197997E-8</v>
      </c>
      <c r="AO39" s="2">
        <f t="shared" si="12"/>
        <v>0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27.58</v>
      </c>
      <c r="L40" s="6" t="s">
        <v>58</v>
      </c>
      <c r="AF40" s="2">
        <v>36</v>
      </c>
      <c r="AG40" s="2">
        <f t="shared" si="13"/>
        <v>1571.033988147974</v>
      </c>
      <c r="AH40" s="2">
        <v>-2.3923155595184653E-5</v>
      </c>
      <c r="AI40" s="2">
        <f t="shared" si="14"/>
        <v>1571.033988147974</v>
      </c>
      <c r="AJ40" s="2">
        <v>-1.489370096123821E-4</v>
      </c>
      <c r="AK40" s="2">
        <f t="shared" si="9"/>
        <v>1571.033988147974</v>
      </c>
      <c r="AL40" s="2">
        <v>-1.0735048408605508E-4</v>
      </c>
      <c r="AM40" s="2">
        <f t="shared" si="10"/>
        <v>2.5681623340090894E-9</v>
      </c>
      <c r="AN40" s="2">
        <f t="shared" si="11"/>
        <v>1.5988460080218657E-8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19.47</v>
      </c>
      <c r="L41" s="6" t="s">
        <v>58</v>
      </c>
      <c r="AF41" s="2">
        <v>37</v>
      </c>
      <c r="AG41" s="2">
        <f t="shared" si="13"/>
        <v>1571.033988147974</v>
      </c>
      <c r="AH41" s="2">
        <v>-2.3923155595184653E-5</v>
      </c>
      <c r="AI41" s="2">
        <f t="shared" si="14"/>
        <v>1571.033988147974</v>
      </c>
      <c r="AJ41" s="2">
        <v>-1.4900057863087568E-4</v>
      </c>
      <c r="AK41" s="2">
        <f t="shared" si="9"/>
        <v>1571.033988147974</v>
      </c>
      <c r="AL41" s="2">
        <v>-1.0735048408605508E-4</v>
      </c>
      <c r="AM41" s="2">
        <f t="shared" si="10"/>
        <v>2.5681623340090894E-9</v>
      </c>
      <c r="AN41" s="2">
        <f t="shared" si="11"/>
        <v>1.5995284245126818E-8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10.029999999999999</v>
      </c>
      <c r="L42" s="6" t="s">
        <v>58</v>
      </c>
      <c r="AF42" s="2">
        <v>38</v>
      </c>
      <c r="AG42" s="2">
        <f t="shared" si="13"/>
        <v>1571.033988147974</v>
      </c>
      <c r="AH42" s="2">
        <v>-2.3923155595184653E-5</v>
      </c>
      <c r="AI42" s="2">
        <f t="shared" si="14"/>
        <v>1571.033988147974</v>
      </c>
      <c r="AJ42" s="2">
        <v>-1.4903236319696589E-4</v>
      </c>
      <c r="AK42" s="2">
        <f t="shared" si="9"/>
        <v>1571.033988147974</v>
      </c>
      <c r="AL42" s="2">
        <v>-1.0735048408605508E-4</v>
      </c>
      <c r="AM42" s="2">
        <f t="shared" si="10"/>
        <v>2.5681623340090894E-9</v>
      </c>
      <c r="AN42" s="2">
        <f t="shared" si="11"/>
        <v>1.5998696333683067E-8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1571.033988147974</v>
      </c>
      <c r="AH43" s="2">
        <v>-2.3923155595184653E-5</v>
      </c>
      <c r="AI43" s="2">
        <f t="shared" si="14"/>
        <v>1571.033988147974</v>
      </c>
      <c r="AJ43" s="2">
        <v>-1.4904825570738467E-4</v>
      </c>
      <c r="AK43" s="2">
        <f t="shared" si="9"/>
        <v>1571.033988147974</v>
      </c>
      <c r="AL43" s="2">
        <v>-1.0735048408605508E-4</v>
      </c>
      <c r="AM43" s="2">
        <f t="shared" si="10"/>
        <v>2.5681623340090894E-9</v>
      </c>
      <c r="AN43" s="2">
        <f t="shared" si="11"/>
        <v>1.6000402402369866E-8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1571.033988147974</v>
      </c>
      <c r="AH44" s="2">
        <v>-2.3923155595184653E-5</v>
      </c>
      <c r="AI44" s="2">
        <f t="shared" si="14"/>
        <v>1571.033988147974</v>
      </c>
      <c r="AJ44" s="2">
        <v>-1.4905620173522038E-4</v>
      </c>
      <c r="AK44" s="5">
        <f>(AG44+AI44)/2</f>
        <v>1571.033988147974</v>
      </c>
      <c r="AL44" s="2">
        <v>-1.0735048408605508E-4</v>
      </c>
      <c r="AM44" s="2">
        <f t="shared" si="10"/>
        <v>2.5681623340090894E-9</v>
      </c>
      <c r="AN44" s="2">
        <f t="shared" si="11"/>
        <v>1.600125541230459E-8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1691.6381233166687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38.19</v>
      </c>
      <c r="L47" s="6" t="s">
        <v>58</v>
      </c>
      <c r="N47" s="6" t="s">
        <v>154</v>
      </c>
      <c r="O47" s="6">
        <f>0.377*O46^0.6945</f>
        <v>65.826518144733342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27.58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34.229999999999997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topLeftCell="A3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877.88984585428443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5.5991051052284219E-2</v>
      </c>
      <c r="X4" s="3">
        <v>1</v>
      </c>
      <c r="Y4" s="2">
        <f t="shared" ref="Y4:Y34" si="1" xml:space="preserve"> $O$20 * TAN($O$17/180*PI()) + $O$21 / (2 * SQRT($O$20^2 + X4^2)) - X4</f>
        <v>-0.95428592607068574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-0.44959388101791053</v>
      </c>
      <c r="AB4" s="2">
        <f>W4*AA4</f>
        <v>-2.5173233944868426E-2</v>
      </c>
      <c r="AC4" s="2">
        <f>Y4*AA4</f>
        <v>0.42904111310289045</v>
      </c>
      <c r="AD4" s="2">
        <f>X4-V4</f>
        <v>1</v>
      </c>
      <c r="AF4" s="2">
        <v>0</v>
      </c>
      <c r="AG4" s="2"/>
      <c r="AH4" s="2">
        <f>K27</f>
        <v>-2.5630906702645007E-4</v>
      </c>
      <c r="AI4" s="2"/>
      <c r="AJ4" s="2">
        <f>K27</f>
        <v>-2.5630906702645007E-4</v>
      </c>
      <c r="AK4" s="2"/>
      <c r="AL4" s="2">
        <f>K27</f>
        <v>-2.5630906702645007E-4</v>
      </c>
      <c r="AM4" s="2"/>
      <c r="AN4" s="2"/>
      <c r="AO4" s="2"/>
    </row>
    <row r="5" spans="2:41" x14ac:dyDescent="0.2">
      <c r="B5" s="10" t="s">
        <v>37</v>
      </c>
      <c r="C5" s="10">
        <v>3172.72633068611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219.47246146357111</v>
      </c>
      <c r="L5" s="6" t="s">
        <v>101</v>
      </c>
      <c r="N5" s="6" t="s">
        <v>114</v>
      </c>
      <c r="O5" s="6">
        <f xml:space="preserve"> $C$18 * 0.85 * ($C$5/$C$18 *2.20462/1000)^(2/3) * 0.3048^2</f>
        <v>0.45847228288382935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5.5991051052284219E-2</v>
      </c>
      <c r="X5" s="2">
        <f>IF(AC4&gt;0, Z4, X4)</f>
        <v>0.5</v>
      </c>
      <c r="Y5" s="2">
        <f t="shared" si="1"/>
        <v>-0.44959388101791053</v>
      </c>
      <c r="Z5" s="2">
        <f t="shared" ref="Z5:Z34" si="3" xml:space="preserve"> (V5 + X5)/2</f>
        <v>0.25</v>
      </c>
      <c r="AA5" s="2">
        <f t="shared" si="2"/>
        <v>-0.19606799116068818</v>
      </c>
      <c r="AB5" s="2">
        <f t="shared" ref="AB5:AB34" si="4">W5*AA5</f>
        <v>-1.0978052902796904E-2</v>
      </c>
      <c r="AC5" s="2">
        <f t="shared" ref="AC5:AC34" si="5">Y5*AA5</f>
        <v>8.8150969089319173E-2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-1066.2240850425526</v>
      </c>
      <c r="AI5" s="3">
        <v>10000</v>
      </c>
      <c r="AJ5" s="2">
        <f t="dataTable" ref="AJ5:AJ44" dt2D="0" dtr="0" r1="C5" ca="1"/>
        <v>-1095.7557709424473</v>
      </c>
      <c r="AK5" s="2">
        <f>(AG5+AI5)/2</f>
        <v>5250</v>
      </c>
      <c r="AL5" s="2">
        <f t="dataTable" ref="AL5:AL44" dt2D="0" dtr="0" r1="C5" ca="1"/>
        <v>220.64030390060361</v>
      </c>
      <c r="AM5" s="2">
        <f>AH5*AL5</f>
        <v>-235252.00614993184</v>
      </c>
      <c r="AN5" s="2">
        <f>AJ5*AL5</f>
        <v>-241767.88630158178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5.5991051052284219E-2</v>
      </c>
      <c r="X6" s="2">
        <f t="shared" ref="X6:X34" si="8">IF(AC5&gt;0, Z5, X5)</f>
        <v>0.25</v>
      </c>
      <c r="Y6" s="2">
        <f t="shared" si="1"/>
        <v>-0.19606799116068818</v>
      </c>
      <c r="Z6" s="2">
        <f t="shared" si="3"/>
        <v>0.125</v>
      </c>
      <c r="AA6" s="2">
        <f t="shared" si="2"/>
        <v>-6.9597267101806096E-2</v>
      </c>
      <c r="AB6" s="2">
        <f t="shared" si="4"/>
        <v>-3.8968241353966862E-3</v>
      </c>
      <c r="AC6" s="2">
        <f t="shared" si="5"/>
        <v>1.3645796350924971E-2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-1066.2240850425526</v>
      </c>
      <c r="AI6" s="2">
        <f>IF(AN5&gt;0, AK5, AI5)</f>
        <v>10000</v>
      </c>
      <c r="AJ6" s="2">
        <v>-1095.7557709424473</v>
      </c>
      <c r="AK6" s="2">
        <f t="shared" ref="AK6:AK43" si="9">(AG6+AI6)/2</f>
        <v>5250</v>
      </c>
      <c r="AL6" s="2">
        <v>220.64030390060361</v>
      </c>
      <c r="AM6" s="2">
        <f t="shared" ref="AM6:AM44" si="10">AH6*AL6</f>
        <v>-235252.00614993184</v>
      </c>
      <c r="AN6" s="2">
        <f t="shared" ref="AN6:AN44" si="11">AJ6*AL6</f>
        <v>-241767.88630158178</v>
      </c>
      <c r="AO6" s="2">
        <f t="shared" ref="AO6:AO44" si="12">AI6-AG6</f>
        <v>9500</v>
      </c>
    </row>
    <row r="7" spans="2:41" x14ac:dyDescent="0.2">
      <c r="B7" s="6" t="s">
        <v>142</v>
      </c>
      <c r="C7" s="17">
        <v>495.10963141321901</v>
      </c>
      <c r="D7" s="6" t="s">
        <v>125</v>
      </c>
      <c r="F7" t="s">
        <v>121</v>
      </c>
      <c r="G7" s="8">
        <f>$C$6*2*PI()/60*$C$9</f>
        <v>113.04711788115915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1.0887489062189255</v>
      </c>
      <c r="P7" s="6" t="s">
        <v>115</v>
      </c>
      <c r="U7" s="2">
        <v>3</v>
      </c>
      <c r="V7" s="2">
        <f t="shared" si="7"/>
        <v>0</v>
      </c>
      <c r="W7" s="2">
        <f t="shared" si="0"/>
        <v>5.5991051052284219E-2</v>
      </c>
      <c r="X7" s="2">
        <f t="shared" si="8"/>
        <v>0.125</v>
      </c>
      <c r="Y7" s="2">
        <f t="shared" si="1"/>
        <v>-6.9597267101806096E-2</v>
      </c>
      <c r="Z7" s="2">
        <f t="shared" si="3"/>
        <v>6.25E-2</v>
      </c>
      <c r="AA7" s="2">
        <f t="shared" si="2"/>
        <v>-6.6615826323404848E-3</v>
      </c>
      <c r="AB7" s="2">
        <f t="shared" si="4"/>
        <v>-3.7298901325638595E-4</v>
      </c>
      <c r="AC7" s="2">
        <f t="shared" si="5"/>
        <v>4.6362794578375327E-4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-1066.2240850425526</v>
      </c>
      <c r="AI7" s="2">
        <f t="shared" ref="AI7:AI44" si="14">IF(AN6&gt;0, AK6, AI6)</f>
        <v>10000</v>
      </c>
      <c r="AJ7" s="2">
        <v>-1095.7557709424473</v>
      </c>
      <c r="AK7" s="2">
        <f t="shared" si="9"/>
        <v>5250</v>
      </c>
      <c r="AL7" s="2">
        <v>220.64030390060361</v>
      </c>
      <c r="AM7" s="2">
        <f t="shared" si="10"/>
        <v>-235252.00614993184</v>
      </c>
      <c r="AN7" s="2">
        <f t="shared" si="11"/>
        <v>-241767.88630158178</v>
      </c>
      <c r="AO7" s="2">
        <f t="shared" si="12"/>
        <v>9500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0.3385486113119805</v>
      </c>
      <c r="H8" s="6" t="s">
        <v>122</v>
      </c>
      <c r="J8" s="6" t="s">
        <v>96</v>
      </c>
      <c r="K8" s="6">
        <f xml:space="preserve"> $C$15 * (G12*G6 + G22*G15 + G31*G27 +G35*G34)/3600</f>
        <v>268.0909557333926</v>
      </c>
      <c r="L8" s="6" t="s">
        <v>102</v>
      </c>
      <c r="N8" s="6" t="s">
        <v>38</v>
      </c>
      <c r="O8" s="6">
        <f xml:space="preserve"> O4 *O7</f>
        <v>2468.6987164565921</v>
      </c>
      <c r="P8" s="6" t="s">
        <v>20</v>
      </c>
      <c r="U8" s="2">
        <v>4</v>
      </c>
      <c r="V8" s="2">
        <f t="shared" si="7"/>
        <v>0</v>
      </c>
      <c r="W8" s="2">
        <f t="shared" si="0"/>
        <v>5.5991051052284219E-2</v>
      </c>
      <c r="X8" s="2">
        <f t="shared" si="8"/>
        <v>6.25E-2</v>
      </c>
      <c r="Y8" s="2">
        <f t="shared" si="1"/>
        <v>-6.6615826323404848E-3</v>
      </c>
      <c r="Z8" s="2">
        <f t="shared" si="3"/>
        <v>3.125E-2</v>
      </c>
      <c r="AA8" s="2">
        <f t="shared" si="2"/>
        <v>2.4702527062321775E-2</v>
      </c>
      <c r="AB8" s="2">
        <f t="shared" si="4"/>
        <v>1.383120453866891E-3</v>
      </c>
      <c r="AC8" s="2">
        <f t="shared" si="5"/>
        <v>-1.6455792525328354E-4</v>
      </c>
      <c r="AD8" s="2">
        <f t="shared" si="6"/>
        <v>6.25E-2</v>
      </c>
      <c r="AF8" s="2">
        <v>4</v>
      </c>
      <c r="AG8" s="2">
        <f t="shared" si="13"/>
        <v>500</v>
      </c>
      <c r="AH8" s="2">
        <v>-1066.2240850425526</v>
      </c>
      <c r="AI8" s="2">
        <f t="shared" si="14"/>
        <v>10000</v>
      </c>
      <c r="AJ8" s="2">
        <v>-1095.7557709424473</v>
      </c>
      <c r="AK8" s="2">
        <f t="shared" si="9"/>
        <v>5250</v>
      </c>
      <c r="AL8" s="2">
        <v>220.64030390060361</v>
      </c>
      <c r="AM8" s="2">
        <f t="shared" si="10"/>
        <v>-235252.00614993184</v>
      </c>
      <c r="AN8" s="2">
        <f t="shared" si="11"/>
        <v>-241767.88630158178</v>
      </c>
      <c r="AO8" s="2">
        <f t="shared" si="12"/>
        <v>9500</v>
      </c>
    </row>
    <row r="9" spans="2:41" x14ac:dyDescent="0.2">
      <c r="B9" s="6" t="s">
        <v>95</v>
      </c>
      <c r="C9" s="17">
        <v>2.6988011419618001</v>
      </c>
      <c r="D9" s="6" t="s">
        <v>8</v>
      </c>
      <c r="F9" t="s">
        <v>19</v>
      </c>
      <c r="G9" s="6">
        <f xml:space="preserve"> $C$5 * $C$44 / $C$18</f>
        <v>7774.3622965296154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2468.6987164565921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2.4702527062321775E-2</v>
      </c>
      <c r="X9" s="2">
        <f t="shared" si="8"/>
        <v>6.25E-2</v>
      </c>
      <c r="Y9" s="2">
        <f t="shared" si="1"/>
        <v>-6.6615826323404848E-3</v>
      </c>
      <c r="Z9" s="2">
        <f t="shared" si="3"/>
        <v>4.6875E-2</v>
      </c>
      <c r="AA9" s="2">
        <f t="shared" si="2"/>
        <v>9.0297169146076953E-3</v>
      </c>
      <c r="AB9" s="2">
        <f t="shared" si="4"/>
        <v>2.2305682644820126E-4</v>
      </c>
      <c r="AC9" s="2">
        <f t="shared" si="5"/>
        <v>-6.0152205373301728E-5</v>
      </c>
      <c r="AD9" s="2">
        <f t="shared" si="6"/>
        <v>3.125E-2</v>
      </c>
      <c r="AF9" s="2">
        <v>5</v>
      </c>
      <c r="AG9" s="2">
        <f t="shared" si="13"/>
        <v>500</v>
      </c>
      <c r="AH9" s="2">
        <v>220.64030390060361</v>
      </c>
      <c r="AI9" s="2">
        <f t="shared" si="14"/>
        <v>10000</v>
      </c>
      <c r="AJ9" s="2">
        <v>-1095.7557709424473</v>
      </c>
      <c r="AK9" s="2">
        <f t="shared" si="9"/>
        <v>5250</v>
      </c>
      <c r="AL9" s="2">
        <v>220.64030390060361</v>
      </c>
      <c r="AM9" s="2">
        <f t="shared" si="10"/>
        <v>48682.143705350718</v>
      </c>
      <c r="AN9" s="2">
        <f t="shared" si="11"/>
        <v>-241767.88630158178</v>
      </c>
      <c r="AO9" s="2">
        <f t="shared" si="12"/>
        <v>9500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146.31497430904741</v>
      </c>
      <c r="H10" s="6" t="s">
        <v>101</v>
      </c>
      <c r="N10" s="6" t="s">
        <v>113</v>
      </c>
      <c r="O10" s="6">
        <f>O7/(0.3048^2)/($C$5*2.20462/1000)^(2/3)</f>
        <v>3.2042045725460158</v>
      </c>
      <c r="U10" s="2">
        <v>6</v>
      </c>
      <c r="V10" s="2">
        <f t="shared" si="7"/>
        <v>4.6875E-2</v>
      </c>
      <c r="W10" s="2">
        <f t="shared" si="0"/>
        <v>9.0297169146076953E-3</v>
      </c>
      <c r="X10" s="2">
        <f t="shared" si="8"/>
        <v>6.25E-2</v>
      </c>
      <c r="Y10" s="2">
        <f t="shared" si="1"/>
        <v>-6.6615826323404848E-3</v>
      </c>
      <c r="Z10" s="2">
        <f t="shared" si="3"/>
        <v>5.46875E-2</v>
      </c>
      <c r="AA10" s="2">
        <f t="shared" si="2"/>
        <v>1.186343568463831E-3</v>
      </c>
      <c r="AB10" s="2">
        <f t="shared" si="4"/>
        <v>1.0712346586693906E-5</v>
      </c>
      <c r="AC10" s="2">
        <f t="shared" si="5"/>
        <v>-7.9029257116674907E-6</v>
      </c>
      <c r="AD10" s="2">
        <f t="shared" si="6"/>
        <v>1.5625E-2</v>
      </c>
      <c r="AF10" s="2">
        <v>6</v>
      </c>
      <c r="AG10" s="2">
        <f t="shared" si="13"/>
        <v>5250</v>
      </c>
      <c r="AH10" s="2">
        <v>220.64030390060361</v>
      </c>
      <c r="AI10" s="2">
        <f t="shared" si="14"/>
        <v>10000</v>
      </c>
      <c r="AJ10" s="2">
        <v>-1095.7557709424473</v>
      </c>
      <c r="AK10" s="2">
        <f t="shared" si="9"/>
        <v>7625</v>
      </c>
      <c r="AL10" s="2">
        <v>220.64030390060361</v>
      </c>
      <c r="AM10" s="2">
        <f t="shared" si="10"/>
        <v>48682.143705350718</v>
      </c>
      <c r="AN10" s="2">
        <f t="shared" si="11"/>
        <v>-241767.88630158178</v>
      </c>
      <c r="AO10" s="2">
        <f t="shared" si="12"/>
        <v>4750</v>
      </c>
    </row>
    <row r="11" spans="2:41" x14ac:dyDescent="0.2">
      <c r="F11" t="s">
        <v>146</v>
      </c>
      <c r="G11" s="6">
        <f xml:space="preserve"> (G9/$C$44*1000) / ($G$10*1000)</f>
        <v>5.4210554074674837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5.46875E-2</v>
      </c>
      <c r="W11" s="2">
        <f t="shared" si="0"/>
        <v>1.186343568463831E-3</v>
      </c>
      <c r="X11" s="2">
        <f t="shared" si="8"/>
        <v>6.25E-2</v>
      </c>
      <c r="Y11" s="2">
        <f t="shared" si="1"/>
        <v>-6.6615826323404848E-3</v>
      </c>
      <c r="Z11" s="2">
        <f t="shared" si="3"/>
        <v>5.859375E-2</v>
      </c>
      <c r="AA11" s="2">
        <f t="shared" si="2"/>
        <v>-2.7370553181360474E-3</v>
      </c>
      <c r="AB11" s="2">
        <f t="shared" si="4"/>
        <v>-3.2470879732004246E-6</v>
      </c>
      <c r="AC11" s="2">
        <f t="shared" si="5"/>
        <v>1.8233120171050255E-5</v>
      </c>
      <c r="AD11" s="2">
        <f t="shared" si="6"/>
        <v>7.8125E-3</v>
      </c>
      <c r="AF11" s="2">
        <v>7</v>
      </c>
      <c r="AG11" s="2">
        <f t="shared" si="13"/>
        <v>7625</v>
      </c>
      <c r="AH11" s="2">
        <v>220.64030390060361</v>
      </c>
      <c r="AI11" s="2">
        <f t="shared" si="14"/>
        <v>10000</v>
      </c>
      <c r="AJ11" s="2">
        <v>-128.38016519429402</v>
      </c>
      <c r="AK11" s="2">
        <f t="shared" si="9"/>
        <v>8812.5</v>
      </c>
      <c r="AL11" s="2">
        <v>220.64030390060361</v>
      </c>
      <c r="AM11" s="2">
        <f t="shared" si="10"/>
        <v>48682.143705350718</v>
      </c>
      <c r="AN11" s="2">
        <f t="shared" si="11"/>
        <v>-28325.838663278726</v>
      </c>
      <c r="AO11" s="2">
        <f t="shared" si="12"/>
        <v>2375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585.25989723618966</v>
      </c>
      <c r="H12" s="25" t="s">
        <v>101</v>
      </c>
      <c r="J12" s="10" t="s">
        <v>79</v>
      </c>
      <c r="K12" s="6">
        <f>C5</f>
        <v>3172.72633068611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5.46875E-2</v>
      </c>
      <c r="W12" s="2">
        <f t="shared" si="0"/>
        <v>1.186343568463831E-3</v>
      </c>
      <c r="X12" s="2">
        <f t="shared" si="8"/>
        <v>5.859375E-2</v>
      </c>
      <c r="Y12" s="2">
        <f t="shared" si="1"/>
        <v>-2.7370553181360474E-3</v>
      </c>
      <c r="Z12" s="2">
        <f t="shared" si="3"/>
        <v>5.6640625E-2</v>
      </c>
      <c r="AA12" s="2">
        <f t="shared" si="2"/>
        <v>-7.7521418596328273E-4</v>
      </c>
      <c r="AB12" s="2">
        <f t="shared" si="4"/>
        <v>-9.1967036369946469E-7</v>
      </c>
      <c r="AC12" s="2">
        <f t="shared" si="5"/>
        <v>2.1218041103853098E-6</v>
      </c>
      <c r="AD12" s="2">
        <f t="shared" si="6"/>
        <v>3.90625E-3</v>
      </c>
      <c r="AF12" s="2">
        <v>8</v>
      </c>
      <c r="AG12" s="2">
        <f t="shared" si="13"/>
        <v>8812.5</v>
      </c>
      <c r="AH12" s="2">
        <v>220.64030390060361</v>
      </c>
      <c r="AI12" s="2">
        <f t="shared" si="14"/>
        <v>10000</v>
      </c>
      <c r="AJ12" s="2">
        <v>124.85779928958345</v>
      </c>
      <c r="AK12" s="2">
        <f t="shared" si="9"/>
        <v>9406.25</v>
      </c>
      <c r="AL12" s="2">
        <v>220.64030390060361</v>
      </c>
      <c r="AM12" s="2">
        <f t="shared" si="10"/>
        <v>48682.143705350718</v>
      </c>
      <c r="AN12" s="2">
        <f t="shared" si="11"/>
        <v>27548.662779614264</v>
      </c>
      <c r="AO12" s="2">
        <f t="shared" si="12"/>
        <v>1187.5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1577.0056219611331</v>
      </c>
      <c r="L13" s="6" t="s">
        <v>7</v>
      </c>
      <c r="N13" s="6" t="s">
        <v>74</v>
      </c>
      <c r="O13" s="6">
        <f xml:space="preserve"> SQRT( ($C$5*$C$50)^2 + O9^2)</f>
        <v>31192.320019452316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1.186343568463831E-3</v>
      </c>
      <c r="X13" s="2">
        <f t="shared" si="8"/>
        <v>5.6640625E-2</v>
      </c>
      <c r="Y13" s="2">
        <f t="shared" si="1"/>
        <v>-7.7521418596328273E-4</v>
      </c>
      <c r="Z13" s="2">
        <f t="shared" si="3"/>
        <v>5.56640625E-2</v>
      </c>
      <c r="AA13" s="2">
        <f t="shared" si="2"/>
        <v>2.0560019083821351E-4</v>
      </c>
      <c r="AB13" s="2">
        <f t="shared" si="4"/>
        <v>2.4391246407585086E-7</v>
      </c>
      <c r="AC13" s="2">
        <f t="shared" si="5"/>
        <v>-1.5938418457454128E-7</v>
      </c>
      <c r="AD13" s="2">
        <f t="shared" si="6"/>
        <v>1.953125E-3</v>
      </c>
      <c r="AF13" s="2">
        <v>9</v>
      </c>
      <c r="AG13" s="2">
        <f t="shared" si="13"/>
        <v>9406.25</v>
      </c>
      <c r="AH13" s="2">
        <v>220.64030390060361</v>
      </c>
      <c r="AI13" s="2">
        <f t="shared" si="14"/>
        <v>9406.25</v>
      </c>
      <c r="AJ13" s="2">
        <v>192.62147257534434</v>
      </c>
      <c r="AK13" s="2">
        <f t="shared" si="9"/>
        <v>9406.25</v>
      </c>
      <c r="AL13" s="2">
        <v>220.64030390060361</v>
      </c>
      <c r="AM13" s="2">
        <f t="shared" si="10"/>
        <v>48682.143705350718</v>
      </c>
      <c r="AN13" s="2">
        <f t="shared" si="11"/>
        <v>42500.060246805762</v>
      </c>
      <c r="AO13" s="2">
        <f t="shared" si="12"/>
        <v>0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230.89363214783762</v>
      </c>
      <c r="L14" s="6" t="s">
        <v>7</v>
      </c>
      <c r="N14" s="6" t="s">
        <v>75</v>
      </c>
      <c r="O14" s="6">
        <f>$C$5*$C$50/O13</f>
        <v>0.99686315888129562</v>
      </c>
      <c r="U14" s="2">
        <v>10</v>
      </c>
      <c r="V14" s="2">
        <f t="shared" si="7"/>
        <v>5.56640625E-2</v>
      </c>
      <c r="W14" s="2">
        <f t="shared" si="0"/>
        <v>2.0560019083821351E-4</v>
      </c>
      <c r="X14" s="2">
        <f t="shared" si="8"/>
        <v>5.6640625E-2</v>
      </c>
      <c r="Y14" s="2">
        <f t="shared" si="1"/>
        <v>-7.7521418596328273E-4</v>
      </c>
      <c r="Z14" s="2">
        <f t="shared" si="3"/>
        <v>5.615234375E-2</v>
      </c>
      <c r="AA14" s="2">
        <f t="shared" si="2"/>
        <v>-2.8479813224410733E-4</v>
      </c>
      <c r="AB14" s="2">
        <f t="shared" si="4"/>
        <v>-5.8554550339755238E-8</v>
      </c>
      <c r="AC14" s="2">
        <f t="shared" si="5"/>
        <v>2.2077955225147901E-7</v>
      </c>
      <c r="AD14" s="2">
        <f t="shared" si="6"/>
        <v>9.765625E-4</v>
      </c>
      <c r="AF14" s="2">
        <v>10</v>
      </c>
      <c r="AG14" s="2">
        <f t="shared" si="13"/>
        <v>9406.25</v>
      </c>
      <c r="AH14" s="2">
        <v>220.64030390060361</v>
      </c>
      <c r="AI14" s="2">
        <f t="shared" si="14"/>
        <v>9406.25</v>
      </c>
      <c r="AJ14" s="2">
        <v>211.62360920940773</v>
      </c>
      <c r="AK14" s="2">
        <f t="shared" si="9"/>
        <v>9406.25</v>
      </c>
      <c r="AL14" s="2">
        <v>220.64030390060361</v>
      </c>
      <c r="AM14" s="2">
        <f t="shared" si="10"/>
        <v>48682.143705350718</v>
      </c>
      <c r="AN14" s="2">
        <f t="shared" si="11"/>
        <v>46692.697448506296</v>
      </c>
      <c r="AO14" s="2">
        <f t="shared" si="12"/>
        <v>0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163.0768118450969</v>
      </c>
      <c r="L15" s="6" t="s">
        <v>7</v>
      </c>
      <c r="U15" s="2">
        <v>11</v>
      </c>
      <c r="V15" s="2">
        <f t="shared" si="7"/>
        <v>5.56640625E-2</v>
      </c>
      <c r="W15" s="2">
        <f t="shared" si="0"/>
        <v>2.0560019083821351E-4</v>
      </c>
      <c r="X15" s="2">
        <f t="shared" si="8"/>
        <v>5.615234375E-2</v>
      </c>
      <c r="Y15" s="2">
        <f t="shared" si="1"/>
        <v>-2.8479813224410733E-4</v>
      </c>
      <c r="Z15" s="2">
        <f t="shared" si="3"/>
        <v>5.5908203125E-2</v>
      </c>
      <c r="AA15" s="2">
        <f t="shared" si="2"/>
        <v>-3.9596753170209609E-5</v>
      </c>
      <c r="AB15" s="2">
        <f t="shared" si="4"/>
        <v>-8.1411000083687322E-9</v>
      </c>
      <c r="AC15" s="2">
        <f t="shared" si="5"/>
        <v>1.1277081345806632E-8</v>
      </c>
      <c r="AD15" s="2">
        <f t="shared" si="6"/>
        <v>4.8828125E-4</v>
      </c>
      <c r="AF15" s="2">
        <v>11</v>
      </c>
      <c r="AG15" s="2">
        <f t="shared" si="13"/>
        <v>9406.25</v>
      </c>
      <c r="AH15" s="2">
        <v>220.64030390060361</v>
      </c>
      <c r="AI15" s="2">
        <f t="shared" si="14"/>
        <v>9406.25</v>
      </c>
      <c r="AJ15" s="2">
        <v>217.38326277520355</v>
      </c>
      <c r="AK15" s="2">
        <f t="shared" si="9"/>
        <v>9406.25</v>
      </c>
      <c r="AL15" s="2">
        <v>220.64030390060361</v>
      </c>
      <c r="AM15" s="2">
        <f t="shared" si="10"/>
        <v>48682.143705350718</v>
      </c>
      <c r="AN15" s="2">
        <f t="shared" si="11"/>
        <v>47963.509161625683</v>
      </c>
      <c r="AO15" s="2">
        <f t="shared" si="12"/>
        <v>0</v>
      </c>
    </row>
    <row r="16" spans="2:41" x14ac:dyDescent="0.2">
      <c r="F16" t="s">
        <v>121</v>
      </c>
      <c r="G16" s="8">
        <f>O19*$C$9</f>
        <v>139.92679216616855</v>
      </c>
      <c r="H16" s="6" t="s">
        <v>10</v>
      </c>
      <c r="J16" s="13" t="s">
        <v>53</v>
      </c>
      <c r="K16" s="6">
        <f xml:space="preserve"> $C$54 * 0.2138 * K4</f>
        <v>150.1542792349168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5.56640625E-2</v>
      </c>
      <c r="W16" s="2">
        <f t="shared" si="0"/>
        <v>2.0560019083821351E-4</v>
      </c>
      <c r="X16" s="2">
        <f t="shared" si="8"/>
        <v>5.5908203125E-2</v>
      </c>
      <c r="Y16" s="2">
        <f t="shared" si="1"/>
        <v>-3.9596753170209609E-5</v>
      </c>
      <c r="Z16" s="2">
        <f t="shared" si="3"/>
        <v>5.57861328125E-2</v>
      </c>
      <c r="AA16" s="2">
        <f t="shared" si="2"/>
        <v>8.3002273367070722E-5</v>
      </c>
      <c r="AB16" s="2">
        <f t="shared" si="4"/>
        <v>1.7065283244275307E-8</v>
      </c>
      <c r="AC16" s="2">
        <f t="shared" si="5"/>
        <v>-3.2866205310821624E-9</v>
      </c>
      <c r="AD16" s="2">
        <f t="shared" si="6"/>
        <v>2.44140625E-4</v>
      </c>
      <c r="AF16" s="2">
        <v>12</v>
      </c>
      <c r="AG16" s="2">
        <f t="shared" si="13"/>
        <v>9406.25</v>
      </c>
      <c r="AH16" s="2">
        <v>220.64030390060361</v>
      </c>
      <c r="AI16" s="2">
        <f t="shared" si="14"/>
        <v>9406.25</v>
      </c>
      <c r="AJ16" s="2">
        <v>219.32499838081822</v>
      </c>
      <c r="AK16" s="2">
        <f t="shared" si="9"/>
        <v>9406.25</v>
      </c>
      <c r="AL16" s="2">
        <v>220.64030390060361</v>
      </c>
      <c r="AM16" s="2">
        <f t="shared" si="10"/>
        <v>48682.143705350718</v>
      </c>
      <c r="AN16" s="2">
        <f t="shared" si="11"/>
        <v>48391.934295743129</v>
      </c>
      <c r="AO16" s="2">
        <f t="shared" si="12"/>
        <v>0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0.42055198153647538</v>
      </c>
      <c r="H17" s="6" t="s">
        <v>122</v>
      </c>
      <c r="J17" s="13" t="s">
        <v>77</v>
      </c>
      <c r="K17" s="6">
        <f xml:space="preserve"> $C$54 * 0.1149 * K4</f>
        <v>80.695634630925824</v>
      </c>
      <c r="L17" s="6" t="s">
        <v>7</v>
      </c>
      <c r="N17" s="6" t="s">
        <v>25</v>
      </c>
      <c r="O17" s="6">
        <f xml:space="preserve"> ACOS(O14)/PI()*180</f>
        <v>4.53938985529624</v>
      </c>
      <c r="P17" s="6" t="s">
        <v>40</v>
      </c>
      <c r="U17" s="2">
        <v>13</v>
      </c>
      <c r="V17" s="2">
        <f t="shared" si="7"/>
        <v>5.57861328125E-2</v>
      </c>
      <c r="W17" s="2">
        <f t="shared" si="0"/>
        <v>8.3002273367070722E-5</v>
      </c>
      <c r="X17" s="2">
        <f t="shared" si="8"/>
        <v>5.5908203125E-2</v>
      </c>
      <c r="Y17" s="2">
        <f t="shared" si="1"/>
        <v>-3.9596753170209609E-5</v>
      </c>
      <c r="Z17" s="2">
        <f t="shared" si="3"/>
        <v>5.584716796875E-2</v>
      </c>
      <c r="AA17" s="2">
        <f t="shared" si="2"/>
        <v>2.1702898712991359E-5</v>
      </c>
      <c r="AB17" s="2">
        <f t="shared" si="4"/>
        <v>1.8013899318335561E-9</v>
      </c>
      <c r="AC17" s="2">
        <f t="shared" si="5"/>
        <v>-8.5936432341637859E-10</v>
      </c>
      <c r="AD17" s="2">
        <f t="shared" si="6"/>
        <v>1.220703125E-4</v>
      </c>
      <c r="AF17" s="2">
        <v>13</v>
      </c>
      <c r="AG17" s="2">
        <f t="shared" si="13"/>
        <v>9406.25</v>
      </c>
      <c r="AH17" s="2">
        <v>220.64030390060361</v>
      </c>
      <c r="AI17" s="2">
        <f t="shared" si="14"/>
        <v>9406.25</v>
      </c>
      <c r="AJ17" s="2">
        <v>220.06100081718614</v>
      </c>
      <c r="AK17" s="2">
        <f t="shared" si="9"/>
        <v>9406.25</v>
      </c>
      <c r="AL17" s="2">
        <v>220.64030390060361</v>
      </c>
      <c r="AM17" s="2">
        <f t="shared" si="10"/>
        <v>48682.143705350718</v>
      </c>
      <c r="AN17" s="2">
        <f t="shared" si="11"/>
        <v>48554.326096974932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7798.080004863079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138.93778034728973</v>
      </c>
      <c r="L18" s="6" t="s">
        <v>7</v>
      </c>
      <c r="N18" s="6" t="s">
        <v>19</v>
      </c>
      <c r="O18" s="6">
        <f xml:space="preserve"> O13 / $C$18</f>
        <v>7798.080004863079</v>
      </c>
      <c r="P18" s="6" t="s">
        <v>20</v>
      </c>
      <c r="U18" s="2">
        <v>14</v>
      </c>
      <c r="V18" s="2">
        <f t="shared" si="7"/>
        <v>5.584716796875E-2</v>
      </c>
      <c r="W18" s="2">
        <f t="shared" si="0"/>
        <v>2.1702898712991359E-5</v>
      </c>
      <c r="X18" s="2">
        <f t="shared" si="8"/>
        <v>5.5908203125E-2</v>
      </c>
      <c r="Y18" s="2">
        <f t="shared" si="1"/>
        <v>-3.9596753170209609E-5</v>
      </c>
      <c r="Z18" s="2">
        <f t="shared" si="3"/>
        <v>5.5877685546875E-2</v>
      </c>
      <c r="AA18" s="2">
        <f t="shared" si="2"/>
        <v>-8.9468925773134034E-6</v>
      </c>
      <c r="AB18" s="2">
        <f t="shared" si="4"/>
        <v>-1.9417350340144701E-10</v>
      </c>
      <c r="AC18" s="2">
        <f t="shared" si="5"/>
        <v>3.5426789702425932E-10</v>
      </c>
      <c r="AD18" s="2">
        <f t="shared" si="6"/>
        <v>6.103515625E-5</v>
      </c>
      <c r="AF18" s="2">
        <v>14</v>
      </c>
      <c r="AG18" s="2">
        <f t="shared" si="13"/>
        <v>9406.25</v>
      </c>
      <c r="AH18" s="2">
        <v>220.64030390060361</v>
      </c>
      <c r="AI18" s="2">
        <f t="shared" si="14"/>
        <v>9406.25</v>
      </c>
      <c r="AJ18" s="2">
        <v>220.37022603992591</v>
      </c>
      <c r="AK18" s="2">
        <f t="shared" si="9"/>
        <v>9406.25</v>
      </c>
      <c r="AL18" s="2">
        <v>220.64030390060361</v>
      </c>
      <c r="AM18" s="2">
        <f t="shared" si="10"/>
        <v>48682.143705350718</v>
      </c>
      <c r="AN18" s="2">
        <f t="shared" si="11"/>
        <v>48622.553644093961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74.70623626621537</v>
      </c>
      <c r="H19" s="6" t="s">
        <v>101</v>
      </c>
      <c r="J19" s="14" t="s">
        <v>61</v>
      </c>
      <c r="K19" s="6">
        <f xml:space="preserve"> $C$55 * C31 * $C$5</f>
        <v>35.534534903684438</v>
      </c>
      <c r="L19" s="6" t="s">
        <v>7</v>
      </c>
      <c r="N19" s="6" t="s">
        <v>26</v>
      </c>
      <c r="O19" s="6">
        <f>$C$7*2*PI()/60</f>
        <v>51.847759358977306</v>
      </c>
      <c r="P19" s="6" t="s">
        <v>27</v>
      </c>
      <c r="U19" s="2">
        <v>15</v>
      </c>
      <c r="V19" s="2">
        <f t="shared" si="7"/>
        <v>5.584716796875E-2</v>
      </c>
      <c r="W19" s="2">
        <f t="shared" si="0"/>
        <v>2.1702898712991359E-5</v>
      </c>
      <c r="X19" s="2">
        <f t="shared" si="8"/>
        <v>5.5877685546875E-2</v>
      </c>
      <c r="Y19" s="2">
        <f t="shared" si="1"/>
        <v>-8.9468925773134034E-6</v>
      </c>
      <c r="Z19" s="2">
        <f t="shared" si="3"/>
        <v>5.58624267578125E-2</v>
      </c>
      <c r="AA19" s="2">
        <f t="shared" si="2"/>
        <v>6.3780117309508721E-6</v>
      </c>
      <c r="AB19" s="2">
        <f t="shared" si="4"/>
        <v>1.3842134258709747E-10</v>
      </c>
      <c r="AC19" s="2">
        <f t="shared" si="5"/>
        <v>-5.7063385813662171E-11</v>
      </c>
      <c r="AD19" s="2">
        <f t="shared" si="6"/>
        <v>3.0517578125E-5</v>
      </c>
      <c r="AF19" s="2">
        <v>15</v>
      </c>
      <c r="AG19" s="2">
        <f t="shared" si="13"/>
        <v>9406.25</v>
      </c>
      <c r="AH19" s="2">
        <v>220.64030390060361</v>
      </c>
      <c r="AI19" s="2">
        <f t="shared" si="14"/>
        <v>9406.25</v>
      </c>
      <c r="AJ19" s="2">
        <v>220.51014896639481</v>
      </c>
      <c r="AK19" s="2">
        <f t="shared" si="9"/>
        <v>9406.25</v>
      </c>
      <c r="AL19" s="2">
        <v>220.64030390060361</v>
      </c>
      <c r="AM19" s="2">
        <f t="shared" si="10"/>
        <v>48682.143705350718</v>
      </c>
      <c r="AN19" s="2">
        <f t="shared" si="11"/>
        <v>48653.426281112726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10.650750677956401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0.4777187767054813</v>
      </c>
      <c r="U20" s="2">
        <v>16</v>
      </c>
      <c r="V20" s="2">
        <f t="shared" si="7"/>
        <v>5.58624267578125E-2</v>
      </c>
      <c r="W20" s="2">
        <f t="shared" si="0"/>
        <v>6.3780117309508721E-6</v>
      </c>
      <c r="X20" s="2">
        <f t="shared" si="8"/>
        <v>5.5877685546875E-2</v>
      </c>
      <c r="Y20" s="2">
        <f t="shared" si="1"/>
        <v>-8.9468925773134034E-6</v>
      </c>
      <c r="Z20" s="2">
        <f t="shared" si="3"/>
        <v>5.587005615234375E-2</v>
      </c>
      <c r="AA20" s="2">
        <f t="shared" si="2"/>
        <v>-1.284438257434517E-6</v>
      </c>
      <c r="AB20" s="2">
        <f t="shared" si="4"/>
        <v>-8.1921622735994457E-12</v>
      </c>
      <c r="AC20" s="2">
        <f t="shared" si="5"/>
        <v>1.1491731111458243E-11</v>
      </c>
      <c r="AD20" s="2">
        <f t="shared" si="6"/>
        <v>1.52587890625E-5</v>
      </c>
      <c r="AF20" s="2">
        <v>16</v>
      </c>
      <c r="AG20" s="2">
        <f t="shared" si="13"/>
        <v>9406.25</v>
      </c>
      <c r="AH20" s="2">
        <v>220.64030390060361</v>
      </c>
      <c r="AI20" s="2">
        <f t="shared" si="14"/>
        <v>9406.25</v>
      </c>
      <c r="AJ20" s="2">
        <v>220.57643688659118</v>
      </c>
      <c r="AK20" s="2">
        <f t="shared" si="9"/>
        <v>9406.25</v>
      </c>
      <c r="AL20" s="2">
        <v>220.64030390060361</v>
      </c>
      <c r="AM20" s="2">
        <f t="shared" si="10"/>
        <v>48682.143705350718</v>
      </c>
      <c r="AN20" s="2">
        <f t="shared" si="11"/>
        <v>48668.052067969787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0.28107153416522895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1.7258347888775061E-2</v>
      </c>
      <c r="U21" s="2">
        <v>17</v>
      </c>
      <c r="V21" s="2">
        <f t="shared" si="7"/>
        <v>5.58624267578125E-2</v>
      </c>
      <c r="W21" s="2">
        <f t="shared" si="0"/>
        <v>6.3780117309508721E-6</v>
      </c>
      <c r="X21" s="2">
        <f t="shared" si="8"/>
        <v>5.587005615234375E-2</v>
      </c>
      <c r="Y21" s="2">
        <f t="shared" si="1"/>
        <v>-1.284438257434517E-6</v>
      </c>
      <c r="Z21" s="2">
        <f t="shared" si="3"/>
        <v>5.5866241455078125E-2</v>
      </c>
      <c r="AA21" s="2">
        <f t="shared" si="2"/>
        <v>2.5467872782000689E-6</v>
      </c>
      <c r="AB21" s="2">
        <f t="shared" si="4"/>
        <v>1.6243439136596482E-11</v>
      </c>
      <c r="AC21" s="2">
        <f t="shared" si="5"/>
        <v>-3.2711910136676932E-12</v>
      </c>
      <c r="AD21" s="2">
        <f t="shared" si="6"/>
        <v>7.62939453125E-6</v>
      </c>
      <c r="AF21" s="2">
        <v>17</v>
      </c>
      <c r="AG21" s="2">
        <f t="shared" si="13"/>
        <v>9406.25</v>
      </c>
      <c r="AH21" s="2">
        <v>220.64030390060361</v>
      </c>
      <c r="AI21" s="2">
        <f t="shared" si="14"/>
        <v>9406.25</v>
      </c>
      <c r="AJ21" s="2">
        <v>220.60866349870412</v>
      </c>
      <c r="AK21" s="2">
        <f t="shared" si="9"/>
        <v>9406.25</v>
      </c>
      <c r="AL21" s="2">
        <v>220.64030390060361</v>
      </c>
      <c r="AM21" s="2">
        <f t="shared" si="10"/>
        <v>48682.143705350718</v>
      </c>
      <c r="AN21" s="2">
        <f t="shared" si="11"/>
        <v>48675.162557460077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298.82494506486148</v>
      </c>
      <c r="H22" s="25" t="s">
        <v>101</v>
      </c>
      <c r="J22" s="14" t="s">
        <v>112</v>
      </c>
      <c r="K22" s="6">
        <f>$C$55*(0.14*$G$12*1000/745.7)*0.453592</f>
        <v>39.872001097494532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5.5866241455078125E-2</v>
      </c>
      <c r="W22" s="2">
        <f t="shared" si="0"/>
        <v>2.5467872782000689E-6</v>
      </c>
      <c r="X22" s="2">
        <f t="shared" si="8"/>
        <v>5.587005615234375E-2</v>
      </c>
      <c r="Y22" s="2">
        <f t="shared" si="1"/>
        <v>-1.284438257434517E-6</v>
      </c>
      <c r="Z22" s="2">
        <f t="shared" si="3"/>
        <v>5.5868148803710938E-2</v>
      </c>
      <c r="AA22" s="2">
        <f t="shared" si="2"/>
        <v>6.3117464574324877E-7</v>
      </c>
      <c r="AB22" s="2">
        <f t="shared" si="4"/>
        <v>1.6074675581013413E-12</v>
      </c>
      <c r="AC22" s="2">
        <f t="shared" si="5"/>
        <v>-8.1070486211530704E-13</v>
      </c>
      <c r="AD22" s="2">
        <f t="shared" si="6"/>
        <v>3.814697265625E-6</v>
      </c>
      <c r="AF22" s="2">
        <v>18</v>
      </c>
      <c r="AG22" s="2">
        <f t="shared" si="13"/>
        <v>9406.25</v>
      </c>
      <c r="AH22" s="2">
        <v>220.64030390060361</v>
      </c>
      <c r="AI22" s="2">
        <f t="shared" si="14"/>
        <v>9406.25</v>
      </c>
      <c r="AJ22" s="2">
        <v>220.62454759745196</v>
      </c>
      <c r="AK22" s="2">
        <f t="shared" si="9"/>
        <v>9406.25</v>
      </c>
      <c r="AL22" s="2">
        <v>220.64030390060361</v>
      </c>
      <c r="AM22" s="2">
        <f t="shared" si="10"/>
        <v>48682.143705350718</v>
      </c>
      <c r="AN22" s="2">
        <f t="shared" si="11"/>
        <v>48678.667229834988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68.023252529910209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8902.0909313048614</v>
      </c>
      <c r="P23" s="6" t="s">
        <v>18</v>
      </c>
      <c r="U23" s="2">
        <v>19</v>
      </c>
      <c r="V23" s="2">
        <f t="shared" si="7"/>
        <v>5.5868148803710938E-2</v>
      </c>
      <c r="W23" s="2">
        <f t="shared" si="0"/>
        <v>6.3117464574324877E-7</v>
      </c>
      <c r="X23" s="2">
        <f t="shared" si="8"/>
        <v>5.587005615234375E-2</v>
      </c>
      <c r="Y23" s="2">
        <f t="shared" si="1"/>
        <v>-1.284438257434517E-6</v>
      </c>
      <c r="Z23" s="2">
        <f t="shared" si="3"/>
        <v>5.5869102478027344E-2</v>
      </c>
      <c r="AA23" s="2">
        <f t="shared" si="2"/>
        <v>-3.2663177200464855E-7</v>
      </c>
      <c r="AB23" s="2">
        <f t="shared" si="4"/>
        <v>-2.0616169298352366E-13</v>
      </c>
      <c r="AC23" s="2">
        <f t="shared" si="5"/>
        <v>4.1953834405639923E-13</v>
      </c>
      <c r="AD23" s="2">
        <f t="shared" si="6"/>
        <v>1.9073486328125E-6</v>
      </c>
      <c r="AF23" s="2">
        <v>19</v>
      </c>
      <c r="AG23" s="2">
        <f t="shared" si="13"/>
        <v>9406.25</v>
      </c>
      <c r="AH23" s="2">
        <v>220.64030390060361</v>
      </c>
      <c r="AI23" s="2">
        <f t="shared" si="14"/>
        <v>9406.25</v>
      </c>
      <c r="AJ23" s="2">
        <v>220.63245576379359</v>
      </c>
      <c r="AK23" s="2">
        <f t="shared" si="9"/>
        <v>9406.25</v>
      </c>
      <c r="AL23" s="2">
        <v>220.64030390060361</v>
      </c>
      <c r="AM23" s="2">
        <f t="shared" si="10"/>
        <v>48682.143705350718</v>
      </c>
      <c r="AN23" s="2">
        <f t="shared" si="11"/>
        <v>48680.412090059901</v>
      </c>
      <c r="AO23" s="2">
        <f t="shared" si="12"/>
        <v>0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9.0857285187784402</v>
      </c>
      <c r="L24" s="6" t="s">
        <v>7</v>
      </c>
      <c r="N24" s="6" t="s">
        <v>31</v>
      </c>
      <c r="O24" s="18">
        <f>Z34</f>
        <v>5.5868776980787516E-2</v>
      </c>
      <c r="U24" s="2">
        <v>20</v>
      </c>
      <c r="V24" s="2">
        <f t="shared" si="7"/>
        <v>5.5868148803710938E-2</v>
      </c>
      <c r="W24" s="2">
        <f t="shared" si="0"/>
        <v>6.3117464574324877E-7</v>
      </c>
      <c r="X24" s="2">
        <f t="shared" si="8"/>
        <v>5.5869102478027344E-2</v>
      </c>
      <c r="Y24" s="2">
        <f t="shared" si="1"/>
        <v>-3.2663177200464855E-7</v>
      </c>
      <c r="Z24" s="2">
        <f t="shared" si="3"/>
        <v>5.5868625640869141E-2</v>
      </c>
      <c r="AA24" s="2">
        <f t="shared" si="2"/>
        <v>1.5227144532781178E-7</v>
      </c>
      <c r="AB24" s="2">
        <f t="shared" si="4"/>
        <v>9.6109875561594077E-14</v>
      </c>
      <c r="AC24" s="2">
        <f t="shared" si="5"/>
        <v>-4.9736692013132124E-14</v>
      </c>
      <c r="AD24" s="2">
        <f t="shared" si="6"/>
        <v>9.5367431640625E-7</v>
      </c>
      <c r="AF24" s="2">
        <v>20</v>
      </c>
      <c r="AG24" s="2">
        <f t="shared" si="13"/>
        <v>9406.25</v>
      </c>
      <c r="AH24" s="2">
        <v>220.64030390060361</v>
      </c>
      <c r="AI24" s="2">
        <f t="shared" si="14"/>
        <v>9406.25</v>
      </c>
      <c r="AJ24" s="2">
        <v>220.63636393389334</v>
      </c>
      <c r="AK24" s="2">
        <f t="shared" si="9"/>
        <v>9406.25</v>
      </c>
      <c r="AL24" s="2">
        <v>220.64030390060361</v>
      </c>
      <c r="AM24" s="2">
        <f t="shared" si="10"/>
        <v>48682.143705350718</v>
      </c>
      <c r="AN24" s="2">
        <f t="shared" si="11"/>
        <v>48681.274389898404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20.305448516391106</v>
      </c>
      <c r="L25" s="6" t="s">
        <v>7</v>
      </c>
      <c r="N25" s="6" t="s">
        <v>32</v>
      </c>
      <c r="O25" s="6">
        <f xml:space="preserve"> O19 * $C$9 * O24 - $C$8 * SIN(O17/180*PI())</f>
        <v>2.5104291416676281</v>
      </c>
      <c r="P25" s="6" t="s">
        <v>10</v>
      </c>
      <c r="U25" s="2">
        <v>21</v>
      </c>
      <c r="V25" s="2">
        <f t="shared" si="7"/>
        <v>5.5868625640869141E-2</v>
      </c>
      <c r="W25" s="2">
        <f t="shared" si="0"/>
        <v>1.5227144532781178E-7</v>
      </c>
      <c r="X25" s="2">
        <f t="shared" si="8"/>
        <v>5.5869102478027344E-2</v>
      </c>
      <c r="Y25" s="2">
        <f t="shared" si="1"/>
        <v>-3.2663177200464855E-7</v>
      </c>
      <c r="Z25" s="2">
        <f t="shared" si="3"/>
        <v>5.5868864059448242E-2</v>
      </c>
      <c r="AA25" s="2">
        <f t="shared" si="2"/>
        <v>-8.7180161228994635E-8</v>
      </c>
      <c r="AB25" s="2">
        <f t="shared" si="4"/>
        <v>-1.3275049154250672E-14</v>
      </c>
      <c r="AC25" s="2">
        <f t="shared" si="5"/>
        <v>2.8475810545877477E-14</v>
      </c>
      <c r="AD25" s="2">
        <f t="shared" si="6"/>
        <v>4.76837158203125E-7</v>
      </c>
      <c r="AF25" s="2">
        <v>21</v>
      </c>
      <c r="AG25" s="2">
        <f t="shared" si="13"/>
        <v>9406.25</v>
      </c>
      <c r="AH25" s="2">
        <v>220.64030390060361</v>
      </c>
      <c r="AI25" s="2">
        <f t="shared" si="14"/>
        <v>9406.25</v>
      </c>
      <c r="AJ25" s="2">
        <v>220.63831590275095</v>
      </c>
      <c r="AK25" s="2">
        <f t="shared" si="9"/>
        <v>9406.25</v>
      </c>
      <c r="AL25" s="2">
        <v>220.64030390060361</v>
      </c>
      <c r="AM25" s="2">
        <f t="shared" si="10"/>
        <v>48682.143705350718</v>
      </c>
      <c r="AN25" s="2">
        <f t="shared" si="11"/>
        <v>48681.705072900353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59.141861261718589</v>
      </c>
      <c r="L26" s="6" t="s">
        <v>7</v>
      </c>
      <c r="N26" s="6" t="s">
        <v>33</v>
      </c>
      <c r="O26" s="6">
        <f xml:space="preserve"> 1/$C$21 - O23 * SQRT( (2*$C$47*PI()*$C$9^2) / O18^3 )</f>
        <v>1.2455081935217773</v>
      </c>
      <c r="U26" s="2">
        <v>22</v>
      </c>
      <c r="V26" s="2">
        <f t="shared" si="7"/>
        <v>5.5868625640869141E-2</v>
      </c>
      <c r="W26" s="2">
        <f t="shared" si="0"/>
        <v>1.5227144532781178E-7</v>
      </c>
      <c r="X26" s="2">
        <f t="shared" si="8"/>
        <v>5.5868864059448242E-2</v>
      </c>
      <c r="Y26" s="2">
        <f t="shared" si="1"/>
        <v>-8.7180161228994635E-8</v>
      </c>
      <c r="Z26" s="2">
        <f t="shared" si="3"/>
        <v>5.5868744850158691E-2</v>
      </c>
      <c r="AA26" s="2">
        <f t="shared" si="2"/>
        <v>3.2545642583703405E-8</v>
      </c>
      <c r="AB26" s="2">
        <f t="shared" si="4"/>
        <v>4.9557720353428958E-15</v>
      </c>
      <c r="AC26" s="2">
        <f t="shared" si="5"/>
        <v>-2.8373343677484962E-15</v>
      </c>
      <c r="AD26" s="2">
        <f t="shared" si="6"/>
        <v>2.384185791015625E-7</v>
      </c>
      <c r="AF26" s="2">
        <v>22</v>
      </c>
      <c r="AG26" s="2">
        <f t="shared" si="13"/>
        <v>9406.25</v>
      </c>
      <c r="AH26" s="2">
        <v>220.64030390060361</v>
      </c>
      <c r="AI26" s="2">
        <f t="shared" si="14"/>
        <v>9406.25</v>
      </c>
      <c r="AJ26" s="2">
        <v>220.63931007829797</v>
      </c>
      <c r="AK26" s="2">
        <f t="shared" si="9"/>
        <v>9406.25</v>
      </c>
      <c r="AL26" s="2">
        <v>220.64030390060361</v>
      </c>
      <c r="AM26" s="2">
        <f t="shared" si="10"/>
        <v>48682.143705350718</v>
      </c>
      <c r="AN26" s="2">
        <f t="shared" si="11"/>
        <v>48681.924428095175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-2.5630906702645007E-4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5.5868744850158691E-2</v>
      </c>
      <c r="W27" s="2">
        <f t="shared" si="0"/>
        <v>3.2545642583703405E-8</v>
      </c>
      <c r="X27" s="2">
        <f t="shared" si="8"/>
        <v>5.5868864059448242E-2</v>
      </c>
      <c r="Y27" s="2">
        <f t="shared" si="1"/>
        <v>-8.7180161228994635E-8</v>
      </c>
      <c r="Z27" s="2">
        <f t="shared" si="3"/>
        <v>5.5868804454803467E-2</v>
      </c>
      <c r="AA27" s="2">
        <f t="shared" si="2"/>
        <v>-2.7317259190806631E-8</v>
      </c>
      <c r="AB27" s="2">
        <f t="shared" si="4"/>
        <v>-8.8905775399037943E-16</v>
      </c>
      <c r="AC27" s="2">
        <f t="shared" si="5"/>
        <v>2.3815230605887576E-15</v>
      </c>
      <c r="AD27" s="2">
        <f t="shared" si="6"/>
        <v>1.1920928955078125E-7</v>
      </c>
      <c r="AF27" s="2">
        <v>23</v>
      </c>
      <c r="AG27" s="2">
        <f t="shared" si="13"/>
        <v>9406.25</v>
      </c>
      <c r="AH27" s="2">
        <v>220.64030390060361</v>
      </c>
      <c r="AI27" s="2">
        <f t="shared" si="14"/>
        <v>9406.25</v>
      </c>
      <c r="AJ27" s="2">
        <v>220.63978831356417</v>
      </c>
      <c r="AK27" s="2">
        <f t="shared" si="9"/>
        <v>9406.25</v>
      </c>
      <c r="AL27" s="2">
        <v>220.64030390060361</v>
      </c>
      <c r="AM27" s="2">
        <f t="shared" si="10"/>
        <v>48682.143705350718</v>
      </c>
      <c r="AN27" s="2">
        <f t="shared" si="11"/>
        <v>48682.029946069648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7774.3622965296154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1.2473550434368641</v>
      </c>
      <c r="U28" s="2">
        <v>24</v>
      </c>
      <c r="V28" s="2">
        <f t="shared" si="7"/>
        <v>5.5868744850158691E-2</v>
      </c>
      <c r="W28" s="2">
        <f t="shared" si="0"/>
        <v>3.2545642583703405E-8</v>
      </c>
      <c r="X28" s="2">
        <f t="shared" si="8"/>
        <v>5.5868804454803467E-2</v>
      </c>
      <c r="Y28" s="2">
        <f t="shared" si="1"/>
        <v>-2.7317259190806631E-8</v>
      </c>
      <c r="Z28" s="2">
        <f t="shared" si="3"/>
        <v>5.5868774652481079E-2</v>
      </c>
      <c r="AA28" s="2">
        <f t="shared" si="2"/>
        <v>2.6141917242039625E-9</v>
      </c>
      <c r="AB28" s="2">
        <f t="shared" si="4"/>
        <v>8.5080549501217504E-17</v>
      </c>
      <c r="AC28" s="2">
        <f t="shared" si="5"/>
        <v>-7.1412552904541327E-17</v>
      </c>
      <c r="AD28" s="2">
        <f t="shared" si="6"/>
        <v>5.9604644775390625E-8</v>
      </c>
      <c r="AF28" s="2">
        <v>24</v>
      </c>
      <c r="AG28" s="2">
        <f t="shared" si="13"/>
        <v>9406.25</v>
      </c>
      <c r="AH28" s="2">
        <v>220.64030390060361</v>
      </c>
      <c r="AI28" s="2">
        <f t="shared" si="14"/>
        <v>9406.25</v>
      </c>
      <c r="AJ28" s="2">
        <v>220.6400273981817</v>
      </c>
      <c r="AK28" s="2">
        <f t="shared" si="9"/>
        <v>9406.25</v>
      </c>
      <c r="AL28" s="2">
        <v>220.64030390060361</v>
      </c>
      <c r="AM28" s="2">
        <f t="shared" si="10"/>
        <v>48682.143705350718</v>
      </c>
      <c r="AN28" s="2">
        <f t="shared" si="11"/>
        <v>48682.082697772319</v>
      </c>
      <c r="AO28" s="2">
        <f t="shared" si="12"/>
        <v>0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132.49799750079535</v>
      </c>
      <c r="H29" t="s">
        <v>18</v>
      </c>
      <c r="U29" s="2">
        <v>25</v>
      </c>
      <c r="V29" s="2">
        <f t="shared" si="7"/>
        <v>5.5868774652481079E-2</v>
      </c>
      <c r="W29" s="2">
        <f t="shared" si="0"/>
        <v>2.6141917242039625E-9</v>
      </c>
      <c r="X29" s="2">
        <f t="shared" si="8"/>
        <v>5.5868804454803467E-2</v>
      </c>
      <c r="Y29" s="2">
        <f t="shared" si="1"/>
        <v>-2.7317259190806631E-8</v>
      </c>
      <c r="Z29" s="2">
        <f t="shared" si="3"/>
        <v>5.5868789553642273E-2</v>
      </c>
      <c r="AA29" s="2">
        <f t="shared" si="2"/>
        <v>-1.235153372636244E-8</v>
      </c>
      <c r="AB29" s="2">
        <f t="shared" si="4"/>
        <v>-3.2289277248682823E-17</v>
      </c>
      <c r="AC29" s="2">
        <f t="shared" si="5"/>
        <v>3.3741004820703245E-16</v>
      </c>
      <c r="AD29" s="2">
        <f t="shared" si="6"/>
        <v>2.9802322387695312E-8</v>
      </c>
      <c r="AF29" s="2">
        <v>25</v>
      </c>
      <c r="AG29" s="2">
        <f t="shared" si="13"/>
        <v>9406.25</v>
      </c>
      <c r="AH29" s="2">
        <v>220.64030390060361</v>
      </c>
      <c r="AI29" s="2">
        <f t="shared" si="14"/>
        <v>9406.25</v>
      </c>
      <c r="AJ29" s="2">
        <v>220.64016565217389</v>
      </c>
      <c r="AK29" s="2">
        <f t="shared" si="9"/>
        <v>9406.25</v>
      </c>
      <c r="AL29" s="2">
        <v>220.64030390060361</v>
      </c>
      <c r="AM29" s="2">
        <f t="shared" si="10"/>
        <v>48682.143705350718</v>
      </c>
      <c r="AN29" s="2">
        <f t="shared" si="11"/>
        <v>48682.113202175169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5.986366568798644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5.5868774652481079E-2</v>
      </c>
      <c r="W30" s="2">
        <f t="shared" si="0"/>
        <v>2.6141917242039625E-9</v>
      </c>
      <c r="X30" s="2">
        <f t="shared" si="8"/>
        <v>5.5868789553642273E-2</v>
      </c>
      <c r="Y30" s="2">
        <f t="shared" si="1"/>
        <v>-1.235153372636244E-8</v>
      </c>
      <c r="Z30" s="2">
        <f t="shared" si="3"/>
        <v>5.5868782103061676E-2</v>
      </c>
      <c r="AA30" s="2">
        <f t="shared" si="2"/>
        <v>-4.868670994140345E-9</v>
      </c>
      <c r="AB30" s="2">
        <f t="shared" si="4"/>
        <v>-1.2727639420753568E-17</v>
      </c>
      <c r="AC30" s="2">
        <f t="shared" si="5"/>
        <v>6.0135553986687017E-17</v>
      </c>
      <c r="AD30" s="2">
        <f t="shared" si="6"/>
        <v>1.4901161193847656E-8</v>
      </c>
      <c r="AF30" s="2">
        <v>26</v>
      </c>
      <c r="AG30" s="2">
        <f t="shared" si="13"/>
        <v>9406.25</v>
      </c>
      <c r="AH30" s="2">
        <v>220.64030390060361</v>
      </c>
      <c r="AI30" s="2">
        <f t="shared" si="14"/>
        <v>9406.25</v>
      </c>
      <c r="AJ30" s="2">
        <v>220.64023477708906</v>
      </c>
      <c r="AK30" s="2">
        <f t="shared" si="9"/>
        <v>9406.25</v>
      </c>
      <c r="AL30" s="2">
        <v>220.64030390060361</v>
      </c>
      <c r="AM30" s="2">
        <f t="shared" si="10"/>
        <v>48682.143705350718</v>
      </c>
      <c r="AN30" s="2">
        <f t="shared" si="11"/>
        <v>48682.128453917459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529.9919900031814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5.5868774652481079E-2</v>
      </c>
      <c r="W31" s="2">
        <f t="shared" si="0"/>
        <v>2.6141917242039625E-9</v>
      </c>
      <c r="X31" s="2">
        <f t="shared" si="8"/>
        <v>5.5868782103061676E-2</v>
      </c>
      <c r="Y31" s="2">
        <f t="shared" si="1"/>
        <v>-4.868670994140345E-9</v>
      </c>
      <c r="Z31" s="2">
        <f t="shared" si="3"/>
        <v>5.5868778377771378E-2</v>
      </c>
      <c r="AA31" s="2">
        <f t="shared" si="2"/>
        <v>-1.1272396349681912E-9</v>
      </c>
      <c r="AB31" s="2">
        <f t="shared" si="4"/>
        <v>-2.9468205249285412E-18</v>
      </c>
      <c r="AC31" s="2">
        <f t="shared" si="5"/>
        <v>5.4881589142149832E-18</v>
      </c>
      <c r="AD31" s="2">
        <f t="shared" si="6"/>
        <v>7.4505805969238281E-9</v>
      </c>
      <c r="AF31" s="2">
        <v>27</v>
      </c>
      <c r="AG31" s="2">
        <f t="shared" si="13"/>
        <v>9406.25</v>
      </c>
      <c r="AH31" s="2">
        <v>220.64030390060361</v>
      </c>
      <c r="AI31" s="2">
        <f t="shared" si="14"/>
        <v>9406.25</v>
      </c>
      <c r="AJ31" s="2">
        <v>220.64025061910615</v>
      </c>
      <c r="AK31" s="2">
        <f t="shared" si="9"/>
        <v>9406.25</v>
      </c>
      <c r="AL31" s="2">
        <v>220.64030390060361</v>
      </c>
      <c r="AM31" s="2">
        <f t="shared" si="10"/>
        <v>48682.143705350718</v>
      </c>
      <c r="AN31" s="2">
        <f t="shared" si="11"/>
        <v>48682.131949304923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1577.01</v>
      </c>
      <c r="L32" s="6" t="s">
        <v>7</v>
      </c>
      <c r="U32" s="2">
        <v>28</v>
      </c>
      <c r="V32" s="2">
        <f t="shared" si="7"/>
        <v>5.5868774652481079E-2</v>
      </c>
      <c r="W32" s="2">
        <f t="shared" si="0"/>
        <v>2.6141917242039625E-9</v>
      </c>
      <c r="X32" s="2">
        <f t="shared" si="8"/>
        <v>5.5868778377771378E-2</v>
      </c>
      <c r="Y32" s="2">
        <f t="shared" si="1"/>
        <v>-1.1272396349681912E-9</v>
      </c>
      <c r="Z32" s="2">
        <f t="shared" si="3"/>
        <v>5.5868776515126228E-2</v>
      </c>
      <c r="AA32" s="2">
        <f t="shared" si="2"/>
        <v>7.4347604461788563E-10</v>
      </c>
      <c r="AB32" s="2">
        <f t="shared" si="4"/>
        <v>1.9435889229839726E-18</v>
      </c>
      <c r="AC32" s="2">
        <f t="shared" si="5"/>
        <v>-8.3807566514266007E-19</v>
      </c>
      <c r="AD32" s="2">
        <f t="shared" si="6"/>
        <v>3.7252902984619141E-9</v>
      </c>
      <c r="AF32" s="2">
        <v>28</v>
      </c>
      <c r="AG32" s="2">
        <f t="shared" si="13"/>
        <v>9406.25</v>
      </c>
      <c r="AH32" s="2">
        <v>220.64030390060361</v>
      </c>
      <c r="AI32" s="2">
        <f t="shared" si="14"/>
        <v>9406.25</v>
      </c>
      <c r="AJ32" s="2">
        <v>220.64027725989217</v>
      </c>
      <c r="AK32" s="2">
        <f t="shared" si="9"/>
        <v>9406.25</v>
      </c>
      <c r="AL32" s="2">
        <v>220.64030390060361</v>
      </c>
      <c r="AM32" s="2">
        <f t="shared" si="10"/>
        <v>48682.143705350718</v>
      </c>
      <c r="AN32" s="2">
        <f t="shared" si="11"/>
        <v>48682.137827336046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624.82000000000005</v>
      </c>
      <c r="L33" s="6" t="s">
        <v>7</v>
      </c>
      <c r="U33" s="2">
        <v>29</v>
      </c>
      <c r="V33" s="2">
        <f t="shared" si="7"/>
        <v>5.5868776515126228E-2</v>
      </c>
      <c r="W33" s="2">
        <f t="shared" si="0"/>
        <v>7.4347604461788563E-10</v>
      </c>
      <c r="X33" s="2">
        <f t="shared" si="8"/>
        <v>5.5868778377771378E-2</v>
      </c>
      <c r="Y33" s="2">
        <f t="shared" si="1"/>
        <v>-1.1272396349681912E-9</v>
      </c>
      <c r="Z33" s="2">
        <f t="shared" si="3"/>
        <v>5.5868777446448803E-2</v>
      </c>
      <c r="AA33" s="2">
        <f t="shared" si="2"/>
        <v>-1.918817951751528E-10</v>
      </c>
      <c r="AB33" s="2">
        <f t="shared" si="4"/>
        <v>-1.426595181110019E-19</v>
      </c>
      <c r="AC33" s="2">
        <f t="shared" si="5"/>
        <v>2.1629676475028048E-19</v>
      </c>
      <c r="AD33" s="2">
        <f t="shared" si="6"/>
        <v>1.862645149230957E-9</v>
      </c>
      <c r="AF33" s="2">
        <v>29</v>
      </c>
      <c r="AG33" s="2">
        <f t="shared" si="13"/>
        <v>9406.25</v>
      </c>
      <c r="AH33" s="2">
        <v>220.64030390060361</v>
      </c>
      <c r="AI33" s="2">
        <f t="shared" si="14"/>
        <v>9406.25</v>
      </c>
      <c r="AJ33" s="2">
        <v>220.64027186034673</v>
      </c>
      <c r="AK33" s="2">
        <f t="shared" si="9"/>
        <v>9406.25</v>
      </c>
      <c r="AL33" s="2">
        <v>220.64030390060361</v>
      </c>
      <c r="AM33" s="2">
        <f t="shared" si="10"/>
        <v>48682.143705350718</v>
      </c>
      <c r="AN33" s="2">
        <f t="shared" si="11"/>
        <v>48682.136635978699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214.34</v>
      </c>
      <c r="L34" s="6" t="s">
        <v>7</v>
      </c>
      <c r="U34" s="2">
        <v>30</v>
      </c>
      <c r="V34" s="2">
        <f t="shared" si="7"/>
        <v>5.5868776515126228E-2</v>
      </c>
      <c r="W34" s="2">
        <f t="shared" si="0"/>
        <v>7.4347604461788563E-10</v>
      </c>
      <c r="X34" s="2">
        <f t="shared" si="8"/>
        <v>5.5868777446448803E-2</v>
      </c>
      <c r="Y34" s="2">
        <f t="shared" si="1"/>
        <v>-1.918817951751528E-10</v>
      </c>
      <c r="Z34" s="2">
        <f t="shared" si="3"/>
        <v>5.5868776980787516E-2</v>
      </c>
      <c r="AA34" s="2">
        <f t="shared" si="2"/>
        <v>2.7579712819081337E-10</v>
      </c>
      <c r="AB34" s="2">
        <f t="shared" si="4"/>
        <v>2.0504855798427788E-19</v>
      </c>
      <c r="AC34" s="2">
        <f t="shared" si="5"/>
        <v>-5.2920448061405011E-20</v>
      </c>
      <c r="AD34" s="2">
        <f>X34-V34</f>
        <v>9.3132257461547852E-10</v>
      </c>
      <c r="AF34" s="2">
        <v>30</v>
      </c>
      <c r="AG34" s="2">
        <f t="shared" si="13"/>
        <v>9406.25</v>
      </c>
      <c r="AH34" s="2">
        <v>220.64030390060361</v>
      </c>
      <c r="AI34" s="2">
        <f t="shared" si="14"/>
        <v>9406.25</v>
      </c>
      <c r="AJ34" s="2">
        <v>220.64028788047835</v>
      </c>
      <c r="AK34" s="2">
        <f t="shared" si="9"/>
        <v>9406.25</v>
      </c>
      <c r="AL34" s="2">
        <v>220.64030390060361</v>
      </c>
      <c r="AM34" s="2">
        <f t="shared" si="10"/>
        <v>48682.143705350718</v>
      </c>
      <c r="AN34" s="2">
        <f t="shared" si="11"/>
        <v>48682.140170665414</v>
      </c>
      <c r="AO34" s="2">
        <f t="shared" si="12"/>
        <v>0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298.82494506486148</v>
      </c>
      <c r="H35" s="25" t="s">
        <v>101</v>
      </c>
      <c r="J35" s="15" t="s">
        <v>70</v>
      </c>
      <c r="K35" s="6">
        <f>ROUND(SUM(K23:K26),2)</f>
        <v>156.56</v>
      </c>
      <c r="L35" s="6" t="s">
        <v>7</v>
      </c>
      <c r="AF35" s="2">
        <v>31</v>
      </c>
      <c r="AG35" s="2">
        <f t="shared" si="13"/>
        <v>9406.25</v>
      </c>
      <c r="AH35" s="2">
        <v>220.64030390060361</v>
      </c>
      <c r="AI35" s="2">
        <f t="shared" si="14"/>
        <v>9406.25</v>
      </c>
      <c r="AJ35" s="2">
        <v>220.64027717063891</v>
      </c>
      <c r="AK35" s="2">
        <f t="shared" si="9"/>
        <v>9406.25</v>
      </c>
      <c r="AL35" s="2">
        <v>220.64030390060361</v>
      </c>
      <c r="AM35" s="2">
        <f t="shared" si="10"/>
        <v>48682.143705350718</v>
      </c>
      <c r="AN35" s="2">
        <f t="shared" si="11"/>
        <v>48682.137807643179</v>
      </c>
      <c r="AO35" s="2">
        <f t="shared" si="12"/>
        <v>0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3172.7300000000005</v>
      </c>
      <c r="L36" s="6" t="s">
        <v>7</v>
      </c>
      <c r="AF36" s="2">
        <v>32</v>
      </c>
      <c r="AG36" s="2">
        <f t="shared" si="13"/>
        <v>9406.25</v>
      </c>
      <c r="AH36" s="2">
        <v>220.64030390060361</v>
      </c>
      <c r="AI36" s="2">
        <f t="shared" si="14"/>
        <v>9406.25</v>
      </c>
      <c r="AJ36" s="2">
        <v>220.64027181571055</v>
      </c>
      <c r="AK36" s="2">
        <f t="shared" si="9"/>
        <v>9406.25</v>
      </c>
      <c r="AL36" s="2">
        <v>220.64030390060361</v>
      </c>
      <c r="AM36" s="2">
        <f t="shared" si="10"/>
        <v>48682.143705350718</v>
      </c>
      <c r="AN36" s="2">
        <f t="shared" si="11"/>
        <v>48682.136626130159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9406.25</v>
      </c>
      <c r="AH37" s="2">
        <v>220.64030390060361</v>
      </c>
      <c r="AI37" s="2">
        <f t="shared" si="14"/>
        <v>9406.25</v>
      </c>
      <c r="AJ37" s="2">
        <v>220.64030657806234</v>
      </c>
      <c r="AK37" s="2">
        <f t="shared" si="9"/>
        <v>9406.25</v>
      </c>
      <c r="AL37" s="2">
        <v>220.64030390060361</v>
      </c>
      <c r="AM37" s="2">
        <f t="shared" si="10"/>
        <v>48682.143705350718</v>
      </c>
      <c r="AN37" s="2">
        <f t="shared" si="11"/>
        <v>48682.144296106024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9406.25</v>
      </c>
      <c r="AH38" s="2">
        <v>220.64030390060361</v>
      </c>
      <c r="AI38" s="2">
        <f t="shared" si="14"/>
        <v>9406.25</v>
      </c>
      <c r="AJ38" s="2">
        <v>220.64030523934071</v>
      </c>
      <c r="AK38" s="2">
        <f t="shared" si="9"/>
        <v>9406.25</v>
      </c>
      <c r="AL38" s="2">
        <v>220.64030390060361</v>
      </c>
      <c r="AM38" s="2">
        <f t="shared" si="10"/>
        <v>48682.143705350718</v>
      </c>
      <c r="AN38" s="2">
        <f t="shared" si="11"/>
        <v>48682.144000730077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18.91</v>
      </c>
      <c r="L39" s="6" t="s">
        <v>58</v>
      </c>
      <c r="AF39" s="2">
        <v>35</v>
      </c>
      <c r="AG39" s="2">
        <f t="shared" si="13"/>
        <v>9406.25</v>
      </c>
      <c r="AH39" s="2">
        <v>220.64030390060361</v>
      </c>
      <c r="AI39" s="2">
        <f t="shared" si="14"/>
        <v>9406.25</v>
      </c>
      <c r="AJ39" s="2">
        <v>220.64030456996443</v>
      </c>
      <c r="AK39" s="2">
        <f t="shared" si="9"/>
        <v>9406.25</v>
      </c>
      <c r="AL39" s="2">
        <v>220.64030390060361</v>
      </c>
      <c r="AM39" s="2">
        <f t="shared" si="10"/>
        <v>48682.143705350718</v>
      </c>
      <c r="AN39" s="2">
        <f t="shared" si="11"/>
        <v>48682.143853038695</v>
      </c>
      <c r="AO39" s="2">
        <f t="shared" si="12"/>
        <v>0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49.71</v>
      </c>
      <c r="L40" s="6" t="s">
        <v>58</v>
      </c>
      <c r="AF40" s="2">
        <v>36</v>
      </c>
      <c r="AG40" s="2">
        <f t="shared" si="13"/>
        <v>9406.25</v>
      </c>
      <c r="AH40" s="2">
        <v>220.64030390060361</v>
      </c>
      <c r="AI40" s="2">
        <f t="shared" si="14"/>
        <v>9406.25</v>
      </c>
      <c r="AJ40" s="2">
        <v>220.64030423528857</v>
      </c>
      <c r="AK40" s="2">
        <f t="shared" si="9"/>
        <v>9406.25</v>
      </c>
      <c r="AL40" s="2">
        <v>220.64030390060361</v>
      </c>
      <c r="AM40" s="2">
        <f t="shared" si="10"/>
        <v>48682.143705350718</v>
      </c>
      <c r="AN40" s="2">
        <f t="shared" si="11"/>
        <v>48682.143779195707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19.690000000000001</v>
      </c>
      <c r="L41" s="6" t="s">
        <v>58</v>
      </c>
      <c r="AF41" s="2">
        <v>37</v>
      </c>
      <c r="AG41" s="2">
        <f t="shared" si="13"/>
        <v>9406.25</v>
      </c>
      <c r="AH41" s="2">
        <v>220.64030390060361</v>
      </c>
      <c r="AI41" s="2">
        <f t="shared" si="14"/>
        <v>9406.25</v>
      </c>
      <c r="AJ41" s="2">
        <v>220.64030406794427</v>
      </c>
      <c r="AK41" s="2">
        <f t="shared" si="9"/>
        <v>9406.25</v>
      </c>
      <c r="AL41" s="2">
        <v>220.64030390060361</v>
      </c>
      <c r="AM41" s="2">
        <f t="shared" si="10"/>
        <v>48682.143705350718</v>
      </c>
      <c r="AN41" s="2">
        <f t="shared" si="11"/>
        <v>48682.143742272812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6.76</v>
      </c>
      <c r="L42" s="6" t="s">
        <v>58</v>
      </c>
      <c r="AF42" s="2">
        <v>38</v>
      </c>
      <c r="AG42" s="2">
        <f t="shared" si="13"/>
        <v>9406.25</v>
      </c>
      <c r="AH42" s="2">
        <v>220.64030390060361</v>
      </c>
      <c r="AI42" s="2">
        <f t="shared" si="14"/>
        <v>9406.25</v>
      </c>
      <c r="AJ42" s="2">
        <v>220.64030398427349</v>
      </c>
      <c r="AK42" s="2">
        <f t="shared" si="9"/>
        <v>9406.25</v>
      </c>
      <c r="AL42" s="2">
        <v>220.64030390060361</v>
      </c>
      <c r="AM42" s="2">
        <f t="shared" si="10"/>
        <v>48682.143705350718</v>
      </c>
      <c r="AN42" s="2">
        <f t="shared" si="11"/>
        <v>48682.143723811663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4.93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9406.25</v>
      </c>
      <c r="AH43" s="2">
        <v>220.64030390060361</v>
      </c>
      <c r="AI43" s="2">
        <f t="shared" si="14"/>
        <v>9406.25</v>
      </c>
      <c r="AJ43" s="2">
        <v>220.64030394243582</v>
      </c>
      <c r="AK43" s="2">
        <f t="shared" si="9"/>
        <v>9406.25</v>
      </c>
      <c r="AL43" s="2">
        <v>220.64030390060361</v>
      </c>
      <c r="AM43" s="2">
        <f t="shared" si="10"/>
        <v>48682.143705350718</v>
      </c>
      <c r="AN43" s="2">
        <f t="shared" si="11"/>
        <v>48682.14371458059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9406.25</v>
      </c>
      <c r="AH44" s="2">
        <v>220.64030390060361</v>
      </c>
      <c r="AI44" s="2">
        <f t="shared" si="14"/>
        <v>9406.25</v>
      </c>
      <c r="AJ44" s="2">
        <v>220.64030392151653</v>
      </c>
      <c r="AK44" s="5">
        <f>(AG44+AI44)/2</f>
        <v>9406.25</v>
      </c>
      <c r="AL44" s="2">
        <v>220.64030390060361</v>
      </c>
      <c r="AM44" s="2">
        <f t="shared" si="10"/>
        <v>48682.143705350718</v>
      </c>
      <c r="AN44" s="2">
        <f t="shared" si="11"/>
        <v>48682.143709964948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4657.3502819297146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18.91</v>
      </c>
      <c r="L47" s="6" t="s">
        <v>58</v>
      </c>
      <c r="N47" s="6" t="s">
        <v>154</v>
      </c>
      <c r="O47" s="6">
        <f>0.377*O46^0.6945</f>
        <v>133.00372923192563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49.71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31.38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multirotor_opt_250_test_250</vt:lpstr>
      <vt:lpstr>multirotor_opt_250_test_550</vt:lpstr>
      <vt:lpstr>multirotor_opt_550_test_550</vt:lpstr>
      <vt:lpstr>multirotor_opt_550_test_250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2025-05-10T15:59:25Z</dcterms:modified>
</cp:coreProperties>
</file>