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FABCDDFB-7B6C-5B47-A84F-E4DC7D7683A2}" xr6:coauthVersionLast="47" xr6:coauthVersionMax="47" xr10:uidLastSave="{00000000-0000-0000-0000-000000000000}"/>
  <bookViews>
    <workbookView xWindow="0" yWindow="740" windowWidth="30240" windowHeight="18900" activeTab="1" xr2:uid="{843CD013-835A-1741-B375-CD508AE79BD2}"/>
  </bookViews>
  <sheets>
    <sheet name="multirotor" sheetId="3" r:id="rId1"/>
    <sheet name="lift+cruise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4" i="1"/>
  <c r="G24" i="3"/>
  <c r="G23" i="3"/>
  <c r="T21" i="4"/>
  <c r="S21" i="4"/>
  <c r="R21" i="4"/>
  <c r="Q21" i="4"/>
  <c r="P21" i="4"/>
  <c r="O21" i="4"/>
  <c r="N21" i="4"/>
  <c r="M21" i="4"/>
  <c r="L21" i="4"/>
  <c r="E36" i="4"/>
  <c r="D36" i="4"/>
  <c r="E35" i="4"/>
  <c r="D35" i="4"/>
  <c r="C9" i="4"/>
  <c r="G25" i="4"/>
  <c r="G15" i="4"/>
  <c r="F9" i="4"/>
  <c r="F15" i="4" s="1"/>
  <c r="F25" i="4" s="1"/>
  <c r="E9" i="4"/>
  <c r="E15" i="4" s="1"/>
  <c r="E25" i="4" s="1"/>
  <c r="C15" i="4"/>
  <c r="C25" i="4" s="1"/>
  <c r="E8" i="4"/>
  <c r="E14" i="4" s="1"/>
  <c r="E10" i="4"/>
  <c r="G8" i="4"/>
  <c r="G14" i="4" s="1"/>
  <c r="F8" i="4"/>
  <c r="F14" i="4" s="1"/>
  <c r="C8" i="4"/>
  <c r="C14" i="4" s="1"/>
  <c r="D8" i="4"/>
  <c r="D14" i="4" s="1"/>
  <c r="C10" i="4"/>
  <c r="G11" i="4"/>
  <c r="G9" i="4" s="1"/>
  <c r="G10" i="4"/>
  <c r="F11" i="4"/>
  <c r="F10" i="4"/>
  <c r="E11" i="4"/>
  <c r="D11" i="4"/>
  <c r="D16" i="4" s="1"/>
  <c r="D10" i="4"/>
  <c r="C11" i="4"/>
  <c r="D6" i="4"/>
  <c r="G6" i="4"/>
  <c r="F6" i="4"/>
  <c r="E6" i="4"/>
  <c r="C6" i="4"/>
  <c r="C7" i="4"/>
  <c r="E7" i="4"/>
  <c r="F7" i="4"/>
  <c r="G7" i="4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G13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C16" i="4" l="1"/>
  <c r="E16" i="4"/>
  <c r="D9" i="4"/>
  <c r="D15" i="4" s="1"/>
  <c r="D25" i="4" s="1"/>
  <c r="F16" i="4"/>
  <c r="G16" i="4"/>
  <c r="AD6" i="3"/>
  <c r="AB6" i="3"/>
  <c r="AB6" i="1"/>
  <c r="AD6" i="1"/>
  <c r="AJ6" i="3" l="1"/>
  <c r="AF6" i="3"/>
  <c r="AD7" i="3" s="1"/>
  <c r="AJ6" i="1"/>
  <c r="AF6" i="1"/>
  <c r="AD7" i="1" s="1"/>
  <c r="AB7" i="3" l="1"/>
  <c r="AB7" i="1"/>
  <c r="AF7" i="1" s="1"/>
  <c r="AF7" i="3" l="1"/>
  <c r="AJ7" i="3"/>
  <c r="AD8" i="1"/>
  <c r="AB8" i="1"/>
  <c r="AJ7" i="1"/>
  <c r="AD8" i="3" l="1"/>
  <c r="AB8" i="3"/>
  <c r="AF8" i="1"/>
  <c r="AJ8" i="1"/>
  <c r="AJ8" i="3" l="1"/>
  <c r="AF8" i="3"/>
  <c r="AD9" i="1"/>
  <c r="AB9" i="1"/>
  <c r="AB9" i="3" l="1"/>
  <c r="AD9" i="3"/>
  <c r="AF9" i="1"/>
  <c r="AJ9" i="1"/>
  <c r="AJ9" i="3" l="1"/>
  <c r="AF9" i="3"/>
  <c r="AB10" i="1"/>
  <c r="AD10" i="1"/>
  <c r="AB10" i="3" l="1"/>
  <c r="AD10" i="3"/>
  <c r="AJ10" i="1"/>
  <c r="AF10" i="1"/>
  <c r="AJ10" i="3" l="1"/>
  <c r="AF10" i="3"/>
  <c r="AB11" i="1"/>
  <c r="AD11" i="1"/>
  <c r="AD11" i="3" l="1"/>
  <c r="AB11" i="3"/>
  <c r="AJ11" i="1"/>
  <c r="AF11" i="1"/>
  <c r="AJ11" i="3" l="1"/>
  <c r="AF11" i="3"/>
  <c r="AB12" i="1"/>
  <c r="AD12" i="1"/>
  <c r="AB12" i="3" l="1"/>
  <c r="AD12" i="3"/>
  <c r="AJ12" i="1"/>
  <c r="AF12" i="1"/>
  <c r="AF12" i="3" l="1"/>
  <c r="AB13" i="3" s="1"/>
  <c r="AJ12" i="3"/>
  <c r="AB13" i="1"/>
  <c r="AD13" i="1"/>
  <c r="AD13" i="3" l="1"/>
  <c r="AF13" i="3" s="1"/>
  <c r="AB14" i="3" s="1"/>
  <c r="AF13" i="1"/>
  <c r="AJ13" i="1"/>
  <c r="AJ13" i="3" l="1"/>
  <c r="AD14" i="3"/>
  <c r="AJ14" i="3" s="1"/>
  <c r="AB14" i="1"/>
  <c r="AD14" i="1"/>
  <c r="AF14" i="3" l="1"/>
  <c r="AD15" i="3" s="1"/>
  <c r="AJ14" i="1"/>
  <c r="AF14" i="1"/>
  <c r="AB15" i="3" l="1"/>
  <c r="AJ15" i="3" s="1"/>
  <c r="AD15" i="1"/>
  <c r="AB15" i="1"/>
  <c r="AF15" i="3" l="1"/>
  <c r="AD16" i="3" s="1"/>
  <c r="AF15" i="1"/>
  <c r="AJ15" i="1"/>
  <c r="AB16" i="3" l="1"/>
  <c r="AF16" i="3" s="1"/>
  <c r="AD17" i="3" s="1"/>
  <c r="AD16" i="1"/>
  <c r="AB16" i="1"/>
  <c r="AJ16" i="3" l="1"/>
  <c r="AB17" i="3"/>
  <c r="AJ17" i="3" s="1"/>
  <c r="AF16" i="1"/>
  <c r="AB17" i="1" s="1"/>
  <c r="AJ16" i="1"/>
  <c r="AF17" i="3" l="1"/>
  <c r="AB18" i="3" s="1"/>
  <c r="AD17" i="1"/>
  <c r="AF17" i="1" s="1"/>
  <c r="AD18" i="1" s="1"/>
  <c r="AD18" i="3" l="1"/>
  <c r="AJ18" i="3" s="1"/>
  <c r="AJ17" i="1"/>
  <c r="AB18" i="1"/>
  <c r="AJ18" i="1" s="1"/>
  <c r="AF18" i="3" l="1"/>
  <c r="AB19" i="3" s="1"/>
  <c r="AF18" i="1"/>
  <c r="AD19" i="1" s="1"/>
  <c r="AD19" i="3" l="1"/>
  <c r="AF19" i="3" s="1"/>
  <c r="AB19" i="1"/>
  <c r="AF19" i="1" s="1"/>
  <c r="AB20" i="3" l="1"/>
  <c r="AD20" i="3"/>
  <c r="AJ19" i="3"/>
  <c r="AJ19" i="1"/>
  <c r="AB20" i="1"/>
  <c r="AD20" i="1"/>
  <c r="AJ20" i="3" l="1"/>
  <c r="AF20" i="3"/>
  <c r="AB21" i="3" s="1"/>
  <c r="AF20" i="1"/>
  <c r="AD21" i="1" s="1"/>
  <c r="AJ20" i="1"/>
  <c r="AD21" i="3" l="1"/>
  <c r="AJ21" i="3" s="1"/>
  <c r="AB21" i="1"/>
  <c r="AF21" i="1" s="1"/>
  <c r="AB22" i="1" s="1"/>
  <c r="AF21" i="3" l="1"/>
  <c r="AD22" i="3" s="1"/>
  <c r="AD22" i="1"/>
  <c r="AF22" i="1" s="1"/>
  <c r="AD23" i="1" s="1"/>
  <c r="AJ21" i="1"/>
  <c r="AB22" i="3" l="1"/>
  <c r="AJ22" i="3" s="1"/>
  <c r="AB23" i="1"/>
  <c r="AF23" i="1" s="1"/>
  <c r="AD24" i="1" s="1"/>
  <c r="AJ22" i="1"/>
  <c r="AF22" i="3" l="1"/>
  <c r="AD23" i="3" s="1"/>
  <c r="AJ23" i="1"/>
  <c r="AB24" i="1"/>
  <c r="AJ24" i="1" s="1"/>
  <c r="AB23" i="3" l="1"/>
  <c r="AJ23" i="3" s="1"/>
  <c r="AF24" i="1"/>
  <c r="AD25" i="1" s="1"/>
  <c r="AF23" i="3" l="1"/>
  <c r="AD24" i="3" s="1"/>
  <c r="AB25" i="1"/>
  <c r="AF25" i="1" s="1"/>
  <c r="AB26" i="1" s="1"/>
  <c r="AB24" i="3" l="1"/>
  <c r="AF24" i="3" s="1"/>
  <c r="AD25" i="3" s="1"/>
  <c r="AD26" i="1"/>
  <c r="AF26" i="1" s="1"/>
  <c r="AB27" i="1" s="1"/>
  <c r="AJ25" i="1"/>
  <c r="AJ24" i="3" l="1"/>
  <c r="AB25" i="3"/>
  <c r="AJ25" i="3" s="1"/>
  <c r="AD27" i="1"/>
  <c r="AF27" i="1" s="1"/>
  <c r="AD28" i="1" s="1"/>
  <c r="AJ26" i="1"/>
  <c r="AF25" i="3" l="1"/>
  <c r="AB26" i="3" s="1"/>
  <c r="AJ27" i="1"/>
  <c r="AB28" i="1"/>
  <c r="AJ28" i="1" s="1"/>
  <c r="AD26" i="3" l="1"/>
  <c r="AJ26" i="3" s="1"/>
  <c r="AF28" i="1"/>
  <c r="AB29" i="1" s="1"/>
  <c r="AF26" i="3" l="1"/>
  <c r="AB27" i="3" s="1"/>
  <c r="AD29" i="1"/>
  <c r="AF29" i="1" s="1"/>
  <c r="AD27" i="3" l="1"/>
  <c r="AF27" i="3" s="1"/>
  <c r="AB28" i="3" s="1"/>
  <c r="AJ29" i="1"/>
  <c r="AB30" i="1"/>
  <c r="AD30" i="1"/>
  <c r="AD28" i="3" l="1"/>
  <c r="AF28" i="3" s="1"/>
  <c r="AB29" i="3" s="1"/>
  <c r="AJ27" i="3"/>
  <c r="AJ30" i="1"/>
  <c r="AF30" i="1"/>
  <c r="AJ28" i="3" l="1"/>
  <c r="AD29" i="3"/>
  <c r="AJ29" i="3" s="1"/>
  <c r="AD31" i="1"/>
  <c r="AB31" i="1"/>
  <c r="AF29" i="3" l="1"/>
  <c r="AB30" i="3" s="1"/>
  <c r="AF31" i="1"/>
  <c r="AD32" i="1" s="1"/>
  <c r="AJ31" i="1"/>
  <c r="AD30" i="3" l="1"/>
  <c r="AF30" i="3" s="1"/>
  <c r="AB32" i="1"/>
  <c r="AF32" i="1" s="1"/>
  <c r="AB33" i="1" s="1"/>
  <c r="AJ30" i="3" l="1"/>
  <c r="AD31" i="3"/>
  <c r="AB31" i="3"/>
  <c r="AD33" i="1"/>
  <c r="AF33" i="1" s="1"/>
  <c r="AB34" i="1" s="1"/>
  <c r="AJ32" i="1"/>
  <c r="AF31" i="3" l="1"/>
  <c r="AD32" i="3" s="1"/>
  <c r="AJ31" i="3"/>
  <c r="AJ33" i="1"/>
  <c r="AD34" i="1"/>
  <c r="AF34" i="1" s="1"/>
  <c r="AB32" i="3" l="1"/>
  <c r="AF32" i="3" s="1"/>
  <c r="AB33" i="3" s="1"/>
  <c r="AJ34" i="1"/>
  <c r="AB35" i="1"/>
  <c r="AD35" i="1"/>
  <c r="AJ32" i="3" l="1"/>
  <c r="AD33" i="3"/>
  <c r="AJ33" i="3" s="1"/>
  <c r="AF35" i="1"/>
  <c r="AJ35" i="1"/>
  <c r="AF33" i="3" l="1"/>
  <c r="AB34" i="3" s="1"/>
  <c r="AB36" i="1"/>
  <c r="AD36" i="1"/>
  <c r="AD34" i="3" l="1"/>
  <c r="AF34" i="3" s="1"/>
  <c r="AF36" i="1"/>
  <c r="AJ36" i="1"/>
  <c r="AJ34" i="3" l="1"/>
  <c r="AB35" i="3"/>
  <c r="AD35" i="3"/>
  <c r="AB37" i="1"/>
  <c r="AD37" i="1"/>
  <c r="G13" i="1"/>
  <c r="Y4" i="1"/>
  <c r="U4" i="1"/>
  <c r="K19" i="1"/>
  <c r="K17" i="1"/>
  <c r="K9" i="1"/>
  <c r="K5" i="1"/>
  <c r="AJ35" i="3" l="1"/>
  <c r="AF35" i="3"/>
  <c r="AD36" i="3" s="1"/>
  <c r="AF37" i="1"/>
  <c r="AJ37" i="1"/>
  <c r="K20" i="1"/>
  <c r="K23" i="1" s="1"/>
  <c r="AB36" i="3" l="1"/>
  <c r="AF36" i="3" s="1"/>
  <c r="AD38" i="1"/>
  <c r="AB38" i="1"/>
  <c r="AD37" i="3" l="1"/>
  <c r="AB37" i="3"/>
  <c r="AJ36" i="3"/>
  <c r="AF38" i="1"/>
  <c r="AB39" i="1" s="1"/>
  <c r="AJ38" i="1"/>
  <c r="AJ37" i="3" l="1"/>
  <c r="AF37" i="3"/>
  <c r="AD39" i="1"/>
  <c r="AF39" i="1" s="1"/>
  <c r="AB38" i="3" l="1"/>
  <c r="AD38" i="3"/>
  <c r="AJ39" i="1"/>
  <c r="AB40" i="1"/>
  <c r="AD40" i="1"/>
  <c r="AF38" i="3" l="1"/>
  <c r="AJ38" i="3"/>
  <c r="AJ40" i="1"/>
  <c r="AF40" i="1"/>
  <c r="AB39" i="3" l="1"/>
  <c r="AD39" i="3"/>
  <c r="AD41" i="1"/>
  <c r="AB41" i="1"/>
  <c r="AJ39" i="3" l="1"/>
  <c r="AF39" i="3"/>
  <c r="AD40" i="3" s="1"/>
  <c r="AF41" i="1"/>
  <c r="AB42" i="1" s="1"/>
  <c r="AJ41" i="1"/>
  <c r="AB40" i="3" l="1"/>
  <c r="AF40" i="3" s="1"/>
  <c r="AB41" i="3" s="1"/>
  <c r="AD42" i="1"/>
  <c r="AJ42" i="1" s="1"/>
  <c r="AD41" i="3" l="1"/>
  <c r="AF41" i="3" s="1"/>
  <c r="AJ40" i="3"/>
  <c r="AF42" i="1"/>
  <c r="AD43" i="1" s="1"/>
  <c r="AJ41" i="3" l="1"/>
  <c r="AB42" i="3"/>
  <c r="AD42" i="3"/>
  <c r="AB43" i="1"/>
  <c r="AJ43" i="1" s="1"/>
  <c r="AJ42" i="3" l="1"/>
  <c r="AF42" i="3"/>
  <c r="AF43" i="1"/>
  <c r="AB44" i="1" s="1"/>
  <c r="AB43" i="3" l="1"/>
  <c r="AD43" i="3"/>
  <c r="AD44" i="1"/>
  <c r="AJ44" i="1" s="1"/>
  <c r="AF43" i="3" l="1"/>
  <c r="AJ43" i="3"/>
  <c r="AF44" i="1"/>
  <c r="AD44" i="3" l="1"/>
  <c r="AB44" i="3"/>
  <c r="C20" i="1"/>
  <c r="G29" i="1" s="1"/>
  <c r="G27" i="1" l="1"/>
  <c r="G28" i="1"/>
  <c r="G23" i="1"/>
  <c r="G26" i="1"/>
  <c r="G21" i="1"/>
  <c r="G22" i="1"/>
  <c r="K6" i="1"/>
  <c r="G16" i="1"/>
  <c r="AF44" i="3"/>
  <c r="C15" i="3" s="1"/>
  <c r="AJ44" i="3"/>
  <c r="G5" i="1"/>
  <c r="K4" i="1"/>
  <c r="K10" i="1" s="1"/>
  <c r="G35" i="1"/>
  <c r="G27" i="3" l="1"/>
  <c r="G28" i="3"/>
  <c r="G25" i="3"/>
  <c r="G26" i="3"/>
  <c r="G21" i="3"/>
  <c r="G22" i="3"/>
  <c r="G5" i="3"/>
  <c r="G4" i="3"/>
  <c r="G16" i="3"/>
  <c r="G34" i="3"/>
  <c r="K5" i="3"/>
  <c r="K7" i="3" s="1"/>
  <c r="K8" i="3" s="1"/>
  <c r="K12" i="3" s="1"/>
  <c r="K7" i="1"/>
  <c r="K8" i="1" s="1"/>
  <c r="G39" i="1"/>
  <c r="G38" i="1"/>
  <c r="G19" i="3" l="1"/>
  <c r="G18" i="3"/>
  <c r="G20" i="3"/>
  <c r="G37" i="3"/>
  <c r="K6" i="3"/>
  <c r="G38" i="3"/>
  <c r="K18" i="3"/>
  <c r="K13" i="3"/>
  <c r="K17" i="3" s="1"/>
  <c r="K11" i="1"/>
  <c r="G36" i="3" l="1"/>
  <c r="K19" i="3"/>
  <c r="K22" i="3" s="1"/>
  <c r="K12" i="1"/>
  <c r="K18" i="1" s="1"/>
  <c r="K21" i="1" s="1"/>
  <c r="T4" i="1" s="1"/>
  <c r="K13" i="1"/>
  <c r="K25" i="3" l="1"/>
  <c r="K27" i="3" s="1"/>
  <c r="K20" i="3"/>
  <c r="T4" i="3" s="1"/>
  <c r="V4" i="1"/>
  <c r="X4" i="1" s="1"/>
  <c r="S5" i="1" s="1"/>
  <c r="T5" i="1" s="1"/>
  <c r="R4" i="1"/>
  <c r="K26" i="1"/>
  <c r="K28" i="1" s="1"/>
  <c r="V4" i="3" l="1"/>
  <c r="X4" i="3" s="1"/>
  <c r="S5" i="3" s="1"/>
  <c r="R4" i="3"/>
  <c r="W4" i="1"/>
  <c r="Q5" i="1" s="1"/>
  <c r="U5" i="1" s="1"/>
  <c r="V5" i="1" s="1"/>
  <c r="X5" i="1" s="1"/>
  <c r="S6" i="1" s="1"/>
  <c r="T6" i="1" s="1"/>
  <c r="W4" i="3" l="1"/>
  <c r="Q5" i="3" s="1"/>
  <c r="R5" i="3" s="1"/>
  <c r="T5" i="3"/>
  <c r="R5" i="1"/>
  <c r="W5" i="1" s="1"/>
  <c r="Q6" i="1" s="1"/>
  <c r="Y5" i="1"/>
  <c r="Y5" i="3" l="1"/>
  <c r="U5" i="3"/>
  <c r="V5" i="3" s="1"/>
  <c r="W5" i="3" s="1"/>
  <c r="Q6" i="3" s="1"/>
  <c r="R6" i="3" s="1"/>
  <c r="R6" i="1"/>
  <c r="Y6" i="1"/>
  <c r="U6" i="1"/>
  <c r="V6" i="1" s="1"/>
  <c r="X5" i="3" l="1"/>
  <c r="S6" i="3" s="1"/>
  <c r="U6" i="3" s="1"/>
  <c r="V6" i="3" s="1"/>
  <c r="W6" i="3" s="1"/>
  <c r="Q7" i="3" s="1"/>
  <c r="R7" i="3" s="1"/>
  <c r="W6" i="1"/>
  <c r="Q7" i="1" s="1"/>
  <c r="R7" i="1" s="1"/>
  <c r="X6" i="1"/>
  <c r="S7" i="1" s="1"/>
  <c r="T7" i="1" s="1"/>
  <c r="T6" i="3" l="1"/>
  <c r="X6" i="3" s="1"/>
  <c r="S7" i="3" s="1"/>
  <c r="Y6" i="3"/>
  <c r="U7" i="1"/>
  <c r="V7" i="1" s="1"/>
  <c r="W7" i="1" s="1"/>
  <c r="Q8" i="1" s="1"/>
  <c r="R8" i="1" s="1"/>
  <c r="Y7" i="1"/>
  <c r="U7" i="3" l="1"/>
  <c r="V7" i="3" s="1"/>
  <c r="W7" i="3" s="1"/>
  <c r="Q8" i="3" s="1"/>
  <c r="R8" i="3" s="1"/>
  <c r="Y7" i="3"/>
  <c r="T7" i="3"/>
  <c r="X7" i="1"/>
  <c r="S8" i="1" s="1"/>
  <c r="T8" i="1" s="1"/>
  <c r="X7" i="3" l="1"/>
  <c r="S8" i="3" s="1"/>
  <c r="Y8" i="3" s="1"/>
  <c r="Y8" i="1"/>
  <c r="U8" i="1"/>
  <c r="V8" i="1" s="1"/>
  <c r="X8" i="1" s="1"/>
  <c r="S9" i="1" s="1"/>
  <c r="T9" i="1" s="1"/>
  <c r="U8" i="3" l="1"/>
  <c r="V8" i="3" s="1"/>
  <c r="W8" i="3" s="1"/>
  <c r="Q9" i="3" s="1"/>
  <c r="R9" i="3" s="1"/>
  <c r="T8" i="3"/>
  <c r="W8" i="1"/>
  <c r="Q9" i="1" s="1"/>
  <c r="R9" i="1" s="1"/>
  <c r="X8" i="3" l="1"/>
  <c r="S9" i="3" s="1"/>
  <c r="U9" i="3" s="1"/>
  <c r="V9" i="3" s="1"/>
  <c r="W9" i="3" s="1"/>
  <c r="Q10" i="3" s="1"/>
  <c r="R10" i="3" s="1"/>
  <c r="Y9" i="1"/>
  <c r="U9" i="1"/>
  <c r="V9" i="1" s="1"/>
  <c r="W9" i="1" s="1"/>
  <c r="Q10" i="1" s="1"/>
  <c r="R10" i="1" s="1"/>
  <c r="Y9" i="3" l="1"/>
  <c r="T9" i="3"/>
  <c r="X9" i="3" s="1"/>
  <c r="S10" i="3" s="1"/>
  <c r="T10" i="3" s="1"/>
  <c r="X9" i="1"/>
  <c r="S10" i="1" s="1"/>
  <c r="U10" i="1" s="1"/>
  <c r="V10" i="1" s="1"/>
  <c r="W10" i="1" s="1"/>
  <c r="Q11" i="1" s="1"/>
  <c r="R11" i="1" s="1"/>
  <c r="Y10" i="3" l="1"/>
  <c r="U10" i="3"/>
  <c r="V10" i="3" s="1"/>
  <c r="W10" i="3" s="1"/>
  <c r="Q11" i="3" s="1"/>
  <c r="R11" i="3" s="1"/>
  <c r="T10" i="1"/>
  <c r="X10" i="1" s="1"/>
  <c r="S11" i="1" s="1"/>
  <c r="U11" i="1" s="1"/>
  <c r="V11" i="1" s="1"/>
  <c r="W11" i="1" s="1"/>
  <c r="Q12" i="1" s="1"/>
  <c r="Y10" i="1"/>
  <c r="X10" i="3" l="1"/>
  <c r="S11" i="3" s="1"/>
  <c r="T11" i="3" s="1"/>
  <c r="T11" i="1"/>
  <c r="X11" i="1" s="1"/>
  <c r="S12" i="1" s="1"/>
  <c r="T12" i="1" s="1"/>
  <c r="Y11" i="1"/>
  <c r="R12" i="1"/>
  <c r="Y11" i="3" l="1"/>
  <c r="U11" i="3"/>
  <c r="V11" i="3" s="1"/>
  <c r="W11" i="3" s="1"/>
  <c r="Q12" i="3" s="1"/>
  <c r="R12" i="3" s="1"/>
  <c r="U12" i="1"/>
  <c r="V12" i="1" s="1"/>
  <c r="X12" i="1" s="1"/>
  <c r="S13" i="1" s="1"/>
  <c r="Y12" i="1"/>
  <c r="X11" i="3" l="1"/>
  <c r="S12" i="3" s="1"/>
  <c r="T12" i="3" s="1"/>
  <c r="T13" i="1"/>
  <c r="W12" i="1"/>
  <c r="Q13" i="1" s="1"/>
  <c r="Y13" i="1" s="1"/>
  <c r="U12" i="3" l="1"/>
  <c r="V12" i="3" s="1"/>
  <c r="W12" i="3" s="1"/>
  <c r="Q13" i="3" s="1"/>
  <c r="R13" i="3" s="1"/>
  <c r="Y12" i="3"/>
  <c r="R13" i="1"/>
  <c r="U13" i="1"/>
  <c r="V13" i="1" s="1"/>
  <c r="X13" i="1" s="1"/>
  <c r="S14" i="1" s="1"/>
  <c r="X12" i="3" l="1"/>
  <c r="S13" i="3" s="1"/>
  <c r="T13" i="3" s="1"/>
  <c r="T14" i="1"/>
  <c r="W13" i="1"/>
  <c r="Q14" i="1" s="1"/>
  <c r="U13" i="3" l="1"/>
  <c r="V13" i="3" s="1"/>
  <c r="X13" i="3" s="1"/>
  <c r="S14" i="3" s="1"/>
  <c r="T14" i="3" s="1"/>
  <c r="Y13" i="3"/>
  <c r="U14" i="1"/>
  <c r="V14" i="1" s="1"/>
  <c r="X14" i="1" s="1"/>
  <c r="S15" i="1" s="1"/>
  <c r="R14" i="1"/>
  <c r="Y14" i="1"/>
  <c r="W13" i="3" l="1"/>
  <c r="Q14" i="3" s="1"/>
  <c r="Y14" i="3" s="1"/>
  <c r="W14" i="1"/>
  <c r="Q15" i="1" s="1"/>
  <c r="Y15" i="1" s="1"/>
  <c r="T15" i="1"/>
  <c r="U14" i="3" l="1"/>
  <c r="V14" i="3" s="1"/>
  <c r="X14" i="3" s="1"/>
  <c r="S15" i="3" s="1"/>
  <c r="T15" i="3" s="1"/>
  <c r="R14" i="3"/>
  <c r="U15" i="1"/>
  <c r="V15" i="1" s="1"/>
  <c r="X15" i="1" s="1"/>
  <c r="S16" i="1" s="1"/>
  <c r="R15" i="1"/>
  <c r="W14" i="3" l="1"/>
  <c r="Q15" i="3" s="1"/>
  <c r="R15" i="3" s="1"/>
  <c r="T16" i="1"/>
  <c r="W15" i="1"/>
  <c r="Q16" i="1" s="1"/>
  <c r="Y15" i="3" l="1"/>
  <c r="U15" i="3"/>
  <c r="V15" i="3" s="1"/>
  <c r="W15" i="3" s="1"/>
  <c r="Q16" i="3" s="1"/>
  <c r="R16" i="3" s="1"/>
  <c r="R16" i="1"/>
  <c r="U16" i="1"/>
  <c r="V16" i="1" s="1"/>
  <c r="X16" i="1" s="1"/>
  <c r="S17" i="1" s="1"/>
  <c r="Y16" i="1"/>
  <c r="X15" i="3" l="1"/>
  <c r="S16" i="3" s="1"/>
  <c r="Y16" i="3" s="1"/>
  <c r="T17" i="1"/>
  <c r="W16" i="1"/>
  <c r="Q17" i="1" s="1"/>
  <c r="T16" i="3" l="1"/>
  <c r="U16" i="3"/>
  <c r="V16" i="3" s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9" i="1"/>
  <c r="X19" i="1" s="1"/>
  <c r="S20" i="1" s="1"/>
  <c r="T20" i="1" s="1"/>
  <c r="Y19" i="1"/>
  <c r="W19" i="1"/>
  <c r="Q20" i="1" s="1"/>
  <c r="Y18" i="3" l="1"/>
  <c r="T18" i="3"/>
  <c r="V18" i="3"/>
  <c r="R20" i="1"/>
  <c r="U20" i="1"/>
  <c r="V20" i="1" s="1"/>
  <c r="Y20" i="1"/>
  <c r="X18" i="3" l="1"/>
  <c r="S19" i="3" s="1"/>
  <c r="T19" i="3" s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G4" i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V20" i="3" s="1"/>
  <c r="R20" i="3"/>
  <c r="X22" i="1"/>
  <c r="S23" i="1" s="1"/>
  <c r="Y23" i="1" s="1"/>
  <c r="W20" i="3" l="1"/>
  <c r="Q21" i="3" s="1"/>
  <c r="R21" i="3" s="1"/>
  <c r="X20" i="3"/>
  <c r="S21" i="3" s="1"/>
  <c r="T21" i="3" s="1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8" i="1" s="1"/>
  <c r="G20" i="1" s="1"/>
  <c r="V34" i="1"/>
  <c r="G9" i="1" l="1"/>
  <c r="G18" i="1" s="1"/>
  <c r="V29" i="3"/>
  <c r="X29" i="3" s="1"/>
  <c r="S30" i="3" s="1"/>
  <c r="W34" i="1"/>
  <c r="X34" i="1"/>
  <c r="G19" i="1" l="1"/>
  <c r="G12" i="1"/>
  <c r="G17" i="1" s="1"/>
  <c r="G36" i="1" s="1"/>
  <c r="T30" i="3"/>
  <c r="W29" i="3"/>
  <c r="Q30" i="3" s="1"/>
  <c r="G37" i="1" l="1"/>
  <c r="G40" i="1" s="1"/>
  <c r="G30" i="1"/>
  <c r="AG4" i="1" s="1"/>
  <c r="R30" i="3"/>
  <c r="U30" i="3"/>
  <c r="Y30" i="3"/>
  <c r="G31" i="1" l="1"/>
  <c r="AC4" i="1"/>
  <c r="AE4" i="1"/>
  <c r="V30" i="3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G8" i="3" s="1"/>
  <c r="Y34" i="3"/>
  <c r="G9" i="3" l="1"/>
  <c r="V34" i="3"/>
  <c r="X34" i="3" s="1"/>
  <c r="W34" i="3" l="1"/>
  <c r="G12" i="3" l="1"/>
  <c r="G17" i="3" s="1"/>
  <c r="G35" i="3" l="1"/>
  <c r="G39" i="3" s="1"/>
  <c r="G29" i="3"/>
  <c r="AG4" i="3" l="1"/>
  <c r="AE4" i="3"/>
  <c r="AC4" i="3"/>
  <c r="G30" i="3"/>
</calcChain>
</file>

<file path=xl/sharedStrings.xml><?xml version="1.0" encoding="utf-8"?>
<sst xmlns="http://schemas.openxmlformats.org/spreadsheetml/2006/main" count="356" uniqueCount="156">
  <si>
    <t>!!! Press F9 to recalculate !!!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</si>
  <si>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</si>
  <si>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</si>
  <si>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</si>
  <si>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</si>
  <si>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</si>
  <si>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</si>
  <si>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</si>
  <si>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</si>
  <si>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</si>
  <si>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</si>
  <si>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</si>
  <si>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</si>
  <si>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</si>
  <si>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</si>
  <si>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</si>
  <si>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</si>
  <si>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</si>
  <si>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</si>
  <si>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</si>
  <si>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</si>
  <si>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</si>
  <si>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</si>
  <si>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</si>
  <si>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</si>
  <si>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</si>
  <si>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</si>
  <si>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</si>
  <si>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</si>
  <si>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</si>
  <si>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</si>
  <si>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</si>
  <si>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</si>
  <si>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</si>
  <si>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</si>
  <si>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</si>
  <si>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</si>
  <si>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</si>
  <si>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</si>
  <si>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</si>
  <si>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</si>
  <si>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</si>
  <si>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</si>
  <si>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</si>
  <si>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</si>
  <si>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</si>
  <si>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</si>
  <si>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</si>
  <si>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</si>
  <si>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</si>
  <si>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</si>
  <si>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</si>
  <si>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</si>
  <si>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</si>
  <si>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</si>
  <si>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</si>
  <si>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</si>
  <si>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</si>
  <si>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</si>
  <si>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</si>
  <si>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</si>
  <si>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</si>
  <si>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</si>
  <si>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</si>
  <si>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</si>
  <si>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</si>
  <si>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</si>
  <si>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</si>
  <si>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</si>
  <si>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</si>
  <si>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</si>
  <si>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</si>
  <si>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</si>
  <si>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</si>
  <si>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</si>
  <si>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</si>
  <si>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</si>
  <si>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</si>
  <si>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</si>
  <si>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</si>
  <si>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</si>
  <si>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</si>
  <si>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</si>
  <si>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</si>
  <si>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</si>
  <si>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</si>
  <si>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</si>
  <si>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</si>
  <si>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</si>
  <si>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</si>
  <si>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</si>
  <si>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</si>
  <si>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</si>
  <si>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</si>
  <si>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</si>
  <si>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</si>
  <si>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</si>
  <si>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</si>
  <si>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</si>
  <si>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</si>
  <si>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</si>
  <si>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</si>
  <si>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</si>
  <si>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</si>
  <si>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</si>
  <si>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</si>
  <si>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</si>
  <si>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</si>
  <si>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</si>
  <si>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</si>
  <si>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</si>
  <si>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</si>
  <si>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</si>
  <si>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</si>
  <si>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</si>
  <si>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</si>
  <si>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</si>
  <si>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</si>
  <si>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torque</t>
  </si>
  <si>
    <t>Nm</t>
  </si>
  <si>
    <t>n_rotor</t>
  </si>
  <si>
    <t>kW</t>
  </si>
  <si>
    <t>W_rotor+hubs</t>
  </si>
  <si>
    <t>W_motor</t>
  </si>
  <si>
    <t>W_motor_controller</t>
  </si>
  <si>
    <t>lb</t>
  </si>
  <si>
    <t>technology_factor</t>
  </si>
  <si>
    <t>helicopter</t>
  </si>
  <si>
    <t>tiltrotor</t>
  </si>
  <si>
    <t>tiltwing</t>
  </si>
  <si>
    <t>Gross weight</t>
  </si>
  <si>
    <t>ft2</t>
  </si>
  <si>
    <t>Eqv flat plat area (f)</t>
  </si>
  <si>
    <t>K_eqv</t>
  </si>
  <si>
    <t>Eqv_flat_plat_calc</t>
  </si>
  <si>
    <t>L/D</t>
  </si>
  <si>
    <t>P_hover</t>
  </si>
  <si>
    <t>P_cruise</t>
  </si>
  <si>
    <t>hp-to-kW</t>
  </si>
  <si>
    <t>W_controllers</t>
  </si>
  <si>
    <t>W_propulsion</t>
  </si>
  <si>
    <t>g</t>
  </si>
  <si>
    <t>lb to kg</t>
  </si>
  <si>
    <t>thrust of each rotor</t>
  </si>
  <si>
    <t>Init values for</t>
  </si>
  <si>
    <t>optimize_multirotor.py</t>
  </si>
  <si>
    <t>Design values for</t>
  </si>
  <si>
    <t>mtow_multirotor.py</t>
  </si>
  <si>
    <t>estimate_</t>
  </si>
  <si>
    <t>optimize_liftcruise.py</t>
  </si>
  <si>
    <t>mtow_liftcruise.py</t>
  </si>
  <si>
    <t>Optimal design</t>
  </si>
  <si>
    <t>W_takeoff</t>
  </si>
  <si>
    <t>CP [kW]</t>
  </si>
  <si>
    <t>CT [Nm]</t>
  </si>
  <si>
    <t>omega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</si>
</sst>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multirotor!$F$34:$F$38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multirotor!$G$34:$G$38</c:f>
              <c:numCache>
                <c:formatCode>General</c:formatCode>
                <c:ptCount val="5"/>
                <c:pt idx="0">
                  <c:v>44.36</c:v>
                </c:pt>
                <c:pt idx="1">
                  <c:v>26.72</c:v>
                </c:pt>
                <c:pt idx="2">
                  <c:v>9.7899999999999991</c:v>
                </c:pt>
                <c:pt idx="3">
                  <c:v>14.46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'lift+cruise'!$F$35:$F$39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'lift+cruise'!$G$35:$G$39</c:f>
              <c:numCache>
                <c:formatCode>General</c:formatCode>
                <c:ptCount val="5"/>
                <c:pt idx="0">
                  <c:v>41.1</c:v>
                </c:pt>
                <c:pt idx="1">
                  <c:v>13.36</c:v>
                </c:pt>
                <c:pt idx="2">
                  <c:v>12.73</c:v>
                </c:pt>
                <c:pt idx="3">
                  <c:v>28.13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431800</xdr:colOff>
      <xdr:row>7</xdr:row>
      <xdr:rowOff>25400</xdr:rowOff>
    </xdr:from>
    <xdr:to>
      <xdr:col>17</xdr:col>
      <xdr:colOff>774700</xdr:colOff>
      <xdr:row>14</xdr:row>
      <xdr:rowOff>196807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A8D17E-899A-88A6-D765-799A1C4F2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8400" y="1447800"/>
          <a:ext cx="7772400" cy="1593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topLeftCell="A5" workbookViewId="0">
      <selection activeCell="E44" sqref="E44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75</v>
      </c>
      <c r="AA2" s="6" t="s">
        <v>117</v>
      </c>
    </row>
    <row r="3" spans="2:36" x14ac:dyDescent="0.2">
      <c r="B3" s="21" t="s">
        <v>111</v>
      </c>
      <c r="C3" s="23"/>
      <c r="D3" s="23"/>
      <c r="F3" s="21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112</v>
      </c>
      <c r="F4" t="s">
        <v>34</v>
      </c>
      <c r="G4">
        <f xml:space="preserve"> 1/$C$7 * SQRT( ($C$15*$C$27)^3 / (2 * $C$26 * PI() * $C$16^2* $C$5) )</f>
        <v>151102.29547988271</v>
      </c>
      <c r="H4" t="s">
        <v>35</v>
      </c>
      <c r="J4" t="s">
        <v>47</v>
      </c>
      <c r="K4">
        <f xml:space="preserve"> 0.5 * $C$26 * $C$17^2</f>
        <v>551.25</v>
      </c>
      <c r="L4" t="s">
        <v>48</v>
      </c>
      <c r="P4" s="8">
        <v>0</v>
      </c>
      <c r="Q4" s="9">
        <v>0</v>
      </c>
      <c r="R4" s="8">
        <f xml:space="preserve"> $C$18 * TAN($K$17) + $K$20 / (2 * SQRT($C$18^2 + Q4^2)) - Q4</f>
        <v>0.10601029008077278</v>
      </c>
      <c r="S4" s="9">
        <v>1</v>
      </c>
      <c r="T4" s="8">
        <f xml:space="preserve"> $C$18 * TAN($K$17) + $K$20 / (2 * SQRT($C$18^2 + S4^2)) - S4</f>
        <v>-0.93456298248072001</v>
      </c>
      <c r="U4" s="8">
        <f xml:space="preserve"> (Q4 + S4)/2</f>
        <v>0.5</v>
      </c>
      <c r="V4" s="8">
        <f xml:space="preserve"> $C$18 * TAN($K$17) + $K$20 / (2 * SQRT($C$18^2 + U4^2)) - U4</f>
        <v>-0.42163082070222835</v>
      </c>
      <c r="W4" s="8">
        <f>R4*V4</f>
        <v>-4.4697205609637525E-2</v>
      </c>
      <c r="X4" s="8">
        <f>T4*V4</f>
        <v>0.39404055730126825</v>
      </c>
      <c r="Y4" s="8">
        <f>S4-Q4</f>
        <v>1</v>
      </c>
      <c r="AA4" s="8">
        <v>0</v>
      </c>
      <c r="AB4" s="8"/>
      <c r="AC4" s="8">
        <f>G29</f>
        <v>-2.2106405594968237E-10</v>
      </c>
      <c r="AD4" s="8"/>
      <c r="AE4" s="8">
        <f>G29</f>
        <v>-2.2106405594968237E-10</v>
      </c>
      <c r="AF4" s="8"/>
      <c r="AG4" s="8">
        <f>G29</f>
        <v>-2.2106405594968237E-10</v>
      </c>
      <c r="AH4" s="8"/>
      <c r="AI4" s="8"/>
      <c r="AJ4" s="8"/>
    </row>
    <row r="5" spans="2:36" x14ac:dyDescent="0.2">
      <c r="B5" t="s">
        <v>63</v>
      </c>
      <c r="C5" s="1">
        <v>7</v>
      </c>
      <c r="F5" t="s">
        <v>36</v>
      </c>
      <c r="G5">
        <f xml:space="preserve"> $C$15 * $C$27 / $C$5</f>
        <v>1263.5570132632372</v>
      </c>
      <c r="H5" t="s">
        <v>37</v>
      </c>
      <c r="J5" t="s">
        <v>67</v>
      </c>
      <c r="K5">
        <f xml:space="preserve"> 0.0327 * ($C$15*2.20462)^0.8903 * 0.3048^2</f>
        <v>2.6248558944624021</v>
      </c>
      <c r="L5" t="s">
        <v>21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0.10601029008077278</v>
      </c>
      <c r="S5" s="8">
        <f>IF(X4&gt;0, U4, S4)</f>
        <v>0.5</v>
      </c>
      <c r="T5" s="8">
        <f t="shared" ref="T5:T34" si="1" xml:space="preserve"> $C$18 * TAN($K$17) + $K$20 / (2 * SQRT($C$18^2 + S5^2)) - S5</f>
        <v>-0.42163082070222835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-0.15718551893513549</v>
      </c>
      <c r="W5" s="8">
        <f t="shared" ref="W5:W34" si="4">R5*V5</f>
        <v>-1.6663282458810515E-2</v>
      </c>
      <c r="X5" s="8">
        <f t="shared" ref="X5:X34" si="5">T5*V5</f>
        <v>6.6274259351126838E-2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/>
        <v>-185.46845484670672</v>
      </c>
      <c r="AD5" s="9">
        <v>2500</v>
      </c>
      <c r="AE5" s="8">
        <f t="dataTable" ref="AE5:AE44" dt2D="0" dtr="0" r1="C15" ca="1"/>
        <v>278.07906506336235</v>
      </c>
      <c r="AF5" s="8">
        <f>(AB5+AD5)/2</f>
        <v>1500</v>
      </c>
      <c r="AG5" s="8">
        <f t="dataTable" ref="AG5:AG44" dt2D="0" dtr="0" r1="C15" ca="1"/>
        <v>183.74382234715597</v>
      </c>
      <c r="AH5" s="8">
        <f>AC5*AG5</f>
        <v>-34078.682818354799</v>
      </c>
      <c r="AI5" s="8">
        <f>AE5*AG5</f>
        <v>51095.310329465676</v>
      </c>
      <c r="AJ5" s="8">
        <f>AD5-AB5</f>
        <v>2000</v>
      </c>
    </row>
    <row r="6" spans="2:36" x14ac:dyDescent="0.2">
      <c r="B6" t="s">
        <v>2</v>
      </c>
      <c r="C6" s="1">
        <v>0.13</v>
      </c>
      <c r="J6" t="s">
        <v>68</v>
      </c>
      <c r="K6">
        <f xml:space="preserve"> K5 / ($C$5 * PI() * $C$16^2)</f>
        <v>0.1193596544307399</v>
      </c>
      <c r="P6" s="8">
        <v>2</v>
      </c>
      <c r="Q6" s="8">
        <f t="shared" ref="Q6:Q34" si="7">IF(W5&gt;0, U5, Q5)</f>
        <v>0</v>
      </c>
      <c r="R6" s="8">
        <f t="shared" si="0"/>
        <v>0.10601029008077278</v>
      </c>
      <c r="S6" s="8">
        <f t="shared" ref="S6:S34" si="8">IF(X5&gt;0, U5, S5)</f>
        <v>0.25</v>
      </c>
      <c r="T6" s="8">
        <f t="shared" si="1"/>
        <v>-0.15718551893513549</v>
      </c>
      <c r="U6" s="8">
        <f t="shared" si="2"/>
        <v>0.125</v>
      </c>
      <c r="V6" s="8">
        <f t="shared" si="3"/>
        <v>-2.3369155237717515E-2</v>
      </c>
      <c r="W6" s="8">
        <f t="shared" si="4"/>
        <v>-2.4773709256930444E-3</v>
      </c>
      <c r="X6" s="8">
        <f t="shared" si="5"/>
        <v>3.6732927931163672E-3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-185.46845484670672</v>
      </c>
      <c r="AD6" s="8">
        <f>IF(AI5&gt;0, AF5, AD5)</f>
        <v>1500</v>
      </c>
      <c r="AE6" s="8">
        <v>183.74382234715597</v>
      </c>
      <c r="AF6" s="8">
        <f t="shared" ref="AF6:AF44" si="9">(AB6+AD6)/2</f>
        <v>1000</v>
      </c>
      <c r="AG6" s="8">
        <v>37.536509992970878</v>
      </c>
      <c r="AH6" s="8">
        <f t="shared" ref="AH6:AH44" si="10">AC6*AG6</f>
        <v>-6961.8385087342749</v>
      </c>
      <c r="AI6" s="8">
        <f t="shared" ref="AI6:AI44" si="11">AE6*AG6</f>
        <v>6897.1018236806858</v>
      </c>
      <c r="AJ6" s="8">
        <f t="shared" ref="AJ6:AJ44" si="12">AD6-AB6</f>
        <v>1000</v>
      </c>
    </row>
    <row r="7" spans="2:36" x14ac:dyDescent="0.2">
      <c r="B7" t="s">
        <v>4</v>
      </c>
      <c r="C7" s="1">
        <v>0.75</v>
      </c>
      <c r="F7" s="21" t="s">
        <v>38</v>
      </c>
      <c r="G7" s="23"/>
      <c r="H7" s="23"/>
      <c r="J7" t="s">
        <v>69</v>
      </c>
      <c r="K7">
        <f xml:space="preserve"> K4 * K5</f>
        <v>1446.9518118223991</v>
      </c>
      <c r="L7" t="s">
        <v>37</v>
      </c>
      <c r="P7" s="8">
        <v>3</v>
      </c>
      <c r="Q7" s="8">
        <f t="shared" si="7"/>
        <v>0</v>
      </c>
      <c r="R7" s="8">
        <f t="shared" si="0"/>
        <v>0.10601029008077278</v>
      </c>
      <c r="S7" s="8">
        <f t="shared" si="8"/>
        <v>0.125</v>
      </c>
      <c r="T7" s="8">
        <f t="shared" si="1"/>
        <v>-2.3369155237717515E-2</v>
      </c>
      <c r="U7" s="8">
        <f t="shared" si="2"/>
        <v>6.25E-2</v>
      </c>
      <c r="V7" s="8">
        <f t="shared" si="3"/>
        <v>4.2313586749874676E-2</v>
      </c>
      <c r="W7" s="8">
        <f t="shared" si="4"/>
        <v>4.4856756057121581E-3</v>
      </c>
      <c r="X7" s="8">
        <f t="shared" si="5"/>
        <v>-9.8883277742244828E-4</v>
      </c>
      <c r="Y7" s="8">
        <f t="shared" si="6"/>
        <v>0.125</v>
      </c>
      <c r="AA7" s="8">
        <v>3</v>
      </c>
      <c r="AB7" s="8">
        <f t="shared" ref="AB7:AB44" si="13">IF(AH6&gt;0, AF6, AB6)</f>
        <v>500</v>
      </c>
      <c r="AC7" s="8">
        <v>-185.46845484670672</v>
      </c>
      <c r="AD7" s="8">
        <f t="shared" ref="AD7:AD44" si="14">IF(AI6&gt;0, AF6, AD6)</f>
        <v>1000</v>
      </c>
      <c r="AE7" s="8">
        <v>37.536509992970878</v>
      </c>
      <c r="AF7" s="8">
        <f t="shared" si="9"/>
        <v>750</v>
      </c>
      <c r="AG7" s="8">
        <v>-63.824762830915233</v>
      </c>
      <c r="AH7" s="8">
        <f t="shared" si="10"/>
        <v>11837.480143207367</v>
      </c>
      <c r="AI7" s="8">
        <f t="shared" si="11"/>
        <v>-2395.758847801646</v>
      </c>
      <c r="AJ7" s="8">
        <f t="shared" si="12"/>
        <v>500</v>
      </c>
    </row>
    <row r="8" spans="2:36" x14ac:dyDescent="0.2">
      <c r="F8" s="4" t="s">
        <v>39</v>
      </c>
      <c r="G8">
        <f xml:space="preserve"> K22 + K18 * (K24 * K27 + $C$17 * SIN(K17))</f>
        <v>15881.229952984293</v>
      </c>
      <c r="H8" t="s">
        <v>35</v>
      </c>
      <c r="J8" t="s">
        <v>72</v>
      </c>
      <c r="K8">
        <f xml:space="preserve"> K7</f>
        <v>1446.9518118223991</v>
      </c>
      <c r="L8" t="s">
        <v>37</v>
      </c>
      <c r="P8" s="8">
        <v>4</v>
      </c>
      <c r="Q8" s="8">
        <f t="shared" si="7"/>
        <v>6.25E-2</v>
      </c>
      <c r="R8" s="8">
        <f t="shared" si="0"/>
        <v>4.2313586749874676E-2</v>
      </c>
      <c r="S8" s="8">
        <f t="shared" si="8"/>
        <v>0.125</v>
      </c>
      <c r="T8" s="8">
        <f t="shared" si="1"/>
        <v>-2.3369155237717515E-2</v>
      </c>
      <c r="U8" s="8">
        <f t="shared" si="2"/>
        <v>9.375E-2</v>
      </c>
      <c r="V8" s="8">
        <f t="shared" si="3"/>
        <v>9.6687082685759373E-3</v>
      </c>
      <c r="W8" s="8">
        <f t="shared" si="4"/>
        <v>4.0911772608161852E-4</v>
      </c>
      <c r="X8" s="8">
        <f t="shared" si="5"/>
        <v>-2.2594954447655401E-4</v>
      </c>
      <c r="Y8" s="8">
        <f t="shared" si="6"/>
        <v>6.25E-2</v>
      </c>
      <c r="AA8" s="8">
        <v>4</v>
      </c>
      <c r="AB8" s="8">
        <f t="shared" si="13"/>
        <v>750</v>
      </c>
      <c r="AC8" s="8">
        <v>-63.824762830915233</v>
      </c>
      <c r="AD8" s="8">
        <f t="shared" si="14"/>
        <v>1000</v>
      </c>
      <c r="AE8" s="8">
        <v>37.536509992970878</v>
      </c>
      <c r="AF8" s="8">
        <f t="shared" si="9"/>
        <v>875</v>
      </c>
      <c r="AG8" s="8">
        <v>-10.676794834070961</v>
      </c>
      <c r="AH8" s="8">
        <f t="shared" si="10"/>
        <v>681.44389807892003</v>
      </c>
      <c r="AI8" s="8">
        <f t="shared" si="11"/>
        <v>-400.76961598200444</v>
      </c>
      <c r="AJ8" s="8">
        <f t="shared" si="12"/>
        <v>250</v>
      </c>
    </row>
    <row r="9" spans="2:36" x14ac:dyDescent="0.2">
      <c r="B9" s="21" t="s">
        <v>8</v>
      </c>
      <c r="C9" s="23"/>
      <c r="D9" s="23"/>
      <c r="F9" s="4" t="s">
        <v>40</v>
      </c>
      <c r="G9">
        <f>$C$5 * G8</f>
        <v>111168.60967089006</v>
      </c>
      <c r="H9" t="s">
        <v>35</v>
      </c>
      <c r="P9" s="8">
        <v>5</v>
      </c>
      <c r="Q9" s="8">
        <f t="shared" si="7"/>
        <v>9.375E-2</v>
      </c>
      <c r="R9" s="8">
        <f t="shared" si="0"/>
        <v>9.6687082685759373E-3</v>
      </c>
      <c r="S9" s="8">
        <f t="shared" si="8"/>
        <v>0.125</v>
      </c>
      <c r="T9" s="8">
        <f t="shared" si="1"/>
        <v>-2.3369155237717515E-2</v>
      </c>
      <c r="U9" s="8">
        <f t="shared" si="2"/>
        <v>0.109375</v>
      </c>
      <c r="V9" s="8">
        <f t="shared" si="3"/>
        <v>-6.8087248226126884E-3</v>
      </c>
      <c r="W9" s="8">
        <f t="shared" si="4"/>
        <v>-6.5831573990853532E-5</v>
      </c>
      <c r="X9" s="8">
        <f t="shared" si="5"/>
        <v>1.5911414735053655E-4</v>
      </c>
      <c r="Y9" s="8">
        <f t="shared" si="6"/>
        <v>3.125E-2</v>
      </c>
      <c r="AA9" s="8">
        <v>5</v>
      </c>
      <c r="AB9" s="8">
        <f t="shared" si="13"/>
        <v>875</v>
      </c>
      <c r="AC9" s="8">
        <v>-10.676794834070961</v>
      </c>
      <c r="AD9" s="8">
        <f t="shared" si="14"/>
        <v>1000</v>
      </c>
      <c r="AE9" s="8">
        <v>37.536509992970878</v>
      </c>
      <c r="AF9" s="8">
        <f t="shared" si="9"/>
        <v>937.5</v>
      </c>
      <c r="AG9" s="8">
        <v>14.038310412167675</v>
      </c>
      <c r="AH9" s="8">
        <f t="shared" si="10"/>
        <v>-149.88416008771642</v>
      </c>
      <c r="AI9" s="8">
        <f t="shared" si="11"/>
        <v>526.9491790707591</v>
      </c>
      <c r="AJ9" s="8">
        <f t="shared" si="12"/>
        <v>125</v>
      </c>
    </row>
    <row r="10" spans="2:36" x14ac:dyDescent="0.2">
      <c r="B10" t="s">
        <v>9</v>
      </c>
      <c r="C10" s="1">
        <v>250</v>
      </c>
      <c r="D10" t="s">
        <v>10</v>
      </c>
      <c r="P10" s="8">
        <v>6</v>
      </c>
      <c r="Q10" s="8">
        <f t="shared" si="7"/>
        <v>9.375E-2</v>
      </c>
      <c r="R10" s="8">
        <f t="shared" si="0"/>
        <v>9.6687082685759373E-3</v>
      </c>
      <c r="S10" s="8">
        <f t="shared" si="8"/>
        <v>0.109375</v>
      </c>
      <c r="T10" s="8">
        <f t="shared" si="1"/>
        <v>-6.8087248226126884E-3</v>
      </c>
      <c r="U10" s="8">
        <f t="shared" si="2"/>
        <v>0.1015625</v>
      </c>
      <c r="V10" s="8">
        <f t="shared" si="3"/>
        <v>1.441335686356543E-3</v>
      </c>
      <c r="W10" s="8">
        <f t="shared" si="4"/>
        <v>1.393585426846908E-5</v>
      </c>
      <c r="X10" s="8">
        <f t="shared" si="5"/>
        <v>-9.8136580654132906E-6</v>
      </c>
      <c r="Y10" s="8">
        <f t="shared" si="6"/>
        <v>1.5625E-2</v>
      </c>
      <c r="AA10" s="8">
        <v>6</v>
      </c>
      <c r="AB10" s="8">
        <f t="shared" si="13"/>
        <v>875</v>
      </c>
      <c r="AC10" s="8">
        <v>-10.676794834070961</v>
      </c>
      <c r="AD10" s="8">
        <f t="shared" si="14"/>
        <v>937.5</v>
      </c>
      <c r="AE10" s="8">
        <v>14.038310412167675</v>
      </c>
      <c r="AF10" s="8">
        <f t="shared" si="9"/>
        <v>906.25</v>
      </c>
      <c r="AG10" s="8">
        <v>1.8339274150075084</v>
      </c>
      <c r="AH10" s="8">
        <f t="shared" si="10"/>
        <v>-19.580466750613276</v>
      </c>
      <c r="AI10" s="8">
        <f t="shared" si="11"/>
        <v>25.745242325259653</v>
      </c>
      <c r="AJ10" s="8">
        <f t="shared" si="12"/>
        <v>62.5</v>
      </c>
    </row>
    <row r="11" spans="2:36" x14ac:dyDescent="0.2">
      <c r="B11" t="s">
        <v>11</v>
      </c>
      <c r="C11" s="1">
        <v>0.85</v>
      </c>
      <c r="F11" s="21" t="s">
        <v>41</v>
      </c>
      <c r="G11" s="21"/>
      <c r="H11" s="21"/>
      <c r="J11" s="21" t="s">
        <v>114</v>
      </c>
      <c r="K11" s="22"/>
      <c r="L11" s="22"/>
      <c r="P11" s="8">
        <v>7</v>
      </c>
      <c r="Q11" s="8">
        <f t="shared" si="7"/>
        <v>0.1015625</v>
      </c>
      <c r="R11" s="8">
        <f t="shared" si="0"/>
        <v>1.441335686356543E-3</v>
      </c>
      <c r="S11" s="8">
        <f t="shared" si="8"/>
        <v>0.109375</v>
      </c>
      <c r="T11" s="8">
        <f t="shared" si="1"/>
        <v>-6.8087248226126884E-3</v>
      </c>
      <c r="U11" s="8">
        <f t="shared" si="2"/>
        <v>0.10546875</v>
      </c>
      <c r="V11" s="8">
        <f t="shared" si="3"/>
        <v>-2.6809795961076077E-3</v>
      </c>
      <c r="W11" s="8">
        <f t="shared" si="4"/>
        <v>-3.8641915662636461E-6</v>
      </c>
      <c r="X11" s="8">
        <f t="shared" si="5"/>
        <v>1.8254052324936008E-5</v>
      </c>
      <c r="Y11" s="8">
        <f t="shared" si="6"/>
        <v>7.8125E-3</v>
      </c>
      <c r="AA11" s="8">
        <v>7</v>
      </c>
      <c r="AB11" s="8">
        <f t="shared" si="13"/>
        <v>875</v>
      </c>
      <c r="AC11" s="8">
        <v>-10.676794834070961</v>
      </c>
      <c r="AD11" s="8">
        <f t="shared" si="14"/>
        <v>906.25</v>
      </c>
      <c r="AE11" s="8">
        <v>1.8339274150075084</v>
      </c>
      <c r="AF11" s="8">
        <f t="shared" si="9"/>
        <v>890.625</v>
      </c>
      <c r="AG11" s="8">
        <v>-4.3830095540373009</v>
      </c>
      <c r="AH11" s="8">
        <f t="shared" si="10"/>
        <v>46.796493764229119</v>
      </c>
      <c r="AI11" s="8">
        <f t="shared" si="11"/>
        <v>-8.038121381388839</v>
      </c>
      <c r="AJ11" s="8">
        <f t="shared" si="12"/>
        <v>31.25</v>
      </c>
    </row>
    <row r="12" spans="2:36" x14ac:dyDescent="0.2">
      <c r="B12" t="s">
        <v>12</v>
      </c>
      <c r="C12" s="1">
        <v>0.8</v>
      </c>
      <c r="F12" t="s">
        <v>42</v>
      </c>
      <c r="G12">
        <f xml:space="preserve"> (G4*$C$23 + G9*G13)/3600</f>
        <v>40953.655718350536</v>
      </c>
      <c r="H12" t="s">
        <v>43</v>
      </c>
      <c r="J12" t="s">
        <v>115</v>
      </c>
      <c r="K12">
        <f xml:space="preserve"> SQRT( ($C$15*$C$27)^2 + K8^2)</f>
        <v>8962.4722877287077</v>
      </c>
      <c r="L12" t="s">
        <v>37</v>
      </c>
      <c r="P12" s="8">
        <v>8</v>
      </c>
      <c r="Q12" s="8">
        <f t="shared" si="7"/>
        <v>0.1015625</v>
      </c>
      <c r="R12" s="8">
        <f t="shared" si="0"/>
        <v>1.441335686356543E-3</v>
      </c>
      <c r="S12" s="8">
        <f t="shared" si="8"/>
        <v>0.10546875</v>
      </c>
      <c r="T12" s="8">
        <f t="shared" si="1"/>
        <v>-2.6809795961076077E-3</v>
      </c>
      <c r="U12" s="8">
        <f t="shared" si="2"/>
        <v>0.103515625</v>
      </c>
      <c r="V12" s="8">
        <f t="shared" si="3"/>
        <v>-6.1912804997214799E-4</v>
      </c>
      <c r="W12" s="8">
        <f t="shared" si="4"/>
        <v>-8.9237135284919391E-7</v>
      </c>
      <c r="X12" s="8">
        <f t="shared" si="5"/>
        <v>1.6598696693532201E-6</v>
      </c>
      <c r="Y12" s="8">
        <f t="shared" si="6"/>
        <v>3.90625E-3</v>
      </c>
      <c r="AA12" s="8">
        <v>8</v>
      </c>
      <c r="AB12" s="8">
        <f t="shared" si="13"/>
        <v>890.625</v>
      </c>
      <c r="AC12" s="8">
        <v>-4.3830095540373009</v>
      </c>
      <c r="AD12" s="8">
        <f t="shared" si="14"/>
        <v>906.25</v>
      </c>
      <c r="AE12" s="8">
        <v>1.8339274150075084</v>
      </c>
      <c r="AF12" s="8">
        <f t="shared" si="9"/>
        <v>898.4375</v>
      </c>
      <c r="AG12" s="8">
        <v>-1.2649524494768798</v>
      </c>
      <c r="AH12" s="8">
        <f t="shared" si="10"/>
        <v>5.5442986714600506</v>
      </c>
      <c r="AI12" s="8">
        <f t="shared" si="11"/>
        <v>-2.3198309757765503</v>
      </c>
      <c r="AJ12" s="8">
        <f t="shared" si="12"/>
        <v>15.625</v>
      </c>
    </row>
    <row r="13" spans="2:36" x14ac:dyDescent="0.2">
      <c r="F13" t="s">
        <v>44</v>
      </c>
      <c r="G13">
        <f xml:space="preserve"> $C$22 / $C$17</f>
        <v>1000</v>
      </c>
      <c r="H13" t="s">
        <v>26</v>
      </c>
      <c r="J13" t="s">
        <v>116</v>
      </c>
      <c r="K13">
        <f>$C$15*$C$27/K12</f>
        <v>0.98688161133317798</v>
      </c>
      <c r="P13" s="8">
        <v>9</v>
      </c>
      <c r="Q13" s="8">
        <f t="shared" si="7"/>
        <v>0.1015625</v>
      </c>
      <c r="R13" s="8">
        <f t="shared" si="0"/>
        <v>1.441335686356543E-3</v>
      </c>
      <c r="S13" s="8">
        <f t="shared" si="8"/>
        <v>0.103515625</v>
      </c>
      <c r="T13" s="8">
        <f t="shared" si="1"/>
        <v>-6.1912804997214799E-4</v>
      </c>
      <c r="U13" s="8">
        <f t="shared" si="2"/>
        <v>0.1025390625</v>
      </c>
      <c r="V13" s="8">
        <f t="shared" si="3"/>
        <v>4.1127918758576687E-4</v>
      </c>
      <c r="W13" s="8">
        <f t="shared" si="4"/>
        <v>5.9279137012309262E-7</v>
      </c>
      <c r="X13" s="8">
        <f t="shared" si="5"/>
        <v>-2.5463448140410507E-7</v>
      </c>
      <c r="Y13" s="8">
        <f t="shared" si="6"/>
        <v>1.953125E-3</v>
      </c>
      <c r="AA13" s="8">
        <v>9</v>
      </c>
      <c r="AB13" s="8">
        <f t="shared" si="13"/>
        <v>898.4375</v>
      </c>
      <c r="AC13" s="8">
        <v>-1.2649524494768798</v>
      </c>
      <c r="AD13" s="8">
        <f t="shared" si="14"/>
        <v>906.25</v>
      </c>
      <c r="AE13" s="8">
        <v>1.8339274150075084</v>
      </c>
      <c r="AF13" s="8">
        <f t="shared" si="9"/>
        <v>902.34375</v>
      </c>
      <c r="AG13" s="8">
        <v>0.28688315200508896</v>
      </c>
      <c r="AH13" s="8">
        <f t="shared" si="10"/>
        <v>-0.36289354584248534</v>
      </c>
      <c r="AI13" s="8">
        <f t="shared" si="11"/>
        <v>0.52612287736589891</v>
      </c>
      <c r="AJ13" s="8">
        <f t="shared" si="12"/>
        <v>7.8125</v>
      </c>
    </row>
    <row r="14" spans="2:36" x14ac:dyDescent="0.2">
      <c r="B14" s="19" t="s">
        <v>13</v>
      </c>
      <c r="C14" s="19"/>
      <c r="D14" s="19"/>
      <c r="P14" s="8">
        <v>10</v>
      </c>
      <c r="Q14" s="8">
        <f t="shared" si="7"/>
        <v>0.1025390625</v>
      </c>
      <c r="R14" s="8">
        <f t="shared" si="0"/>
        <v>4.1127918758576687E-4</v>
      </c>
      <c r="S14" s="8">
        <f t="shared" si="8"/>
        <v>0.103515625</v>
      </c>
      <c r="T14" s="8">
        <f t="shared" si="1"/>
        <v>-6.1912804997214799E-4</v>
      </c>
      <c r="U14" s="8">
        <f t="shared" si="2"/>
        <v>0.10302734375</v>
      </c>
      <c r="V14" s="8">
        <f t="shared" si="3"/>
        <v>-1.0388082536810783E-4</v>
      </c>
      <c r="W14" s="8">
        <f t="shared" si="4"/>
        <v>-4.2724021463134312E-8</v>
      </c>
      <c r="X14" s="8">
        <f t="shared" si="5"/>
        <v>6.4315532839653849E-8</v>
      </c>
      <c r="Y14" s="8">
        <f t="shared" si="6"/>
        <v>9.765625E-4</v>
      </c>
      <c r="AA14" s="8">
        <v>10</v>
      </c>
      <c r="AB14" s="8">
        <f t="shared" si="13"/>
        <v>898.4375</v>
      </c>
      <c r="AC14" s="8">
        <v>-1.2649524494768798</v>
      </c>
      <c r="AD14" s="8">
        <f t="shared" si="14"/>
        <v>902.34375</v>
      </c>
      <c r="AE14" s="8">
        <v>0.28688315200508896</v>
      </c>
      <c r="AF14" s="8">
        <f t="shared" si="9"/>
        <v>900.390625</v>
      </c>
      <c r="AG14" s="8">
        <v>-0.48843517129944303</v>
      </c>
      <c r="AH14" s="8">
        <f t="shared" si="10"/>
        <v>0.61784726634588982</v>
      </c>
      <c r="AI14" s="8">
        <f t="shared" si="11"/>
        <v>-0.14012382149252978</v>
      </c>
      <c r="AJ14" s="8">
        <f t="shared" si="12"/>
        <v>3.90625</v>
      </c>
    </row>
    <row r="15" spans="2:36" x14ac:dyDescent="0.2">
      <c r="B15" s="3" t="s">
        <v>66</v>
      </c>
      <c r="C15" s="3">
        <f>AF44</f>
        <v>901.62070263431815</v>
      </c>
      <c r="D15" s="3" t="s">
        <v>14</v>
      </c>
      <c r="F15" s="21" t="s">
        <v>86</v>
      </c>
      <c r="G15" s="21"/>
      <c r="H15" s="21"/>
      <c r="P15" s="8">
        <v>11</v>
      </c>
      <c r="Q15" s="8">
        <f t="shared" si="7"/>
        <v>0.1025390625</v>
      </c>
      <c r="R15" s="8">
        <f t="shared" si="0"/>
        <v>4.1127918758576687E-4</v>
      </c>
      <c r="S15" s="8">
        <f t="shared" si="8"/>
        <v>0.10302734375</v>
      </c>
      <c r="T15" s="8">
        <f t="shared" si="1"/>
        <v>-1.0388082536810783E-4</v>
      </c>
      <c r="U15" s="8">
        <f t="shared" si="2"/>
        <v>0.102783203125</v>
      </c>
      <c r="V15" s="8">
        <f t="shared" si="3"/>
        <v>1.5371011213899388E-4</v>
      </c>
      <c r="W15" s="8">
        <f t="shared" si="4"/>
        <v>6.321777004424252E-8</v>
      </c>
      <c r="X15" s="8">
        <f t="shared" si="5"/>
        <v>-1.5967533316423095E-8</v>
      </c>
      <c r="Y15" s="8">
        <f t="shared" si="6"/>
        <v>4.8828125E-4</v>
      </c>
      <c r="AA15" s="8">
        <v>11</v>
      </c>
      <c r="AB15" s="8">
        <f t="shared" si="13"/>
        <v>900.390625</v>
      </c>
      <c r="AC15" s="8">
        <v>-0.48843517129944303</v>
      </c>
      <c r="AD15" s="8">
        <f t="shared" si="14"/>
        <v>902.34375</v>
      </c>
      <c r="AE15" s="8">
        <v>0.28688315200508896</v>
      </c>
      <c r="AF15" s="8">
        <f t="shared" si="9"/>
        <v>901.3671875</v>
      </c>
      <c r="AG15" s="8">
        <v>-0.10062701246340566</v>
      </c>
      <c r="AH15" s="8">
        <f t="shared" si="10"/>
        <v>4.9149772069914735E-2</v>
      </c>
      <c r="AI15" s="8">
        <f t="shared" si="11"/>
        <v>-2.8868194512357188E-2</v>
      </c>
      <c r="AJ15" s="8">
        <f t="shared" si="12"/>
        <v>1.953125</v>
      </c>
    </row>
    <row r="16" spans="2:36" x14ac:dyDescent="0.2">
      <c r="B16" t="s">
        <v>15</v>
      </c>
      <c r="C16" s="1">
        <v>1</v>
      </c>
      <c r="D16" t="s">
        <v>16</v>
      </c>
      <c r="F16" s="3" t="s">
        <v>152</v>
      </c>
      <c r="G16">
        <f>C15</f>
        <v>901.62070263431815</v>
      </c>
      <c r="H16" t="s">
        <v>14</v>
      </c>
      <c r="J16" s="21" t="s">
        <v>50</v>
      </c>
      <c r="K16" s="22"/>
      <c r="L16" s="22"/>
      <c r="P16" s="8">
        <v>12</v>
      </c>
      <c r="Q16" s="8">
        <f t="shared" si="7"/>
        <v>0.102783203125</v>
      </c>
      <c r="R16" s="8">
        <f t="shared" si="0"/>
        <v>1.5371011213899388E-4</v>
      </c>
      <c r="S16" s="8">
        <f t="shared" si="8"/>
        <v>0.10302734375</v>
      </c>
      <c r="T16" s="8">
        <f t="shared" si="1"/>
        <v>-1.0388082536810783E-4</v>
      </c>
      <c r="U16" s="8">
        <f t="shared" si="2"/>
        <v>0.1029052734375</v>
      </c>
      <c r="V16" s="8">
        <f t="shared" si="3"/>
        <v>2.4917372446753294E-5</v>
      </c>
      <c r="W16" s="8">
        <f t="shared" si="4"/>
        <v>3.8300521129995249E-9</v>
      </c>
      <c r="X16" s="8">
        <f t="shared" si="5"/>
        <v>-2.5884372157732806E-9</v>
      </c>
      <c r="Y16" s="8">
        <f t="shared" si="6"/>
        <v>2.44140625E-4</v>
      </c>
      <c r="AA16" s="8">
        <v>12</v>
      </c>
      <c r="AB16" s="8">
        <f t="shared" si="13"/>
        <v>901.3671875</v>
      </c>
      <c r="AC16" s="8">
        <v>-0.10062701246340566</v>
      </c>
      <c r="AD16" s="8">
        <f t="shared" si="14"/>
        <v>902.34375</v>
      </c>
      <c r="AE16" s="8">
        <v>0.28688315200508896</v>
      </c>
      <c r="AF16" s="8">
        <f t="shared" si="9"/>
        <v>901.85546875</v>
      </c>
      <c r="AG16" s="8">
        <v>9.3165530779401706E-2</v>
      </c>
      <c r="AH16" s="8">
        <f t="shared" si="10"/>
        <v>-9.374969026898659E-3</v>
      </c>
      <c r="AI16" s="8">
        <f t="shared" si="11"/>
        <v>2.6727621128221895E-2</v>
      </c>
      <c r="AJ16" s="8">
        <f t="shared" si="12"/>
        <v>0.9765625</v>
      </c>
    </row>
    <row r="17" spans="2:36" x14ac:dyDescent="0.2">
      <c r="B17" t="s">
        <v>18</v>
      </c>
      <c r="C17" s="1">
        <v>30</v>
      </c>
      <c r="D17" t="s">
        <v>19</v>
      </c>
      <c r="F17" s="16" t="s">
        <v>87</v>
      </c>
      <c r="G17">
        <f xml:space="preserve"> G12 / ($C$10 * $C$11 * $C$12)</f>
        <v>240.90385716676786</v>
      </c>
      <c r="H17" t="s">
        <v>14</v>
      </c>
      <c r="J17" t="s">
        <v>51</v>
      </c>
      <c r="K17">
        <f xml:space="preserve"> ACOS(K13)</f>
        <v>0.16215530486908292</v>
      </c>
      <c r="L17" t="s">
        <v>52</v>
      </c>
      <c r="P17" s="8">
        <v>13</v>
      </c>
      <c r="Q17" s="8">
        <f t="shared" si="7"/>
        <v>0.1029052734375</v>
      </c>
      <c r="R17" s="8">
        <f t="shared" si="0"/>
        <v>2.4917372446753294E-5</v>
      </c>
      <c r="S17" s="8">
        <f t="shared" si="8"/>
        <v>0.10302734375</v>
      </c>
      <c r="T17" s="8">
        <f t="shared" si="1"/>
        <v>-1.0388082536810783E-4</v>
      </c>
      <c r="U17" s="8">
        <f t="shared" si="2"/>
        <v>0.10296630859375</v>
      </c>
      <c r="V17" s="8">
        <f t="shared" si="3"/>
        <v>-3.9481044657424524E-5</v>
      </c>
      <c r="W17" s="8">
        <f t="shared" si="4"/>
        <v>-9.8376389431594625E-10</v>
      </c>
      <c r="X17" s="8">
        <f t="shared" si="5"/>
        <v>4.1013235054083835E-9</v>
      </c>
      <c r="Y17" s="8">
        <f t="shared" si="6"/>
        <v>1.220703125E-4</v>
      </c>
      <c r="AA17" s="8">
        <v>13</v>
      </c>
      <c r="AB17" s="8">
        <f t="shared" si="13"/>
        <v>901.3671875</v>
      </c>
      <c r="AC17" s="8">
        <v>-0.10062701246340566</v>
      </c>
      <c r="AD17" s="8">
        <f t="shared" si="14"/>
        <v>901.85546875</v>
      </c>
      <c r="AE17" s="8">
        <v>9.3165530779401706E-2</v>
      </c>
      <c r="AF17" s="8">
        <f t="shared" si="9"/>
        <v>901.611328125</v>
      </c>
      <c r="AG17" s="8">
        <v>-3.7205191376870062E-3</v>
      </c>
      <c r="AH17" s="8">
        <f t="shared" si="10"/>
        <v>3.7438472563836966E-4</v>
      </c>
      <c r="AI17" s="8">
        <f t="shared" si="11"/>
        <v>-3.4662414023753184E-4</v>
      </c>
      <c r="AJ17" s="8">
        <f t="shared" si="12"/>
        <v>0.48828125</v>
      </c>
    </row>
    <row r="18" spans="2:36" x14ac:dyDescent="0.2">
      <c r="B18" t="s">
        <v>113</v>
      </c>
      <c r="C18" s="1">
        <v>0.3</v>
      </c>
      <c r="F18" s="12" t="s">
        <v>88</v>
      </c>
      <c r="G18">
        <f xml:space="preserve"> $C$28 * ($C$5 * 0.144 * (2*$C$16*3.28084 * (G4*0.00134102/$C$5) * 4^0.5)^0.782 * 0.453592)</f>
        <v>38.063156558612476</v>
      </c>
      <c r="H18" t="s">
        <v>14</v>
      </c>
      <c r="J18" t="s">
        <v>36</v>
      </c>
      <c r="K18">
        <f xml:space="preserve"> K12 / $C$5</f>
        <v>1280.353183961244</v>
      </c>
      <c r="L18" t="s">
        <v>37</v>
      </c>
      <c r="P18" s="8">
        <v>14</v>
      </c>
      <c r="Q18" s="8">
        <f t="shared" si="7"/>
        <v>0.1029052734375</v>
      </c>
      <c r="R18" s="8">
        <f t="shared" si="0"/>
        <v>2.4917372446753294E-5</v>
      </c>
      <c r="S18" s="8">
        <f t="shared" si="8"/>
        <v>0.10296630859375</v>
      </c>
      <c r="T18" s="8">
        <f t="shared" si="1"/>
        <v>-3.9481044657424524E-5</v>
      </c>
      <c r="U18" s="8">
        <f t="shared" si="2"/>
        <v>0.102935791015625</v>
      </c>
      <c r="V18" s="8">
        <f t="shared" si="3"/>
        <v>-7.281665596770015E-6</v>
      </c>
      <c r="W18" s="8">
        <f t="shared" si="4"/>
        <v>-1.8143997370742856E-10</v>
      </c>
      <c r="X18" s="8">
        <f t="shared" si="5"/>
        <v>2.8748776460650876E-10</v>
      </c>
      <c r="Y18" s="8">
        <f t="shared" si="6"/>
        <v>6.103515625E-5</v>
      </c>
      <c r="AA18" s="8">
        <v>14</v>
      </c>
      <c r="AB18" s="8">
        <f t="shared" si="13"/>
        <v>901.611328125</v>
      </c>
      <c r="AC18" s="8">
        <v>-3.7205191376870062E-3</v>
      </c>
      <c r="AD18" s="8">
        <f t="shared" si="14"/>
        <v>901.85546875</v>
      </c>
      <c r="AE18" s="8">
        <v>9.3165530779401706E-2</v>
      </c>
      <c r="AF18" s="8">
        <f t="shared" si="9"/>
        <v>901.7333984375</v>
      </c>
      <c r="AG18" s="8">
        <v>4.4723990904685706E-2</v>
      </c>
      <c r="AH18" s="8">
        <f t="shared" si="10"/>
        <v>-1.6639646407462278E-4</v>
      </c>
      <c r="AI18" s="8">
        <f t="shared" si="11"/>
        <v>4.1667343512081781E-3</v>
      </c>
      <c r="AJ18" s="8">
        <f t="shared" si="12"/>
        <v>0.244140625</v>
      </c>
    </row>
    <row r="19" spans="2:36" x14ac:dyDescent="0.2">
      <c r="F19" s="13" t="s">
        <v>89</v>
      </c>
      <c r="G19">
        <f xml:space="preserve"> 0.2138 * (G4/1000)</f>
        <v>32.305670773598919</v>
      </c>
      <c r="H19" t="s">
        <v>14</v>
      </c>
      <c r="J19" t="s">
        <v>53</v>
      </c>
      <c r="K19">
        <f xml:space="preserve"> $C$17 * COS(K17) / ($C$18 * $C$16)</f>
        <v>98.688161133317806</v>
      </c>
      <c r="L19" t="s">
        <v>54</v>
      </c>
      <c r="P19" s="8">
        <v>15</v>
      </c>
      <c r="Q19" s="8">
        <f t="shared" si="7"/>
        <v>0.1029052734375</v>
      </c>
      <c r="R19" s="8">
        <f t="shared" si="0"/>
        <v>2.4917372446753294E-5</v>
      </c>
      <c r="S19" s="8">
        <f t="shared" si="8"/>
        <v>0.102935791015625</v>
      </c>
      <c r="T19" s="8">
        <f t="shared" si="1"/>
        <v>-7.281665596770015E-6</v>
      </c>
      <c r="U19" s="8">
        <f t="shared" si="2"/>
        <v>0.1029205322265625</v>
      </c>
      <c r="V19" s="8">
        <f t="shared" si="3"/>
        <v>8.8178960593598976E-6</v>
      </c>
      <c r="W19" s="8">
        <f t="shared" si="4"/>
        <v>2.1971880030782877E-10</v>
      </c>
      <c r="X19" s="8">
        <f t="shared" si="5"/>
        <v>-6.4208970371334848E-11</v>
      </c>
      <c r="Y19" s="8">
        <f t="shared" si="6"/>
        <v>3.0517578125E-5</v>
      </c>
      <c r="AA19" s="8">
        <v>15</v>
      </c>
      <c r="AB19" s="8">
        <f t="shared" si="13"/>
        <v>901.611328125</v>
      </c>
      <c r="AC19" s="8">
        <v>-3.7205191376870062E-3</v>
      </c>
      <c r="AD19" s="8">
        <f t="shared" si="14"/>
        <v>901.7333984375</v>
      </c>
      <c r="AE19" s="8">
        <v>4.4723990904685706E-2</v>
      </c>
      <c r="AF19" s="8">
        <f t="shared" si="9"/>
        <v>901.67236328125</v>
      </c>
      <c r="AG19" s="8">
        <v>2.0503177530997618E-2</v>
      </c>
      <c r="AH19" s="8">
        <f t="shared" si="10"/>
        <v>-7.628246438747086E-5</v>
      </c>
      <c r="AI19" s="8">
        <f t="shared" si="11"/>
        <v>9.1698392541349379E-4</v>
      </c>
      <c r="AJ19" s="8">
        <f t="shared" si="12"/>
        <v>0.1220703125</v>
      </c>
    </row>
    <row r="20" spans="2:36" x14ac:dyDescent="0.2">
      <c r="B20" s="19" t="s">
        <v>23</v>
      </c>
      <c r="C20" s="19"/>
      <c r="D20" s="19"/>
      <c r="F20" s="13" t="s">
        <v>139</v>
      </c>
      <c r="G20">
        <f xml:space="preserve"> 2.20462 * (49.9/398 * (G4/$C$5/1000 - 2) + 0.1) * 0.453592 * $C$5</f>
        <v>17.88942278673828</v>
      </c>
      <c r="H20" t="s">
        <v>14</v>
      </c>
      <c r="J20" t="s">
        <v>56</v>
      </c>
      <c r="K20">
        <f xml:space="preserve"> K18 / ($C$26 * PI() * $C$16^2 * K19^2 * $C$16^2)</f>
        <v>3.4159673484224273E-2</v>
      </c>
      <c r="P20" s="8">
        <v>16</v>
      </c>
      <c r="Q20" s="8">
        <f t="shared" si="7"/>
        <v>0.1029205322265625</v>
      </c>
      <c r="R20" s="8">
        <f t="shared" si="0"/>
        <v>8.8178960593598976E-6</v>
      </c>
      <c r="S20" s="8">
        <f t="shared" si="8"/>
        <v>0.102935791015625</v>
      </c>
      <c r="T20" s="8">
        <f t="shared" si="1"/>
        <v>-7.281665596770015E-6</v>
      </c>
      <c r="U20" s="8">
        <f t="shared" si="2"/>
        <v>0.10292816162109375</v>
      </c>
      <c r="V20" s="8">
        <f t="shared" si="3"/>
        <v>7.6812588897801071E-7</v>
      </c>
      <c r="W20" s="8">
        <f t="shared" si="4"/>
        <v>6.7732542495115192E-12</v>
      </c>
      <c r="X20" s="8">
        <f t="shared" si="5"/>
        <v>-5.5932358597595645E-12</v>
      </c>
      <c r="Y20" s="8">
        <f t="shared" si="6"/>
        <v>1.52587890625E-5</v>
      </c>
      <c r="AA20" s="8">
        <v>16</v>
      </c>
      <c r="AB20" s="8">
        <f t="shared" si="13"/>
        <v>901.611328125</v>
      </c>
      <c r="AC20" s="8">
        <v>-3.7205191376870062E-3</v>
      </c>
      <c r="AD20" s="8">
        <f t="shared" si="14"/>
        <v>901.67236328125</v>
      </c>
      <c r="AE20" s="8">
        <v>2.0503177530997618E-2</v>
      </c>
      <c r="AF20" s="8">
        <f t="shared" si="9"/>
        <v>901.641845703125</v>
      </c>
      <c r="AG20" s="8">
        <v>8.3906192984386507E-3</v>
      </c>
      <c r="AH20" s="8">
        <f t="shared" si="10"/>
        <v>-3.1217459676886923E-5</v>
      </c>
      <c r="AI20" s="8">
        <f t="shared" si="11"/>
        <v>1.7203435707090233E-4</v>
      </c>
      <c r="AJ20" s="8">
        <f t="shared" si="12"/>
        <v>6.103515625E-2</v>
      </c>
    </row>
    <row r="21" spans="2:36" x14ac:dyDescent="0.2">
      <c r="B21" t="s">
        <v>105</v>
      </c>
      <c r="C21" s="1">
        <v>400</v>
      </c>
      <c r="D21" t="s">
        <v>14</v>
      </c>
      <c r="F21" s="14" t="s">
        <v>97</v>
      </c>
      <c r="G21">
        <f xml:space="preserve"> $C$28 * (14.86 * ($C$15*2.20462)^0.144 * (6.7/(PI()*1.8))^0.778 * (6.7*3.28084)^0.383 * 4^0.455 * 0.453592)</f>
        <v>112.71597872804246</v>
      </c>
      <c r="H21" t="s">
        <v>14</v>
      </c>
      <c r="J21" t="s">
        <v>6</v>
      </c>
      <c r="K21" s="1">
        <v>1.2E-2</v>
      </c>
      <c r="P21" s="8">
        <v>17</v>
      </c>
      <c r="Q21" s="8">
        <f t="shared" si="7"/>
        <v>0.10292816162109375</v>
      </c>
      <c r="R21" s="8">
        <f t="shared" si="0"/>
        <v>7.6812588897801071E-7</v>
      </c>
      <c r="S21" s="8">
        <f t="shared" si="8"/>
        <v>0.102935791015625</v>
      </c>
      <c r="T21" s="8">
        <f t="shared" si="1"/>
        <v>-7.281665596770015E-6</v>
      </c>
      <c r="U21" s="8">
        <f t="shared" si="2"/>
        <v>0.10293197631835938</v>
      </c>
      <c r="V21" s="8">
        <f t="shared" si="3"/>
        <v>-3.2567671895827877E-6</v>
      </c>
      <c r="W21" s="8">
        <f t="shared" si="4"/>
        <v>-2.5016071926926964E-12</v>
      </c>
      <c r="X21" s="8">
        <f t="shared" si="5"/>
        <v>2.3714689601074353E-11</v>
      </c>
      <c r="Y21" s="8">
        <f t="shared" si="6"/>
        <v>7.62939453125E-6</v>
      </c>
      <c r="AA21" s="8">
        <v>17</v>
      </c>
      <c r="AB21" s="8">
        <f t="shared" si="13"/>
        <v>901.611328125</v>
      </c>
      <c r="AC21" s="8">
        <v>-3.7205191376870062E-3</v>
      </c>
      <c r="AD21" s="8">
        <f t="shared" si="14"/>
        <v>901.641845703125</v>
      </c>
      <c r="AE21" s="8">
        <v>8.3906192984386507E-3</v>
      </c>
      <c r="AF21" s="8">
        <f t="shared" si="9"/>
        <v>901.6265869140625</v>
      </c>
      <c r="AG21" s="8">
        <v>2.335086671166664E-3</v>
      </c>
      <c r="AH21" s="8">
        <f t="shared" si="10"/>
        <v>-8.6877346482334179E-6</v>
      </c>
      <c r="AI21" s="8">
        <f t="shared" si="11"/>
        <v>1.959282328661788E-5</v>
      </c>
      <c r="AJ21" s="8">
        <f t="shared" si="12"/>
        <v>3.0517578125E-2</v>
      </c>
    </row>
    <row r="22" spans="2:36" x14ac:dyDescent="0.2">
      <c r="B22" t="s">
        <v>24</v>
      </c>
      <c r="C22" s="1">
        <v>30000</v>
      </c>
      <c r="D22" t="s">
        <v>16</v>
      </c>
      <c r="F22" s="14" t="s">
        <v>98</v>
      </c>
      <c r="G22">
        <f xml:space="preserve"> $C$28 * (0.054 * (0.7*3.28084)^0.501 * ($C$15*2.20462*5.7)^0.684 * 0.453592)</f>
        <v>17.625716236253371</v>
      </c>
      <c r="H22" t="s">
        <v>14</v>
      </c>
      <c r="J22" t="s">
        <v>57</v>
      </c>
      <c r="K22">
        <f xml:space="preserve"> ($C$6 * K21 / 8) * (1 + 4.65 *$C$18^ 2) * ( PI() * $C$26 * K19^3 *$C$16^ 5)</f>
        <v>1023.1636046159005</v>
      </c>
      <c r="L22" t="s">
        <v>35</v>
      </c>
      <c r="P22" s="8">
        <v>18</v>
      </c>
      <c r="Q22" s="8">
        <f t="shared" si="7"/>
        <v>0.10292816162109375</v>
      </c>
      <c r="R22" s="8">
        <f t="shared" si="0"/>
        <v>7.6812588897801071E-7</v>
      </c>
      <c r="S22" s="8">
        <f t="shared" si="8"/>
        <v>0.10293197631835938</v>
      </c>
      <c r="T22" s="8">
        <f t="shared" si="1"/>
        <v>-3.2567671895827877E-6</v>
      </c>
      <c r="U22" s="8">
        <f t="shared" si="2"/>
        <v>0.10293006896972656</v>
      </c>
      <c r="V22" s="8">
        <f t="shared" si="3"/>
        <v>-1.2443199842032682E-6</v>
      </c>
      <c r="W22" s="8">
        <f t="shared" si="4"/>
        <v>-9.557943940392396E-13</v>
      </c>
      <c r="X22" s="8">
        <f t="shared" si="5"/>
        <v>4.0524604978953764E-12</v>
      </c>
      <c r="Y22" s="8">
        <f t="shared" si="6"/>
        <v>3.814697265625E-6</v>
      </c>
      <c r="AA22" s="8">
        <v>18</v>
      </c>
      <c r="AB22" s="8">
        <f t="shared" si="13"/>
        <v>901.611328125</v>
      </c>
      <c r="AC22" s="8">
        <v>-3.7205191376870062E-3</v>
      </c>
      <c r="AD22" s="8">
        <f t="shared" si="14"/>
        <v>901.6265869140625</v>
      </c>
      <c r="AE22" s="8">
        <v>2.335086671166664E-3</v>
      </c>
      <c r="AF22" s="8">
        <f t="shared" si="9"/>
        <v>901.61895751953125</v>
      </c>
      <c r="AG22" s="8">
        <v>-6.9356329225911395E-4</v>
      </c>
      <c r="AH22" s="8">
        <f t="shared" si="10"/>
        <v>2.5804155020472395E-6</v>
      </c>
      <c r="AI22" s="8">
        <f t="shared" si="11"/>
        <v>-1.6195303993647264E-6</v>
      </c>
      <c r="AJ22" s="8">
        <f t="shared" si="12"/>
        <v>1.52587890625E-2</v>
      </c>
    </row>
    <row r="23" spans="2:36" x14ac:dyDescent="0.2">
      <c r="B23" t="s">
        <v>25</v>
      </c>
      <c r="C23" s="1">
        <v>240</v>
      </c>
      <c r="D23" t="s">
        <v>26</v>
      </c>
      <c r="F23" s="14" t="s">
        <v>99</v>
      </c>
      <c r="G23">
        <f xml:space="preserve"> $C$28 * 0</f>
        <v>0</v>
      </c>
      <c r="H23" t="s">
        <v>14</v>
      </c>
      <c r="J23" t="s">
        <v>58</v>
      </c>
      <c r="K23" s="5">
        <f>U34</f>
        <v>0.10292888944968581</v>
      </c>
      <c r="P23" s="8">
        <v>19</v>
      </c>
      <c r="Q23" s="8">
        <f t="shared" si="7"/>
        <v>0.10292816162109375</v>
      </c>
      <c r="R23" s="8">
        <f t="shared" si="0"/>
        <v>7.6812588897801071E-7</v>
      </c>
      <c r="S23" s="8">
        <f t="shared" si="8"/>
        <v>0.10293006896972656</v>
      </c>
      <c r="T23" s="8">
        <f t="shared" si="1"/>
        <v>-1.2443199842032682E-6</v>
      </c>
      <c r="U23" s="8">
        <f t="shared" si="2"/>
        <v>0.10292911529541016</v>
      </c>
      <c r="V23" s="8">
        <f t="shared" si="3"/>
        <v>-2.3809688108611393E-7</v>
      </c>
      <c r="W23" s="8">
        <f t="shared" si="4"/>
        <v>-1.8288837844716296E-13</v>
      </c>
      <c r="X23" s="8">
        <f t="shared" si="5"/>
        <v>2.962687073119207E-13</v>
      </c>
      <c r="Y23" s="8">
        <f t="shared" si="6"/>
        <v>1.9073486328125E-6</v>
      </c>
      <c r="AA23" s="8">
        <v>19</v>
      </c>
      <c r="AB23" s="8">
        <f t="shared" si="13"/>
        <v>901.61895751953125</v>
      </c>
      <c r="AC23" s="8">
        <v>-6.9356329225911395E-4</v>
      </c>
      <c r="AD23" s="8">
        <f t="shared" si="14"/>
        <v>901.6265869140625</v>
      </c>
      <c r="AE23" s="8">
        <v>2.335086671166664E-3</v>
      </c>
      <c r="AF23" s="8">
        <f t="shared" si="9"/>
        <v>901.62277221679688</v>
      </c>
      <c r="AG23" s="8">
        <v>8.2162018497911049E-4</v>
      </c>
      <c r="AH23" s="8">
        <f t="shared" si="10"/>
        <v>-5.698456004806541E-7</v>
      </c>
      <c r="AI23" s="8">
        <f t="shared" si="11"/>
        <v>1.9185543427062098E-6</v>
      </c>
      <c r="AJ23" s="8">
        <f t="shared" si="12"/>
        <v>7.62939453125E-3</v>
      </c>
    </row>
    <row r="24" spans="2:36" x14ac:dyDescent="0.2">
      <c r="F24" s="14" t="s">
        <v>100</v>
      </c>
      <c r="G24">
        <f xml:space="preserve"> $C$28 * 0</f>
        <v>0</v>
      </c>
      <c r="H24" t="s">
        <v>14</v>
      </c>
      <c r="J24" t="s">
        <v>59</v>
      </c>
      <c r="K24">
        <f xml:space="preserve"> K19 * $C$16 * K23 - $C$17 * SIN(K17)</f>
        <v>5.3144945064573985</v>
      </c>
      <c r="L24" t="s">
        <v>19</v>
      </c>
      <c r="P24" s="8">
        <v>20</v>
      </c>
      <c r="Q24" s="8">
        <f t="shared" si="7"/>
        <v>0.10292816162109375</v>
      </c>
      <c r="R24" s="8">
        <f t="shared" si="0"/>
        <v>7.6812588897801071E-7</v>
      </c>
      <c r="S24" s="8">
        <f t="shared" si="8"/>
        <v>0.10292911529541016</v>
      </c>
      <c r="T24" s="8">
        <f t="shared" si="1"/>
        <v>-2.3809688108611393E-7</v>
      </c>
      <c r="U24" s="8">
        <f t="shared" si="2"/>
        <v>0.10292863845825195</v>
      </c>
      <c r="V24" s="8">
        <f t="shared" si="3"/>
        <v>2.650145455862507E-7</v>
      </c>
      <c r="W24" s="8">
        <f t="shared" si="4"/>
        <v>2.0356453342054236E-13</v>
      </c>
      <c r="X24" s="8">
        <f t="shared" si="5"/>
        <v>-6.3099136746540053E-14</v>
      </c>
      <c r="Y24" s="8">
        <f t="shared" si="6"/>
        <v>9.5367431640625E-7</v>
      </c>
      <c r="AA24" s="8">
        <v>20</v>
      </c>
      <c r="AB24" s="8">
        <f t="shared" si="13"/>
        <v>901.61895751953125</v>
      </c>
      <c r="AC24" s="8">
        <v>-6.9356329225911395E-4</v>
      </c>
      <c r="AD24" s="8">
        <f t="shared" si="14"/>
        <v>901.62277221679688</v>
      </c>
      <c r="AE24" s="8">
        <v>8.2162018497911049E-4</v>
      </c>
      <c r="AF24" s="8">
        <f t="shared" si="9"/>
        <v>901.62086486816406</v>
      </c>
      <c r="AG24" s="8">
        <v>6.4029016641597991E-5</v>
      </c>
      <c r="AH24" s="8">
        <f t="shared" si="10"/>
        <v>-4.4408175582060298E-8</v>
      </c>
      <c r="AI24" s="8">
        <f t="shared" si="11"/>
        <v>5.2607532497100284E-8</v>
      </c>
      <c r="AJ24" s="8">
        <f t="shared" si="12"/>
        <v>3.814697265625E-3</v>
      </c>
    </row>
    <row r="25" spans="2:36" x14ac:dyDescent="0.2">
      <c r="B25" s="19" t="s">
        <v>110</v>
      </c>
      <c r="C25" s="20"/>
      <c r="D25" s="20"/>
      <c r="F25" s="15" t="s">
        <v>101</v>
      </c>
      <c r="G25">
        <f xml:space="preserve"> $C$28 * (0.0268 * $C$15)</f>
        <v>19.330747864479783</v>
      </c>
      <c r="H25" t="s">
        <v>14</v>
      </c>
      <c r="J25" t="s">
        <v>60</v>
      </c>
      <c r="K25">
        <f xml:space="preserve"> 1/$C$7 - K22 * SQRT( (2*$C$26*PI()*$C$16^2) / K18^3 )</f>
        <v>1.2713737650457269</v>
      </c>
      <c r="P25" s="8">
        <v>21</v>
      </c>
      <c r="Q25" s="8">
        <f t="shared" si="7"/>
        <v>0.10292863845825195</v>
      </c>
      <c r="R25" s="8">
        <f t="shared" si="0"/>
        <v>2.650145455862507E-7</v>
      </c>
      <c r="S25" s="8">
        <f t="shared" si="8"/>
        <v>0.10292911529541016</v>
      </c>
      <c r="T25" s="8">
        <f t="shared" si="1"/>
        <v>-2.3809688108611393E-7</v>
      </c>
      <c r="U25" s="8">
        <f t="shared" si="2"/>
        <v>0.10292887687683105</v>
      </c>
      <c r="V25" s="8">
        <f t="shared" si="3"/>
        <v>1.3458842651470349E-8</v>
      </c>
      <c r="W25" s="8">
        <f t="shared" si="4"/>
        <v>3.5667890693962641E-15</v>
      </c>
      <c r="X25" s="8">
        <f t="shared" si="5"/>
        <v>-3.2045084583438539E-15</v>
      </c>
      <c r="Y25" s="8">
        <f t="shared" si="6"/>
        <v>4.76837158203125E-7</v>
      </c>
      <c r="AA25" s="8">
        <v>21</v>
      </c>
      <c r="AB25" s="8">
        <f t="shared" si="13"/>
        <v>901.61895751953125</v>
      </c>
      <c r="AC25" s="8">
        <v>-6.9356329225911395E-4</v>
      </c>
      <c r="AD25" s="8">
        <f t="shared" si="14"/>
        <v>901.62086486816406</v>
      </c>
      <c r="AE25" s="8">
        <v>6.4029016641597991E-5</v>
      </c>
      <c r="AF25" s="8">
        <f t="shared" si="9"/>
        <v>901.61991119384766</v>
      </c>
      <c r="AG25" s="8">
        <v>-3.1391078778142401E-4</v>
      </c>
      <c r="AH25" s="8">
        <f t="shared" si="10"/>
        <v>2.1771699944933649E-7</v>
      </c>
      <c r="AI25" s="8">
        <f t="shared" si="11"/>
        <v>-2.0099399054833933E-8</v>
      </c>
      <c r="AJ25" s="8">
        <f t="shared" si="12"/>
        <v>1.9073486328125E-3</v>
      </c>
    </row>
    <row r="26" spans="2:36" x14ac:dyDescent="0.2">
      <c r="B26" t="s">
        <v>27</v>
      </c>
      <c r="C26" s="1">
        <v>1.2250000000000001</v>
      </c>
      <c r="D26" t="s">
        <v>28</v>
      </c>
      <c r="F26" s="15" t="s">
        <v>102</v>
      </c>
      <c r="G26">
        <f xml:space="preserve"> $C$28 * (11.5 * ($C$15*2.20462/1000)^0.4 * 0.453592)</f>
        <v>5.4928313010185237</v>
      </c>
      <c r="H26" t="s">
        <v>14</v>
      </c>
      <c r="J26" t="s">
        <v>61</v>
      </c>
      <c r="K26" s="1">
        <v>1.1499999999999999</v>
      </c>
      <c r="P26" s="8">
        <v>22</v>
      </c>
      <c r="Q26" s="8">
        <f t="shared" si="7"/>
        <v>0.10292887687683105</v>
      </c>
      <c r="R26" s="8">
        <f t="shared" si="0"/>
        <v>1.3458842651470349E-8</v>
      </c>
      <c r="S26" s="8">
        <f t="shared" si="8"/>
        <v>0.10292911529541016</v>
      </c>
      <c r="T26" s="8">
        <f t="shared" si="1"/>
        <v>-2.3809688108611393E-7</v>
      </c>
      <c r="U26" s="8">
        <f t="shared" si="2"/>
        <v>0.10292899608612061</v>
      </c>
      <c r="V26" s="8">
        <f t="shared" si="3"/>
        <v>-1.1231901661523658E-7</v>
      </c>
      <c r="W26" s="8">
        <f t="shared" si="4"/>
        <v>-1.5116839713923527E-15</v>
      </c>
      <c r="X26" s="8">
        <f t="shared" si="5"/>
        <v>2.6742807542747237E-14</v>
      </c>
      <c r="Y26" s="8">
        <f t="shared" si="6"/>
        <v>2.384185791015625E-7</v>
      </c>
      <c r="AA26" s="8">
        <v>22</v>
      </c>
      <c r="AB26" s="8">
        <f t="shared" si="13"/>
        <v>901.61991119384766</v>
      </c>
      <c r="AC26" s="8">
        <v>-3.1391078778142401E-4</v>
      </c>
      <c r="AD26" s="8">
        <f t="shared" si="14"/>
        <v>901.62086486816406</v>
      </c>
      <c r="AE26" s="8">
        <v>6.4029016641597991E-5</v>
      </c>
      <c r="AF26" s="8">
        <f t="shared" si="9"/>
        <v>901.62038803100586</v>
      </c>
      <c r="AG26" s="8">
        <v>-1.2494084955960716E-4</v>
      </c>
      <c r="AH26" s="8">
        <f t="shared" si="10"/>
        <v>3.9220280511336664E-8</v>
      </c>
      <c r="AI26" s="8">
        <f t="shared" si="11"/>
        <v>-7.9998397356674778E-9</v>
      </c>
      <c r="AJ26" s="8">
        <f t="shared" si="12"/>
        <v>9.5367431640625E-4</v>
      </c>
    </row>
    <row r="27" spans="2:36" x14ac:dyDescent="0.2">
      <c r="B27" t="s">
        <v>29</v>
      </c>
      <c r="C27" s="1">
        <v>9.81</v>
      </c>
      <c r="D27" t="s">
        <v>30</v>
      </c>
      <c r="F27" s="15" t="s">
        <v>103</v>
      </c>
      <c r="G27">
        <f xml:space="preserve"> $C$28 * (8 * ($C$15/1000))</f>
        <v>5.7703724968596362</v>
      </c>
      <c r="H27" t="s">
        <v>14</v>
      </c>
      <c r="J27" t="s">
        <v>62</v>
      </c>
      <c r="K27">
        <f xml:space="preserve"> 1/$C$31 * LN( EXP($C$31 * K25) + EXP($C$31 * K26) )</f>
        <v>1.272236520241377</v>
      </c>
      <c r="P27" s="8">
        <v>23</v>
      </c>
      <c r="Q27" s="8">
        <f t="shared" si="7"/>
        <v>0.10292887687683105</v>
      </c>
      <c r="R27" s="8">
        <f t="shared" si="0"/>
        <v>1.3458842651470349E-8</v>
      </c>
      <c r="S27" s="8">
        <f t="shared" si="8"/>
        <v>0.10292899608612061</v>
      </c>
      <c r="T27" s="8">
        <f t="shared" si="1"/>
        <v>-1.1231901661523658E-7</v>
      </c>
      <c r="U27" s="8">
        <f t="shared" si="2"/>
        <v>0.10292893648147583</v>
      </c>
      <c r="V27" s="8">
        <f t="shared" si="3"/>
        <v>-4.9430086329627088E-8</v>
      </c>
      <c r="W27" s="8">
        <f t="shared" si="4"/>
        <v>-6.6527175415904651E-16</v>
      </c>
      <c r="X27" s="8">
        <f t="shared" si="5"/>
        <v>5.5519386877499631E-15</v>
      </c>
      <c r="Y27" s="8">
        <f t="shared" si="6"/>
        <v>1.1920928955078125E-7</v>
      </c>
      <c r="AA27" s="8">
        <v>23</v>
      </c>
      <c r="AB27" s="8">
        <f t="shared" si="13"/>
        <v>901.62038803100586</v>
      </c>
      <c r="AC27" s="8">
        <v>-1.2494084955960716E-4</v>
      </c>
      <c r="AD27" s="8">
        <f t="shared" si="14"/>
        <v>901.62086486816406</v>
      </c>
      <c r="AE27" s="8">
        <v>6.4029016641597991E-5</v>
      </c>
      <c r="AF27" s="8">
        <f t="shared" si="9"/>
        <v>901.62062644958496</v>
      </c>
      <c r="AG27" s="8">
        <v>-3.0455907619852951E-5</v>
      </c>
      <c r="AH27" s="8">
        <f t="shared" si="10"/>
        <v>3.8051869721333407E-9</v>
      </c>
      <c r="AI27" s="8">
        <f t="shared" si="11"/>
        <v>-1.9500618158265355E-9</v>
      </c>
      <c r="AJ27" s="8">
        <f t="shared" si="12"/>
        <v>4.76837158203125E-4</v>
      </c>
    </row>
    <row r="28" spans="2:36" x14ac:dyDescent="0.2">
      <c r="B28" t="s">
        <v>126</v>
      </c>
      <c r="C28" s="1">
        <v>0.8</v>
      </c>
      <c r="F28" s="15" t="s">
        <v>104</v>
      </c>
      <c r="G28">
        <f xml:space="preserve"> $C$28 * (13 * ($C$15*2.20462/1000)^1.3 * 0.453592)</f>
        <v>11.522948722167886</v>
      </c>
      <c r="H28" t="s">
        <v>14</v>
      </c>
      <c r="P28" s="8">
        <v>24</v>
      </c>
      <c r="Q28" s="8">
        <f t="shared" si="7"/>
        <v>0.10292887687683105</v>
      </c>
      <c r="R28" s="8">
        <f t="shared" si="0"/>
        <v>1.3458842651470349E-8</v>
      </c>
      <c r="S28" s="8">
        <f t="shared" si="8"/>
        <v>0.10292893648147583</v>
      </c>
      <c r="T28" s="8">
        <f t="shared" si="1"/>
        <v>-4.9430086329627088E-8</v>
      </c>
      <c r="U28" s="8">
        <f t="shared" si="2"/>
        <v>0.10292890667915344</v>
      </c>
      <c r="V28" s="8">
        <f t="shared" si="3"/>
        <v>-1.7985621672544916E-8</v>
      </c>
      <c r="W28" s="8">
        <f t="shared" si="4"/>
        <v>-2.42065652079657E-16</v>
      </c>
      <c r="X28" s="8">
        <f t="shared" si="5"/>
        <v>8.8903083196590707E-16</v>
      </c>
      <c r="Y28" s="8">
        <f t="shared" si="6"/>
        <v>5.9604644775390625E-8</v>
      </c>
      <c r="AA28" s="8">
        <v>24</v>
      </c>
      <c r="AB28" s="8">
        <f t="shared" si="13"/>
        <v>901.62062644958496</v>
      </c>
      <c r="AC28" s="8">
        <v>-3.0455907619852951E-5</v>
      </c>
      <c r="AD28" s="8">
        <f t="shared" si="14"/>
        <v>901.62086486816406</v>
      </c>
      <c r="AE28" s="8">
        <v>6.4029016641597991E-5</v>
      </c>
      <c r="AF28" s="8">
        <f t="shared" si="9"/>
        <v>901.62074565887451</v>
      </c>
      <c r="AG28" s="8">
        <v>1.5930348354231683E-5</v>
      </c>
      <c r="AH28" s="8">
        <f t="shared" si="10"/>
        <v>-4.8517321782855666E-10</v>
      </c>
      <c r="AI28" s="8">
        <f t="shared" si="11"/>
        <v>1.0200045398795536E-9</v>
      </c>
      <c r="AJ28" s="8">
        <f t="shared" si="12"/>
        <v>2.384185791015625E-4</v>
      </c>
    </row>
    <row r="29" spans="2:36" x14ac:dyDescent="0.2">
      <c r="F29" s="3" t="s">
        <v>91</v>
      </c>
      <c r="G29" s="3">
        <f>$C$15 - $C$21 - SUM(G17:G28)</f>
        <v>-2.2106405594968237E-10</v>
      </c>
      <c r="H29" s="3" t="s">
        <v>14</v>
      </c>
      <c r="P29" s="8">
        <v>25</v>
      </c>
      <c r="Q29" s="8">
        <f t="shared" si="7"/>
        <v>0.10292887687683105</v>
      </c>
      <c r="R29" s="8">
        <f t="shared" si="0"/>
        <v>1.3458842651470349E-8</v>
      </c>
      <c r="S29" s="8">
        <f t="shared" si="8"/>
        <v>0.10292890667915344</v>
      </c>
      <c r="T29" s="8">
        <f t="shared" si="1"/>
        <v>-1.7985621672544916E-8</v>
      </c>
      <c r="U29" s="8">
        <f t="shared" si="2"/>
        <v>0.10292889177799225</v>
      </c>
      <c r="V29" s="8">
        <f t="shared" si="3"/>
        <v>-2.2633894758428141E-9</v>
      </c>
      <c r="W29" s="8">
        <f t="shared" si="4"/>
        <v>-3.0462602814362383E-17</v>
      </c>
      <c r="X29" s="8">
        <f t="shared" si="5"/>
        <v>4.0708466810128595E-17</v>
      </c>
      <c r="Y29" s="8">
        <f t="shared" si="6"/>
        <v>2.9802322387695312E-8</v>
      </c>
      <c r="AA29" s="8">
        <v>25</v>
      </c>
      <c r="AB29" s="8">
        <f t="shared" si="13"/>
        <v>901.62062644958496</v>
      </c>
      <c r="AC29" s="8">
        <v>-3.0455907619852951E-5</v>
      </c>
      <c r="AD29" s="8">
        <f t="shared" si="14"/>
        <v>901.62074565887451</v>
      </c>
      <c r="AE29" s="8">
        <v>1.5930348354231683E-5</v>
      </c>
      <c r="AF29" s="8">
        <f t="shared" si="9"/>
        <v>901.62068605422974</v>
      </c>
      <c r="AG29" s="8">
        <v>-6.4065706055771443E-6</v>
      </c>
      <c r="AH29" s="8">
        <f t="shared" si="10"/>
        <v>1.9511792252352289E-10</v>
      </c>
      <c r="AI29" s="8">
        <f t="shared" si="11"/>
        <v>-1.0205890150282493E-10</v>
      </c>
      <c r="AJ29" s="8">
        <f t="shared" si="12"/>
        <v>1.1920928955078125E-4</v>
      </c>
    </row>
    <row r="30" spans="2:36" x14ac:dyDescent="0.2">
      <c r="B30" s="19" t="s">
        <v>31</v>
      </c>
      <c r="C30" s="20"/>
      <c r="D30" s="20"/>
      <c r="F30" t="s">
        <v>92</v>
      </c>
      <c r="G30" s="10" t="str">
        <f>IF(ABS(G29)&lt;0.00001, "TRUE", "FALSE")</f>
        <v>TRUE</v>
      </c>
      <c r="P30" s="8">
        <v>26</v>
      </c>
      <c r="Q30" s="8">
        <f t="shared" si="7"/>
        <v>0.10292887687683105</v>
      </c>
      <c r="R30" s="8">
        <f t="shared" si="0"/>
        <v>1.3458842651470349E-8</v>
      </c>
      <c r="S30" s="8">
        <f t="shared" si="8"/>
        <v>0.10292889177799225</v>
      </c>
      <c r="T30" s="8">
        <f t="shared" si="1"/>
        <v>-2.2633894758428141E-9</v>
      </c>
      <c r="U30" s="8">
        <f t="shared" si="2"/>
        <v>0.10292888432741165</v>
      </c>
      <c r="V30" s="8">
        <f t="shared" si="3"/>
        <v>5.5977266155693428E-9</v>
      </c>
      <c r="W30" s="8">
        <f t="shared" si="4"/>
        <v>7.5338921724895428E-17</v>
      </c>
      <c r="X30" s="8">
        <f t="shared" si="5"/>
        <v>-1.2669835510324865E-17</v>
      </c>
      <c r="Y30" s="8">
        <f t="shared" si="6"/>
        <v>1.4901161193847656E-8</v>
      </c>
      <c r="AA30" s="8">
        <v>26</v>
      </c>
      <c r="AB30" s="8">
        <f t="shared" si="13"/>
        <v>901.62068605422974</v>
      </c>
      <c r="AC30" s="8">
        <v>-6.4065706055771443E-6</v>
      </c>
      <c r="AD30" s="8">
        <f t="shared" si="14"/>
        <v>901.62074565887451</v>
      </c>
      <c r="AE30" s="8">
        <v>1.5930348354231683E-5</v>
      </c>
      <c r="AF30" s="8">
        <f t="shared" si="9"/>
        <v>901.62071585655212</v>
      </c>
      <c r="AG30" s="8">
        <v>4.7618890448575257E-6</v>
      </c>
      <c r="AH30" s="8">
        <f t="shared" si="10"/>
        <v>-3.0507378381804048E-11</v>
      </c>
      <c r="AI30" s="8">
        <f t="shared" si="11"/>
        <v>7.5858551308779964E-11</v>
      </c>
      <c r="AJ30" s="8">
        <f t="shared" si="12"/>
        <v>5.9604644775390625E-5</v>
      </c>
    </row>
    <row r="31" spans="2:36" x14ac:dyDescent="0.2">
      <c r="B31" t="s">
        <v>32</v>
      </c>
      <c r="C31" s="1">
        <v>30</v>
      </c>
      <c r="P31" s="8">
        <v>27</v>
      </c>
      <c r="Q31" s="8">
        <f t="shared" si="7"/>
        <v>0.10292888432741165</v>
      </c>
      <c r="R31" s="8">
        <f t="shared" si="0"/>
        <v>5.5977266155693428E-9</v>
      </c>
      <c r="S31" s="8">
        <f t="shared" si="8"/>
        <v>0.10292889177799225</v>
      </c>
      <c r="T31" s="8">
        <f t="shared" si="1"/>
        <v>-2.2633894758428141E-9</v>
      </c>
      <c r="U31" s="8">
        <f t="shared" si="2"/>
        <v>0.10292888805270195</v>
      </c>
      <c r="V31" s="8">
        <f t="shared" si="3"/>
        <v>1.6671685698632643E-9</v>
      </c>
      <c r="W31" s="8">
        <f t="shared" si="4"/>
        <v>9.3323538761642721E-18</v>
      </c>
      <c r="X31" s="8">
        <f t="shared" si="5"/>
        <v>-3.7734517954844279E-18</v>
      </c>
      <c r="Y31" s="8">
        <f t="shared" si="6"/>
        <v>7.4505805969238281E-9</v>
      </c>
      <c r="AA31" s="8">
        <v>27</v>
      </c>
      <c r="AB31" s="8">
        <f t="shared" si="13"/>
        <v>901.62068605422974</v>
      </c>
      <c r="AC31" s="8">
        <v>-6.4065706055771443E-6</v>
      </c>
      <c r="AD31" s="8">
        <f t="shared" si="14"/>
        <v>901.62071585655212</v>
      </c>
      <c r="AE31" s="8">
        <v>4.7618890448575257E-6</v>
      </c>
      <c r="AF31" s="8">
        <f t="shared" si="9"/>
        <v>901.62070095539093</v>
      </c>
      <c r="AG31" s="8">
        <v>-8.2234083720322815E-7</v>
      </c>
      <c r="AH31" s="8">
        <f t="shared" si="10"/>
        <v>5.2683846353919012E-12</v>
      </c>
      <c r="AI31" s="8">
        <f t="shared" si="11"/>
        <v>-3.9158958238170181E-12</v>
      </c>
      <c r="AJ31" s="8">
        <f t="shared" si="12"/>
        <v>2.9802322387695312E-5</v>
      </c>
    </row>
    <row r="32" spans="2:36" x14ac:dyDescent="0.2">
      <c r="P32" s="8">
        <v>28</v>
      </c>
      <c r="Q32" s="8">
        <f t="shared" si="7"/>
        <v>0.10292888805270195</v>
      </c>
      <c r="R32" s="8">
        <f t="shared" si="0"/>
        <v>1.6671685698632643E-9</v>
      </c>
      <c r="S32" s="8">
        <f t="shared" si="8"/>
        <v>0.10292889177799225</v>
      </c>
      <c r="T32" s="8">
        <f t="shared" si="1"/>
        <v>-2.2633894758428141E-9</v>
      </c>
      <c r="U32" s="8">
        <f t="shared" si="2"/>
        <v>0.1029288899153471</v>
      </c>
      <c r="V32" s="8">
        <f t="shared" si="3"/>
        <v>-2.981104529897749E-10</v>
      </c>
      <c r="W32" s="8">
        <f t="shared" si="4"/>
        <v>-4.9700037757225291E-19</v>
      </c>
      <c r="X32" s="8">
        <f t="shared" si="5"/>
        <v>6.7474006193579049E-19</v>
      </c>
      <c r="Y32" s="8">
        <f t="shared" si="6"/>
        <v>3.7252902984619141E-9</v>
      </c>
      <c r="AA32" s="8">
        <v>28</v>
      </c>
      <c r="AB32" s="8">
        <f t="shared" si="13"/>
        <v>901.62070095539093</v>
      </c>
      <c r="AC32" s="8">
        <v>-8.2234083720322815E-7</v>
      </c>
      <c r="AD32" s="8">
        <f t="shared" si="14"/>
        <v>901.62071585655212</v>
      </c>
      <c r="AE32" s="8">
        <v>4.7618890448575257E-6</v>
      </c>
      <c r="AF32" s="8">
        <f t="shared" si="9"/>
        <v>901.62070840597153</v>
      </c>
      <c r="AG32" s="8">
        <v>1.1135658155581041E-6</v>
      </c>
      <c r="AH32" s="8">
        <f t="shared" si="10"/>
        <v>-9.1573064504694685E-13</v>
      </c>
      <c r="AI32" s="8">
        <f t="shared" si="11"/>
        <v>5.3026768578339719E-12</v>
      </c>
      <c r="AJ32" s="8">
        <f t="shared" si="12"/>
        <v>1.4901161193847656E-5</v>
      </c>
    </row>
    <row r="33" spans="2:36" x14ac:dyDescent="0.2">
      <c r="F33" s="2" t="s">
        <v>93</v>
      </c>
      <c r="G33" s="2"/>
      <c r="H33" s="2"/>
      <c r="P33" s="8">
        <v>29</v>
      </c>
      <c r="Q33" s="8">
        <f t="shared" si="7"/>
        <v>0.10292888805270195</v>
      </c>
      <c r="R33" s="8">
        <f t="shared" si="0"/>
        <v>1.6671685698632643E-9</v>
      </c>
      <c r="S33" s="8">
        <f t="shared" si="8"/>
        <v>0.1029288899153471</v>
      </c>
      <c r="T33" s="8">
        <f t="shared" si="1"/>
        <v>-2.981104529897749E-10</v>
      </c>
      <c r="U33" s="8">
        <f t="shared" si="2"/>
        <v>0.10292888898402452</v>
      </c>
      <c r="V33" s="8">
        <f t="shared" si="3"/>
        <v>6.8452907231453253E-10</v>
      </c>
      <c r="W33" s="8">
        <f t="shared" si="4"/>
        <v>1.1412253545204462E-18</v>
      </c>
      <c r="X33" s="8">
        <f t="shared" si="5"/>
        <v>-2.0406527183235567E-19</v>
      </c>
      <c r="Y33" s="8">
        <f t="shared" si="6"/>
        <v>1.862645149230957E-9</v>
      </c>
      <c r="AA33" s="8">
        <v>29</v>
      </c>
      <c r="AB33" s="8">
        <f t="shared" si="13"/>
        <v>901.62070095539093</v>
      </c>
      <c r="AC33" s="8">
        <v>-8.2234083720322815E-7</v>
      </c>
      <c r="AD33" s="8">
        <f t="shared" si="14"/>
        <v>901.62070840597153</v>
      </c>
      <c r="AE33" s="8">
        <v>1.1135658155581041E-6</v>
      </c>
      <c r="AF33" s="8">
        <f t="shared" si="9"/>
        <v>901.62070468068123</v>
      </c>
      <c r="AG33" s="8">
        <v>1.0018209195550298E-6</v>
      </c>
      <c r="AH33" s="8">
        <f t="shared" si="10"/>
        <v>-8.2383825371459111E-13</v>
      </c>
      <c r="AI33" s="8">
        <f t="shared" si="11"/>
        <v>1.1155935293274666E-12</v>
      </c>
      <c r="AJ33" s="8">
        <f t="shared" si="12"/>
        <v>7.4505805969238281E-6</v>
      </c>
    </row>
    <row r="34" spans="2:36" x14ac:dyDescent="0.2">
      <c r="B34" t="s">
        <v>144</v>
      </c>
      <c r="C34" s="1">
        <v>1.2</v>
      </c>
      <c r="F34" t="s">
        <v>94</v>
      </c>
      <c r="G34">
        <f>ROUND($C$21/$C$15 * 100, 2)</f>
        <v>44.36</v>
      </c>
      <c r="H34" t="s">
        <v>95</v>
      </c>
      <c r="P34" s="8">
        <v>30</v>
      </c>
      <c r="Q34" s="8">
        <f t="shared" si="7"/>
        <v>0.10292888898402452</v>
      </c>
      <c r="R34" s="8">
        <f t="shared" si="0"/>
        <v>6.8452907231453253E-10</v>
      </c>
      <c r="S34" s="8">
        <f t="shared" si="8"/>
        <v>0.1029288899153471</v>
      </c>
      <c r="T34" s="8">
        <f t="shared" si="1"/>
        <v>-2.981104529897749E-10</v>
      </c>
      <c r="U34" s="8">
        <f t="shared" si="2"/>
        <v>0.10292888944968581</v>
      </c>
      <c r="V34" s="8">
        <f t="shared" si="3"/>
        <v>1.9320930966237881E-10</v>
      </c>
      <c r="W34" s="8">
        <f t="shared" si="4"/>
        <v>1.3225738950571942E-19</v>
      </c>
      <c r="X34" s="8">
        <f t="shared" si="5"/>
        <v>-5.7597714825293441E-20</v>
      </c>
      <c r="Y34" s="8">
        <f t="shared" si="6"/>
        <v>9.3132257461547852E-10</v>
      </c>
      <c r="AA34" s="8">
        <v>30</v>
      </c>
      <c r="AB34" s="8">
        <f t="shared" si="13"/>
        <v>901.62070095539093</v>
      </c>
      <c r="AC34" s="8">
        <v>-8.2234083720322815E-7</v>
      </c>
      <c r="AD34" s="8">
        <f t="shared" si="14"/>
        <v>901.62070468068123</v>
      </c>
      <c r="AE34" s="8">
        <v>1.0018209195550298E-6</v>
      </c>
      <c r="AF34" s="8">
        <f t="shared" si="9"/>
        <v>901.62070281803608</v>
      </c>
      <c r="AG34" s="8">
        <v>8.9740012754191412E-8</v>
      </c>
      <c r="AH34" s="8">
        <f t="shared" si="10"/>
        <v>-7.3796877218910137E-14</v>
      </c>
      <c r="AI34" s="8">
        <f t="shared" si="11"/>
        <v>8.9903422098284145E-14</v>
      </c>
      <c r="AJ34" s="8">
        <f t="shared" si="12"/>
        <v>3.7252902984619141E-6</v>
      </c>
    </row>
    <row r="35" spans="2:36" x14ac:dyDescent="0.2">
      <c r="B35" t="s">
        <v>145</v>
      </c>
      <c r="C35" s="1">
        <v>50</v>
      </c>
      <c r="F35" s="16" t="s">
        <v>87</v>
      </c>
      <c r="G35">
        <f>ROUND(G17/$C$15 * 100, 2)</f>
        <v>26.72</v>
      </c>
      <c r="H35" t="s">
        <v>95</v>
      </c>
      <c r="AA35" s="8">
        <v>31</v>
      </c>
      <c r="AB35" s="8">
        <f t="shared" si="13"/>
        <v>901.62070095539093</v>
      </c>
      <c r="AC35">
        <v>-8.2234083720322815E-7</v>
      </c>
      <c r="AD35" s="8">
        <f t="shared" si="14"/>
        <v>901.62070281803608</v>
      </c>
      <c r="AE35">
        <v>8.9740012754191412E-8</v>
      </c>
      <c r="AF35" s="8">
        <f t="shared" si="9"/>
        <v>901.6207018867135</v>
      </c>
      <c r="AG35">
        <v>-3.6630041222451837E-7</v>
      </c>
      <c r="AH35" s="8">
        <f t="shared" si="10"/>
        <v>3.0122378765659802E-13</v>
      </c>
      <c r="AI35" s="8">
        <f t="shared" si="11"/>
        <v>-3.287180366489385E-14</v>
      </c>
      <c r="AJ35" s="8">
        <f t="shared" si="12"/>
        <v>1.862645149230957E-6</v>
      </c>
    </row>
    <row r="36" spans="2:36" x14ac:dyDescent="0.2">
      <c r="C36" s="1">
        <v>0.3</v>
      </c>
      <c r="F36" s="18" t="s">
        <v>107</v>
      </c>
      <c r="G36">
        <f>ROUND(SUM(G18:G20)/$C$15 * 100, 2)</f>
        <v>9.7899999999999991</v>
      </c>
      <c r="H36" t="s">
        <v>95</v>
      </c>
      <c r="AA36" s="8">
        <v>32</v>
      </c>
      <c r="AB36" s="8">
        <f t="shared" si="13"/>
        <v>901.6207018867135</v>
      </c>
      <c r="AC36">
        <v>-3.6630041222451837E-7</v>
      </c>
      <c r="AD36" s="8">
        <f t="shared" si="14"/>
        <v>901.62070281803608</v>
      </c>
      <c r="AE36">
        <v>8.9740012754191412E-8</v>
      </c>
      <c r="AF36" s="8">
        <f t="shared" si="9"/>
        <v>901.62070235237479</v>
      </c>
      <c r="AG36">
        <v>-1.3828014289174462E-7</v>
      </c>
      <c r="AH36" s="8">
        <f t="shared" si="10"/>
        <v>5.0652073343711357E-14</v>
      </c>
      <c r="AI36" s="8">
        <f t="shared" si="11"/>
        <v>-1.2409261786756573E-14</v>
      </c>
      <c r="AJ36" s="8">
        <f t="shared" si="12"/>
        <v>9.3132257461547852E-7</v>
      </c>
    </row>
    <row r="37" spans="2:36" x14ac:dyDescent="0.2">
      <c r="F37" s="17" t="s">
        <v>108</v>
      </c>
      <c r="G37">
        <f>ROUND(SUM(G21:G24)/$C$15 * 100, 2)</f>
        <v>14.46</v>
      </c>
      <c r="H37" t="s">
        <v>95</v>
      </c>
      <c r="AA37" s="8">
        <v>33</v>
      </c>
      <c r="AB37" s="8">
        <f t="shared" si="13"/>
        <v>901.62070235237479</v>
      </c>
      <c r="AC37">
        <v>-1.3828014289174462E-7</v>
      </c>
      <c r="AD37" s="8">
        <f t="shared" si="14"/>
        <v>901.62070281803608</v>
      </c>
      <c r="AE37">
        <v>8.9740012754191412E-8</v>
      </c>
      <c r="AF37" s="8">
        <f t="shared" si="9"/>
        <v>901.62070258520544</v>
      </c>
      <c r="AG37">
        <v>-2.4270093490486033E-8</v>
      </c>
      <c r="AH37" s="8">
        <f t="shared" si="10"/>
        <v>3.3560719958604096E-15</v>
      </c>
      <c r="AI37" s="8">
        <f t="shared" si="11"/>
        <v>-2.1779984993816346E-15</v>
      </c>
      <c r="AJ37" s="8">
        <f t="shared" si="12"/>
        <v>4.6566128730773926E-7</v>
      </c>
    </row>
    <row r="38" spans="2:36" x14ac:dyDescent="0.2">
      <c r="F38" s="15" t="s">
        <v>109</v>
      </c>
      <c r="G38">
        <f>ROUND(SUM(G25:G28)/$C$15*100, 2)</f>
        <v>4.67</v>
      </c>
      <c r="H38" t="s">
        <v>95</v>
      </c>
      <c r="AA38" s="8">
        <v>34</v>
      </c>
      <c r="AB38" s="8">
        <f t="shared" si="13"/>
        <v>901.62070258520544</v>
      </c>
      <c r="AC38">
        <v>-2.4270093490486033E-8</v>
      </c>
      <c r="AD38" s="8">
        <f t="shared" si="14"/>
        <v>901.62070281803608</v>
      </c>
      <c r="AE38">
        <v>8.9740012754191412E-8</v>
      </c>
      <c r="AF38" s="8">
        <f t="shared" si="9"/>
        <v>901.62070270162076</v>
      </c>
      <c r="AG38">
        <v>3.2734874366724398E-8</v>
      </c>
      <c r="AH38" s="8">
        <f t="shared" si="10"/>
        <v>-7.9447846127971592E-16</v>
      </c>
      <c r="AI38" s="8">
        <f t="shared" si="11"/>
        <v>2.937628043176701E-15</v>
      </c>
      <c r="AJ38" s="8">
        <f t="shared" si="12"/>
        <v>2.3283064365386963E-7</v>
      </c>
    </row>
    <row r="39" spans="2:36" x14ac:dyDescent="0.2">
      <c r="B39" t="s">
        <v>151</v>
      </c>
      <c r="C39" s="1">
        <v>1.49999999995335</v>
      </c>
      <c r="F39" s="3" t="s">
        <v>96</v>
      </c>
      <c r="G39" s="3">
        <f>SUM(G34:G38)</f>
        <v>100.00000000000001</v>
      </c>
      <c r="H39" s="3" t="s">
        <v>95</v>
      </c>
      <c r="AA39" s="8">
        <v>35</v>
      </c>
      <c r="AB39" s="8">
        <f t="shared" si="13"/>
        <v>901.62070258520544</v>
      </c>
      <c r="AC39">
        <v>-2.4270093490486033E-8</v>
      </c>
      <c r="AD39" s="8">
        <f t="shared" si="14"/>
        <v>901.62070270162076</v>
      </c>
      <c r="AE39">
        <v>3.2734874366724398E-8</v>
      </c>
      <c r="AF39" s="8">
        <f t="shared" si="9"/>
        <v>901.6207026434131</v>
      </c>
      <c r="AG39">
        <v>4.2326178117946256E-9</v>
      </c>
      <c r="AH39" s="8">
        <f t="shared" si="10"/>
        <v>-1.0272603000175198E-16</v>
      </c>
      <c r="AI39" s="8">
        <f t="shared" si="11"/>
        <v>1.38554212311457E-16</v>
      </c>
      <c r="AJ39" s="8">
        <f t="shared" si="12"/>
        <v>1.1641532182693481E-7</v>
      </c>
    </row>
    <row r="40" spans="2:36" x14ac:dyDescent="0.2">
      <c r="B40" t="s">
        <v>145</v>
      </c>
      <c r="C40" s="1">
        <v>26.069459131922201</v>
      </c>
      <c r="AA40" s="8">
        <v>36</v>
      </c>
      <c r="AB40" s="8">
        <f t="shared" si="13"/>
        <v>901.62070258520544</v>
      </c>
      <c r="AC40">
        <v>-2.4270093490486033E-8</v>
      </c>
      <c r="AD40" s="8">
        <f t="shared" si="14"/>
        <v>901.6207026434131</v>
      </c>
      <c r="AE40">
        <v>4.2326178117946256E-9</v>
      </c>
      <c r="AF40" s="8">
        <f t="shared" si="9"/>
        <v>901.62070261430927</v>
      </c>
      <c r="AG40">
        <v>-1.0018709417636273E-8</v>
      </c>
      <c r="AH40" s="8">
        <f t="shared" si="10"/>
        <v>2.4315501422004524E-16</v>
      </c>
      <c r="AI40" s="8">
        <f t="shared" si="11"/>
        <v>-4.2405367932281851E-17</v>
      </c>
      <c r="AJ40" s="8">
        <f t="shared" si="12"/>
        <v>5.8207660913467407E-8</v>
      </c>
    </row>
    <row r="41" spans="2:36" x14ac:dyDescent="0.2">
      <c r="C41" s="1">
        <v>0.499999998351708</v>
      </c>
      <c r="AA41" s="8">
        <v>37</v>
      </c>
      <c r="AB41" s="8">
        <f t="shared" si="13"/>
        <v>901.62070261430927</v>
      </c>
      <c r="AC41">
        <v>-1.0018709417636273E-8</v>
      </c>
      <c r="AD41" s="8">
        <f t="shared" si="14"/>
        <v>901.6207026434131</v>
      </c>
      <c r="AE41">
        <v>4.2326178117946256E-9</v>
      </c>
      <c r="AF41" s="8">
        <f t="shared" si="9"/>
        <v>901.62070262886118</v>
      </c>
      <c r="AG41">
        <v>-2.8930458029208239E-9</v>
      </c>
      <c r="AH41" s="8">
        <f t="shared" si="10"/>
        <v>2.8984585231375953E-17</v>
      </c>
      <c r="AI41" s="8">
        <f t="shared" si="11"/>
        <v>-1.2245157195780363E-17</v>
      </c>
      <c r="AJ41" s="8">
        <f t="shared" si="12"/>
        <v>2.9103830456733704E-8</v>
      </c>
    </row>
    <row r="42" spans="2:36" x14ac:dyDescent="0.2">
      <c r="AA42" s="8">
        <v>38</v>
      </c>
      <c r="AB42" s="8">
        <f t="shared" si="13"/>
        <v>901.62070262886118</v>
      </c>
      <c r="AC42">
        <v>-2.8930458029208239E-9</v>
      </c>
      <c r="AD42" s="8">
        <f t="shared" si="14"/>
        <v>901.6207026434131</v>
      </c>
      <c r="AE42">
        <v>4.2326178117946256E-9</v>
      </c>
      <c r="AF42" s="8">
        <f t="shared" si="9"/>
        <v>901.62070263613714</v>
      </c>
      <c r="AG42">
        <v>6.6961547418031842E-10</v>
      </c>
      <c r="AH42" s="8">
        <f t="shared" si="10"/>
        <v>-1.9372282371482075E-18</v>
      </c>
      <c r="AI42" s="8">
        <f t="shared" si="11"/>
        <v>2.8342263830689199E-18</v>
      </c>
      <c r="AJ42" s="8">
        <f t="shared" si="12"/>
        <v>1.4551915228366852E-8</v>
      </c>
    </row>
    <row r="43" spans="2:36" x14ac:dyDescent="0.2">
      <c r="AA43" s="8">
        <v>39</v>
      </c>
      <c r="AB43" s="8">
        <f t="shared" si="13"/>
        <v>901.62070262886118</v>
      </c>
      <c r="AC43">
        <v>-2.8930458029208239E-9</v>
      </c>
      <c r="AD43" s="8">
        <f t="shared" si="14"/>
        <v>901.62070263613714</v>
      </c>
      <c r="AE43">
        <v>6.6961547418031842E-10</v>
      </c>
      <c r="AF43" s="8">
        <f t="shared" si="9"/>
        <v>901.62070263249916</v>
      </c>
      <c r="AG43">
        <v>-1.1117435860796832E-9</v>
      </c>
      <c r="AH43" s="8">
        <f t="shared" si="10"/>
        <v>3.2163251156319731E-18</v>
      </c>
      <c r="AI43" s="8">
        <f t="shared" si="11"/>
        <v>-7.4444070855967468E-19</v>
      </c>
      <c r="AJ43" s="8">
        <f t="shared" si="12"/>
        <v>7.2759576141834259E-9</v>
      </c>
    </row>
    <row r="44" spans="2:36" x14ac:dyDescent="0.2">
      <c r="B44" t="s">
        <v>146</v>
      </c>
      <c r="C44" s="1">
        <v>1</v>
      </c>
      <c r="AA44" s="8">
        <v>40</v>
      </c>
      <c r="AB44" s="8">
        <f t="shared" si="13"/>
        <v>901.62070263249916</v>
      </c>
      <c r="AC44">
        <v>-1.1117435860796832E-9</v>
      </c>
      <c r="AD44" s="8">
        <f t="shared" si="14"/>
        <v>901.62070263613714</v>
      </c>
      <c r="AE44">
        <v>6.6961547418031842E-10</v>
      </c>
      <c r="AF44" s="11">
        <f t="shared" si="9"/>
        <v>901.62070263431815</v>
      </c>
      <c r="AG44">
        <v>-2.2106405594968237E-10</v>
      </c>
      <c r="AH44" s="8">
        <f t="shared" si="10"/>
        <v>2.4576654631481959E-19</v>
      </c>
      <c r="AI44" s="8">
        <f t="shared" si="11"/>
        <v>-1.48027912648971E-19</v>
      </c>
      <c r="AJ44" s="8">
        <f t="shared" si="12"/>
        <v>3.637978807091713E-9</v>
      </c>
    </row>
    <row r="45" spans="2:36" x14ac:dyDescent="0.2">
      <c r="B45" t="s">
        <v>148</v>
      </c>
      <c r="C45" s="1">
        <v>30</v>
      </c>
    </row>
    <row r="46" spans="2:36" x14ac:dyDescent="0.2">
      <c r="B46" t="s">
        <v>147</v>
      </c>
      <c r="C46" s="1">
        <v>0.3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1:D1"/>
    <mergeCell ref="B3:D3"/>
    <mergeCell ref="F3:H3"/>
    <mergeCell ref="J3:L3"/>
    <mergeCell ref="F7:H7"/>
    <mergeCell ref="B30:D30"/>
    <mergeCell ref="J11:L11"/>
    <mergeCell ref="J16:L16"/>
    <mergeCell ref="B9:D9"/>
    <mergeCell ref="F15:H15"/>
    <mergeCell ref="B14:D14"/>
    <mergeCell ref="B20:D20"/>
    <mergeCell ref="B25:D25"/>
    <mergeCell ref="F11:H11"/>
  </mergeCells>
  <conditionalFormatting sqref="G30">
    <cfRule type="containsText" dxfId="11" priority="1" operator="containsText" text="FALSE">
      <formula>NOT(ISERROR(SEARCH("FALSE",G30)))</formula>
    </cfRule>
    <cfRule type="containsText" dxfId="10" priority="2" operator="containsText" text="TRUE">
      <formula>NOT(ISERROR(SEARCH("TRUE",G30)))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NOT(ISERROR(SEARCH("YES",G30)))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60"/>
  <sheetViews>
    <sheetView tabSelected="1" topLeftCell="A3" workbookViewId="0">
      <selection activeCell="E31" sqref="E31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75</v>
      </c>
      <c r="AA2" s="6" t="s">
        <v>106</v>
      </c>
    </row>
    <row r="3" spans="2:36" x14ac:dyDescent="0.2">
      <c r="B3" s="21" t="s">
        <v>111</v>
      </c>
      <c r="C3" s="23"/>
      <c r="D3" s="23"/>
      <c r="F3" s="21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</v>
      </c>
      <c r="F4" t="s">
        <v>34</v>
      </c>
      <c r="G4">
        <f xml:space="preserve"> 1/$C$9 * SQRT( ($C$20*$C$34)^3 / (2 * $C$33 * PI() * $C$21^2* $C$5) )</f>
        <v>183068.95987062171</v>
      </c>
      <c r="H4" t="s">
        <v>35</v>
      </c>
      <c r="J4" t="s">
        <v>46</v>
      </c>
      <c r="K4">
        <f xml:space="preserve"> $C$20 * $C$34</f>
        <v>9548.6004411181239</v>
      </c>
      <c r="L4" t="s">
        <v>37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0.84754628634188944</v>
      </c>
      <c r="S4" s="9">
        <v>1</v>
      </c>
      <c r="T4" s="8">
        <f t="shared" ref="T4:T34" si="1" xml:space="preserve"> $K$20 * TAN($K$17) + $K$21 / (2 * SQRT($K$20^2 + S4^2)) - S4</f>
        <v>-0.66819107613805384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-0.15351465378201101</v>
      </c>
      <c r="W4" s="8">
        <f>R4*V4</f>
        <v>-0.13011077471200433</v>
      </c>
      <c r="X4" s="8">
        <f>T4*V4</f>
        <v>0.1025771217135627</v>
      </c>
      <c r="Y4" s="8">
        <f>S4-Q4</f>
        <v>1</v>
      </c>
      <c r="AA4" s="8">
        <v>0</v>
      </c>
      <c r="AB4" s="8"/>
      <c r="AC4" s="8">
        <f>G30</f>
        <v>-5.7104898587567732E-10</v>
      </c>
      <c r="AD4" s="8"/>
      <c r="AE4" s="8">
        <f>G30</f>
        <v>-5.7104898587567732E-10</v>
      </c>
      <c r="AF4" s="8"/>
      <c r="AG4" s="8">
        <f>G30</f>
        <v>-5.7104898587567732E-10</v>
      </c>
      <c r="AH4" s="8"/>
      <c r="AI4" s="8"/>
      <c r="AJ4" s="8"/>
    </row>
    <row r="5" spans="2:36" x14ac:dyDescent="0.2">
      <c r="B5" t="s">
        <v>63</v>
      </c>
      <c r="C5" s="1">
        <v>6</v>
      </c>
      <c r="F5" t="s">
        <v>36</v>
      </c>
      <c r="G5">
        <f xml:space="preserve"> $C$20 * $C$34 / $C$5</f>
        <v>1591.4334068530206</v>
      </c>
      <c r="H5" t="s">
        <v>37</v>
      </c>
      <c r="J5" t="s">
        <v>47</v>
      </c>
      <c r="K5">
        <f xml:space="preserve"> 0.5 * $C$33 * $C$23^2</f>
        <v>551.25</v>
      </c>
      <c r="L5" t="s">
        <v>48</v>
      </c>
      <c r="P5" s="8">
        <v>1</v>
      </c>
      <c r="Q5" s="8">
        <f>IF(W4&gt;0, U4, Q4)</f>
        <v>0</v>
      </c>
      <c r="R5" s="8">
        <f t="shared" si="0"/>
        <v>0.84754628634188944</v>
      </c>
      <c r="S5" s="8">
        <f>IF(X4&gt;0, U4, S4)</f>
        <v>0.5</v>
      </c>
      <c r="T5" s="8">
        <f t="shared" si="1"/>
        <v>-0.15351465378201101</v>
      </c>
      <c r="U5" s="8">
        <f t="shared" ref="U5:U34" si="3" xml:space="preserve"> (Q5 + S5)/2</f>
        <v>0.25</v>
      </c>
      <c r="V5" s="8">
        <f t="shared" si="2"/>
        <v>0.12560334943587081</v>
      </c>
      <c r="W5" s="8">
        <f t="shared" ref="W5:W34" si="4">R5*V5</f>
        <v>0.10645465236647496</v>
      </c>
      <c r="X5" s="8">
        <f t="shared" ref="X5:X34" si="5">T5*V5</f>
        <v>-1.9281954702508656E-2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20"/>
        <v>-239.20135546202488</v>
      </c>
      <c r="AD5" s="9">
        <v>2500</v>
      </c>
      <c r="AE5" s="8">
        <f t="dataTable" ref="AE5:AE44" dt2D="0" dtr="0" r1="C20" ca="1"/>
        <v>266.79585567538084</v>
      </c>
      <c r="AF5" s="8">
        <f>(AB5+AD5)/2</f>
        <v>1500</v>
      </c>
      <c r="AG5" s="8">
        <f t="dataTable" ref="AG5:AG44" dt2D="0" dtr="0" r1="C20" ca="1"/>
        <v>193.34721893618428</v>
      </c>
      <c r="AH5" s="8">
        <f>AC5*AG5</f>
        <v>-46248.916844348161</v>
      </c>
      <c r="AI5" s="8">
        <f>AE5*AG5</f>
        <v>51584.236718534477</v>
      </c>
      <c r="AJ5" s="8">
        <f>AD5-AB5</f>
        <v>2000</v>
      </c>
    </row>
    <row r="6" spans="2:36" x14ac:dyDescent="0.2">
      <c r="B6" t="s">
        <v>64</v>
      </c>
      <c r="C6" s="1">
        <v>1</v>
      </c>
      <c r="J6" t="s">
        <v>67</v>
      </c>
      <c r="K6">
        <f xml:space="preserve"> 1.6 * ($C$20*2.20462/1000)^(2/3) * 0.3048^2</f>
        <v>0.24729739726292774</v>
      </c>
      <c r="L6" t="s">
        <v>21</v>
      </c>
      <c r="P6" s="8">
        <v>2</v>
      </c>
      <c r="Q6" s="8">
        <f t="shared" ref="Q6:Q34" si="7">IF(W5&gt;0, U5, Q5)</f>
        <v>0.25</v>
      </c>
      <c r="R6" s="8">
        <f t="shared" si="0"/>
        <v>0.12560334943587081</v>
      </c>
      <c r="S6" s="8">
        <f t="shared" ref="S6:S34" si="8">IF(X5&gt;0, U5, S5)</f>
        <v>0.5</v>
      </c>
      <c r="T6" s="8">
        <f t="shared" si="1"/>
        <v>-0.15351465378201101</v>
      </c>
      <c r="U6" s="8">
        <f t="shared" si="3"/>
        <v>0.375</v>
      </c>
      <c r="V6" s="8">
        <f t="shared" si="2"/>
        <v>-1.8765761410569071E-2</v>
      </c>
      <c r="W6" s="8">
        <f t="shared" si="4"/>
        <v>-2.357042487881887E-3</v>
      </c>
      <c r="X6" s="8">
        <f t="shared" si="5"/>
        <v>2.8808193658993336E-3</v>
      </c>
      <c r="Y6" s="8">
        <f t="shared" si="6"/>
        <v>0.25</v>
      </c>
      <c r="AA6" s="8">
        <v>2</v>
      </c>
      <c r="AB6" s="8">
        <f>IF(AH5&gt;0,AF5,AB5)</f>
        <v>500</v>
      </c>
      <c r="AC6" s="8">
        <v>-239.20135546202488</v>
      </c>
      <c r="AD6" s="8">
        <f>IF(AI5&gt;0,AF5,AD5)</f>
        <v>1500</v>
      </c>
      <c r="AE6" s="8">
        <v>193.34721893618428</v>
      </c>
      <c r="AF6" s="8">
        <f t="shared" ref="AF6:AF44" si="9">(AB6+AD6)/2</f>
        <v>1000</v>
      </c>
      <c r="AG6" s="8">
        <v>11.824403346587928</v>
      </c>
      <c r="AH6" s="8">
        <f t="shared" ref="AH6:AH44" si="10">AC6*AG6</f>
        <v>-2828.4133080335355</v>
      </c>
      <c r="AI6" s="8">
        <f t="shared" ref="AI6:AI44" si="11">AE6*AG6</f>
        <v>2286.2155026424862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F7" s="21" t="s">
        <v>38</v>
      </c>
      <c r="G7" s="23"/>
      <c r="H7" s="23"/>
      <c r="J7" t="s">
        <v>68</v>
      </c>
      <c r="K7">
        <f xml:space="preserve"> K6 / $C$24</f>
        <v>3.0912174657865967E-2</v>
      </c>
      <c r="P7" s="8">
        <v>3</v>
      </c>
      <c r="Q7" s="8">
        <f t="shared" si="7"/>
        <v>0.25</v>
      </c>
      <c r="R7" s="8">
        <f t="shared" si="0"/>
        <v>0.12560334943587081</v>
      </c>
      <c r="S7" s="8">
        <f t="shared" si="8"/>
        <v>0.375</v>
      </c>
      <c r="T7" s="8">
        <f t="shared" si="1"/>
        <v>-1.8765761410569071E-2</v>
      </c>
      <c r="U7" s="8">
        <f t="shared" si="3"/>
        <v>0.3125</v>
      </c>
      <c r="V7" s="8">
        <f t="shared" si="2"/>
        <v>5.1505224214295986E-2</v>
      </c>
      <c r="W7" s="8">
        <f t="shared" si="4"/>
        <v>6.4692286747610938E-3</v>
      </c>
      <c r="X7" s="8">
        <f t="shared" si="5"/>
        <v>-9.665347490033433E-4</v>
      </c>
      <c r="Y7" s="8">
        <f t="shared" si="6"/>
        <v>0.125</v>
      </c>
      <c r="AA7" s="8">
        <v>3</v>
      </c>
      <c r="AB7" s="8">
        <f t="shared" ref="AB7:AB44" si="13">IF(AH6&gt;0,AF6,AB6)</f>
        <v>500</v>
      </c>
      <c r="AC7" s="8">
        <v>-239.20135546202488</v>
      </c>
      <c r="AD7" s="8">
        <f t="shared" ref="AD7:AD44" si="14">IF(AI6&gt;0,AF6,AD6)</f>
        <v>1000</v>
      </c>
      <c r="AE7" s="8">
        <v>11.824403346587928</v>
      </c>
      <c r="AF7" s="8">
        <f t="shared" si="9"/>
        <v>750</v>
      </c>
      <c r="AG7" s="8">
        <v>-106.4758699665062</v>
      </c>
      <c r="AH7" s="8">
        <f t="shared" si="10"/>
        <v>25469.172419986586</v>
      </c>
      <c r="AI7" s="8">
        <f t="shared" si="11"/>
        <v>-1259.0136331628169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4" t="s">
        <v>39</v>
      </c>
      <c r="G8">
        <f xml:space="preserve"> K23 + K18 * (K28 * K25 + $C$23 * SIN(K17))</f>
        <v>35669.314211023666</v>
      </c>
      <c r="H8" t="s">
        <v>35</v>
      </c>
      <c r="J8" t="s">
        <v>69</v>
      </c>
      <c r="K8">
        <f xml:space="preserve"> K5 * $C$24 * K7</f>
        <v>136.32269024118892</v>
      </c>
      <c r="L8" t="s">
        <v>37</v>
      </c>
      <c r="P8" s="8">
        <v>4</v>
      </c>
      <c r="Q8" s="8">
        <f t="shared" si="7"/>
        <v>0.3125</v>
      </c>
      <c r="R8" s="8">
        <f t="shared" si="0"/>
        <v>5.1505224214295986E-2</v>
      </c>
      <c r="S8" s="8">
        <f t="shared" si="8"/>
        <v>0.375</v>
      </c>
      <c r="T8" s="8">
        <f t="shared" si="1"/>
        <v>-1.8765761410569071E-2</v>
      </c>
      <c r="U8" s="8">
        <f t="shared" si="3"/>
        <v>0.34375</v>
      </c>
      <c r="V8" s="8">
        <f t="shared" si="2"/>
        <v>1.6019952348371835E-2</v>
      </c>
      <c r="W8" s="8">
        <f t="shared" si="4"/>
        <v>8.251112376052289E-4</v>
      </c>
      <c r="X8" s="8">
        <f t="shared" si="5"/>
        <v>-3.0062660357823158E-4</v>
      </c>
      <c r="Y8" s="8">
        <f t="shared" si="6"/>
        <v>6.25E-2</v>
      </c>
      <c r="AA8" s="8">
        <v>4</v>
      </c>
      <c r="AB8" s="8">
        <f t="shared" si="13"/>
        <v>750</v>
      </c>
      <c r="AC8" s="8">
        <v>-106.4758699665062</v>
      </c>
      <c r="AD8" s="8">
        <f t="shared" si="14"/>
        <v>1000</v>
      </c>
      <c r="AE8" s="8">
        <v>11.824403346587928</v>
      </c>
      <c r="AF8" s="8">
        <f t="shared" si="9"/>
        <v>875</v>
      </c>
      <c r="AG8" s="8">
        <v>-45.313578440080278</v>
      </c>
      <c r="AH8" s="8">
        <f t="shared" si="10"/>
        <v>4824.8026857030663</v>
      </c>
      <c r="AI8" s="8">
        <f t="shared" si="11"/>
        <v>-535.80602855275981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40</v>
      </c>
      <c r="G9">
        <f xml:space="preserve"> $C$6 * G8</f>
        <v>35669.314211023666</v>
      </c>
      <c r="H9" t="s">
        <v>35</v>
      </c>
      <c r="J9" t="s">
        <v>70</v>
      </c>
      <c r="K9">
        <f xml:space="preserve"> 1.78 * (1 - 0.045 * $C$12^0.68) - 0.64</f>
        <v>0.75661729604956662</v>
      </c>
      <c r="P9" s="8">
        <v>5</v>
      </c>
      <c r="Q9" s="8">
        <f t="shared" si="7"/>
        <v>0.34375</v>
      </c>
      <c r="R9" s="8">
        <f t="shared" si="0"/>
        <v>1.6019952348371835E-2</v>
      </c>
      <c r="S9" s="8">
        <f t="shared" si="8"/>
        <v>0.375</v>
      </c>
      <c r="T9" s="8">
        <f t="shared" si="1"/>
        <v>-1.8765761410569071E-2</v>
      </c>
      <c r="U9" s="8">
        <f t="shared" si="3"/>
        <v>0.359375</v>
      </c>
      <c r="V9" s="8">
        <f t="shared" si="2"/>
        <v>-1.449084010245294E-3</v>
      </c>
      <c r="W9" s="8">
        <f t="shared" si="4"/>
        <v>-2.3214256792917173E-5</v>
      </c>
      <c r="X9" s="8">
        <f t="shared" si="5"/>
        <v>2.7193164800133814E-5</v>
      </c>
      <c r="Y9" s="8">
        <f t="shared" si="6"/>
        <v>3.125E-2</v>
      </c>
      <c r="AA9" s="8">
        <v>5</v>
      </c>
      <c r="AB9" s="8">
        <f t="shared" si="13"/>
        <v>875</v>
      </c>
      <c r="AC9" s="8">
        <v>-45.313578440080278</v>
      </c>
      <c r="AD9" s="8">
        <f t="shared" si="14"/>
        <v>1000</v>
      </c>
      <c r="AE9" s="8">
        <v>11.824403346587928</v>
      </c>
      <c r="AF9" s="8">
        <f t="shared" si="9"/>
        <v>937.5</v>
      </c>
      <c r="AG9" s="8">
        <v>-16.218618126327783</v>
      </c>
      <c r="AH9" s="8">
        <f t="shared" si="10"/>
        <v>734.92362465706185</v>
      </c>
      <c r="AI9" s="8">
        <f t="shared" si="11"/>
        <v>-191.77548244998187</v>
      </c>
      <c r="AJ9" s="8">
        <f t="shared" si="12"/>
        <v>125</v>
      </c>
    </row>
    <row r="10" spans="2:36" x14ac:dyDescent="0.2">
      <c r="J10" t="s">
        <v>49</v>
      </c>
      <c r="K10">
        <f xml:space="preserve"> K4 / (K5 * $C$24)</f>
        <v>2.1652155195279192</v>
      </c>
      <c r="P10" s="8">
        <v>6</v>
      </c>
      <c r="Q10" s="8">
        <f t="shared" si="7"/>
        <v>0.34375</v>
      </c>
      <c r="R10" s="8">
        <f t="shared" si="0"/>
        <v>1.6019952348371835E-2</v>
      </c>
      <c r="S10" s="8">
        <f t="shared" si="8"/>
        <v>0.359375</v>
      </c>
      <c r="T10" s="8">
        <f t="shared" si="1"/>
        <v>-1.449084010245294E-3</v>
      </c>
      <c r="U10" s="8">
        <f t="shared" si="3"/>
        <v>0.3515625</v>
      </c>
      <c r="V10" s="8">
        <f t="shared" si="2"/>
        <v>7.265135137719092E-3</v>
      </c>
      <c r="W10" s="8">
        <f t="shared" si="4"/>
        <v>1.1638711871074171E-4</v>
      </c>
      <c r="X10" s="8">
        <f t="shared" si="5"/>
        <v>-1.0527791160339977E-5</v>
      </c>
      <c r="Y10" s="8">
        <f t="shared" si="6"/>
        <v>1.5625E-2</v>
      </c>
      <c r="AA10" s="8">
        <v>6</v>
      </c>
      <c r="AB10" s="8">
        <f t="shared" si="13"/>
        <v>937.5</v>
      </c>
      <c r="AC10" s="8">
        <v>-16.218618126327783</v>
      </c>
      <c r="AD10" s="8">
        <f t="shared" si="14"/>
        <v>1000</v>
      </c>
      <c r="AE10" s="8">
        <v>11.824403346587928</v>
      </c>
      <c r="AF10" s="8">
        <f t="shared" si="9"/>
        <v>968.75</v>
      </c>
      <c r="AG10" s="8">
        <v>-2.062872300979393</v>
      </c>
      <c r="AH10" s="8">
        <f t="shared" si="10"/>
        <v>33.456938092963888</v>
      </c>
      <c r="AI10" s="8">
        <f t="shared" si="11"/>
        <v>-24.392234139284273</v>
      </c>
      <c r="AJ10" s="8">
        <f t="shared" si="12"/>
        <v>62.5</v>
      </c>
    </row>
    <row r="11" spans="2:36" x14ac:dyDescent="0.2">
      <c r="B11" s="21" t="s">
        <v>5</v>
      </c>
      <c r="C11" s="23"/>
      <c r="D11" s="23"/>
      <c r="F11" s="21" t="s">
        <v>41</v>
      </c>
      <c r="G11" s="23"/>
      <c r="H11" s="23"/>
      <c r="J11" t="s">
        <v>71</v>
      </c>
      <c r="K11">
        <f xml:space="preserve"> K7 + K10^2 / ( PI() * K9 * $C$12 )</f>
        <v>0.22814360532814099</v>
      </c>
      <c r="P11" s="8">
        <v>7</v>
      </c>
      <c r="Q11" s="8">
        <f t="shared" si="7"/>
        <v>0.3515625</v>
      </c>
      <c r="R11" s="8">
        <f t="shared" si="0"/>
        <v>7.265135137719092E-3</v>
      </c>
      <c r="S11" s="8">
        <f t="shared" si="8"/>
        <v>0.359375</v>
      </c>
      <c r="T11" s="8">
        <f t="shared" si="1"/>
        <v>-1.449084010245294E-3</v>
      </c>
      <c r="U11" s="8">
        <f t="shared" si="3"/>
        <v>0.35546875</v>
      </c>
      <c r="V11" s="8">
        <f t="shared" si="2"/>
        <v>2.9031160593410155E-3</v>
      </c>
      <c r="W11" s="8">
        <f t="shared" si="4"/>
        <v>2.1091530491594997E-5</v>
      </c>
      <c r="X11" s="8">
        <f t="shared" si="5"/>
        <v>-4.2068590614773936E-6</v>
      </c>
      <c r="Y11" s="8">
        <f t="shared" si="6"/>
        <v>7.8125E-3</v>
      </c>
      <c r="AA11" s="8">
        <v>7</v>
      </c>
      <c r="AB11" s="8">
        <f t="shared" si="13"/>
        <v>968.75</v>
      </c>
      <c r="AC11" s="8">
        <v>-2.062872300979393</v>
      </c>
      <c r="AD11" s="8">
        <f t="shared" si="14"/>
        <v>1000</v>
      </c>
      <c r="AE11" s="8">
        <v>11.824403346587928</v>
      </c>
      <c r="AF11" s="8">
        <f t="shared" si="9"/>
        <v>984.375</v>
      </c>
      <c r="AG11" s="8">
        <v>4.914660778762709</v>
      </c>
      <c r="AH11" s="8">
        <f t="shared" si="10"/>
        <v>-10.138317589219405</v>
      </c>
      <c r="AI11" s="8">
        <f t="shared" si="11"/>
        <v>58.112931359746213</v>
      </c>
      <c r="AJ11" s="8">
        <f t="shared" si="12"/>
        <v>31.25</v>
      </c>
    </row>
    <row r="12" spans="2:36" x14ac:dyDescent="0.2">
      <c r="B12" t="s">
        <v>7</v>
      </c>
      <c r="C12" s="1">
        <v>10</v>
      </c>
      <c r="F12" t="s">
        <v>42</v>
      </c>
      <c r="G12">
        <f xml:space="preserve"> (G4*$C$30 + G9*G13)/3600</f>
        <v>22112.740161103578</v>
      </c>
      <c r="H12" t="s">
        <v>43</v>
      </c>
      <c r="J12" t="s">
        <v>72</v>
      </c>
      <c r="K12">
        <f xml:space="preserve"> K5 * K11 * $C$24</f>
        <v>1006.1132994971017</v>
      </c>
      <c r="L12" t="s">
        <v>37</v>
      </c>
      <c r="P12" s="8">
        <v>8</v>
      </c>
      <c r="Q12" s="8">
        <f t="shared" si="7"/>
        <v>0.35546875</v>
      </c>
      <c r="R12" s="8">
        <f t="shared" si="0"/>
        <v>2.9031160593410155E-3</v>
      </c>
      <c r="S12" s="8">
        <f t="shared" si="8"/>
        <v>0.359375</v>
      </c>
      <c r="T12" s="8">
        <f t="shared" si="1"/>
        <v>-1.449084010245294E-3</v>
      </c>
      <c r="U12" s="8">
        <f t="shared" si="3"/>
        <v>0.357421875</v>
      </c>
      <c r="V12" s="8">
        <f t="shared" si="2"/>
        <v>7.2580852700215859E-4</v>
      </c>
      <c r="W12" s="8">
        <f t="shared" si="4"/>
        <v>2.1071063907466136E-6</v>
      </c>
      <c r="X12" s="8">
        <f t="shared" si="5"/>
        <v>-1.0517575309785178E-6</v>
      </c>
      <c r="Y12" s="8">
        <f t="shared" si="6"/>
        <v>3.90625E-3</v>
      </c>
      <c r="AA12" s="8">
        <v>8</v>
      </c>
      <c r="AB12" s="8">
        <f t="shared" si="13"/>
        <v>968.75</v>
      </c>
      <c r="AC12" s="8">
        <v>-2.062872300979393</v>
      </c>
      <c r="AD12" s="8">
        <f t="shared" si="14"/>
        <v>984.375</v>
      </c>
      <c r="AE12" s="8">
        <v>4.914660778762709</v>
      </c>
      <c r="AF12" s="8">
        <f t="shared" si="9"/>
        <v>976.5625</v>
      </c>
      <c r="AG12" s="8">
        <v>1.4343263451457915</v>
      </c>
      <c r="AH12" s="8">
        <f t="shared" si="10"/>
        <v>-2.958832087966262</v>
      </c>
      <c r="AI12" s="8">
        <f t="shared" si="11"/>
        <v>7.049227432434086</v>
      </c>
      <c r="AJ12" s="8">
        <f t="shared" si="12"/>
        <v>15.625</v>
      </c>
    </row>
    <row r="13" spans="2:36" x14ac:dyDescent="0.2">
      <c r="F13" t="s">
        <v>44</v>
      </c>
      <c r="G13">
        <f xml:space="preserve"> $C$29 / $C$23</f>
        <v>1000</v>
      </c>
      <c r="H13" t="s">
        <v>26</v>
      </c>
      <c r="J13" t="s">
        <v>135</v>
      </c>
      <c r="K13">
        <f>K10/K11</f>
        <v>9.490581672949677</v>
      </c>
      <c r="P13" s="8">
        <v>9</v>
      </c>
      <c r="Q13" s="8">
        <f t="shared" si="7"/>
        <v>0.357421875</v>
      </c>
      <c r="R13" s="8">
        <f t="shared" si="0"/>
        <v>7.2580852700215859E-4</v>
      </c>
      <c r="S13" s="8">
        <f t="shared" si="8"/>
        <v>0.359375</v>
      </c>
      <c r="T13" s="8">
        <f t="shared" si="1"/>
        <v>-1.449084010245294E-3</v>
      </c>
      <c r="U13" s="8">
        <f t="shared" si="3"/>
        <v>0.3583984375</v>
      </c>
      <c r="V13" s="8">
        <f t="shared" si="2"/>
        <v>-3.6193717787030844E-4</v>
      </c>
      <c r="W13" s="8">
        <f t="shared" si="4"/>
        <v>-2.6269708993736686E-7</v>
      </c>
      <c r="X13" s="8">
        <f t="shared" si="5"/>
        <v>5.244773771651708E-7</v>
      </c>
      <c r="Y13" s="8">
        <f t="shared" si="6"/>
        <v>1.953125E-3</v>
      </c>
      <c r="AA13" s="8">
        <v>9</v>
      </c>
      <c r="AB13" s="8">
        <f t="shared" si="13"/>
        <v>968.75</v>
      </c>
      <c r="AC13" s="8">
        <v>-2.062872300979393</v>
      </c>
      <c r="AD13" s="8">
        <f t="shared" si="14"/>
        <v>976.5625</v>
      </c>
      <c r="AE13" s="8">
        <v>1.4343263451457915</v>
      </c>
      <c r="AF13" s="8">
        <f t="shared" si="9"/>
        <v>972.65625</v>
      </c>
      <c r="AG13" s="8">
        <v>-0.31217022269640893</v>
      </c>
      <c r="AH13" s="8">
        <f t="shared" si="10"/>
        <v>0.64396730559099058</v>
      </c>
      <c r="AI13" s="8">
        <f t="shared" si="11"/>
        <v>-0.44775397458348803</v>
      </c>
      <c r="AJ13" s="8">
        <f t="shared" si="12"/>
        <v>7.8125</v>
      </c>
    </row>
    <row r="14" spans="2:36" x14ac:dyDescent="0.2">
      <c r="B14" s="21" t="s">
        <v>8</v>
      </c>
      <c r="C14" s="23"/>
      <c r="D14" s="23"/>
      <c r="P14" s="8">
        <v>10</v>
      </c>
      <c r="Q14" s="8">
        <f t="shared" si="7"/>
        <v>0.357421875</v>
      </c>
      <c r="R14" s="8">
        <f t="shared" si="0"/>
        <v>7.2580852700215859E-4</v>
      </c>
      <c r="S14" s="8">
        <f t="shared" si="8"/>
        <v>0.3583984375</v>
      </c>
      <c r="T14" s="8">
        <f t="shared" si="1"/>
        <v>-3.6193717787030844E-4</v>
      </c>
      <c r="U14" s="8">
        <f t="shared" si="3"/>
        <v>0.35791015625</v>
      </c>
      <c r="V14" s="8">
        <f t="shared" si="2"/>
        <v>1.8186051278423765E-4</v>
      </c>
      <c r="W14" s="8">
        <f t="shared" si="4"/>
        <v>1.3199591090378477E-7</v>
      </c>
      <c r="X14" s="8">
        <f t="shared" si="5"/>
        <v>-6.5822080763174122E-8</v>
      </c>
      <c r="Y14" s="8">
        <f t="shared" si="6"/>
        <v>9.765625E-4</v>
      </c>
      <c r="AA14" s="8">
        <v>10</v>
      </c>
      <c r="AB14" s="8">
        <f t="shared" si="13"/>
        <v>972.65625</v>
      </c>
      <c r="AC14" s="8">
        <v>-0.31217022269640893</v>
      </c>
      <c r="AD14" s="8">
        <f t="shared" si="14"/>
        <v>976.5625</v>
      </c>
      <c r="AE14" s="8">
        <v>1.4343263451457915</v>
      </c>
      <c r="AF14" s="8">
        <f t="shared" si="9"/>
        <v>974.609375</v>
      </c>
      <c r="AG14" s="8">
        <v>0.56160447841637051</v>
      </c>
      <c r="AH14" s="8">
        <f t="shared" si="10"/>
        <v>-0.17531619509453897</v>
      </c>
      <c r="AI14" s="8">
        <f t="shared" si="11"/>
        <v>0.80552409894446131</v>
      </c>
      <c r="AJ14" s="8">
        <f t="shared" si="12"/>
        <v>3.90625</v>
      </c>
    </row>
    <row r="15" spans="2:36" x14ac:dyDescent="0.2">
      <c r="B15" t="s">
        <v>9</v>
      </c>
      <c r="C15" s="1">
        <v>250</v>
      </c>
      <c r="D15" t="s">
        <v>10</v>
      </c>
      <c r="F15" s="21" t="s">
        <v>86</v>
      </c>
      <c r="G15" s="21"/>
      <c r="H15" s="21"/>
      <c r="P15" s="8">
        <v>11</v>
      </c>
      <c r="Q15" s="8">
        <f t="shared" si="7"/>
        <v>0.35791015625</v>
      </c>
      <c r="R15" s="8">
        <f t="shared" si="0"/>
        <v>1.8186051278423765E-4</v>
      </c>
      <c r="S15" s="8">
        <f t="shared" si="8"/>
        <v>0.3583984375</v>
      </c>
      <c r="T15" s="8">
        <f t="shared" si="1"/>
        <v>-3.6193717787030844E-4</v>
      </c>
      <c r="U15" s="8">
        <f t="shared" si="3"/>
        <v>0.358154296875</v>
      </c>
      <c r="V15" s="8">
        <f t="shared" si="2"/>
        <v>-9.0057085021522099E-5</v>
      </c>
      <c r="W15" s="8">
        <f t="shared" si="4"/>
        <v>-1.6377827661867698E-8</v>
      </c>
      <c r="X15" s="8">
        <f t="shared" si="5"/>
        <v>3.2595007199916134E-8</v>
      </c>
      <c r="Y15" s="8">
        <f t="shared" si="6"/>
        <v>4.8828125E-4</v>
      </c>
      <c r="AA15" s="8">
        <v>11</v>
      </c>
      <c r="AB15" s="8">
        <f t="shared" si="13"/>
        <v>972.65625</v>
      </c>
      <c r="AC15" s="8">
        <v>-0.31217022269640893</v>
      </c>
      <c r="AD15" s="8">
        <f t="shared" si="14"/>
        <v>974.609375</v>
      </c>
      <c r="AE15" s="8">
        <v>0.56160447841637051</v>
      </c>
      <c r="AF15" s="8">
        <f t="shared" si="9"/>
        <v>973.6328125</v>
      </c>
      <c r="AG15" s="8">
        <v>0.12484858414120481</v>
      </c>
      <c r="AH15" s="8">
        <f t="shared" si="10"/>
        <v>-3.8974010314691256E-2</v>
      </c>
      <c r="AI15" s="8">
        <f t="shared" si="11"/>
        <v>7.0115523977643673E-2</v>
      </c>
      <c r="AJ15" s="8">
        <f t="shared" si="12"/>
        <v>1.953125</v>
      </c>
    </row>
    <row r="16" spans="2:36" x14ac:dyDescent="0.2">
      <c r="B16" t="s">
        <v>11</v>
      </c>
      <c r="C16" s="1">
        <v>0.85</v>
      </c>
      <c r="F16" s="3" t="s">
        <v>152</v>
      </c>
      <c r="G16" s="5">
        <f>C20</f>
        <v>973.35376565933984</v>
      </c>
      <c r="H16" t="s">
        <v>14</v>
      </c>
      <c r="J16" s="21" t="s">
        <v>50</v>
      </c>
      <c r="K16" s="22"/>
      <c r="L16" s="22"/>
      <c r="P16" s="8">
        <v>12</v>
      </c>
      <c r="Q16" s="8">
        <f t="shared" si="7"/>
        <v>0.35791015625</v>
      </c>
      <c r="R16" s="8">
        <f t="shared" si="0"/>
        <v>1.8186051278423765E-4</v>
      </c>
      <c r="S16" s="8">
        <f t="shared" si="8"/>
        <v>0.358154296875</v>
      </c>
      <c r="T16" s="8">
        <f t="shared" si="1"/>
        <v>-9.0057085021522099E-5</v>
      </c>
      <c r="U16" s="8">
        <f t="shared" si="3"/>
        <v>0.3580322265625</v>
      </c>
      <c r="V16" s="8">
        <f t="shared" si="2"/>
        <v>4.589702102386628E-5</v>
      </c>
      <c r="W16" s="8">
        <f t="shared" si="4"/>
        <v>8.3468557786692576E-9</v>
      </c>
      <c r="X16" s="8">
        <f t="shared" si="5"/>
        <v>-4.1333519245809129E-9</v>
      </c>
      <c r="Y16" s="8">
        <f t="shared" si="6"/>
        <v>2.44140625E-4</v>
      </c>
      <c r="AA16" s="8">
        <v>12</v>
      </c>
      <c r="AB16" s="8">
        <f t="shared" si="13"/>
        <v>972.65625</v>
      </c>
      <c r="AC16" s="8">
        <v>-0.31217022269640893</v>
      </c>
      <c r="AD16" s="8">
        <f t="shared" si="14"/>
        <v>973.6328125</v>
      </c>
      <c r="AE16" s="8">
        <v>0.12484858414120481</v>
      </c>
      <c r="AF16" s="8">
        <f t="shared" si="9"/>
        <v>973.14453125</v>
      </c>
      <c r="AG16" s="8">
        <v>-9.3627935729728051E-2</v>
      </c>
      <c r="AH16" s="8">
        <f t="shared" si="10"/>
        <v>2.9227853547354268E-2</v>
      </c>
      <c r="AI16" s="8">
        <f t="shared" si="11"/>
        <v>-1.1689315211920268E-2</v>
      </c>
      <c r="AJ16" s="8">
        <f t="shared" si="12"/>
        <v>0.9765625</v>
      </c>
    </row>
    <row r="17" spans="2:36" x14ac:dyDescent="0.2">
      <c r="B17" t="s">
        <v>12</v>
      </c>
      <c r="C17" s="1">
        <v>0.8</v>
      </c>
      <c r="F17" s="16" t="s">
        <v>87</v>
      </c>
      <c r="G17">
        <f xml:space="preserve"> G12 / ($C$15 * $C$16 * $C$17)</f>
        <v>130.07494212413869</v>
      </c>
      <c r="H17" t="s">
        <v>14</v>
      </c>
      <c r="J17" t="s">
        <v>51</v>
      </c>
      <c r="K17">
        <f xml:space="preserve"> (90 - $C$35) / 180 * PI()</f>
        <v>1.48352986419518</v>
      </c>
      <c r="L17" t="s">
        <v>52</v>
      </c>
      <c r="P17" s="8">
        <v>13</v>
      </c>
      <c r="Q17" s="8">
        <f t="shared" si="7"/>
        <v>0.3580322265625</v>
      </c>
      <c r="R17" s="8">
        <f t="shared" si="0"/>
        <v>4.589702102386628E-5</v>
      </c>
      <c r="S17" s="8">
        <f t="shared" si="8"/>
        <v>0.358154296875</v>
      </c>
      <c r="T17" s="8">
        <f t="shared" si="1"/>
        <v>-9.0057085021522099E-5</v>
      </c>
      <c r="U17" s="8">
        <f t="shared" si="3"/>
        <v>0.35809326171875</v>
      </c>
      <c r="V17" s="8">
        <f t="shared" si="2"/>
        <v>-2.2081204620494344E-5</v>
      </c>
      <c r="W17" s="8">
        <f t="shared" si="4"/>
        <v>-1.0134615126991222E-9</v>
      </c>
      <c r="X17" s="8">
        <f t="shared" si="5"/>
        <v>1.9885689218854859E-9</v>
      </c>
      <c r="Y17" s="8">
        <f t="shared" si="6"/>
        <v>1.220703125E-4</v>
      </c>
      <c r="AA17" s="8">
        <v>13</v>
      </c>
      <c r="AB17" s="8">
        <f t="shared" si="13"/>
        <v>973.14453125</v>
      </c>
      <c r="AC17" s="8">
        <v>-9.3627935729728051E-2</v>
      </c>
      <c r="AD17" s="8">
        <f t="shared" si="14"/>
        <v>973.6328125</v>
      </c>
      <c r="AE17" s="8">
        <v>0.12484858414120481</v>
      </c>
      <c r="AF17" s="8">
        <f t="shared" si="9"/>
        <v>973.388671875</v>
      </c>
      <c r="AG17" s="8">
        <v>1.561845538549278E-2</v>
      </c>
      <c r="AH17" s="8">
        <f t="shared" si="10"/>
        <v>-1.4623237370305429E-3</v>
      </c>
      <c r="AI17" s="8">
        <f t="shared" si="11"/>
        <v>1.9499420413513486E-3</v>
      </c>
      <c r="AJ17" s="8">
        <f t="shared" si="12"/>
        <v>0.48828125</v>
      </c>
    </row>
    <row r="18" spans="2:36" x14ac:dyDescent="0.2">
      <c r="F18" s="12" t="s">
        <v>88</v>
      </c>
      <c r="G18">
        <f xml:space="preserve"> $C$36 * ($C$5 * 0.144 * (2*$C$21*3.28084 * (G4*0.00134102/$C$5) * 4^0.5)^0.782 * 0.453592 + C6 * $C$6 * 0.144 * (2*$C$22*3.28084 * (G9*0.00134102/$C$6) * 4^0.5)^0.782 * 0.453592)</f>
        <v>50.818046878262777</v>
      </c>
      <c r="H18" t="s">
        <v>14</v>
      </c>
      <c r="J18" t="s">
        <v>36</v>
      </c>
      <c r="K18">
        <f xml:space="preserve"> K12 / $C$6</f>
        <v>1006.1132994971017</v>
      </c>
      <c r="L18" t="s">
        <v>37</v>
      </c>
      <c r="P18" s="8">
        <v>14</v>
      </c>
      <c r="Q18" s="8">
        <f t="shared" si="7"/>
        <v>0.3580322265625</v>
      </c>
      <c r="R18" s="8">
        <f t="shared" si="0"/>
        <v>4.589702102386628E-5</v>
      </c>
      <c r="S18" s="8">
        <f t="shared" si="8"/>
        <v>0.35809326171875</v>
      </c>
      <c r="T18" s="8">
        <f t="shared" si="1"/>
        <v>-2.2081204620494344E-5</v>
      </c>
      <c r="U18" s="8">
        <f t="shared" si="3"/>
        <v>0.358062744140625</v>
      </c>
      <c r="V18" s="8">
        <f t="shared" si="2"/>
        <v>1.1907614972217484E-5</v>
      </c>
      <c r="W18" s="8">
        <f t="shared" si="4"/>
        <v>5.4652405472397072E-10</v>
      </c>
      <c r="X18" s="8">
        <f t="shared" si="5"/>
        <v>-2.6293448274359632E-10</v>
      </c>
      <c r="Y18" s="8">
        <f t="shared" si="6"/>
        <v>6.103515625E-5</v>
      </c>
      <c r="AA18" s="8">
        <v>14</v>
      </c>
      <c r="AB18" s="8">
        <f t="shared" si="13"/>
        <v>973.14453125</v>
      </c>
      <c r="AC18" s="8">
        <v>-9.3627935729728051E-2</v>
      </c>
      <c r="AD18" s="8">
        <f t="shared" si="14"/>
        <v>973.388671875</v>
      </c>
      <c r="AE18" s="8">
        <v>1.561845538549278E-2</v>
      </c>
      <c r="AF18" s="8">
        <f t="shared" si="9"/>
        <v>973.2666015625</v>
      </c>
      <c r="AG18" s="8">
        <v>-3.900276823560489E-2</v>
      </c>
      <c r="AH18" s="8">
        <f t="shared" si="10"/>
        <v>3.6517486776446932E-3</v>
      </c>
      <c r="AI18" s="8">
        <f t="shared" si="11"/>
        <v>-6.0916299559850989E-4</v>
      </c>
      <c r="AJ18" s="8">
        <f t="shared" si="12"/>
        <v>0.244140625</v>
      </c>
    </row>
    <row r="19" spans="2:36" x14ac:dyDescent="0.2">
      <c r="B19" s="19" t="s">
        <v>13</v>
      </c>
      <c r="C19" s="19"/>
      <c r="D19" s="19"/>
      <c r="F19" s="13" t="s">
        <v>89</v>
      </c>
      <c r="G19">
        <f xml:space="preserve"> 0.2138 * (G4/1000) + 0.2138 * (G9/1000)</f>
        <v>46.766242998655777</v>
      </c>
      <c r="H19" t="s">
        <v>14</v>
      </c>
      <c r="J19" t="s">
        <v>53</v>
      </c>
      <c r="K19">
        <f xml:space="preserve"> PI() * $C$23 / ($C$22 * $C$25)</f>
        <v>94.247779607693786</v>
      </c>
      <c r="L19" t="s">
        <v>54</v>
      </c>
      <c r="P19" s="8">
        <v>15</v>
      </c>
      <c r="Q19" s="8">
        <f t="shared" si="7"/>
        <v>0.358062744140625</v>
      </c>
      <c r="R19" s="8">
        <f t="shared" si="0"/>
        <v>1.1907614972217484E-5</v>
      </c>
      <c r="S19" s="8">
        <f t="shared" si="8"/>
        <v>0.35809326171875</v>
      </c>
      <c r="T19" s="8">
        <f t="shared" si="1"/>
        <v>-2.2081204620494344E-5</v>
      </c>
      <c r="U19" s="8">
        <f t="shared" si="3"/>
        <v>0.3580780029296875</v>
      </c>
      <c r="V19" s="8">
        <f t="shared" si="2"/>
        <v>-5.0868681222282497E-6</v>
      </c>
      <c r="W19" s="8">
        <f t="shared" si="4"/>
        <v>-6.057246701394094E-11</v>
      </c>
      <c r="X19" s="8">
        <f t="shared" si="5"/>
        <v>1.1232417588439182E-10</v>
      </c>
      <c r="Y19" s="8">
        <f t="shared" si="6"/>
        <v>3.0517578125E-5</v>
      </c>
      <c r="AA19" s="8">
        <v>15</v>
      </c>
      <c r="AB19" s="8">
        <f t="shared" si="13"/>
        <v>973.2666015625</v>
      </c>
      <c r="AC19" s="8">
        <v>-3.900276823560489E-2</v>
      </c>
      <c r="AD19" s="8">
        <f t="shared" si="14"/>
        <v>973.388671875</v>
      </c>
      <c r="AE19" s="8">
        <v>1.561845538549278E-2</v>
      </c>
      <c r="AF19" s="8">
        <f t="shared" si="9"/>
        <v>973.32763671875</v>
      </c>
      <c r="AG19" s="8">
        <v>-1.1691542005905831E-2</v>
      </c>
      <c r="AH19" s="8">
        <f t="shared" si="10"/>
        <v>4.5600250317318422E-4</v>
      </c>
      <c r="AI19" s="8">
        <f t="shared" si="11"/>
        <v>-1.8260382720685498E-4</v>
      </c>
      <c r="AJ19" s="8">
        <f t="shared" si="12"/>
        <v>0.1220703125</v>
      </c>
    </row>
    <row r="20" spans="2:36" x14ac:dyDescent="0.2">
      <c r="B20" s="3" t="s">
        <v>66</v>
      </c>
      <c r="C20" s="3">
        <f>AF44</f>
        <v>973.35376565933984</v>
      </c>
      <c r="D20" s="3" t="s">
        <v>14</v>
      </c>
      <c r="F20" s="13" t="s">
        <v>139</v>
      </c>
      <c r="G20">
        <f>2.20462 * (49.9/398 * (G4/$C$5/1000 -2) + 0.1) * $C$5 * 0.453592 + 2.20462 * (49.9/398 * (G8/1000 -2) + 0.1) * 0.453592 * $C$6</f>
        <v>26.36939405663054</v>
      </c>
      <c r="H20" t="s">
        <v>14</v>
      </c>
      <c r="J20" t="s">
        <v>55</v>
      </c>
      <c r="K20">
        <f xml:space="preserve"> $C$23 * COS(K17) / (K19 * $C$22)</f>
        <v>2.7742534554270875E-2</v>
      </c>
      <c r="P20" s="8">
        <v>16</v>
      </c>
      <c r="Q20" s="8">
        <f t="shared" si="7"/>
        <v>0.358062744140625</v>
      </c>
      <c r="R20" s="8">
        <f t="shared" si="0"/>
        <v>1.1907614972217484E-5</v>
      </c>
      <c r="S20" s="8">
        <f t="shared" si="8"/>
        <v>0.3580780029296875</v>
      </c>
      <c r="T20" s="8">
        <f t="shared" si="1"/>
        <v>-5.0868681222282497E-6</v>
      </c>
      <c r="U20" s="8">
        <f t="shared" si="3"/>
        <v>0.35807037353515625</v>
      </c>
      <c r="V20" s="8">
        <f t="shared" si="2"/>
        <v>3.4103550993203058E-6</v>
      </c>
      <c r="W20" s="8">
        <f t="shared" si="4"/>
        <v>4.0609195441244715E-11</v>
      </c>
      <c r="X20" s="8">
        <f t="shared" si="5"/>
        <v>-1.7348026640211019E-11</v>
      </c>
      <c r="Y20" s="8">
        <f t="shared" si="6"/>
        <v>1.52587890625E-5</v>
      </c>
      <c r="AA20" s="8">
        <v>16</v>
      </c>
      <c r="AB20" s="8">
        <f t="shared" si="13"/>
        <v>973.32763671875</v>
      </c>
      <c r="AC20" s="8">
        <v>-1.1691542005905831E-2</v>
      </c>
      <c r="AD20" s="8">
        <f t="shared" si="14"/>
        <v>973.388671875</v>
      </c>
      <c r="AE20" s="8">
        <v>1.561845538549278E-2</v>
      </c>
      <c r="AF20" s="8">
        <f t="shared" si="9"/>
        <v>973.358154296875</v>
      </c>
      <c r="AG20" s="8">
        <v>1.9637013726878649E-3</v>
      </c>
      <c r="AH20" s="8">
        <f t="shared" si="10"/>
        <v>-2.2958697085835113E-5</v>
      </c>
      <c r="AI20" s="8">
        <f t="shared" si="11"/>
        <v>3.0669982279756348E-5</v>
      </c>
      <c r="AJ20" s="8">
        <f t="shared" si="12"/>
        <v>6.103515625E-2</v>
      </c>
    </row>
    <row r="21" spans="2:36" x14ac:dyDescent="0.2">
      <c r="B21" t="s">
        <v>15</v>
      </c>
      <c r="C21" s="1">
        <v>1</v>
      </c>
      <c r="D21" t="s">
        <v>16</v>
      </c>
      <c r="F21" s="14" t="s">
        <v>97</v>
      </c>
      <c r="G21">
        <f xml:space="preserve"> $C$36 * (14.86 * ($C$20*2.20462)^0.144 * (6.7/(PI()*1.8))^0.778 * (6.7*3.28084)^0.383 * 4^0.455 * 0.453592)</f>
        <v>113.96540314190996</v>
      </c>
      <c r="H21" t="s">
        <v>14</v>
      </c>
      <c r="J21" t="s">
        <v>56</v>
      </c>
      <c r="K21">
        <f xml:space="preserve"> K18 / ( $C$33 * PI() * $C$22^2 * K19^2 * $C$22^2)</f>
        <v>2.9431925371819261E-2</v>
      </c>
      <c r="P21" s="8">
        <v>17</v>
      </c>
      <c r="Q21" s="8">
        <f t="shared" si="7"/>
        <v>0.35807037353515625</v>
      </c>
      <c r="R21" s="8">
        <f t="shared" si="0"/>
        <v>3.4103550993203058E-6</v>
      </c>
      <c r="S21" s="8">
        <f t="shared" si="8"/>
        <v>0.3580780029296875</v>
      </c>
      <c r="T21" s="8">
        <f t="shared" si="1"/>
        <v>-5.0868681222282497E-6</v>
      </c>
      <c r="U21" s="8">
        <f t="shared" si="3"/>
        <v>0.35807418823242188</v>
      </c>
      <c r="V21" s="8">
        <f t="shared" si="2"/>
        <v>-8.3826109276152749E-7</v>
      </c>
      <c r="W21" s="8">
        <f t="shared" si="4"/>
        <v>-2.8587679922610872E-12</v>
      </c>
      <c r="X21" s="8">
        <f t="shared" si="5"/>
        <v>4.264123630872832E-12</v>
      </c>
      <c r="Y21" s="8">
        <f t="shared" si="6"/>
        <v>7.62939453125E-6</v>
      </c>
      <c r="AA21" s="8">
        <v>17</v>
      </c>
      <c r="AB21" s="8">
        <f t="shared" si="13"/>
        <v>973.32763671875</v>
      </c>
      <c r="AC21" s="8">
        <v>-1.1691542005905831E-2</v>
      </c>
      <c r="AD21" s="8">
        <f t="shared" si="14"/>
        <v>973.358154296875</v>
      </c>
      <c r="AE21" s="8">
        <v>1.9637013726878649E-3</v>
      </c>
      <c r="AF21" s="8">
        <f t="shared" si="9"/>
        <v>973.3428955078125</v>
      </c>
      <c r="AG21" s="8">
        <v>-4.864010929509277E-3</v>
      </c>
      <c r="AH21" s="8">
        <f t="shared" si="10"/>
        <v>5.6867788099542775E-5</v>
      </c>
      <c r="AI21" s="8">
        <f t="shared" si="11"/>
        <v>-9.5514649390461446E-6</v>
      </c>
      <c r="AJ21" s="8">
        <f t="shared" si="12"/>
        <v>3.0517578125E-2</v>
      </c>
    </row>
    <row r="22" spans="2:36" x14ac:dyDescent="0.2">
      <c r="B22" t="s">
        <v>17</v>
      </c>
      <c r="C22" s="1">
        <v>1</v>
      </c>
      <c r="D22" t="s">
        <v>16</v>
      </c>
      <c r="F22" s="14" t="s">
        <v>98</v>
      </c>
      <c r="G22">
        <f xml:space="preserve"> $C$36 * (0.054 * (0.7*3.28084)^0.501 * ($C$20*2.20462*5.7)^0.684 * 0.453592)</f>
        <v>18.57323746007469</v>
      </c>
      <c r="H22" t="s">
        <v>14</v>
      </c>
      <c r="J22" t="s">
        <v>6</v>
      </c>
      <c r="K22" s="1">
        <v>1.2E-2</v>
      </c>
      <c r="P22" s="8">
        <v>18</v>
      </c>
      <c r="Q22" s="8">
        <f t="shared" si="7"/>
        <v>0.35807037353515625</v>
      </c>
      <c r="R22" s="8">
        <f t="shared" si="0"/>
        <v>3.4103550993203058E-6</v>
      </c>
      <c r="S22" s="8">
        <f t="shared" si="8"/>
        <v>0.35807418823242188</v>
      </c>
      <c r="T22" s="8">
        <f t="shared" si="1"/>
        <v>-8.3826109276152749E-7</v>
      </c>
      <c r="U22" s="8">
        <f t="shared" si="3"/>
        <v>0.35807228088378906</v>
      </c>
      <c r="V22" s="8">
        <f t="shared" si="2"/>
        <v>1.2860458579178058E-6</v>
      </c>
      <c r="W22" s="8">
        <f t="shared" si="4"/>
        <v>4.3858730495097464E-12</v>
      </c>
      <c r="X22" s="8">
        <f t="shared" si="5"/>
        <v>-1.0780422061996161E-12</v>
      </c>
      <c r="Y22" s="8">
        <f t="shared" si="6"/>
        <v>3.814697265625E-6</v>
      </c>
      <c r="AA22" s="8">
        <v>18</v>
      </c>
      <c r="AB22" s="8">
        <f t="shared" si="13"/>
        <v>973.3428955078125</v>
      </c>
      <c r="AC22" s="8">
        <v>-4.864010929509277E-3</v>
      </c>
      <c r="AD22" s="8">
        <f t="shared" si="14"/>
        <v>973.358154296875</v>
      </c>
      <c r="AE22" s="8">
        <v>1.9637013726878649E-3</v>
      </c>
      <c r="AF22" s="8">
        <f t="shared" si="9"/>
        <v>973.35052490234375</v>
      </c>
      <c r="AG22" s="8">
        <v>-1.4501470761842938E-3</v>
      </c>
      <c r="AH22" s="8">
        <f t="shared" si="10"/>
        <v>7.0535312279563275E-6</v>
      </c>
      <c r="AI22" s="8">
        <f t="shared" si="11"/>
        <v>-2.8476558041023915E-6</v>
      </c>
      <c r="AJ22" s="8">
        <f t="shared" si="12"/>
        <v>1.52587890625E-2</v>
      </c>
    </row>
    <row r="23" spans="2:36" x14ac:dyDescent="0.2">
      <c r="B23" t="s">
        <v>18</v>
      </c>
      <c r="C23" s="1">
        <v>30</v>
      </c>
      <c r="D23" t="s">
        <v>19</v>
      </c>
      <c r="F23" s="14" t="s">
        <v>90</v>
      </c>
      <c r="G23">
        <f xml:space="preserve"> $C$36 * (0.04674 * ($C$20*2.20462)^0.397 * ($C$24*3.28084^2)^0.36 * 3^0.397 * $C$12^1.712 * 0.453592)</f>
        <v>141.29598484699963</v>
      </c>
      <c r="H23" t="s">
        <v>14</v>
      </c>
      <c r="J23" t="s">
        <v>57</v>
      </c>
      <c r="K23">
        <f xml:space="preserve"> ($C$8 * $K$22 / 8) * (1 + 4.65 * K20^2) * ( PI() * $C$33 * K19^3 * C22^5)</f>
        <v>630.50053776545394</v>
      </c>
      <c r="L23" t="s">
        <v>35</v>
      </c>
      <c r="P23" s="8">
        <v>19</v>
      </c>
      <c r="Q23" s="8">
        <f t="shared" si="7"/>
        <v>0.35807228088378906</v>
      </c>
      <c r="R23" s="8">
        <f t="shared" si="0"/>
        <v>1.2860458579178058E-6</v>
      </c>
      <c r="S23" s="8">
        <f t="shared" si="8"/>
        <v>0.35807418823242188</v>
      </c>
      <c r="T23" s="8">
        <f t="shared" si="1"/>
        <v>-8.3826109276152749E-7</v>
      </c>
      <c r="U23" s="8">
        <f t="shared" si="3"/>
        <v>0.35807323455810547</v>
      </c>
      <c r="V23" s="8">
        <f t="shared" si="2"/>
        <v>2.238920962516211E-7</v>
      </c>
      <c r="W23" s="8">
        <f t="shared" si="4"/>
        <v>2.87935503004932E-13</v>
      </c>
      <c r="X23" s="8">
        <f t="shared" si="5"/>
        <v>-1.87680033264553E-13</v>
      </c>
      <c r="Y23" s="8">
        <f t="shared" si="6"/>
        <v>1.9073486328125E-6</v>
      </c>
      <c r="AA23" s="8">
        <v>19</v>
      </c>
      <c r="AB23" s="8">
        <f t="shared" si="13"/>
        <v>973.35052490234375</v>
      </c>
      <c r="AC23" s="8">
        <v>-1.4501470761842938E-3</v>
      </c>
      <c r="AD23" s="8">
        <f t="shared" si="14"/>
        <v>973.358154296875</v>
      </c>
      <c r="AE23" s="8">
        <v>1.9637013726878649E-3</v>
      </c>
      <c r="AF23" s="8">
        <f t="shared" si="9"/>
        <v>973.35433959960938</v>
      </c>
      <c r="AG23" s="8">
        <v>2.5665764633231447E-4</v>
      </c>
      <c r="AH23" s="8">
        <f t="shared" si="10"/>
        <v>-3.7219133540914838E-7</v>
      </c>
      <c r="AI23" s="8">
        <f t="shared" si="11"/>
        <v>5.0399897241360253E-7</v>
      </c>
      <c r="AJ23" s="8">
        <f t="shared" si="12"/>
        <v>7.62939453125E-3</v>
      </c>
    </row>
    <row r="24" spans="2:36" x14ac:dyDescent="0.2">
      <c r="B24" t="s">
        <v>20</v>
      </c>
      <c r="C24" s="1">
        <v>8</v>
      </c>
      <c r="D24" t="s">
        <v>21</v>
      </c>
      <c r="F24" s="14" t="s">
        <v>99</v>
      </c>
      <c r="G24">
        <f xml:space="preserve"> $C$36 * 0</f>
        <v>0</v>
      </c>
      <c r="H24" t="s">
        <v>14</v>
      </c>
      <c r="J24" t="s">
        <v>58</v>
      </c>
      <c r="K24" s="5">
        <f>U34</f>
        <v>0.3580734352581203</v>
      </c>
      <c r="P24" s="8">
        <v>20</v>
      </c>
      <c r="Q24" s="8">
        <f t="shared" si="7"/>
        <v>0.35807323455810547</v>
      </c>
      <c r="R24" s="8">
        <f t="shared" si="0"/>
        <v>2.238920962516211E-7</v>
      </c>
      <c r="S24" s="8">
        <f t="shared" si="8"/>
        <v>0.35807418823242188</v>
      </c>
      <c r="T24" s="8">
        <f t="shared" si="1"/>
        <v>-8.3826109276152749E-7</v>
      </c>
      <c r="U24" s="8">
        <f t="shared" si="3"/>
        <v>0.35807371139526367</v>
      </c>
      <c r="V24" s="8">
        <f t="shared" si="2"/>
        <v>-3.0718456983658271E-7</v>
      </c>
      <c r="W24" s="8">
        <f t="shared" si="4"/>
        <v>-6.8776197276865005E-14</v>
      </c>
      <c r="X24" s="8">
        <f t="shared" si="5"/>
        <v>2.5750087319069358E-13</v>
      </c>
      <c r="Y24" s="8">
        <f t="shared" si="6"/>
        <v>9.5367431640625E-7</v>
      </c>
      <c r="AA24" s="8">
        <v>20</v>
      </c>
      <c r="AB24" s="8">
        <f t="shared" si="13"/>
        <v>973.35052490234375</v>
      </c>
      <c r="AC24" s="8">
        <v>-1.4501470761842938E-3</v>
      </c>
      <c r="AD24" s="8">
        <f t="shared" si="14"/>
        <v>973.35433959960938</v>
      </c>
      <c r="AE24" s="8">
        <v>2.5665764633231447E-4</v>
      </c>
      <c r="AF24" s="8">
        <f t="shared" si="9"/>
        <v>973.35243225097656</v>
      </c>
      <c r="AG24" s="8">
        <v>-5.9674423346223193E-4</v>
      </c>
      <c r="AH24" s="8">
        <f t="shared" si="10"/>
        <v>8.6536690538509328E-7</v>
      </c>
      <c r="AI24" s="8">
        <f t="shared" si="11"/>
        <v>-1.5315897042279763E-7</v>
      </c>
      <c r="AJ24" s="8">
        <f t="shared" si="12"/>
        <v>3.814697265625E-3</v>
      </c>
    </row>
    <row r="25" spans="2:36" x14ac:dyDescent="0.2">
      <c r="B25" t="s">
        <v>22</v>
      </c>
      <c r="C25" s="1">
        <v>1</v>
      </c>
      <c r="F25" s="14" t="s">
        <v>100</v>
      </c>
      <c r="G25">
        <f xml:space="preserve"> $C$36 * 0</f>
        <v>0</v>
      </c>
      <c r="H25" t="s">
        <v>14</v>
      </c>
      <c r="J25" t="s">
        <v>59</v>
      </c>
      <c r="K25">
        <f xml:space="preserve"> K19 * $C$22 * K24 - $C$23 * SIN(K17)</f>
        <v>3.8617852668247679</v>
      </c>
      <c r="L25" t="s">
        <v>19</v>
      </c>
      <c r="P25" s="8">
        <v>21</v>
      </c>
      <c r="Q25" s="8">
        <f t="shared" si="7"/>
        <v>0.35807323455810547</v>
      </c>
      <c r="R25" s="8">
        <f t="shared" si="0"/>
        <v>2.238920962516211E-7</v>
      </c>
      <c r="S25" s="8">
        <f t="shared" si="8"/>
        <v>0.35807371139526367</v>
      </c>
      <c r="T25" s="8">
        <f t="shared" si="1"/>
        <v>-3.0718456983658271E-7</v>
      </c>
      <c r="U25" s="8">
        <f t="shared" si="3"/>
        <v>0.35807347297668457</v>
      </c>
      <c r="V25" s="8">
        <f t="shared" si="2"/>
        <v>-4.1646254667071503E-8</v>
      </c>
      <c r="W25" s="8">
        <f t="shared" si="4"/>
        <v>-9.3242672584394975E-15</v>
      </c>
      <c r="X25" s="8">
        <f t="shared" si="5"/>
        <v>1.2793086825209135E-14</v>
      </c>
      <c r="Y25" s="8">
        <f t="shared" si="6"/>
        <v>4.76837158203125E-7</v>
      </c>
      <c r="AA25" s="8">
        <v>21</v>
      </c>
      <c r="AB25" s="8">
        <f t="shared" si="13"/>
        <v>973.35243225097656</v>
      </c>
      <c r="AC25" s="8">
        <v>-5.9674423346223193E-4</v>
      </c>
      <c r="AD25" s="8">
        <f t="shared" si="14"/>
        <v>973.35433959960938</v>
      </c>
      <c r="AE25" s="8">
        <v>2.5665764633231447E-4</v>
      </c>
      <c r="AF25" s="8">
        <f t="shared" si="9"/>
        <v>973.35338592529297</v>
      </c>
      <c r="AG25" s="8">
        <v>-1.6992174585084285E-4</v>
      </c>
      <c r="AH25" s="8">
        <f t="shared" si="10"/>
        <v>1.0139982197632541E-7</v>
      </c>
      <c r="AI25" s="8">
        <f t="shared" si="11"/>
        <v>-4.3611715350755052E-8</v>
      </c>
      <c r="AJ25" s="8">
        <f t="shared" si="12"/>
        <v>1.9073486328125E-3</v>
      </c>
    </row>
    <row r="26" spans="2:36" x14ac:dyDescent="0.2">
      <c r="F26" s="15" t="s">
        <v>101</v>
      </c>
      <c r="G26">
        <f xml:space="preserve"> $C$36 * (0.0268 * $C$20)</f>
        <v>20.868704735736248</v>
      </c>
      <c r="H26" t="s">
        <v>14</v>
      </c>
      <c r="J26" t="s">
        <v>60</v>
      </c>
      <c r="K26">
        <f xml:space="preserve"> 1/$C$9 - K23 * SQRT( (2*$C$33*PI()*$C$22^2) / K18^3 )</f>
        <v>1.2785216544037776</v>
      </c>
      <c r="P26" s="8">
        <v>22</v>
      </c>
      <c r="Q26" s="8">
        <f t="shared" si="7"/>
        <v>0.35807323455810547</v>
      </c>
      <c r="R26" s="8">
        <f t="shared" si="0"/>
        <v>2.238920962516211E-7</v>
      </c>
      <c r="S26" s="8">
        <f t="shared" si="8"/>
        <v>0.35807347297668457</v>
      </c>
      <c r="T26" s="8">
        <f t="shared" si="1"/>
        <v>-4.1646254667071503E-8</v>
      </c>
      <c r="U26" s="8">
        <f t="shared" si="3"/>
        <v>0.35807335376739502</v>
      </c>
      <c r="V26" s="8">
        <f t="shared" si="2"/>
        <v>9.1122916323627123E-8</v>
      </c>
      <c r="W26" s="8">
        <f t="shared" si="4"/>
        <v>2.0401700752257939E-14</v>
      </c>
      <c r="X26" s="8">
        <f t="shared" si="5"/>
        <v>-3.7949281792200223E-15</v>
      </c>
      <c r="Y26" s="8">
        <f t="shared" si="6"/>
        <v>2.384185791015625E-7</v>
      </c>
      <c r="AA26" s="8">
        <v>22</v>
      </c>
      <c r="AB26" s="8">
        <f t="shared" si="13"/>
        <v>973.35338592529297</v>
      </c>
      <c r="AC26" s="8">
        <v>-1.6992174585084285E-4</v>
      </c>
      <c r="AD26" s="8">
        <f t="shared" si="14"/>
        <v>973.35433959960938</v>
      </c>
      <c r="AE26" s="8">
        <v>2.5665764633231447E-4</v>
      </c>
      <c r="AF26" s="8">
        <f t="shared" si="9"/>
        <v>973.35386276245117</v>
      </c>
      <c r="AG26" s="8">
        <v>4.3246553218523331E-5</v>
      </c>
      <c r="AH26" s="8">
        <f t="shared" si="10"/>
        <v>-7.3485298249228716E-9</v>
      </c>
      <c r="AI26" s="8">
        <f t="shared" si="11"/>
        <v>1.1099558561051377E-8</v>
      </c>
      <c r="AJ26" s="8">
        <f t="shared" si="12"/>
        <v>9.5367431640625E-4</v>
      </c>
    </row>
    <row r="27" spans="2:36" x14ac:dyDescent="0.2">
      <c r="B27" s="19" t="s">
        <v>23</v>
      </c>
      <c r="C27" s="19"/>
      <c r="D27" s="19"/>
      <c r="F27" s="15" t="s">
        <v>102</v>
      </c>
      <c r="G27">
        <f xml:space="preserve"> $C$36 * (11.5 * ($C$20*2.20462/1000)^0.4 * 0.453592)</f>
        <v>5.6636315995749342</v>
      </c>
      <c r="H27" t="s">
        <v>14</v>
      </c>
      <c r="J27" t="s">
        <v>61</v>
      </c>
      <c r="K27" s="1">
        <v>1.1499999999999999</v>
      </c>
      <c r="P27" s="8">
        <v>23</v>
      </c>
      <c r="Q27" s="8">
        <f t="shared" si="7"/>
        <v>0.35807335376739502</v>
      </c>
      <c r="R27" s="8">
        <f t="shared" si="0"/>
        <v>9.1122916323627123E-8</v>
      </c>
      <c r="S27" s="8">
        <f t="shared" si="8"/>
        <v>0.35807347297668457</v>
      </c>
      <c r="T27" s="8">
        <f t="shared" si="1"/>
        <v>-4.1646254667071503E-8</v>
      </c>
      <c r="U27" s="8">
        <f t="shared" si="3"/>
        <v>0.35807341337203979</v>
      </c>
      <c r="V27" s="8">
        <f t="shared" si="2"/>
        <v>2.4738329718054786E-8</v>
      </c>
      <c r="W27" s="8">
        <f t="shared" si="4"/>
        <v>2.2542287488846045E-15</v>
      </c>
      <c r="X27" s="8">
        <f t="shared" si="5"/>
        <v>-1.0302587794760927E-15</v>
      </c>
      <c r="Y27" s="8">
        <f t="shared" si="6"/>
        <v>1.1920928955078125E-7</v>
      </c>
      <c r="AA27" s="8">
        <v>23</v>
      </c>
      <c r="AB27" s="8">
        <f t="shared" si="13"/>
        <v>973.35338592529297</v>
      </c>
      <c r="AC27" s="8">
        <v>-1.6992174585084285E-4</v>
      </c>
      <c r="AD27" s="8">
        <f t="shared" si="14"/>
        <v>973.35386276245117</v>
      </c>
      <c r="AE27" s="8">
        <v>4.3246553218523331E-5</v>
      </c>
      <c r="AF27" s="8">
        <f t="shared" si="9"/>
        <v>973.35362434387207</v>
      </c>
      <c r="AG27" s="8">
        <v>-6.3337588812828471E-5</v>
      </c>
      <c r="AH27" s="8">
        <f t="shared" si="10"/>
        <v>1.0762433669058628E-8</v>
      </c>
      <c r="AI27" s="8">
        <f t="shared" si="11"/>
        <v>-2.7391324053269345E-9</v>
      </c>
      <c r="AJ27" s="8">
        <f t="shared" si="12"/>
        <v>4.76837158203125E-4</v>
      </c>
    </row>
    <row r="28" spans="2:36" x14ac:dyDescent="0.2">
      <c r="B28" t="s">
        <v>105</v>
      </c>
      <c r="C28" s="1">
        <v>400</v>
      </c>
      <c r="D28" t="s">
        <v>14</v>
      </c>
      <c r="F28" s="15" t="s">
        <v>103</v>
      </c>
      <c r="G28">
        <f xml:space="preserve"> $C$36 * (8 * ($C$20/1000))</f>
        <v>6.2294641002197757</v>
      </c>
      <c r="H28" t="s">
        <v>14</v>
      </c>
      <c r="J28" t="s">
        <v>62</v>
      </c>
      <c r="K28">
        <f xml:space="preserve"> 1/$C$39 * LN( EXP($C$39 * K26) + EXP($C$39 * K27) )</f>
        <v>1.2792196241301033</v>
      </c>
      <c r="P28" s="8">
        <v>24</v>
      </c>
      <c r="Q28" s="8">
        <f t="shared" si="7"/>
        <v>0.35807341337203979</v>
      </c>
      <c r="R28" s="8">
        <f t="shared" si="0"/>
        <v>2.4738329718054786E-8</v>
      </c>
      <c r="S28" s="8">
        <f t="shared" si="8"/>
        <v>0.35807347297668457</v>
      </c>
      <c r="T28" s="8">
        <f t="shared" si="1"/>
        <v>-4.1646254667071503E-8</v>
      </c>
      <c r="U28" s="8">
        <f t="shared" si="3"/>
        <v>0.35807344317436218</v>
      </c>
      <c r="V28" s="8">
        <f t="shared" si="2"/>
        <v>-8.4539627520641147E-9</v>
      </c>
      <c r="W28" s="8">
        <f t="shared" si="4"/>
        <v>-2.0913691798471592E-16</v>
      </c>
      <c r="X28" s="8">
        <f t="shared" si="5"/>
        <v>3.5207588571839881E-16</v>
      </c>
      <c r="Y28" s="8">
        <f t="shared" si="6"/>
        <v>5.9604644775390625E-8</v>
      </c>
      <c r="AA28" s="8">
        <v>24</v>
      </c>
      <c r="AB28" s="8">
        <f t="shared" si="13"/>
        <v>973.35362434387207</v>
      </c>
      <c r="AC28" s="8">
        <v>-6.3337588812828471E-5</v>
      </c>
      <c r="AD28" s="8">
        <f t="shared" si="14"/>
        <v>973.35386276245117</v>
      </c>
      <c r="AE28" s="8">
        <v>4.3246553218523331E-5</v>
      </c>
      <c r="AF28" s="8">
        <f t="shared" si="9"/>
        <v>973.35374355316162</v>
      </c>
      <c r="AG28" s="8">
        <v>-1.0045515864476329E-5</v>
      </c>
      <c r="AH28" s="8">
        <f t="shared" si="10"/>
        <v>6.362587532369468E-10</v>
      </c>
      <c r="AI28" s="8">
        <f t="shared" si="11"/>
        <v>-4.3443393644059596E-10</v>
      </c>
      <c r="AJ28" s="8">
        <f t="shared" si="12"/>
        <v>2.384185791015625E-4</v>
      </c>
    </row>
    <row r="29" spans="2:36" x14ac:dyDescent="0.2">
      <c r="B29" t="s">
        <v>24</v>
      </c>
      <c r="C29" s="1">
        <v>30000</v>
      </c>
      <c r="D29" t="s">
        <v>16</v>
      </c>
      <c r="F29" s="15" t="s">
        <v>104</v>
      </c>
      <c r="G29">
        <f xml:space="preserve"> $C$36 * (13 * ($C$20*2.20462/1000)^1.3 * 0.453592)</f>
        <v>12.728713717707878</v>
      </c>
      <c r="H29" t="s">
        <v>14</v>
      </c>
      <c r="P29" s="8">
        <v>25</v>
      </c>
      <c r="Q29" s="8">
        <f t="shared" si="7"/>
        <v>0.35807341337203979</v>
      </c>
      <c r="R29" s="8">
        <f t="shared" si="0"/>
        <v>2.4738329718054786E-8</v>
      </c>
      <c r="S29" s="8">
        <f t="shared" si="8"/>
        <v>0.35807344317436218</v>
      </c>
      <c r="T29" s="8">
        <f t="shared" si="1"/>
        <v>-8.4539627520641147E-9</v>
      </c>
      <c r="U29" s="8">
        <f t="shared" si="3"/>
        <v>0.35807342827320099</v>
      </c>
      <c r="V29" s="8">
        <f t="shared" si="2"/>
        <v>8.142183371973033E-9</v>
      </c>
      <c r="W29" s="8">
        <f t="shared" si="4"/>
        <v>2.0142401688073201E-16</v>
      </c>
      <c r="X29" s="8">
        <f t="shared" si="5"/>
        <v>-6.8833714947135816E-17</v>
      </c>
      <c r="Y29" s="8">
        <f t="shared" si="6"/>
        <v>2.9802322387695312E-8</v>
      </c>
      <c r="AA29" s="8">
        <v>25</v>
      </c>
      <c r="AB29" s="8">
        <f t="shared" si="13"/>
        <v>973.35374355316162</v>
      </c>
      <c r="AC29" s="8">
        <v>-1.0045515864476329E-5</v>
      </c>
      <c r="AD29" s="8">
        <f t="shared" si="14"/>
        <v>973.35386276245117</v>
      </c>
      <c r="AE29" s="8">
        <v>4.3246553218523331E-5</v>
      </c>
      <c r="AF29" s="8">
        <f t="shared" si="9"/>
        <v>973.3538031578064</v>
      </c>
      <c r="AG29" s="8">
        <v>1.6721946508369001E-5</v>
      </c>
      <c r="AH29" s="8">
        <f t="shared" si="10"/>
        <v>-1.6798057893474535E-10</v>
      </c>
      <c r="AI29" s="8">
        <f t="shared" si="11"/>
        <v>7.2316654959148045E-10</v>
      </c>
      <c r="AJ29" s="8">
        <f t="shared" si="12"/>
        <v>1.1920928955078125E-4</v>
      </c>
    </row>
    <row r="30" spans="2:36" x14ac:dyDescent="0.2">
      <c r="B30" t="s">
        <v>25</v>
      </c>
      <c r="C30" s="1">
        <v>240</v>
      </c>
      <c r="D30" t="s">
        <v>26</v>
      </c>
      <c r="F30" s="3" t="s">
        <v>91</v>
      </c>
      <c r="G30" s="3">
        <f>$C$20 - $C$28 - SUM(G17:G29)</f>
        <v>-5.7104898587567732E-10</v>
      </c>
      <c r="H30" s="3" t="s">
        <v>14</v>
      </c>
      <c r="P30" s="8">
        <v>26</v>
      </c>
      <c r="Q30" s="8">
        <f t="shared" si="7"/>
        <v>0.35807342827320099</v>
      </c>
      <c r="R30" s="8">
        <f t="shared" si="0"/>
        <v>8.142183371973033E-9</v>
      </c>
      <c r="S30" s="8">
        <f t="shared" si="8"/>
        <v>0.35807344317436218</v>
      </c>
      <c r="T30" s="8">
        <f t="shared" si="1"/>
        <v>-8.4539627520641147E-9</v>
      </c>
      <c r="U30" s="8">
        <f t="shared" si="3"/>
        <v>0.35807343572378159</v>
      </c>
      <c r="V30" s="8">
        <f t="shared" si="2"/>
        <v>-1.5588969004554087E-10</v>
      </c>
      <c r="W30" s="8">
        <f t="shared" si="4"/>
        <v>-1.2692824421508329E-18</v>
      </c>
      <c r="X30" s="8">
        <f t="shared" si="5"/>
        <v>1.3178856330758226E-18</v>
      </c>
      <c r="Y30" s="8">
        <f t="shared" si="6"/>
        <v>1.4901161193847656E-8</v>
      </c>
      <c r="AA30" s="8">
        <v>26</v>
      </c>
      <c r="AB30" s="8">
        <f t="shared" si="13"/>
        <v>973.35374355316162</v>
      </c>
      <c r="AC30" s="8">
        <v>-1.0045515864476329E-5</v>
      </c>
      <c r="AD30" s="8">
        <f t="shared" si="14"/>
        <v>973.3538031578064</v>
      </c>
      <c r="AE30" s="8">
        <v>1.6721946508369001E-5</v>
      </c>
      <c r="AF30" s="8">
        <f t="shared" si="9"/>
        <v>973.35377335548401</v>
      </c>
      <c r="AG30" s="8">
        <v>3.3382153787897551E-6</v>
      </c>
      <c r="AH30" s="8">
        <f t="shared" si="10"/>
        <v>-3.3534095546671341E-11</v>
      </c>
      <c r="AI30" s="8">
        <f t="shared" si="11"/>
        <v>5.5821458997537047E-11</v>
      </c>
      <c r="AJ30" s="8">
        <f t="shared" si="12"/>
        <v>5.9604644775390625E-5</v>
      </c>
    </row>
    <row r="31" spans="2:36" x14ac:dyDescent="0.2">
      <c r="F31" t="s">
        <v>92</v>
      </c>
      <c r="G31" s="10" t="str">
        <f>IF(ABS(G30)&lt;0.00001, "TRUE", "FALSE")</f>
        <v>TRUE</v>
      </c>
      <c r="P31" s="8">
        <v>27</v>
      </c>
      <c r="Q31" s="8">
        <f t="shared" si="7"/>
        <v>0.35807342827320099</v>
      </c>
      <c r="R31" s="8">
        <f t="shared" si="0"/>
        <v>8.142183371973033E-9</v>
      </c>
      <c r="S31" s="8">
        <f t="shared" si="8"/>
        <v>0.35807343572378159</v>
      </c>
      <c r="T31" s="8">
        <f t="shared" si="1"/>
        <v>-1.5588969004554087E-10</v>
      </c>
      <c r="U31" s="8">
        <f t="shared" si="3"/>
        <v>0.35807343199849129</v>
      </c>
      <c r="V31" s="8">
        <f t="shared" si="2"/>
        <v>3.9931468687193217E-9</v>
      </c>
      <c r="W31" s="8">
        <f t="shared" si="4"/>
        <v>3.2512934036332645E-17</v>
      </c>
      <c r="X31" s="8">
        <f t="shared" si="5"/>
        <v>-6.2249042767097715E-19</v>
      </c>
      <c r="Y31" s="8">
        <f t="shared" si="6"/>
        <v>7.4505805969238281E-9</v>
      </c>
      <c r="AA31" s="8">
        <v>27</v>
      </c>
      <c r="AB31" s="8">
        <f t="shared" si="13"/>
        <v>973.35374355316162</v>
      </c>
      <c r="AC31" s="8">
        <v>-1.0045515864476329E-5</v>
      </c>
      <c r="AD31" s="8">
        <f t="shared" si="14"/>
        <v>973.35377335548401</v>
      </c>
      <c r="AE31" s="8">
        <v>3.3382153787897551E-6</v>
      </c>
      <c r="AF31" s="8">
        <f t="shared" si="9"/>
        <v>973.35375845432281</v>
      </c>
      <c r="AG31" s="8">
        <v>-3.3536500723130303E-6</v>
      </c>
      <c r="AH31" s="8">
        <f t="shared" si="10"/>
        <v>3.3689145005322732E-11</v>
      </c>
      <c r="AI31" s="8">
        <f t="shared" si="11"/>
        <v>-1.1195206246474732E-11</v>
      </c>
      <c r="AJ31" s="8">
        <f t="shared" si="12"/>
        <v>2.9802322387695312E-5</v>
      </c>
    </row>
    <row r="32" spans="2:36" x14ac:dyDescent="0.2">
      <c r="B32" s="19" t="s">
        <v>110</v>
      </c>
      <c r="C32" s="20"/>
      <c r="D32" s="20"/>
      <c r="P32" s="8">
        <v>28</v>
      </c>
      <c r="Q32" s="8">
        <f t="shared" si="7"/>
        <v>0.35807343199849129</v>
      </c>
      <c r="R32" s="8">
        <f t="shared" si="0"/>
        <v>3.9931468687193217E-9</v>
      </c>
      <c r="S32" s="8">
        <f t="shared" si="8"/>
        <v>0.35807343572378159</v>
      </c>
      <c r="T32" s="8">
        <f t="shared" si="1"/>
        <v>-1.5588969004554087E-10</v>
      </c>
      <c r="U32" s="8">
        <f t="shared" si="3"/>
        <v>0.35807343386113644</v>
      </c>
      <c r="V32" s="8">
        <f t="shared" si="2"/>
        <v>1.9186285893368904E-9</v>
      </c>
      <c r="W32" s="8">
        <f t="shared" si="4"/>
        <v>7.6613657437459732E-18</v>
      </c>
      <c r="X32" s="8">
        <f t="shared" si="5"/>
        <v>-2.9909441610424117E-19</v>
      </c>
      <c r="Y32" s="8">
        <f t="shared" si="6"/>
        <v>3.7252902984619141E-9</v>
      </c>
      <c r="AA32" s="8">
        <v>28</v>
      </c>
      <c r="AB32" s="8">
        <f t="shared" si="13"/>
        <v>973.35375845432281</v>
      </c>
      <c r="AC32" s="8">
        <v>-3.3536500723130303E-6</v>
      </c>
      <c r="AD32" s="8">
        <f t="shared" si="14"/>
        <v>973.35377335548401</v>
      </c>
      <c r="AE32" s="8">
        <v>3.3382153787897551E-6</v>
      </c>
      <c r="AF32" s="8">
        <f t="shared" si="9"/>
        <v>973.35376590490341</v>
      </c>
      <c r="AG32" s="8">
        <v>1.137098024628358E-7</v>
      </c>
      <c r="AH32" s="8">
        <f t="shared" si="10"/>
        <v>-3.8134288725218965E-13</v>
      </c>
      <c r="AI32" s="8">
        <f t="shared" si="11"/>
        <v>3.7958781130058362E-13</v>
      </c>
      <c r="AJ32" s="8">
        <f t="shared" si="12"/>
        <v>1.4901161193847656E-5</v>
      </c>
    </row>
    <row r="33" spans="2:36" x14ac:dyDescent="0.2">
      <c r="B33" t="s">
        <v>27</v>
      </c>
      <c r="C33" s="1">
        <v>1.2250000000000001</v>
      </c>
      <c r="D33" t="s">
        <v>28</v>
      </c>
      <c r="P33" s="8">
        <v>29</v>
      </c>
      <c r="Q33" s="8">
        <f t="shared" si="7"/>
        <v>0.35807343386113644</v>
      </c>
      <c r="R33" s="8">
        <f t="shared" si="0"/>
        <v>1.9186285893368904E-9</v>
      </c>
      <c r="S33" s="8">
        <f t="shared" si="8"/>
        <v>0.35807343572378159</v>
      </c>
      <c r="T33" s="8">
        <f t="shared" si="1"/>
        <v>-1.5588969004554087E-10</v>
      </c>
      <c r="U33" s="8">
        <f t="shared" si="3"/>
        <v>0.35807343479245901</v>
      </c>
      <c r="V33" s="8">
        <f t="shared" si="2"/>
        <v>8.8136942189009915E-10</v>
      </c>
      <c r="W33" s="8">
        <f t="shared" si="4"/>
        <v>1.6910205706056715E-18</v>
      </c>
      <c r="X33" s="8">
        <f t="shared" si="5"/>
        <v>-1.373964059940651E-19</v>
      </c>
      <c r="Y33" s="8">
        <f t="shared" si="6"/>
        <v>1.862645149230957E-9</v>
      </c>
      <c r="AA33" s="8">
        <v>29</v>
      </c>
      <c r="AB33" s="8">
        <f t="shared" si="13"/>
        <v>973.35375845432281</v>
      </c>
      <c r="AC33" s="8">
        <v>-3.3536500723130303E-6</v>
      </c>
      <c r="AD33" s="8">
        <f t="shared" si="14"/>
        <v>973.35376590490341</v>
      </c>
      <c r="AE33" s="8">
        <v>1.137098024628358E-7</v>
      </c>
      <c r="AF33" s="8">
        <f t="shared" si="9"/>
        <v>973.35376217961311</v>
      </c>
      <c r="AG33" s="8">
        <v>-1.6199703622987727E-6</v>
      </c>
      <c r="AH33" s="8">
        <f t="shared" si="10"/>
        <v>5.4328137226682448E-12</v>
      </c>
      <c r="AI33" s="8">
        <f t="shared" si="11"/>
        <v>-1.8420650989264198E-13</v>
      </c>
      <c r="AJ33" s="8">
        <f t="shared" si="12"/>
        <v>7.4505805969238281E-6</v>
      </c>
    </row>
    <row r="34" spans="2:36" x14ac:dyDescent="0.2">
      <c r="B34" t="s">
        <v>29</v>
      </c>
      <c r="C34" s="1">
        <v>9.81</v>
      </c>
      <c r="D34" t="s">
        <v>30</v>
      </c>
      <c r="F34" s="2" t="s">
        <v>93</v>
      </c>
      <c r="G34" s="2"/>
      <c r="H34" s="2"/>
      <c r="P34" s="8">
        <v>30</v>
      </c>
      <c r="Q34" s="8">
        <f t="shared" si="7"/>
        <v>0.35807343479245901</v>
      </c>
      <c r="R34" s="8">
        <f t="shared" si="0"/>
        <v>8.8136942189009915E-10</v>
      </c>
      <c r="S34" s="8">
        <f t="shared" si="8"/>
        <v>0.35807343572378159</v>
      </c>
      <c r="T34" s="8">
        <f t="shared" si="1"/>
        <v>-1.5588969004554087E-10</v>
      </c>
      <c r="U34" s="8">
        <f t="shared" si="3"/>
        <v>0.3580734352581203</v>
      </c>
      <c r="V34" s="8">
        <f t="shared" si="2"/>
        <v>3.6273989367785475E-10</v>
      </c>
      <c r="W34" s="8">
        <f t="shared" si="4"/>
        <v>3.1970785038732687E-19</v>
      </c>
      <c r="X34" s="8">
        <f t="shared" si="5"/>
        <v>-5.6547409592593229E-20</v>
      </c>
      <c r="Y34" s="8">
        <f t="shared" si="6"/>
        <v>9.3132257461547852E-10</v>
      </c>
      <c r="AA34" s="8">
        <v>30</v>
      </c>
      <c r="AB34" s="8">
        <f t="shared" si="13"/>
        <v>973.35376217961311</v>
      </c>
      <c r="AC34" s="8">
        <v>-1.6199703622987727E-6</v>
      </c>
      <c r="AD34" s="8">
        <f t="shared" si="14"/>
        <v>973.35376590490341</v>
      </c>
      <c r="AE34" s="8">
        <v>1.137098024628358E-7</v>
      </c>
      <c r="AF34" s="8">
        <f t="shared" si="9"/>
        <v>973.35376404225826</v>
      </c>
      <c r="AG34" s="8">
        <v>-7.5313027991796844E-7</v>
      </c>
      <c r="AH34" s="8">
        <f t="shared" si="10"/>
        <v>1.2200487324168874E-12</v>
      </c>
      <c r="AI34" s="8">
        <f t="shared" si="11"/>
        <v>-8.563829535825242E-14</v>
      </c>
      <c r="AJ34" s="8">
        <f t="shared" si="12"/>
        <v>3.7252902984619141E-6</v>
      </c>
    </row>
    <row r="35" spans="2:36" x14ac:dyDescent="0.2">
      <c r="B35" t="s">
        <v>73</v>
      </c>
      <c r="C35" s="1">
        <v>5</v>
      </c>
      <c r="D35" t="s">
        <v>74</v>
      </c>
      <c r="F35" t="s">
        <v>94</v>
      </c>
      <c r="G35">
        <f>ROUND($C$28/$C$20 * 100, 2)</f>
        <v>41.1</v>
      </c>
      <c r="H35" t="s">
        <v>95</v>
      </c>
      <c r="AA35" s="8">
        <v>31</v>
      </c>
      <c r="AB35" s="8">
        <f t="shared" si="13"/>
        <v>973.35376404225826</v>
      </c>
      <c r="AC35">
        <v>-7.5313027991796844E-7</v>
      </c>
      <c r="AD35" s="8">
        <f t="shared" si="14"/>
        <v>973.35376590490341</v>
      </c>
      <c r="AE35">
        <v>1.137098024628358E-7</v>
      </c>
      <c r="AF35" s="8">
        <f t="shared" si="9"/>
        <v>973.35376497358084</v>
      </c>
      <c r="AG35">
        <v>-3.1971035241440404E-7</v>
      </c>
      <c r="AH35" s="8">
        <f t="shared" si="10"/>
        <v>2.4078354720653245E-13</v>
      </c>
      <c r="AI35" s="8">
        <f t="shared" si="11"/>
        <v>-3.6354201018365501E-14</v>
      </c>
      <c r="AJ35" s="8">
        <f t="shared" si="12"/>
        <v>1.862645149230957E-6</v>
      </c>
    </row>
    <row r="36" spans="2:36" x14ac:dyDescent="0.2">
      <c r="B36" t="s">
        <v>126</v>
      </c>
      <c r="C36" s="1">
        <v>0.8</v>
      </c>
      <c r="F36" s="16" t="s">
        <v>87</v>
      </c>
      <c r="G36">
        <f>ROUND(G17/$C$20 * 100, 2)</f>
        <v>13.36</v>
      </c>
      <c r="H36" t="s">
        <v>95</v>
      </c>
      <c r="AA36" s="8">
        <v>32</v>
      </c>
      <c r="AB36" s="8">
        <f t="shared" si="13"/>
        <v>973.35376497358084</v>
      </c>
      <c r="AC36">
        <v>-3.1971035241440404E-7</v>
      </c>
      <c r="AD36" s="8">
        <f t="shared" si="14"/>
        <v>973.35376590490341</v>
      </c>
      <c r="AE36">
        <v>1.137098024628358E-7</v>
      </c>
      <c r="AF36" s="8">
        <f t="shared" si="9"/>
        <v>973.35376543924212</v>
      </c>
      <c r="AG36">
        <v>-1.0300038866262184E-7</v>
      </c>
      <c r="AH36" s="8">
        <f t="shared" si="10"/>
        <v>3.2930290558147417E-14</v>
      </c>
      <c r="AI36" s="8">
        <f t="shared" si="11"/>
        <v>-1.1712153848422042E-14</v>
      </c>
      <c r="AJ36" s="8">
        <f t="shared" si="12"/>
        <v>9.3132257461547852E-7</v>
      </c>
    </row>
    <row r="37" spans="2:36" x14ac:dyDescent="0.2">
      <c r="F37" s="18" t="s">
        <v>140</v>
      </c>
      <c r="G37">
        <f>ROUND(SUM(G18:G20)/$C$20 * 100, 2)</f>
        <v>12.73</v>
      </c>
      <c r="H37" t="s">
        <v>95</v>
      </c>
      <c r="AA37" s="8">
        <v>33</v>
      </c>
      <c r="AB37" s="8">
        <f t="shared" si="13"/>
        <v>973.35376543924212</v>
      </c>
      <c r="AC37">
        <v>-1.0300038866262184E-7</v>
      </c>
      <c r="AD37" s="8">
        <f t="shared" si="14"/>
        <v>973.35376590490341</v>
      </c>
      <c r="AE37">
        <v>1.137098024628358E-7</v>
      </c>
      <c r="AF37" s="8">
        <f t="shared" si="9"/>
        <v>973.35376567207277</v>
      </c>
      <c r="AG37">
        <v>5.354650056688115E-9</v>
      </c>
      <c r="AH37" s="8">
        <f t="shared" si="10"/>
        <v>-5.5153103699120594E-16</v>
      </c>
      <c r="AI37" s="8">
        <f t="shared" si="11"/>
        <v>6.0887620020361805E-16</v>
      </c>
      <c r="AJ37" s="8">
        <f t="shared" si="12"/>
        <v>4.6566128730773926E-7</v>
      </c>
    </row>
    <row r="38" spans="2:36" x14ac:dyDescent="0.2">
      <c r="B38" s="19" t="s">
        <v>31</v>
      </c>
      <c r="C38" s="20"/>
      <c r="D38" s="20"/>
      <c r="F38" s="17" t="s">
        <v>108</v>
      </c>
      <c r="G38">
        <f>ROUND(SUM(G21:G25)/$C$20 * 100, 2)</f>
        <v>28.13</v>
      </c>
      <c r="H38" t="s">
        <v>95</v>
      </c>
      <c r="AA38" s="8">
        <v>34</v>
      </c>
      <c r="AB38" s="8">
        <f t="shared" si="13"/>
        <v>973.35376543924212</v>
      </c>
      <c r="AC38">
        <v>-1.0300038866262184E-7</v>
      </c>
      <c r="AD38" s="8">
        <f t="shared" si="14"/>
        <v>973.35376567207277</v>
      </c>
      <c r="AE38">
        <v>5.354650056688115E-9</v>
      </c>
      <c r="AF38" s="8">
        <f t="shared" si="9"/>
        <v>973.35376555565745</v>
      </c>
      <c r="AG38">
        <v>-4.8822926146385726E-8</v>
      </c>
      <c r="AH38" s="8">
        <f t="shared" si="10"/>
        <v>5.0287803687242119E-15</v>
      </c>
      <c r="AI38" s="8">
        <f t="shared" si="11"/>
        <v>-2.6142968425742398E-16</v>
      </c>
      <c r="AJ38" s="8">
        <f t="shared" si="12"/>
        <v>2.3283064365386963E-7</v>
      </c>
    </row>
    <row r="39" spans="2:36" x14ac:dyDescent="0.2">
      <c r="B39" t="s">
        <v>32</v>
      </c>
      <c r="C39" s="1">
        <v>30</v>
      </c>
      <c r="F39" s="15" t="s">
        <v>109</v>
      </c>
      <c r="G39">
        <f>ROUND(SUM(G26:G29)/$C$20*100, 2)</f>
        <v>4.67</v>
      </c>
      <c r="H39" t="s">
        <v>95</v>
      </c>
      <c r="AA39" s="8">
        <v>35</v>
      </c>
      <c r="AB39" s="8">
        <f t="shared" si="13"/>
        <v>973.35376555565745</v>
      </c>
      <c r="AC39">
        <v>-4.8822926146385726E-8</v>
      </c>
      <c r="AD39" s="8">
        <f t="shared" si="14"/>
        <v>973.35376567207277</v>
      </c>
      <c r="AE39">
        <v>5.354650056688115E-9</v>
      </c>
      <c r="AF39" s="8">
        <f t="shared" si="9"/>
        <v>973.35376561386511</v>
      </c>
      <c r="AG39">
        <v>-2.1734081201429944E-8</v>
      </c>
      <c r="AH39" s="8">
        <f t="shared" si="10"/>
        <v>1.0611214413569645E-15</v>
      </c>
      <c r="AI39" s="8">
        <f t="shared" si="11"/>
        <v>-1.1637839913730095E-16</v>
      </c>
      <c r="AJ39" s="8">
        <f t="shared" si="12"/>
        <v>1.1641532182693481E-7</v>
      </c>
    </row>
    <row r="40" spans="2:36" x14ac:dyDescent="0.2">
      <c r="F40" s="3" t="s">
        <v>96</v>
      </c>
      <c r="G40" s="3">
        <f>SUM(G35:G39)</f>
        <v>99.99</v>
      </c>
      <c r="H40" s="3" t="s">
        <v>95</v>
      </c>
      <c r="AA40" s="8">
        <v>36</v>
      </c>
      <c r="AB40" s="8">
        <f t="shared" si="13"/>
        <v>973.35376561386511</v>
      </c>
      <c r="AC40">
        <v>-2.1734081201429944E-8</v>
      </c>
      <c r="AD40" s="8">
        <f t="shared" si="14"/>
        <v>973.35376567207277</v>
      </c>
      <c r="AE40">
        <v>5.354650056688115E-9</v>
      </c>
      <c r="AF40" s="8">
        <f t="shared" si="9"/>
        <v>973.35376564296894</v>
      </c>
      <c r="AG40">
        <v>-8.1897724157897756E-9</v>
      </c>
      <c r="AH40" s="8">
        <f t="shared" si="10"/>
        <v>1.7799717870600606E-16</v>
      </c>
      <c r="AI40" s="8">
        <f t="shared" si="11"/>
        <v>-4.3853365330471482E-17</v>
      </c>
      <c r="AJ40" s="8">
        <f t="shared" si="12"/>
        <v>5.8207660913467407E-8</v>
      </c>
    </row>
    <row r="41" spans="2:36" x14ac:dyDescent="0.2">
      <c r="AA41" s="8">
        <v>37</v>
      </c>
      <c r="AB41" s="8">
        <f t="shared" si="13"/>
        <v>973.35376564296894</v>
      </c>
      <c r="AC41">
        <v>-8.1897724157897756E-9</v>
      </c>
      <c r="AD41" s="8">
        <f t="shared" si="14"/>
        <v>973.35376567207277</v>
      </c>
      <c r="AE41">
        <v>5.354650056688115E-9</v>
      </c>
      <c r="AF41" s="8">
        <f t="shared" si="9"/>
        <v>973.35376565752085</v>
      </c>
      <c r="AG41">
        <v>-1.4176748663885519E-9</v>
      </c>
      <c r="AH41" s="8">
        <f t="shared" si="10"/>
        <v>1.1610434515307418E-17</v>
      </c>
      <c r="AI41" s="8">
        <f t="shared" si="11"/>
        <v>-7.5911528036727752E-18</v>
      </c>
      <c r="AJ41" s="8">
        <f t="shared" si="12"/>
        <v>2.9103830456733704E-8</v>
      </c>
    </row>
    <row r="42" spans="2:36" x14ac:dyDescent="0.2">
      <c r="B42" t="s">
        <v>144</v>
      </c>
      <c r="C42" s="1">
        <v>1.2</v>
      </c>
      <c r="AA42" s="8">
        <v>38</v>
      </c>
      <c r="AB42" s="8">
        <f t="shared" si="13"/>
        <v>973.35376565752085</v>
      </c>
      <c r="AC42">
        <v>-1.4176748663885519E-9</v>
      </c>
      <c r="AD42" s="8">
        <f t="shared" si="14"/>
        <v>973.35376567207277</v>
      </c>
      <c r="AE42">
        <v>5.354650056688115E-9</v>
      </c>
      <c r="AF42" s="8">
        <f t="shared" si="9"/>
        <v>973.35376566479681</v>
      </c>
      <c r="AG42">
        <v>1.9683739083120599E-9</v>
      </c>
      <c r="AH42" s="8">
        <f t="shared" si="10"/>
        <v>-2.7905142174690113E-18</v>
      </c>
      <c r="AI42" s="8">
        <f t="shared" si="11"/>
        <v>1.0539953459726578E-17</v>
      </c>
      <c r="AJ42" s="8">
        <f t="shared" si="12"/>
        <v>1.4551915228366852E-8</v>
      </c>
    </row>
    <row r="43" spans="2:36" x14ac:dyDescent="0.2">
      <c r="B43" t="s">
        <v>149</v>
      </c>
      <c r="C43" s="1">
        <v>0.9</v>
      </c>
      <c r="AA43" s="8">
        <v>39</v>
      </c>
      <c r="AB43" s="8">
        <f t="shared" si="13"/>
        <v>973.35376565752085</v>
      </c>
      <c r="AC43">
        <v>-1.4176748663885519E-9</v>
      </c>
      <c r="AD43" s="8">
        <f t="shared" si="14"/>
        <v>973.35376566479681</v>
      </c>
      <c r="AE43">
        <v>1.9683739083120599E-9</v>
      </c>
      <c r="AF43" s="8">
        <f t="shared" si="9"/>
        <v>973.35376566115883</v>
      </c>
      <c r="AG43">
        <v>2.7534952096175402E-10</v>
      </c>
      <c r="AH43" s="8">
        <f t="shared" si="10"/>
        <v>-3.903560953396064E-19</v>
      </c>
      <c r="AI43" s="8">
        <f t="shared" si="11"/>
        <v>5.4199081272734124E-19</v>
      </c>
      <c r="AJ43" s="8">
        <f t="shared" si="12"/>
        <v>7.2759576141834259E-9</v>
      </c>
    </row>
    <row r="44" spans="2:36" x14ac:dyDescent="0.2">
      <c r="C44" s="1">
        <v>50</v>
      </c>
      <c r="AA44" s="8">
        <v>40</v>
      </c>
      <c r="AB44" s="8">
        <f t="shared" si="13"/>
        <v>973.35376565752085</v>
      </c>
      <c r="AC44">
        <v>-1.4176748663885519E-9</v>
      </c>
      <c r="AD44" s="8">
        <f t="shared" si="14"/>
        <v>973.35376566115883</v>
      </c>
      <c r="AE44">
        <v>2.7534952096175402E-10</v>
      </c>
      <c r="AF44" s="11">
        <f t="shared" si="9"/>
        <v>973.35376565933984</v>
      </c>
      <c r="AG44">
        <v>-5.7104898587567732E-10</v>
      </c>
      <c r="AH44" s="8">
        <f t="shared" si="10"/>
        <v>8.095617947526189E-19</v>
      </c>
      <c r="AI44" s="8">
        <f t="shared" si="11"/>
        <v>-1.5723806470656319E-19</v>
      </c>
      <c r="AJ44" s="8">
        <f t="shared" si="12"/>
        <v>3.637978807091713E-9</v>
      </c>
    </row>
    <row r="45" spans="2:36" x14ac:dyDescent="0.2">
      <c r="C45" s="1">
        <v>6.4</v>
      </c>
    </row>
    <row r="46" spans="2:36" x14ac:dyDescent="0.2">
      <c r="C46" s="1">
        <v>1</v>
      </c>
    </row>
    <row r="49" spans="2:27" x14ac:dyDescent="0.2">
      <c r="B49" t="s">
        <v>151</v>
      </c>
      <c r="C49" s="1">
        <v>1.5</v>
      </c>
    </row>
    <row r="50" spans="2:27" x14ac:dyDescent="0.2">
      <c r="B50" t="s">
        <v>149</v>
      </c>
      <c r="C50" s="1">
        <v>0.78200689098041498</v>
      </c>
    </row>
    <row r="51" spans="2:27" x14ac:dyDescent="0.2">
      <c r="C51" s="1">
        <v>55</v>
      </c>
    </row>
    <row r="52" spans="2:27" x14ac:dyDescent="0.2">
      <c r="C52" s="1">
        <v>9.5011032278081</v>
      </c>
    </row>
    <row r="53" spans="2:27" x14ac:dyDescent="0.2">
      <c r="C53" s="1">
        <v>1.2999999999999901</v>
      </c>
    </row>
    <row r="55" spans="2:27" x14ac:dyDescent="0.2">
      <c r="AA55" s="8"/>
    </row>
    <row r="56" spans="2:27" x14ac:dyDescent="0.2">
      <c r="B56" t="s">
        <v>146</v>
      </c>
      <c r="C56" s="1">
        <v>1</v>
      </c>
      <c r="AA56" s="8"/>
    </row>
    <row r="57" spans="2:27" x14ac:dyDescent="0.2">
      <c r="B57" t="s">
        <v>148</v>
      </c>
      <c r="C57" s="1">
        <v>1</v>
      </c>
      <c r="AA57" s="8"/>
    </row>
    <row r="58" spans="2:27" x14ac:dyDescent="0.2">
      <c r="B58" t="s">
        <v>150</v>
      </c>
      <c r="C58" s="1">
        <v>30</v>
      </c>
    </row>
    <row r="59" spans="2:27" x14ac:dyDescent="0.2">
      <c r="C59" s="1">
        <v>8</v>
      </c>
    </row>
    <row r="60" spans="2:27" x14ac:dyDescent="0.2">
      <c r="C60" s="1">
        <v>1</v>
      </c>
    </row>
  </sheetData>
  <mergeCells count="14">
    <mergeCell ref="J3:L3"/>
    <mergeCell ref="J16:L16"/>
    <mergeCell ref="B1:D1"/>
    <mergeCell ref="B3:D3"/>
    <mergeCell ref="B11:D11"/>
    <mergeCell ref="B14:D14"/>
    <mergeCell ref="B38:D38"/>
    <mergeCell ref="F3:H3"/>
    <mergeCell ref="F7:H7"/>
    <mergeCell ref="F11:H11"/>
    <mergeCell ref="B19:D19"/>
    <mergeCell ref="B27:D27"/>
    <mergeCell ref="F15:H15"/>
    <mergeCell ref="B32:D32"/>
  </mergeCells>
  <conditionalFormatting sqref="G31">
    <cfRule type="containsText" dxfId="5" priority="1" operator="containsText" text="FALSE">
      <formula>NOT(ISERROR(SEARCH("FALSE",G31)))</formula>
    </cfRule>
    <cfRule type="containsText" dxfId="4" priority="2" operator="containsText" text="TRUE">
      <formula>NOT(ISERROR(SEARCH("TRUE",G31)))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9F6A-8712-2C4A-BDE2-261DEBFAF47B}">
  <dimension ref="B2:T36"/>
  <sheetViews>
    <sheetView topLeftCell="A2" workbookViewId="0">
      <selection activeCell="C24" sqref="C24"/>
    </sheetView>
  </sheetViews>
  <sheetFormatPr baseColWidth="10" defaultRowHeight="16" x14ac:dyDescent="0.2"/>
  <cols>
    <col min="2" max="2" width="17.1640625" customWidth="1"/>
  </cols>
  <sheetData>
    <row r="2" spans="2:8" x14ac:dyDescent="0.2">
      <c r="C2" t="s">
        <v>127</v>
      </c>
      <c r="D2" t="s">
        <v>112</v>
      </c>
      <c r="E2" t="s">
        <v>128</v>
      </c>
      <c r="F2" t="s">
        <v>129</v>
      </c>
      <c r="G2" t="s">
        <v>1</v>
      </c>
    </row>
    <row r="3" spans="2:8" x14ac:dyDescent="0.2">
      <c r="B3" t="s">
        <v>130</v>
      </c>
      <c r="C3">
        <v>3269</v>
      </c>
      <c r="D3">
        <v>2864</v>
      </c>
      <c r="E3">
        <v>3858</v>
      </c>
      <c r="F3">
        <v>4399</v>
      </c>
      <c r="G3">
        <v>3863</v>
      </c>
      <c r="H3" t="s">
        <v>125</v>
      </c>
    </row>
    <row r="4" spans="2:8" x14ac:dyDescent="0.2">
      <c r="B4" t="s">
        <v>120</v>
      </c>
      <c r="C4">
        <v>1</v>
      </c>
      <c r="D4">
        <v>4</v>
      </c>
      <c r="E4">
        <v>2</v>
      </c>
      <c r="F4">
        <v>4</v>
      </c>
      <c r="G4">
        <v>5</v>
      </c>
    </row>
    <row r="5" spans="2:8" x14ac:dyDescent="0.2">
      <c r="B5" t="s">
        <v>132</v>
      </c>
      <c r="C5">
        <v>6.6</v>
      </c>
      <c r="D5">
        <v>25.9</v>
      </c>
      <c r="E5">
        <v>4.7</v>
      </c>
      <c r="F5">
        <v>5.2</v>
      </c>
      <c r="G5">
        <v>15.8</v>
      </c>
      <c r="H5" t="s">
        <v>131</v>
      </c>
    </row>
    <row r="6" spans="2:8" x14ac:dyDescent="0.2">
      <c r="B6" t="s">
        <v>134</v>
      </c>
      <c r="C6">
        <f>2.5 * (C3/1000) ^ (2/3)</f>
        <v>5.5065969395516792</v>
      </c>
      <c r="D6">
        <f>0.0327*D3^0.8903</f>
        <v>39.110271131161461</v>
      </c>
      <c r="E6">
        <f>1.6 * (E3/1000) ^ (2/3)</f>
        <v>3.9357556858069622</v>
      </c>
      <c r="F6">
        <f>1.6 * (F3/1000) ^ (2/3)</f>
        <v>4.2955880345721758</v>
      </c>
      <c r="G6">
        <f>1.6 * (G3/1000) ^ (2/3)</f>
        <v>3.9391554663896855</v>
      </c>
    </row>
    <row r="7" spans="2:8" x14ac:dyDescent="0.2">
      <c r="B7" t="s">
        <v>133</v>
      </c>
      <c r="C7">
        <f>C5/((C3/1000)^(2/3))</f>
        <v>2.9964059801593814</v>
      </c>
      <c r="E7">
        <f>E5/((E3/1000)^(2/3))</f>
        <v>1.9106877053162785</v>
      </c>
      <c r="F7">
        <f>F5/((F3/1000)^(2/3))</f>
        <v>1.9368710251165047</v>
      </c>
      <c r="G7">
        <f>G5/((G3/1000)^(2/3))</f>
        <v>6.4176192627323809</v>
      </c>
    </row>
    <row r="8" spans="2:8" x14ac:dyDescent="0.2">
      <c r="B8" t="s">
        <v>143</v>
      </c>
      <c r="C8">
        <f>C3*$C$21*$C$20 / C4</f>
        <v>14546.191952880001</v>
      </c>
      <c r="D8">
        <f>D3*$C$21*$C$20 / D4</f>
        <v>3186.0120643199998</v>
      </c>
      <c r="E8">
        <f>E3*$C$21*$C$20 / E4</f>
        <v>8583.5436760800003</v>
      </c>
      <c r="F8">
        <f>F3*$C$21*$C$20 / F4</f>
        <v>4893.5988376200003</v>
      </c>
      <c r="G8">
        <f>G3*$C$21*$C$20 / (G4-1)</f>
        <v>4297.3340099400002</v>
      </c>
      <c r="H8" t="s">
        <v>37</v>
      </c>
    </row>
    <row r="9" spans="2:8" x14ac:dyDescent="0.2">
      <c r="B9" t="s">
        <v>118</v>
      </c>
      <c r="C9">
        <f>(C11/C4)*1000/C12</f>
        <v>8056.9509196123981</v>
      </c>
      <c r="D9">
        <f>(D11/D4)*1000/D12</f>
        <v>1117.8604285746135</v>
      </c>
      <c r="E9">
        <f>(E11/E4)*1000/E12</f>
        <v>2700.2055859367888</v>
      </c>
      <c r="F9">
        <f>(F11/F4)*1000/F12</f>
        <v>1161.4135684602581</v>
      </c>
      <c r="G9">
        <f>(G11/(G4-1))*1000/G12</f>
        <v>574.18899999999996</v>
      </c>
      <c r="H9" t="s">
        <v>119</v>
      </c>
    </row>
    <row r="10" spans="2:8" x14ac:dyDescent="0.2">
      <c r="B10" t="s">
        <v>137</v>
      </c>
      <c r="C10">
        <f>177*$C$19</f>
        <v>131.9889</v>
      </c>
      <c r="D10">
        <f>200*$C$19</f>
        <v>149.14000000000001</v>
      </c>
      <c r="E10">
        <f>138*$C$19</f>
        <v>102.9066</v>
      </c>
      <c r="F10">
        <f>100*$C$19</f>
        <v>74.570000000000007</v>
      </c>
      <c r="G10">
        <f>102*$C$19</f>
        <v>76.061400000000006</v>
      </c>
      <c r="H10" t="s">
        <v>121</v>
      </c>
    </row>
    <row r="11" spans="2:8" x14ac:dyDescent="0.2">
      <c r="B11" t="s">
        <v>136</v>
      </c>
      <c r="C11">
        <f>252*$C$19</f>
        <v>187.91640000000001</v>
      </c>
      <c r="D11">
        <f>240*$C$19</f>
        <v>178.96800000000002</v>
      </c>
      <c r="E11">
        <f>435*$C$19</f>
        <v>324.37950000000001</v>
      </c>
      <c r="F11">
        <f>680*$C$19</f>
        <v>507.07600000000002</v>
      </c>
      <c r="G11">
        <f>308*$C$19</f>
        <v>229.6756</v>
      </c>
      <c r="H11" t="s">
        <v>121</v>
      </c>
    </row>
    <row r="12" spans="2:8" x14ac:dyDescent="0.2">
      <c r="B12" t="s">
        <v>53</v>
      </c>
      <c r="C12">
        <v>23.323513060327823</v>
      </c>
      <c r="D12">
        <v>40.024674687743122</v>
      </c>
      <c r="E12">
        <v>60.065704198493883</v>
      </c>
      <c r="F12">
        <v>109.15061046519696</v>
      </c>
      <c r="G12">
        <v>100</v>
      </c>
      <c r="H12" t="s">
        <v>54</v>
      </c>
    </row>
    <row r="14" spans="2:8" x14ac:dyDescent="0.2">
      <c r="B14" t="s">
        <v>122</v>
      </c>
      <c r="C14">
        <f xml:space="preserve"> 2.20462/1000 * (7200/500 * (C8 - 300) + 800) * C4 * $C$18</f>
        <v>363.22466218038375</v>
      </c>
      <c r="D14">
        <f xml:space="preserve"> 2.20462/1000 * (7200/500 * (D8 - 300) + 800) * D4 * $C$18</f>
        <v>298.8305881864726</v>
      </c>
      <c r="E14">
        <f xml:space="preserve"> 2.20462/1000 * (7200/500 * (E8 - 300) + 800) * E4 * $C$18</f>
        <v>423.57991560303464</v>
      </c>
      <c r="F14">
        <f xml:space="preserve"> 2.20462/1000 * (7200/500 * (F8 - 300) + 800) * F4 * $C$18</f>
        <v>472.30243238166651</v>
      </c>
      <c r="G14">
        <f xml:space="preserve"> 2.20462/1000 * (7200/500 * (G8 - 300) + 800) * (G4-1) * $C$18</f>
        <v>411.72855063012003</v>
      </c>
      <c r="H14" t="s">
        <v>125</v>
      </c>
    </row>
    <row r="15" spans="2:8" x14ac:dyDescent="0.2">
      <c r="B15" t="s">
        <v>123</v>
      </c>
      <c r="C15">
        <f>2.20462 * (58/990 * (C9 - 10) + 2) * C4 * $C$18</f>
        <v>834.99987548360514</v>
      </c>
      <c r="D15">
        <f>2.20462 * (58/990 * (D9 - 10) + 2) * D4 * $C$18</f>
        <v>472.0000018313101</v>
      </c>
      <c r="E15">
        <f>2.20462 * (58/990 * (E9 - 10) + 2) * E4 * $C$18</f>
        <v>562.99999653226962</v>
      </c>
      <c r="F15">
        <f>2.20462 * (58/990 * (F9 - 10) + 2) * F4 * $C$18</f>
        <v>490.00097524148214</v>
      </c>
      <c r="G15">
        <f>2.20462 * (58/990 * (G9 - 10) + 2) * G4 * $C$18</f>
        <v>309.11856195733338</v>
      </c>
      <c r="H15" t="s">
        <v>125</v>
      </c>
    </row>
    <row r="16" spans="2:8" x14ac:dyDescent="0.2">
      <c r="B16" t="s">
        <v>124</v>
      </c>
      <c r="C16">
        <f>2.20462 * (49.9/398 * (C11/C4-2) + 0.1) * C4 * $C$18</f>
        <v>41.287451382961208</v>
      </c>
      <c r="D16">
        <f>2.20462 * (49.9/398 * (D11/D4-2) + 0.1) * D4 * $C$18</f>
        <v>38.511069677957792</v>
      </c>
      <c r="E16">
        <f>2.20462 * (49.9/398 * (E11/E4-2) + 0.1) * E4 * $C$18</f>
        <v>71.197203841549751</v>
      </c>
      <c r="F16">
        <f>2.20462 * (49.9/398 * (F11/F4-2) + 0.1) * F4 * $C$18</f>
        <v>111.06451209424725</v>
      </c>
      <c r="G16">
        <f>2.20462*(49.9/398*(G11/4-2)+0.1)*4*$C$18 + 2.20462*(49.9/398*(G10/1-2)+0.1)*1*$C$18</f>
        <v>66.277197701519597</v>
      </c>
      <c r="H16" t="s">
        <v>125</v>
      </c>
    </row>
    <row r="18" spans="2:20" x14ac:dyDescent="0.2">
      <c r="B18" t="s">
        <v>126</v>
      </c>
      <c r="C18">
        <v>0.8</v>
      </c>
    </row>
    <row r="19" spans="2:20" x14ac:dyDescent="0.2">
      <c r="B19" t="s">
        <v>138</v>
      </c>
      <c r="C19">
        <v>0.74570000000000003</v>
      </c>
      <c r="K19" t="s">
        <v>153</v>
      </c>
      <c r="L19">
        <v>84</v>
      </c>
      <c r="M19">
        <v>90</v>
      </c>
      <c r="N19">
        <v>105</v>
      </c>
      <c r="O19">
        <v>129</v>
      </c>
      <c r="P19">
        <v>138</v>
      </c>
      <c r="Q19">
        <v>162</v>
      </c>
      <c r="R19">
        <v>168</v>
      </c>
      <c r="S19">
        <v>178</v>
      </c>
      <c r="T19">
        <v>210</v>
      </c>
    </row>
    <row r="20" spans="2:20" x14ac:dyDescent="0.2">
      <c r="B20" t="s">
        <v>141</v>
      </c>
      <c r="C20">
        <v>9.81</v>
      </c>
      <c r="K20" t="s">
        <v>154</v>
      </c>
      <c r="L20">
        <v>400</v>
      </c>
      <c r="M20">
        <v>425</v>
      </c>
      <c r="N20">
        <v>500</v>
      </c>
      <c r="O20">
        <v>400</v>
      </c>
      <c r="P20">
        <v>425</v>
      </c>
      <c r="Q20">
        <v>500</v>
      </c>
      <c r="R20">
        <v>400</v>
      </c>
      <c r="S20">
        <v>425</v>
      </c>
      <c r="T20">
        <v>500</v>
      </c>
    </row>
    <row r="21" spans="2:20" x14ac:dyDescent="0.2">
      <c r="B21" t="s">
        <v>142</v>
      </c>
      <c r="C21">
        <v>0.453592</v>
      </c>
      <c r="K21" t="s">
        <v>155</v>
      </c>
      <c r="L21">
        <f>9550*L19/L20</f>
        <v>2005.5</v>
      </c>
      <c r="M21">
        <f t="shared" ref="M21:Q21" si="0">9550*M19/M20</f>
        <v>2022.3529411764705</v>
      </c>
      <c r="N21">
        <f t="shared" si="0"/>
        <v>2005.5</v>
      </c>
      <c r="O21">
        <f t="shared" si="0"/>
        <v>3079.875</v>
      </c>
      <c r="P21">
        <f t="shared" si="0"/>
        <v>3100.9411764705883</v>
      </c>
      <c r="Q21">
        <f t="shared" si="0"/>
        <v>3094.2</v>
      </c>
      <c r="R21">
        <f t="shared" ref="R21" si="1">9550*R19/R20</f>
        <v>4011</v>
      </c>
      <c r="S21">
        <f t="shared" ref="S21" si="2">9550*S19/S20</f>
        <v>3999.7647058823532</v>
      </c>
      <c r="T21">
        <f t="shared" ref="T21" si="3">9550*T19/T20</f>
        <v>4011</v>
      </c>
    </row>
    <row r="24" spans="2:20" x14ac:dyDescent="0.2">
      <c r="C24">
        <v>835</v>
      </c>
      <c r="D24">
        <v>472</v>
      </c>
      <c r="E24">
        <v>563</v>
      </c>
      <c r="F24">
        <v>490</v>
      </c>
      <c r="G24">
        <v>405</v>
      </c>
    </row>
    <row r="25" spans="2:20" x14ac:dyDescent="0.2">
      <c r="C25">
        <f>C15-C24</f>
        <v>-1.2451639486243948E-4</v>
      </c>
      <c r="D25">
        <f>D15-D24</f>
        <v>1.8313101008970989E-6</v>
      </c>
      <c r="E25">
        <f>E15-E24</f>
        <v>-3.4677303801800008E-6</v>
      </c>
      <c r="F25">
        <f>F15-F24</f>
        <v>9.7524148213778972E-4</v>
      </c>
      <c r="G25">
        <f>G15-G24</f>
        <v>-95.881438042666616</v>
      </c>
    </row>
    <row r="32" spans="2:20" x14ac:dyDescent="0.2">
      <c r="D32">
        <v>30000</v>
      </c>
      <c r="E32">
        <v>30000</v>
      </c>
    </row>
    <row r="33" spans="4:5" x14ac:dyDescent="0.2">
      <c r="D33">
        <v>240</v>
      </c>
      <c r="E33">
        <v>240</v>
      </c>
    </row>
    <row r="34" spans="4:5" x14ac:dyDescent="0.2">
      <c r="D34">
        <v>26.2</v>
      </c>
      <c r="E34">
        <v>60</v>
      </c>
    </row>
    <row r="35" spans="4:5" x14ac:dyDescent="0.2">
      <c r="D35">
        <f>240+D32/D34</f>
        <v>1385.0381679389313</v>
      </c>
      <c r="E35">
        <f>E33+E32/E34</f>
        <v>740</v>
      </c>
    </row>
    <row r="36" spans="4:5" x14ac:dyDescent="0.2">
      <c r="D36">
        <f>D35/60</f>
        <v>23.083969465648856</v>
      </c>
      <c r="E36">
        <f>E35/60</f>
        <v>12.333333333333334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</vt:lpstr>
      <vt:lpstr>lift+cruise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2024-07-17T11:28:19Z</dcterms:modified>
</cp:coreProperties>
</file>