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fiyandyhr/Github_Repos/MCEVS/examples/mtow_estimation/"/>
    </mc:Choice>
  </mc:AlternateContent>
  <xr:revisionPtr revIDLastSave="0" documentId="13_ncr:1_{F1E1EF1F-F069-9B47-867D-13480C414BE2}" xr6:coauthVersionLast="47" xr6:coauthVersionMax="47" xr10:uidLastSave="{00000000-0000-0000-0000-000000000000}"/>
  <bookViews>
    <workbookView xWindow="0" yWindow="740" windowWidth="30240" windowHeight="18900" activeTab="5" xr2:uid="{843CD013-835A-1741-B375-CD508AE79BD2}"/>
  </bookViews>
  <sheets>
    <sheet name="multirotor_fidelity0" sheetId="13" r:id="rId1"/>
    <sheet name="multirotor_fidelity1" sheetId="14" r:id="rId2"/>
    <sheet name="multirotor_fidelity2" sheetId="9" r:id="rId3"/>
    <sheet name="lift+cruise_fidelity0" sheetId="12" r:id="rId4"/>
    <sheet name="lift+cruise_fidelity1" sheetId="15" r:id="rId5"/>
    <sheet name="lift+cruise_fidelity2" sheetId="10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45" i="13" l="1"/>
  <c r="O46" i="13" s="1"/>
  <c r="G7" i="13"/>
  <c r="G8" i="13" s="1"/>
  <c r="O20" i="14"/>
  <c r="G7" i="15"/>
  <c r="G8" i="15" s="1"/>
  <c r="O21" i="15"/>
  <c r="O19" i="15"/>
  <c r="O5" i="15"/>
  <c r="AH4" i="15"/>
  <c r="AD4" i="15"/>
  <c r="G7" i="14"/>
  <c r="G8" i="14" s="1"/>
  <c r="O8" i="14"/>
  <c r="AH4" i="14"/>
  <c r="AD4" i="14"/>
  <c r="C57" i="15"/>
  <c r="C56" i="15"/>
  <c r="C52" i="15"/>
  <c r="C51" i="15"/>
  <c r="AR44" i="15"/>
  <c r="AQ44" i="15"/>
  <c r="AR43" i="15"/>
  <c r="AQ43" i="15"/>
  <c r="AR42" i="15"/>
  <c r="AQ42" i="15"/>
  <c r="AR41" i="15"/>
  <c r="AQ41" i="15"/>
  <c r="AR40" i="15"/>
  <c r="AQ40" i="15"/>
  <c r="AR39" i="15"/>
  <c r="AQ39" i="15"/>
  <c r="C42" i="15"/>
  <c r="AR38" i="15"/>
  <c r="AQ38" i="15"/>
  <c r="AR37" i="15"/>
  <c r="AQ37" i="15"/>
  <c r="AR36" i="15"/>
  <c r="AQ36" i="15"/>
  <c r="AR35" i="15"/>
  <c r="AQ35" i="15"/>
  <c r="AR34" i="15"/>
  <c r="AQ34" i="15"/>
  <c r="AR33" i="15"/>
  <c r="AQ33" i="15"/>
  <c r="AR32" i="15"/>
  <c r="AQ32" i="15"/>
  <c r="AR31" i="15"/>
  <c r="AQ31" i="15"/>
  <c r="AR30" i="15"/>
  <c r="AQ30" i="15"/>
  <c r="AR29" i="15"/>
  <c r="AQ29" i="15"/>
  <c r="AR28" i="15"/>
  <c r="AQ28" i="15"/>
  <c r="AR27" i="15"/>
  <c r="AQ27" i="15"/>
  <c r="AR26" i="15"/>
  <c r="AQ26" i="15"/>
  <c r="AR25" i="15"/>
  <c r="AQ25" i="15"/>
  <c r="AR24" i="15"/>
  <c r="AQ24" i="15"/>
  <c r="G28" i="15"/>
  <c r="AR23" i="15"/>
  <c r="AQ23" i="15"/>
  <c r="G27" i="15"/>
  <c r="AR22" i="15"/>
  <c r="AQ22" i="15"/>
  <c r="AR21" i="15"/>
  <c r="AQ21" i="15"/>
  <c r="S21" i="15"/>
  <c r="G18" i="15" s="1"/>
  <c r="G19" i="15" s="1"/>
  <c r="AR20" i="15"/>
  <c r="AQ20" i="15"/>
  <c r="AR19" i="15"/>
  <c r="AQ19" i="15"/>
  <c r="S19" i="15"/>
  <c r="AR18" i="15"/>
  <c r="AQ18" i="15"/>
  <c r="AR17" i="15"/>
  <c r="AQ17" i="15"/>
  <c r="AR16" i="15"/>
  <c r="AQ16" i="15"/>
  <c r="C17" i="15"/>
  <c r="K42" i="15" s="1"/>
  <c r="AR15" i="15"/>
  <c r="AQ15" i="15"/>
  <c r="AR14" i="15"/>
  <c r="AQ14" i="15"/>
  <c r="AR13" i="15"/>
  <c r="AQ13" i="15"/>
  <c r="G17" i="15"/>
  <c r="AR12" i="15"/>
  <c r="AQ12" i="15"/>
  <c r="AR11" i="15"/>
  <c r="AQ11" i="15"/>
  <c r="S11" i="15"/>
  <c r="C12" i="15"/>
  <c r="C31" i="15" s="1"/>
  <c r="AR10" i="15"/>
  <c r="AQ10" i="15"/>
  <c r="AR9" i="15"/>
  <c r="AQ9" i="15"/>
  <c r="C10" i="15"/>
  <c r="C24" i="15" s="1"/>
  <c r="AR8" i="15"/>
  <c r="AQ8" i="15"/>
  <c r="AR7" i="15"/>
  <c r="AQ7" i="15"/>
  <c r="AR6" i="15"/>
  <c r="AQ6" i="15"/>
  <c r="AS5" i="15"/>
  <c r="AR5" i="15"/>
  <c r="AQ5" i="15"/>
  <c r="AK6" i="15" s="1"/>
  <c r="AO5" i="15"/>
  <c r="S5" i="15"/>
  <c r="G5" i="15"/>
  <c r="AH38" i="15"/>
  <c r="AD38" i="15"/>
  <c r="G4" i="15"/>
  <c r="O22" i="15" s="1"/>
  <c r="AR44" i="14"/>
  <c r="AQ44" i="14"/>
  <c r="AR43" i="14"/>
  <c r="AQ43" i="14"/>
  <c r="AR42" i="14"/>
  <c r="AQ42" i="14"/>
  <c r="AR41" i="14"/>
  <c r="AQ41" i="14"/>
  <c r="AR40" i="14"/>
  <c r="AQ40" i="14"/>
  <c r="AR39" i="14"/>
  <c r="AQ39" i="14"/>
  <c r="AR38" i="14"/>
  <c r="AQ38" i="14"/>
  <c r="AR37" i="14"/>
  <c r="AQ37" i="14"/>
  <c r="AR36" i="14"/>
  <c r="AQ36" i="14"/>
  <c r="AR35" i="14"/>
  <c r="AQ35" i="14"/>
  <c r="AR34" i="14"/>
  <c r="AQ34" i="14"/>
  <c r="AR33" i="14"/>
  <c r="AQ33" i="14"/>
  <c r="AR32" i="14"/>
  <c r="AQ32" i="14"/>
  <c r="AR31" i="14"/>
  <c r="AQ31" i="14"/>
  <c r="C33" i="14"/>
  <c r="AR30" i="14"/>
  <c r="AQ30" i="14"/>
  <c r="AR29" i="14"/>
  <c r="AQ29" i="14"/>
  <c r="C31" i="14"/>
  <c r="AR28" i="14"/>
  <c r="AQ28" i="14"/>
  <c r="AR27" i="14"/>
  <c r="AQ27" i="14"/>
  <c r="AR26" i="14"/>
  <c r="AQ26" i="14"/>
  <c r="AR25" i="14"/>
  <c r="AQ25" i="14"/>
  <c r="G28" i="14"/>
  <c r="AR24" i="14"/>
  <c r="AQ24" i="14"/>
  <c r="G27" i="14"/>
  <c r="AR23" i="14"/>
  <c r="AQ23" i="14"/>
  <c r="AR22" i="14"/>
  <c r="AQ22" i="14"/>
  <c r="AR21" i="14"/>
  <c r="AQ21" i="14"/>
  <c r="K21" i="14"/>
  <c r="AR20" i="14"/>
  <c r="AQ20" i="14"/>
  <c r="S20" i="14"/>
  <c r="G18" i="14" s="1"/>
  <c r="G19" i="14" s="1"/>
  <c r="K20" i="14"/>
  <c r="AR19" i="14"/>
  <c r="AQ19" i="14"/>
  <c r="AR18" i="14"/>
  <c r="AQ18" i="14"/>
  <c r="AR17" i="14"/>
  <c r="AQ17" i="14"/>
  <c r="AR16" i="14"/>
  <c r="AQ16" i="14"/>
  <c r="AR15" i="14"/>
  <c r="AQ15" i="14"/>
  <c r="AR14" i="14"/>
  <c r="AQ14" i="14"/>
  <c r="AR13" i="14"/>
  <c r="AQ13" i="14"/>
  <c r="AR12" i="14"/>
  <c r="AQ12" i="14"/>
  <c r="C13" i="14"/>
  <c r="AR11" i="14"/>
  <c r="AQ11" i="14"/>
  <c r="AR10" i="14"/>
  <c r="AQ10" i="14"/>
  <c r="AR9" i="14"/>
  <c r="AQ9" i="14"/>
  <c r="C10" i="14"/>
  <c r="C20" i="14" s="1"/>
  <c r="AR8" i="14"/>
  <c r="AQ8" i="14"/>
  <c r="AR7" i="14"/>
  <c r="AQ7" i="14"/>
  <c r="S7" i="14"/>
  <c r="C8" i="14"/>
  <c r="S4" i="14" s="1"/>
  <c r="AR6" i="14"/>
  <c r="AQ6" i="14"/>
  <c r="AS5" i="14"/>
  <c r="AR5" i="14"/>
  <c r="AQ5" i="14"/>
  <c r="AK6" i="14" s="1"/>
  <c r="AO5" i="14"/>
  <c r="G5" i="14"/>
  <c r="AH38" i="14"/>
  <c r="AD38" i="14"/>
  <c r="G4" i="14"/>
  <c r="O4" i="14" s="1"/>
  <c r="C9" i="12"/>
  <c r="O11" i="12"/>
  <c r="O5" i="12"/>
  <c r="O19" i="12"/>
  <c r="O7" i="13"/>
  <c r="C8" i="13"/>
  <c r="AN44" i="13"/>
  <c r="AM44" i="13"/>
  <c r="AN43" i="13"/>
  <c r="AM43" i="13"/>
  <c r="AN42" i="13"/>
  <c r="AM42" i="13"/>
  <c r="AN41" i="13"/>
  <c r="AM41" i="13"/>
  <c r="AN40" i="13"/>
  <c r="AM40" i="13"/>
  <c r="AN39" i="13"/>
  <c r="AM39" i="13"/>
  <c r="AN38" i="13"/>
  <c r="AM38" i="13"/>
  <c r="AN37" i="13"/>
  <c r="AM37" i="13"/>
  <c r="AN36" i="13"/>
  <c r="AM36" i="13"/>
  <c r="AN35" i="13"/>
  <c r="AM35" i="13"/>
  <c r="AN34" i="13"/>
  <c r="AM34" i="13"/>
  <c r="AN33" i="13"/>
  <c r="AM33" i="13"/>
  <c r="AN32" i="13"/>
  <c r="AM32" i="13"/>
  <c r="AN31" i="13"/>
  <c r="AM31" i="13"/>
  <c r="C33" i="13"/>
  <c r="AN30" i="13"/>
  <c r="AM30" i="13"/>
  <c r="AN29" i="13"/>
  <c r="AM29" i="13"/>
  <c r="C31" i="13"/>
  <c r="AN28" i="13"/>
  <c r="AM28" i="13"/>
  <c r="AN27" i="13"/>
  <c r="AM27" i="13"/>
  <c r="AN26" i="13"/>
  <c r="AM26" i="13"/>
  <c r="AN25" i="13"/>
  <c r="AM25" i="13"/>
  <c r="G26" i="13"/>
  <c r="AN24" i="13"/>
  <c r="AM24" i="13"/>
  <c r="G25" i="13"/>
  <c r="AN23" i="13"/>
  <c r="AM23" i="13"/>
  <c r="AN22" i="13"/>
  <c r="AM22" i="13"/>
  <c r="AN21" i="13"/>
  <c r="AM21" i="13"/>
  <c r="K21" i="13"/>
  <c r="AN20" i="13"/>
  <c r="AM20" i="13"/>
  <c r="O20" i="13"/>
  <c r="G16" i="13" s="1"/>
  <c r="G17" i="13" s="1"/>
  <c r="K20" i="13"/>
  <c r="AN19" i="13"/>
  <c r="AM19" i="13"/>
  <c r="AN18" i="13"/>
  <c r="AM18" i="13"/>
  <c r="AN17" i="13"/>
  <c r="AM17" i="13"/>
  <c r="AN16" i="13"/>
  <c r="AM16" i="13"/>
  <c r="AN15" i="13"/>
  <c r="AM15" i="13"/>
  <c r="AN14" i="13"/>
  <c r="AM14" i="13"/>
  <c r="AN13" i="13"/>
  <c r="AM13" i="13"/>
  <c r="AN12" i="13"/>
  <c r="AM12" i="13"/>
  <c r="C13" i="13"/>
  <c r="AN11" i="13"/>
  <c r="AM11" i="13"/>
  <c r="AN10" i="13"/>
  <c r="AM10" i="13"/>
  <c r="AN9" i="13"/>
  <c r="AM9" i="13"/>
  <c r="C10" i="13"/>
  <c r="C20" i="13" s="1"/>
  <c r="AN8" i="13"/>
  <c r="AM8" i="13"/>
  <c r="AN7" i="13"/>
  <c r="AM7" i="13"/>
  <c r="O4" i="13"/>
  <c r="AN6" i="13"/>
  <c r="AM6" i="13"/>
  <c r="G6" i="13"/>
  <c r="AO5" i="13"/>
  <c r="AN5" i="13"/>
  <c r="AI6" i="13" s="1"/>
  <c r="AM5" i="13"/>
  <c r="AG6" i="13" s="1"/>
  <c r="AK5" i="13"/>
  <c r="G5" i="13"/>
  <c r="AD4" i="13"/>
  <c r="Z4" i="13"/>
  <c r="G4" i="13"/>
  <c r="S22" i="15" l="1"/>
  <c r="G27" i="13"/>
  <c r="O25" i="15"/>
  <c r="G6" i="15"/>
  <c r="AM6" i="15"/>
  <c r="AO6" i="15" s="1"/>
  <c r="AK7" i="15" s="1"/>
  <c r="S25" i="15"/>
  <c r="G29" i="15"/>
  <c r="K11" i="15" s="1"/>
  <c r="G29" i="14"/>
  <c r="G6" i="14"/>
  <c r="AM6" i="14"/>
  <c r="AS6" i="14" s="1"/>
  <c r="G17" i="14"/>
  <c r="K9" i="14" s="1"/>
  <c r="K31" i="14"/>
  <c r="AO6" i="13"/>
  <c r="AK6" i="13"/>
  <c r="AG7" i="13" s="1"/>
  <c r="G15" i="13"/>
  <c r="K9" i="13" s="1"/>
  <c r="K31" i="13"/>
  <c r="AM7" i="15" l="1"/>
  <c r="AO7" i="15" s="1"/>
  <c r="AM8" i="15" s="1"/>
  <c r="AS6" i="15"/>
  <c r="AM7" i="14"/>
  <c r="AO6" i="14"/>
  <c r="AK7" i="14" s="1"/>
  <c r="AK8" i="15"/>
  <c r="AI7" i="13"/>
  <c r="AK7" i="13" s="1"/>
  <c r="AI8" i="13" s="1"/>
  <c r="AS7" i="15" l="1"/>
  <c r="AS7" i="14"/>
  <c r="AS8" i="15"/>
  <c r="AO7" i="14"/>
  <c r="AM8" i="14" s="1"/>
  <c r="AO8" i="15"/>
  <c r="AK9" i="15" s="1"/>
  <c r="AO7" i="13"/>
  <c r="AG8" i="13"/>
  <c r="AK8" i="13" s="1"/>
  <c r="AM9" i="15" l="1"/>
  <c r="AS9" i="15" s="1"/>
  <c r="AK8" i="14"/>
  <c r="AO8" i="14" s="1"/>
  <c r="AO8" i="13"/>
  <c r="AI9" i="13"/>
  <c r="AG9" i="13"/>
  <c r="AO9" i="15" l="1"/>
  <c r="AK10" i="15"/>
  <c r="AM10" i="15"/>
  <c r="AS8" i="14"/>
  <c r="AK9" i="14"/>
  <c r="AM9" i="14"/>
  <c r="AK9" i="13"/>
  <c r="AO9" i="13"/>
  <c r="AS10" i="15" l="1"/>
  <c r="AO10" i="15"/>
  <c r="AS9" i="14"/>
  <c r="AO9" i="14"/>
  <c r="AG10" i="13"/>
  <c r="AI10" i="13"/>
  <c r="AK11" i="15" l="1"/>
  <c r="AM11" i="15"/>
  <c r="AK10" i="14"/>
  <c r="AM10" i="14"/>
  <c r="AO10" i="13"/>
  <c r="AK10" i="13"/>
  <c r="AG11" i="13" s="1"/>
  <c r="AS10" i="14" l="1"/>
  <c r="AS11" i="15"/>
  <c r="AO11" i="15"/>
  <c r="AM12" i="15" s="1"/>
  <c r="AO10" i="14"/>
  <c r="AI11" i="13"/>
  <c r="AK11" i="13" s="1"/>
  <c r="AK12" i="15" l="1"/>
  <c r="AS12" i="15" s="1"/>
  <c r="AK11" i="14"/>
  <c r="AM11" i="14"/>
  <c r="AS11" i="14" s="1"/>
  <c r="AO11" i="13"/>
  <c r="AG12" i="13"/>
  <c r="AI12" i="13"/>
  <c r="AO12" i="15" l="1"/>
  <c r="AK13" i="15" s="1"/>
  <c r="AM13" i="15"/>
  <c r="AO11" i="14"/>
  <c r="AO12" i="13"/>
  <c r="AK12" i="13"/>
  <c r="AI13" i="13" s="1"/>
  <c r="AS13" i="15" l="1"/>
  <c r="AO13" i="15"/>
  <c r="AM14" i="15" s="1"/>
  <c r="AM12" i="14"/>
  <c r="AK12" i="14"/>
  <c r="AG13" i="13"/>
  <c r="AK13" i="13" s="1"/>
  <c r="AI14" i="13" s="1"/>
  <c r="AK14" i="15" l="1"/>
  <c r="AO14" i="15" s="1"/>
  <c r="AK15" i="15" s="1"/>
  <c r="AM15" i="15"/>
  <c r="AO12" i="14"/>
  <c r="AK13" i="14"/>
  <c r="AM13" i="14"/>
  <c r="AS12" i="14"/>
  <c r="AO13" i="13"/>
  <c r="AG14" i="13"/>
  <c r="AO14" i="13" s="1"/>
  <c r="AS14" i="15" l="1"/>
  <c r="AS15" i="15"/>
  <c r="AO15" i="15"/>
  <c r="AO13" i="14"/>
  <c r="AS13" i="14"/>
  <c r="AK14" i="13"/>
  <c r="AG15" i="13" s="1"/>
  <c r="AI15" i="13"/>
  <c r="AK16" i="15" l="1"/>
  <c r="AM16" i="15"/>
  <c r="AM14" i="14"/>
  <c r="AK14" i="14"/>
  <c r="AK15" i="13"/>
  <c r="AO15" i="13"/>
  <c r="AS16" i="15" l="1"/>
  <c r="AO16" i="15"/>
  <c r="AO14" i="14"/>
  <c r="AM15" i="14"/>
  <c r="AK15" i="14"/>
  <c r="AS14" i="14"/>
  <c r="AG16" i="13"/>
  <c r="AI16" i="13"/>
  <c r="AK17" i="15" l="1"/>
  <c r="AM17" i="15"/>
  <c r="AO15" i="14"/>
  <c r="AK16" i="14" s="1"/>
  <c r="AM16" i="14"/>
  <c r="AS15" i="14"/>
  <c r="AO16" i="13"/>
  <c r="AK16" i="13"/>
  <c r="AS17" i="15" l="1"/>
  <c r="AO17" i="15"/>
  <c r="AS16" i="14"/>
  <c r="AO16" i="14"/>
  <c r="AG17" i="13"/>
  <c r="AI17" i="13"/>
  <c r="AM18" i="15" l="1"/>
  <c r="AK18" i="15"/>
  <c r="AM17" i="14"/>
  <c r="AK17" i="14"/>
  <c r="AO17" i="14" s="1"/>
  <c r="AK17" i="13"/>
  <c r="AO17" i="13"/>
  <c r="AO18" i="15" l="1"/>
  <c r="AK19" i="15" s="1"/>
  <c r="AM19" i="15"/>
  <c r="AS18" i="15"/>
  <c r="AK18" i="14"/>
  <c r="AM18" i="14"/>
  <c r="AS17" i="14"/>
  <c r="AI18" i="13"/>
  <c r="AG18" i="13"/>
  <c r="AS19" i="15" l="1"/>
  <c r="AO19" i="15"/>
  <c r="AS18" i="14"/>
  <c r="AO18" i="14"/>
  <c r="AK18" i="13"/>
  <c r="AG19" i="13" s="1"/>
  <c r="AO18" i="13"/>
  <c r="AK20" i="15" l="1"/>
  <c r="AM20" i="15"/>
  <c r="AK19" i="14"/>
  <c r="AM19" i="14"/>
  <c r="AI19" i="13"/>
  <c r="AO19" i="13" s="1"/>
  <c r="AS20" i="15" l="1"/>
  <c r="AO20" i="15"/>
  <c r="AK19" i="13"/>
  <c r="AG20" i="13" s="1"/>
  <c r="AS19" i="14"/>
  <c r="AO19" i="14"/>
  <c r="AK20" i="14" s="1"/>
  <c r="AI20" i="13"/>
  <c r="AK21" i="15" l="1"/>
  <c r="AM21" i="15"/>
  <c r="AM20" i="14"/>
  <c r="AS20" i="14" s="1"/>
  <c r="AO20" i="13"/>
  <c r="AK20" i="13"/>
  <c r="AS21" i="15" l="1"/>
  <c r="AO21" i="15"/>
  <c r="AM22" i="15" s="1"/>
  <c r="AO20" i="14"/>
  <c r="AG21" i="13"/>
  <c r="AI21" i="13"/>
  <c r="AK22" i="15" l="1"/>
  <c r="AO22" i="15" s="1"/>
  <c r="AM21" i="14"/>
  <c r="AK21" i="14"/>
  <c r="AO21" i="13"/>
  <c r="AK21" i="13"/>
  <c r="AS22" i="15" l="1"/>
  <c r="AK23" i="15"/>
  <c r="AM23" i="15"/>
  <c r="AO21" i="14"/>
  <c r="AM22" i="14" s="1"/>
  <c r="AS21" i="14"/>
  <c r="AG22" i="13"/>
  <c r="AI22" i="13"/>
  <c r="AS23" i="15" l="1"/>
  <c r="AO23" i="15"/>
  <c r="AK24" i="15" s="1"/>
  <c r="AK22" i="14"/>
  <c r="AO22" i="14" s="1"/>
  <c r="AO22" i="13"/>
  <c r="AK22" i="13"/>
  <c r="AM24" i="15" l="1"/>
  <c r="AO24" i="15" s="1"/>
  <c r="AK23" i="14"/>
  <c r="AM23" i="14"/>
  <c r="AS22" i="14"/>
  <c r="AG23" i="13"/>
  <c r="AI23" i="13"/>
  <c r="AS24" i="15" l="1"/>
  <c r="AM25" i="15"/>
  <c r="AK25" i="15"/>
  <c r="AS23" i="14"/>
  <c r="AO23" i="14"/>
  <c r="AO23" i="13"/>
  <c r="AK23" i="13"/>
  <c r="AO25" i="15" l="1"/>
  <c r="AM26" i="15" s="1"/>
  <c r="AK26" i="15"/>
  <c r="AS25" i="15"/>
  <c r="AM24" i="14"/>
  <c r="AK24" i="14"/>
  <c r="AG24" i="13"/>
  <c r="AI24" i="13"/>
  <c r="AO24" i="14" l="1"/>
  <c r="AS26" i="15"/>
  <c r="AO26" i="15"/>
  <c r="AK27" i="15" s="1"/>
  <c r="AM25" i="14"/>
  <c r="AK25" i="14"/>
  <c r="AS24" i="14"/>
  <c r="AO24" i="13"/>
  <c r="AK24" i="13"/>
  <c r="AO25" i="14" l="1"/>
  <c r="AM27" i="15"/>
  <c r="AK26" i="14"/>
  <c r="AM26" i="14"/>
  <c r="AS25" i="14"/>
  <c r="AI25" i="13"/>
  <c r="AG25" i="13"/>
  <c r="AO27" i="15" l="1"/>
  <c r="AS27" i="15"/>
  <c r="AS26" i="14"/>
  <c r="AO26" i="14"/>
  <c r="AK25" i="13"/>
  <c r="AI26" i="13" s="1"/>
  <c r="AG26" i="13"/>
  <c r="AO25" i="13"/>
  <c r="AK28" i="15" l="1"/>
  <c r="AM28" i="15"/>
  <c r="AK27" i="14"/>
  <c r="AM27" i="14"/>
  <c r="AO26" i="13"/>
  <c r="AK26" i="13"/>
  <c r="AS27" i="14" l="1"/>
  <c r="AS28" i="15"/>
  <c r="AO28" i="15"/>
  <c r="AO27" i="14"/>
  <c r="AI27" i="13"/>
  <c r="AG27" i="13"/>
  <c r="AK29" i="15" l="1"/>
  <c r="AM29" i="15"/>
  <c r="AM28" i="14"/>
  <c r="AK28" i="14"/>
  <c r="AK27" i="13"/>
  <c r="AI28" i="13" s="1"/>
  <c r="AO27" i="13"/>
  <c r="AS29" i="15" l="1"/>
  <c r="AO29" i="15"/>
  <c r="AO28" i="14"/>
  <c r="AM29" i="14"/>
  <c r="AK29" i="14"/>
  <c r="AS28" i="14"/>
  <c r="AG28" i="13"/>
  <c r="AO28" i="13" s="1"/>
  <c r="AK30" i="15" l="1"/>
  <c r="AM30" i="15"/>
  <c r="AO29" i="14"/>
  <c r="AK30" i="14"/>
  <c r="AM30" i="14"/>
  <c r="AS29" i="14"/>
  <c r="AK28" i="13"/>
  <c r="AG29" i="13" s="1"/>
  <c r="AI29" i="13"/>
  <c r="AS30" i="15" l="1"/>
  <c r="AO30" i="15"/>
  <c r="AK31" i="15" s="1"/>
  <c r="AS30" i="14"/>
  <c r="AO30" i="14"/>
  <c r="O7" i="15"/>
  <c r="O9" i="15" s="1"/>
  <c r="O9" i="14"/>
  <c r="O10" i="14" s="1"/>
  <c r="AK29" i="13"/>
  <c r="AO29" i="13"/>
  <c r="AM31" i="15" l="1"/>
  <c r="AS31" i="15" s="1"/>
  <c r="AM31" i="14"/>
  <c r="AK31" i="14"/>
  <c r="O10" i="15"/>
  <c r="O12" i="15"/>
  <c r="O18" i="14"/>
  <c r="AG30" i="13"/>
  <c r="AI30" i="13"/>
  <c r="AO31" i="15" l="1"/>
  <c r="AO31" i="14"/>
  <c r="AK32" i="14" s="1"/>
  <c r="AM32" i="14"/>
  <c r="AS31" i="14"/>
  <c r="O21" i="14"/>
  <c r="O24" i="14" s="1"/>
  <c r="O14" i="15"/>
  <c r="AK30" i="13"/>
  <c r="AO30" i="13"/>
  <c r="AK32" i="15" l="1"/>
  <c r="AM32" i="15"/>
  <c r="AO32" i="14"/>
  <c r="AK33" i="14"/>
  <c r="AM33" i="14"/>
  <c r="AS32" i="14"/>
  <c r="AG31" i="13"/>
  <c r="AI31" i="13"/>
  <c r="AS33" i="14" l="1"/>
  <c r="AS32" i="15"/>
  <c r="AO32" i="15"/>
  <c r="AO33" i="14"/>
  <c r="AK31" i="13"/>
  <c r="AO31" i="13"/>
  <c r="AM33" i="15" l="1"/>
  <c r="AK33" i="15"/>
  <c r="AM34" i="14"/>
  <c r="AK34" i="14"/>
  <c r="AG32" i="13"/>
  <c r="AI32" i="13"/>
  <c r="AO33" i="15" l="1"/>
  <c r="AK34" i="15" s="1"/>
  <c r="AM34" i="15"/>
  <c r="AS33" i="15"/>
  <c r="AO34" i="14"/>
  <c r="AK35" i="14"/>
  <c r="AM35" i="14"/>
  <c r="AS34" i="14"/>
  <c r="AO32" i="13"/>
  <c r="AK32" i="13"/>
  <c r="AS34" i="15" l="1"/>
  <c r="AO34" i="15"/>
  <c r="AS35" i="14"/>
  <c r="AO35" i="14"/>
  <c r="AG33" i="13"/>
  <c r="AI33" i="13"/>
  <c r="AM35" i="15" l="1"/>
  <c r="AK35" i="15"/>
  <c r="AM36" i="14"/>
  <c r="AK36" i="14"/>
  <c r="AK33" i="13"/>
  <c r="AO33" i="13"/>
  <c r="AO35" i="15" l="1"/>
  <c r="AK36" i="15" s="1"/>
  <c r="AM36" i="15"/>
  <c r="AS35" i="15"/>
  <c r="AO36" i="14"/>
  <c r="AK37" i="14"/>
  <c r="AM37" i="14"/>
  <c r="AS36" i="14"/>
  <c r="AG34" i="13"/>
  <c r="AI34" i="13"/>
  <c r="AS36" i="15" l="1"/>
  <c r="AO36" i="15"/>
  <c r="AM37" i="15" s="1"/>
  <c r="AS37" i="14"/>
  <c r="AO37" i="14"/>
  <c r="AO34" i="13"/>
  <c r="AK34" i="13"/>
  <c r="AK37" i="15" l="1"/>
  <c r="AO37" i="15" s="1"/>
  <c r="AK38" i="14"/>
  <c r="AM38" i="14"/>
  <c r="AG35" i="13"/>
  <c r="AI35" i="13"/>
  <c r="AK38" i="15" l="1"/>
  <c r="AM38" i="15"/>
  <c r="AS37" i="15"/>
  <c r="AS38" i="14"/>
  <c r="AO38" i="14"/>
  <c r="AO35" i="13"/>
  <c r="AK35" i="13"/>
  <c r="AS38" i="15" l="1"/>
  <c r="AO38" i="15"/>
  <c r="AM39" i="14"/>
  <c r="AK39" i="14"/>
  <c r="AO39" i="14" s="1"/>
  <c r="AG36" i="13"/>
  <c r="AI36" i="13"/>
  <c r="AK39" i="15" l="1"/>
  <c r="AM39" i="15"/>
  <c r="AM40" i="14"/>
  <c r="AK40" i="14"/>
  <c r="AO40" i="14" s="1"/>
  <c r="AS39" i="14"/>
  <c r="AO36" i="13"/>
  <c r="AK36" i="13"/>
  <c r="AS39" i="15" l="1"/>
  <c r="AO39" i="15"/>
  <c r="AK41" i="14"/>
  <c r="AM41" i="14"/>
  <c r="AS41" i="14" s="1"/>
  <c r="AS40" i="14"/>
  <c r="AG37" i="13"/>
  <c r="AI37" i="13"/>
  <c r="AK40" i="15" l="1"/>
  <c r="AM40" i="15"/>
  <c r="AS40" i="15" s="1"/>
  <c r="AO41" i="14"/>
  <c r="AO37" i="13"/>
  <c r="AK37" i="13"/>
  <c r="AO40" i="15" l="1"/>
  <c r="AM42" i="14"/>
  <c r="AK42" i="14"/>
  <c r="AI38" i="13"/>
  <c r="AG38" i="13"/>
  <c r="AO42" i="14" l="1"/>
  <c r="AM41" i="15"/>
  <c r="AK41" i="15"/>
  <c r="AO41" i="15" s="1"/>
  <c r="AK43" i="14"/>
  <c r="AM43" i="14"/>
  <c r="AS42" i="14"/>
  <c r="AK38" i="13"/>
  <c r="AI39" i="13" s="1"/>
  <c r="AO38" i="13"/>
  <c r="AK42" i="15" l="1"/>
  <c r="AM42" i="15"/>
  <c r="AS42" i="15" s="1"/>
  <c r="AS41" i="15"/>
  <c r="AS43" i="14"/>
  <c r="AO43" i="14"/>
  <c r="AG39" i="13"/>
  <c r="AO39" i="13" s="1"/>
  <c r="AO42" i="15" l="1"/>
  <c r="AK44" i="14"/>
  <c r="AM44" i="14"/>
  <c r="AK39" i="13"/>
  <c r="AG40" i="13" s="1"/>
  <c r="AI40" i="13"/>
  <c r="AM43" i="15" l="1"/>
  <c r="AK43" i="15"/>
  <c r="AS44" i="14"/>
  <c r="AO44" i="14"/>
  <c r="C5" i="14" s="1"/>
  <c r="AO40" i="13"/>
  <c r="AK40" i="13"/>
  <c r="AO43" i="15" l="1"/>
  <c r="AK44" i="15"/>
  <c r="AM44" i="15"/>
  <c r="AS43" i="15"/>
  <c r="K39" i="14"/>
  <c r="K19" i="14"/>
  <c r="K23" i="14"/>
  <c r="K47" i="14"/>
  <c r="S5" i="14"/>
  <c r="S6" i="14" s="1"/>
  <c r="S8" i="14" s="1"/>
  <c r="K26" i="14"/>
  <c r="K25" i="14"/>
  <c r="G13" i="14"/>
  <c r="K18" i="14"/>
  <c r="K24" i="14"/>
  <c r="K12" i="14"/>
  <c r="G9" i="14"/>
  <c r="G30" i="14"/>
  <c r="O14" i="14"/>
  <c r="O19" i="14" s="1"/>
  <c r="G33" i="14"/>
  <c r="G31" i="14" s="1"/>
  <c r="AI41" i="13"/>
  <c r="AG41" i="13"/>
  <c r="AS44" i="15" l="1"/>
  <c r="AO44" i="15"/>
  <c r="C5" i="15" s="1"/>
  <c r="S11" i="14"/>
  <c r="S9" i="14"/>
  <c r="S10" i="14" s="1"/>
  <c r="S14" i="14" s="1"/>
  <c r="K35" i="14"/>
  <c r="K43" i="14"/>
  <c r="O27" i="14"/>
  <c r="O29" i="14" s="1"/>
  <c r="O22" i="14"/>
  <c r="G32" i="14"/>
  <c r="AK41" i="13"/>
  <c r="AI42" i="13" s="1"/>
  <c r="AO41" i="13"/>
  <c r="K20" i="15" l="1"/>
  <c r="G13" i="15"/>
  <c r="K28" i="15"/>
  <c r="K27" i="15"/>
  <c r="O20" i="15"/>
  <c r="O16" i="15"/>
  <c r="K22" i="15"/>
  <c r="K26" i="15"/>
  <c r="S4" i="15"/>
  <c r="K14" i="15"/>
  <c r="K23" i="15"/>
  <c r="G9" i="15"/>
  <c r="K21" i="15"/>
  <c r="K29" i="15"/>
  <c r="S6" i="15"/>
  <c r="S7" i="15" s="1"/>
  <c r="S9" i="15" s="1"/>
  <c r="S10" i="15" s="1"/>
  <c r="G30" i="15"/>
  <c r="K34" i="15"/>
  <c r="G33" i="15"/>
  <c r="G31" i="15" s="1"/>
  <c r="K24" i="15"/>
  <c r="S19" i="14"/>
  <c r="K14" i="14" s="1"/>
  <c r="S15" i="14"/>
  <c r="S18" i="14" s="1"/>
  <c r="S21" i="14" s="1"/>
  <c r="AC4" i="14"/>
  <c r="AE4" i="14"/>
  <c r="AA4" i="14"/>
  <c r="AG42" i="13"/>
  <c r="AO42" i="13" s="1"/>
  <c r="O28" i="15" l="1"/>
  <c r="O30" i="15" s="1"/>
  <c r="O23" i="15"/>
  <c r="S12" i="15"/>
  <c r="S13" i="15" s="1"/>
  <c r="K38" i="15"/>
  <c r="K46" i="15"/>
  <c r="G32" i="15"/>
  <c r="AK42" i="13"/>
  <c r="AG43" i="13" s="1"/>
  <c r="AF4" i="14"/>
  <c r="Z5" i="14" s="1"/>
  <c r="AA5" i="14" s="1"/>
  <c r="S24" i="14"/>
  <c r="S27" i="14" s="1"/>
  <c r="S29" i="14" s="1"/>
  <c r="AG4" i="14"/>
  <c r="AB5" i="14" s="1"/>
  <c r="S22" i="14"/>
  <c r="G23" i="14" s="1"/>
  <c r="G20" i="14"/>
  <c r="K15" i="14"/>
  <c r="AD5" i="14" l="1"/>
  <c r="AE5" i="14" s="1"/>
  <c r="AF5" i="14" s="1"/>
  <c r="Z6" i="14" s="1"/>
  <c r="AA6" i="14" s="1"/>
  <c r="S14" i="15"/>
  <c r="S16" i="15"/>
  <c r="AE4" i="15"/>
  <c r="AA4" i="15"/>
  <c r="AC4" i="15"/>
  <c r="AI43" i="13"/>
  <c r="AK43" i="13" s="1"/>
  <c r="AG44" i="13" s="1"/>
  <c r="AC38" i="14"/>
  <c r="AA38" i="14"/>
  <c r="AE38" i="14"/>
  <c r="AH5" i="14"/>
  <c r="AC5" i="14"/>
  <c r="AG5" i="14" s="1"/>
  <c r="AB6" i="14" s="1"/>
  <c r="AG4" i="15" l="1"/>
  <c r="AB5" i="15" s="1"/>
  <c r="AC5" i="15" s="1"/>
  <c r="AF4" i="15"/>
  <c r="Z5" i="15" s="1"/>
  <c r="AA5" i="15" s="1"/>
  <c r="AI44" i="13"/>
  <c r="AK44" i="13" s="1"/>
  <c r="C5" i="13" s="1"/>
  <c r="AO43" i="13"/>
  <c r="S20" i="15"/>
  <c r="S15" i="15"/>
  <c r="AG38" i="14"/>
  <c r="AB39" i="14" s="1"/>
  <c r="AC39" i="14" s="1"/>
  <c r="AD6" i="14"/>
  <c r="AE6" i="14" s="1"/>
  <c r="AF6" i="14" s="1"/>
  <c r="Z7" i="14" s="1"/>
  <c r="AH6" i="14"/>
  <c r="AC6" i="14"/>
  <c r="AF38" i="14"/>
  <c r="Z39" i="14" s="1"/>
  <c r="AD5" i="15" l="1"/>
  <c r="AE5" i="15" s="1"/>
  <c r="AG5" i="15" s="1"/>
  <c r="AB6" i="15" s="1"/>
  <c r="AC6" i="15" s="1"/>
  <c r="AH5" i="15"/>
  <c r="AO44" i="13"/>
  <c r="G20" i="15"/>
  <c r="S28" i="15"/>
  <c r="S30" i="15" s="1"/>
  <c r="S23" i="15"/>
  <c r="K16" i="15"/>
  <c r="AF5" i="15"/>
  <c r="Z6" i="15" s="1"/>
  <c r="AG6" i="14"/>
  <c r="AB7" i="14" s="1"/>
  <c r="AD7" i="14" s="1"/>
  <c r="AE7" i="14" s="1"/>
  <c r="AD39" i="14"/>
  <c r="AE39" i="14" s="1"/>
  <c r="AG39" i="14" s="1"/>
  <c r="AB40" i="14" s="1"/>
  <c r="AA39" i="14"/>
  <c r="AH39" i="14"/>
  <c r="AA7" i="14"/>
  <c r="K25" i="13"/>
  <c r="G12" i="13"/>
  <c r="G9" i="13"/>
  <c r="K19" i="13"/>
  <c r="K47" i="13"/>
  <c r="O5" i="13"/>
  <c r="O6" i="13" s="1"/>
  <c r="O8" i="13" s="1"/>
  <c r="O11" i="13" s="1"/>
  <c r="G28" i="13"/>
  <c r="K18" i="13"/>
  <c r="G31" i="13"/>
  <c r="G29" i="13" s="1"/>
  <c r="K39" i="13"/>
  <c r="K24" i="13"/>
  <c r="K12" i="13"/>
  <c r="K23" i="13"/>
  <c r="K26" i="13"/>
  <c r="AC7" i="14" l="1"/>
  <c r="AG7" i="14" s="1"/>
  <c r="AB8" i="14" s="1"/>
  <c r="AC8" i="14" s="1"/>
  <c r="AH7" i="14"/>
  <c r="AD6" i="15"/>
  <c r="AE6" i="15" s="1"/>
  <c r="AG6" i="15" s="1"/>
  <c r="AB7" i="15" s="1"/>
  <c r="AA6" i="15"/>
  <c r="G23" i="15"/>
  <c r="AA38" i="15"/>
  <c r="AC38" i="15"/>
  <c r="AE38" i="15"/>
  <c r="AH6" i="15"/>
  <c r="AF39" i="14"/>
  <c r="Z40" i="14" s="1"/>
  <c r="AH40" i="14" s="1"/>
  <c r="AF7" i="14"/>
  <c r="Z8" i="14" s="1"/>
  <c r="AA8" i="14" s="1"/>
  <c r="AC40" i="14"/>
  <c r="G10" i="13"/>
  <c r="G11" i="13" s="1"/>
  <c r="O47" i="13"/>
  <c r="O48" i="13" s="1"/>
  <c r="G30" i="13"/>
  <c r="O9" i="13"/>
  <c r="O10" i="13" s="1"/>
  <c r="O14" i="13" s="1"/>
  <c r="O19" i="13" s="1"/>
  <c r="O22" i="13" s="1"/>
  <c r="G21" i="13" s="1"/>
  <c r="K22" i="13"/>
  <c r="K42" i="13" s="1"/>
  <c r="K35" i="13"/>
  <c r="K43" i="13"/>
  <c r="AF6" i="15" l="1"/>
  <c r="Z7" i="15" s="1"/>
  <c r="AD7" i="15" s="1"/>
  <c r="AE7" i="15" s="1"/>
  <c r="AD40" i="14"/>
  <c r="AE40" i="14" s="1"/>
  <c r="AG40" i="14" s="1"/>
  <c r="AB41" i="14" s="1"/>
  <c r="AA40" i="14"/>
  <c r="AG38" i="15"/>
  <c r="AB39" i="15" s="1"/>
  <c r="AF38" i="15"/>
  <c r="Z39" i="15" s="1"/>
  <c r="AC7" i="15"/>
  <c r="AH8" i="14"/>
  <c r="AD8" i="14"/>
  <c r="AE8" i="14" s="1"/>
  <c r="AG8" i="14" s="1"/>
  <c r="AB9" i="14" s="1"/>
  <c r="AC9" i="14" s="1"/>
  <c r="K34" i="13"/>
  <c r="O15" i="13"/>
  <c r="O18" i="13" s="1"/>
  <c r="O21" i="13" s="1"/>
  <c r="O24" i="13" s="1"/>
  <c r="O27" i="13" s="1"/>
  <c r="O29" i="13" s="1"/>
  <c r="K14" i="13"/>
  <c r="K15" i="13" s="1"/>
  <c r="G18" i="13"/>
  <c r="AA7" i="15" l="1"/>
  <c r="AH7" i="15"/>
  <c r="AF40" i="14"/>
  <c r="Z41" i="14" s="1"/>
  <c r="AA41" i="14" s="1"/>
  <c r="AF7" i="15"/>
  <c r="Z8" i="15" s="1"/>
  <c r="AA8" i="15" s="1"/>
  <c r="AF8" i="14"/>
  <c r="Z9" i="14" s="1"/>
  <c r="AA9" i="14" s="1"/>
  <c r="AG7" i="15"/>
  <c r="AB8" i="15" s="1"/>
  <c r="AC8" i="15" s="1"/>
  <c r="AD39" i="15"/>
  <c r="AE39" i="15" s="1"/>
  <c r="AA39" i="15"/>
  <c r="AH39" i="15"/>
  <c r="AC39" i="15"/>
  <c r="AD41" i="14"/>
  <c r="AE41" i="14" s="1"/>
  <c r="AF41" i="14" s="1"/>
  <c r="Z42" i="14" s="1"/>
  <c r="AC41" i="14"/>
  <c r="Y4" i="13"/>
  <c r="W4" i="13"/>
  <c r="AA4" i="13"/>
  <c r="AH41" i="14" l="1"/>
  <c r="AH9" i="14"/>
  <c r="AD9" i="14"/>
  <c r="AE9" i="14" s="1"/>
  <c r="AG9" i="14" s="1"/>
  <c r="AB10" i="14" s="1"/>
  <c r="AG39" i="15"/>
  <c r="AB40" i="15" s="1"/>
  <c r="AC40" i="15" s="1"/>
  <c r="AF39" i="15"/>
  <c r="Z40" i="15" s="1"/>
  <c r="AD8" i="15"/>
  <c r="AE8" i="15" s="1"/>
  <c r="AG8" i="15" s="1"/>
  <c r="AB9" i="15" s="1"/>
  <c r="AH8" i="15"/>
  <c r="AG41" i="14"/>
  <c r="AB42" i="14" s="1"/>
  <c r="AH42" i="14" s="1"/>
  <c r="AA42" i="14"/>
  <c r="AF9" i="14"/>
  <c r="Z10" i="14" s="1"/>
  <c r="AA10" i="14" s="1"/>
  <c r="AC4" i="13"/>
  <c r="X5" i="13" s="1"/>
  <c r="Y5" i="13" s="1"/>
  <c r="AB4" i="13"/>
  <c r="V5" i="13" s="1"/>
  <c r="AD40" i="15" l="1"/>
  <c r="AE40" i="15" s="1"/>
  <c r="AG40" i="15" s="1"/>
  <c r="AB41" i="15" s="1"/>
  <c r="AC41" i="15" s="1"/>
  <c r="AH40" i="15"/>
  <c r="AA40" i="15"/>
  <c r="AF40" i="15" s="1"/>
  <c r="Z41" i="15" s="1"/>
  <c r="AC42" i="14"/>
  <c r="AF8" i="15"/>
  <c r="Z9" i="15" s="1"/>
  <c r="AA9" i="15" s="1"/>
  <c r="AD42" i="14"/>
  <c r="AE42" i="14" s="1"/>
  <c r="AC9" i="15"/>
  <c r="AD10" i="14"/>
  <c r="AE10" i="14" s="1"/>
  <c r="AF10" i="14" s="1"/>
  <c r="Z11" i="14" s="1"/>
  <c r="AA11" i="14" s="1"/>
  <c r="AH10" i="14"/>
  <c r="AC10" i="14"/>
  <c r="AD5" i="13"/>
  <c r="W5" i="13"/>
  <c r="Z5" i="13"/>
  <c r="AA5" i="13" s="1"/>
  <c r="AC5" i="13" s="1"/>
  <c r="X6" i="13" s="1"/>
  <c r="Y6" i="13" s="1"/>
  <c r="AH9" i="15" l="1"/>
  <c r="AD9" i="15"/>
  <c r="AE9" i="15" s="1"/>
  <c r="AG9" i="15" s="1"/>
  <c r="AB10" i="15" s="1"/>
  <c r="AC10" i="15" s="1"/>
  <c r="AG42" i="14"/>
  <c r="AB43" i="14" s="1"/>
  <c r="AF42" i="14"/>
  <c r="Z43" i="14" s="1"/>
  <c r="AA43" i="14" s="1"/>
  <c r="AC43" i="14"/>
  <c r="AH43" i="14"/>
  <c r="AD43" i="14"/>
  <c r="AE43" i="14" s="1"/>
  <c r="AG10" i="14"/>
  <c r="AB11" i="14" s="1"/>
  <c r="AD11" i="14" s="1"/>
  <c r="AE11" i="14" s="1"/>
  <c r="AF11" i="14" s="1"/>
  <c r="Z12" i="14" s="1"/>
  <c r="AD41" i="15"/>
  <c r="AE41" i="15" s="1"/>
  <c r="AG41" i="15" s="1"/>
  <c r="AB42" i="15" s="1"/>
  <c r="AA41" i="15"/>
  <c r="AH41" i="15"/>
  <c r="AF9" i="15"/>
  <c r="Z10" i="15" s="1"/>
  <c r="AB5" i="13"/>
  <c r="V6" i="13" s="1"/>
  <c r="Z6" i="13" s="1"/>
  <c r="AA6" i="13" s="1"/>
  <c r="AC6" i="13" s="1"/>
  <c r="X7" i="13" s="1"/>
  <c r="Y7" i="13" s="1"/>
  <c r="AH10" i="15" l="1"/>
  <c r="AG43" i="14"/>
  <c r="AB44" i="14" s="1"/>
  <c r="AF43" i="14"/>
  <c r="Z44" i="14" s="1"/>
  <c r="AA44" i="14" s="1"/>
  <c r="AH11" i="14"/>
  <c r="AC11" i="14"/>
  <c r="AG11" i="14" s="1"/>
  <c r="AB12" i="14" s="1"/>
  <c r="AC42" i="15"/>
  <c r="AD10" i="15"/>
  <c r="AE10" i="15" s="1"/>
  <c r="AG10" i="15" s="1"/>
  <c r="AB11" i="15" s="1"/>
  <c r="AA10" i="15"/>
  <c r="AF41" i="15"/>
  <c r="Z42" i="15" s="1"/>
  <c r="AA12" i="14"/>
  <c r="AC44" i="14"/>
  <c r="AH44" i="14"/>
  <c r="AD6" i="13"/>
  <c r="W6" i="13"/>
  <c r="AB6" i="13" s="1"/>
  <c r="V7" i="13" s="1"/>
  <c r="Z7" i="13" s="1"/>
  <c r="AA7" i="13" s="1"/>
  <c r="AC7" i="13" s="1"/>
  <c r="X8" i="13" s="1"/>
  <c r="Y8" i="13" s="1"/>
  <c r="AD44" i="14" l="1"/>
  <c r="AE44" i="14" s="1"/>
  <c r="AG44" i="14" s="1"/>
  <c r="AB45" i="14" s="1"/>
  <c r="AC45" i="14" s="1"/>
  <c r="AC11" i="15"/>
  <c r="AA42" i="15"/>
  <c r="AD42" i="15"/>
  <c r="AE42" i="15" s="1"/>
  <c r="AG42" i="15" s="1"/>
  <c r="AB43" i="15" s="1"/>
  <c r="AF10" i="15"/>
  <c r="Z11" i="15" s="1"/>
  <c r="AH42" i="15"/>
  <c r="AC12" i="14"/>
  <c r="AH12" i="14"/>
  <c r="AD12" i="14"/>
  <c r="AE12" i="14" s="1"/>
  <c r="W7" i="13"/>
  <c r="AB7" i="13" s="1"/>
  <c r="V8" i="13" s="1"/>
  <c r="Z8" i="13" s="1"/>
  <c r="AA8" i="13" s="1"/>
  <c r="AC8" i="13" s="1"/>
  <c r="X9" i="13" s="1"/>
  <c r="Y9" i="13" s="1"/>
  <c r="AD7" i="13"/>
  <c r="AF44" i="14" l="1"/>
  <c r="Z45" i="14" s="1"/>
  <c r="AH45" i="14" s="1"/>
  <c r="AF42" i="15"/>
  <c r="Z43" i="15" s="1"/>
  <c r="AD11" i="15"/>
  <c r="AE11" i="15" s="1"/>
  <c r="AA11" i="15"/>
  <c r="AH43" i="15"/>
  <c r="AC43" i="15"/>
  <c r="AA43" i="15"/>
  <c r="AD43" i="15"/>
  <c r="AE43" i="15" s="1"/>
  <c r="AH11" i="15"/>
  <c r="AG11" i="15"/>
  <c r="AB12" i="15" s="1"/>
  <c r="AA45" i="14"/>
  <c r="AG12" i="14"/>
  <c r="AB13" i="14" s="1"/>
  <c r="AC13" i="14" s="1"/>
  <c r="AF12" i="14"/>
  <c r="Z13" i="14" s="1"/>
  <c r="AD8" i="13"/>
  <c r="W8" i="13"/>
  <c r="AB8" i="13" s="1"/>
  <c r="V9" i="13" s="1"/>
  <c r="Z9" i="13" s="1"/>
  <c r="AA9" i="13" s="1"/>
  <c r="AC9" i="13" s="1"/>
  <c r="X10" i="13" s="1"/>
  <c r="AD45" i="14" l="1"/>
  <c r="AE45" i="14" s="1"/>
  <c r="AG45" i="14" s="1"/>
  <c r="AB46" i="14" s="1"/>
  <c r="AC46" i="14" s="1"/>
  <c r="AF43" i="15"/>
  <c r="Z44" i="15" s="1"/>
  <c r="AC12" i="15"/>
  <c r="AA44" i="15"/>
  <c r="AG43" i="15"/>
  <c r="AB44" i="15" s="1"/>
  <c r="AF11" i="15"/>
  <c r="Z12" i="15" s="1"/>
  <c r="AD13" i="14"/>
  <c r="AE13" i="14" s="1"/>
  <c r="AG13" i="14" s="1"/>
  <c r="AB14" i="14" s="1"/>
  <c r="AA13" i="14"/>
  <c r="AH13" i="14"/>
  <c r="W9" i="13"/>
  <c r="AB9" i="13" s="1"/>
  <c r="V10" i="13" s="1"/>
  <c r="W10" i="13" s="1"/>
  <c r="AD9" i="13"/>
  <c r="Y10" i="13"/>
  <c r="AF45" i="14" l="1"/>
  <c r="Z46" i="14" s="1"/>
  <c r="AA12" i="15"/>
  <c r="AD12" i="15"/>
  <c r="AE12" i="15" s="1"/>
  <c r="AG12" i="15" s="1"/>
  <c r="AB13" i="15" s="1"/>
  <c r="AH44" i="15"/>
  <c r="AC44" i="15"/>
  <c r="AD44" i="15"/>
  <c r="AE44" i="15" s="1"/>
  <c r="AF44" i="15" s="1"/>
  <c r="Z45" i="15" s="1"/>
  <c r="AH12" i="15"/>
  <c r="AF13" i="14"/>
  <c r="Z14" i="14" s="1"/>
  <c r="AA14" i="14" s="1"/>
  <c r="AC14" i="14"/>
  <c r="Z10" i="13"/>
  <c r="AA10" i="13" s="1"/>
  <c r="AB10" i="13" s="1"/>
  <c r="V11" i="13" s="1"/>
  <c r="W11" i="13" s="1"/>
  <c r="AD10" i="13"/>
  <c r="AA46" i="14" l="1"/>
  <c r="AH46" i="14"/>
  <c r="AD46" i="14"/>
  <c r="AE46" i="14" s="1"/>
  <c r="AH14" i="14"/>
  <c r="AF12" i="15"/>
  <c r="Z13" i="15" s="1"/>
  <c r="AA13" i="15" s="1"/>
  <c r="AG44" i="15"/>
  <c r="AB45" i="15" s="1"/>
  <c r="AC45" i="15" s="1"/>
  <c r="AD14" i="14"/>
  <c r="AE14" i="14" s="1"/>
  <c r="AG14" i="14" s="1"/>
  <c r="AB15" i="14" s="1"/>
  <c r="AD13" i="15"/>
  <c r="AE13" i="15" s="1"/>
  <c r="AF13" i="15" s="1"/>
  <c r="Z14" i="15" s="1"/>
  <c r="AH13" i="15"/>
  <c r="AC13" i="15"/>
  <c r="AA45" i="15"/>
  <c r="AC10" i="13"/>
  <c r="X11" i="13" s="1"/>
  <c r="AD11" i="13" s="1"/>
  <c r="AF46" i="14" l="1"/>
  <c r="Z47" i="14" s="1"/>
  <c r="AG46" i="14"/>
  <c r="AB47" i="14" s="1"/>
  <c r="AD45" i="15"/>
  <c r="AE45" i="15" s="1"/>
  <c r="AF45" i="15" s="1"/>
  <c r="Z46" i="15" s="1"/>
  <c r="AF14" i="14"/>
  <c r="Z15" i="14" s="1"/>
  <c r="AA15" i="14" s="1"/>
  <c r="AH45" i="15"/>
  <c r="AG13" i="15"/>
  <c r="AB14" i="15" s="1"/>
  <c r="AH14" i="15" s="1"/>
  <c r="AA14" i="15"/>
  <c r="AC15" i="14"/>
  <c r="Z11" i="13"/>
  <c r="AA11" i="13" s="1"/>
  <c r="AB11" i="13" s="1"/>
  <c r="V12" i="13" s="1"/>
  <c r="W12" i="13" s="1"/>
  <c r="Y11" i="13"/>
  <c r="AH15" i="14" l="1"/>
  <c r="AD14" i="15"/>
  <c r="AE14" i="15" s="1"/>
  <c r="AF14" i="15" s="1"/>
  <c r="Z15" i="15" s="1"/>
  <c r="AA15" i="15" s="1"/>
  <c r="AC47" i="14"/>
  <c r="AH47" i="14"/>
  <c r="AA47" i="14"/>
  <c r="AD47" i="14"/>
  <c r="AE47" i="14" s="1"/>
  <c r="AC14" i="15"/>
  <c r="AG45" i="15"/>
  <c r="AB46" i="15" s="1"/>
  <c r="AD46" i="15" s="1"/>
  <c r="AE46" i="15" s="1"/>
  <c r="AD15" i="14"/>
  <c r="AE15" i="14" s="1"/>
  <c r="AF15" i="14" s="1"/>
  <c r="Z16" i="14" s="1"/>
  <c r="AA16" i="14" s="1"/>
  <c r="AA46" i="15"/>
  <c r="AC11" i="13"/>
  <c r="X12" i="13" s="1"/>
  <c r="AD12" i="13" s="1"/>
  <c r="AC46" i="15" l="1"/>
  <c r="AH46" i="15"/>
  <c r="AG14" i="15"/>
  <c r="AB15" i="15" s="1"/>
  <c r="AF47" i="14"/>
  <c r="Z48" i="14" s="1"/>
  <c r="AA48" i="14" s="1"/>
  <c r="AG47" i="14"/>
  <c r="AB48" i="14" s="1"/>
  <c r="AG15" i="14"/>
  <c r="AB16" i="14" s="1"/>
  <c r="AD16" i="14" s="1"/>
  <c r="AE16" i="14" s="1"/>
  <c r="AF16" i="14" s="1"/>
  <c r="Z17" i="14" s="1"/>
  <c r="AF46" i="15"/>
  <c r="Z47" i="15" s="1"/>
  <c r="AA47" i="15" s="1"/>
  <c r="AC15" i="15"/>
  <c r="AH15" i="15"/>
  <c r="AD15" i="15"/>
  <c r="AE15" i="15" s="1"/>
  <c r="AF15" i="15" s="1"/>
  <c r="Z16" i="15" s="1"/>
  <c r="AG46" i="15"/>
  <c r="AB47" i="15" s="1"/>
  <c r="Z12" i="13"/>
  <c r="AA12" i="13" s="1"/>
  <c r="AB12" i="13" s="1"/>
  <c r="V13" i="13" s="1"/>
  <c r="W13" i="13" s="1"/>
  <c r="Y12" i="13"/>
  <c r="AH16" i="14" l="1"/>
  <c r="AC16" i="14"/>
  <c r="AG16" i="14" s="1"/>
  <c r="AB17" i="14" s="1"/>
  <c r="AC17" i="14" s="1"/>
  <c r="AC48" i="14"/>
  <c r="AH48" i="14"/>
  <c r="AD48" i="14"/>
  <c r="AE48" i="14" s="1"/>
  <c r="AF48" i="14" s="1"/>
  <c r="Z49" i="14" s="1"/>
  <c r="AA49" i="14" s="1"/>
  <c r="AH47" i="15"/>
  <c r="AC47" i="15"/>
  <c r="AA16" i="15"/>
  <c r="AG15" i="15"/>
  <c r="AB16" i="15" s="1"/>
  <c r="AD47" i="15"/>
  <c r="AE47" i="15" s="1"/>
  <c r="AF47" i="15" s="1"/>
  <c r="Z48" i="15" s="1"/>
  <c r="AH17" i="14"/>
  <c r="AA17" i="14"/>
  <c r="AC12" i="13"/>
  <c r="X13" i="13" s="1"/>
  <c r="Y13" i="13" s="1"/>
  <c r="AD17" i="14" l="1"/>
  <c r="AE17" i="14" s="1"/>
  <c r="AG17" i="14" s="1"/>
  <c r="AB18" i="14" s="1"/>
  <c r="AC18" i="14" s="1"/>
  <c r="AG48" i="14"/>
  <c r="AB49" i="14" s="1"/>
  <c r="AA48" i="15"/>
  <c r="AH16" i="15"/>
  <c r="AC16" i="15"/>
  <c r="AD16" i="15"/>
  <c r="AE16" i="15" s="1"/>
  <c r="AF16" i="15" s="1"/>
  <c r="Z17" i="15" s="1"/>
  <c r="AG47" i="15"/>
  <c r="AB48" i="15" s="1"/>
  <c r="AF17" i="14"/>
  <c r="Z18" i="14" s="1"/>
  <c r="Z13" i="13"/>
  <c r="AA13" i="13" s="1"/>
  <c r="AB13" i="13" s="1"/>
  <c r="V14" i="13" s="1"/>
  <c r="W14" i="13" s="1"/>
  <c r="AD13" i="13"/>
  <c r="AH49" i="14" l="1"/>
  <c r="AC49" i="14"/>
  <c r="AD49" i="14"/>
  <c r="AE49" i="14" s="1"/>
  <c r="AF49" i="14" s="1"/>
  <c r="Z50" i="14" s="1"/>
  <c r="AA50" i="14" s="1"/>
  <c r="AC48" i="15"/>
  <c r="AH48" i="15"/>
  <c r="AA17" i="15"/>
  <c r="AG16" i="15"/>
  <c r="AB17" i="15" s="1"/>
  <c r="AD48" i="15"/>
  <c r="AE48" i="15" s="1"/>
  <c r="AF48" i="15" s="1"/>
  <c r="Z49" i="15" s="1"/>
  <c r="AD18" i="14"/>
  <c r="AE18" i="14" s="1"/>
  <c r="AG18" i="14" s="1"/>
  <c r="AB19" i="14" s="1"/>
  <c r="AA18" i="14"/>
  <c r="AH18" i="14"/>
  <c r="AC13" i="13"/>
  <c r="X14" i="13" s="1"/>
  <c r="Y14" i="13" s="1"/>
  <c r="AG49" i="14" l="1"/>
  <c r="AB50" i="14" s="1"/>
  <c r="AD50" i="14" s="1"/>
  <c r="AE50" i="14" s="1"/>
  <c r="AF50" i="14" s="1"/>
  <c r="Z51" i="14" s="1"/>
  <c r="AA51" i="14" s="1"/>
  <c r="AA49" i="15"/>
  <c r="AH17" i="15"/>
  <c r="AC17" i="15"/>
  <c r="AD17" i="15"/>
  <c r="AE17" i="15" s="1"/>
  <c r="AF17" i="15" s="1"/>
  <c r="Z18" i="15" s="1"/>
  <c r="AG48" i="15"/>
  <c r="AB49" i="15" s="1"/>
  <c r="AF18" i="14"/>
  <c r="Z19" i="14" s="1"/>
  <c r="AD19" i="14" s="1"/>
  <c r="AE19" i="14" s="1"/>
  <c r="AC19" i="14"/>
  <c r="Z14" i="13"/>
  <c r="AA14" i="13" s="1"/>
  <c r="AB14" i="13" s="1"/>
  <c r="V15" i="13" s="1"/>
  <c r="W15" i="13" s="1"/>
  <c r="AD14" i="13"/>
  <c r="AA19" i="14" l="1"/>
  <c r="AH19" i="14"/>
  <c r="AC50" i="14"/>
  <c r="AG50" i="14" s="1"/>
  <c r="AB51" i="14" s="1"/>
  <c r="AD51" i="14" s="1"/>
  <c r="AE51" i="14" s="1"/>
  <c r="AF51" i="14" s="1"/>
  <c r="Z52" i="14" s="1"/>
  <c r="AA52" i="14" s="1"/>
  <c r="AH50" i="14"/>
  <c r="AC49" i="15"/>
  <c r="AH49" i="15"/>
  <c r="AA18" i="15"/>
  <c r="AD49" i="15"/>
  <c r="AE49" i="15" s="1"/>
  <c r="AG49" i="15" s="1"/>
  <c r="AB50" i="15" s="1"/>
  <c r="AG17" i="15"/>
  <c r="AB18" i="15" s="1"/>
  <c r="AG19" i="14"/>
  <c r="AB20" i="14" s="1"/>
  <c r="AF19" i="14"/>
  <c r="Z20" i="14" s="1"/>
  <c r="AH51" i="14"/>
  <c r="AC14" i="13"/>
  <c r="X15" i="13" s="1"/>
  <c r="AD15" i="13" s="1"/>
  <c r="AC51" i="14" l="1"/>
  <c r="AF49" i="15"/>
  <c r="Z50" i="15" s="1"/>
  <c r="AD50" i="15" s="1"/>
  <c r="AE50" i="15" s="1"/>
  <c r="AH18" i="15"/>
  <c r="AC18" i="15"/>
  <c r="AC50" i="15"/>
  <c r="AD18" i="15"/>
  <c r="AE18" i="15" s="1"/>
  <c r="AG18" i="15" s="1"/>
  <c r="AB19" i="15" s="1"/>
  <c r="AA20" i="14"/>
  <c r="AD20" i="14"/>
  <c r="AE20" i="14" s="1"/>
  <c r="AG51" i="14"/>
  <c r="AB52" i="14" s="1"/>
  <c r="AC20" i="14"/>
  <c r="AH20" i="14"/>
  <c r="Z15" i="13"/>
  <c r="AA15" i="13" s="1"/>
  <c r="AB15" i="13" s="1"/>
  <c r="V16" i="13" s="1"/>
  <c r="W16" i="13" s="1"/>
  <c r="Y15" i="13"/>
  <c r="AH50" i="15" l="1"/>
  <c r="AA50" i="15"/>
  <c r="AG50" i="15"/>
  <c r="AB51" i="15" s="1"/>
  <c r="AF18" i="15"/>
  <c r="Z19" i="15" s="1"/>
  <c r="AD19" i="15" s="1"/>
  <c r="AE19" i="15" s="1"/>
  <c r="AC19" i="15"/>
  <c r="AC51" i="15"/>
  <c r="AF50" i="15"/>
  <c r="Z51" i="15" s="1"/>
  <c r="AF20" i="14"/>
  <c r="Z21" i="14" s="1"/>
  <c r="AA21" i="14" s="1"/>
  <c r="AD52" i="14"/>
  <c r="AE52" i="14" s="1"/>
  <c r="AF52" i="14" s="1"/>
  <c r="Z53" i="14" s="1"/>
  <c r="AC52" i="14"/>
  <c r="AH52" i="14"/>
  <c r="AG20" i="14"/>
  <c r="AB21" i="14" s="1"/>
  <c r="AC21" i="14" s="1"/>
  <c r="AC15" i="13"/>
  <c r="X16" i="13" s="1"/>
  <c r="AD16" i="13" s="1"/>
  <c r="AH19" i="15" l="1"/>
  <c r="AA19" i="15"/>
  <c r="AF19" i="15" s="1"/>
  <c r="Z20" i="15" s="1"/>
  <c r="AG19" i="15"/>
  <c r="AB20" i="15" s="1"/>
  <c r="AA51" i="15"/>
  <c r="AD51" i="15"/>
  <c r="AE51" i="15" s="1"/>
  <c r="AH51" i="15"/>
  <c r="AC20" i="15"/>
  <c r="AH21" i="14"/>
  <c r="AD21" i="14"/>
  <c r="AE21" i="14" s="1"/>
  <c r="AG21" i="14" s="1"/>
  <c r="AB22" i="14" s="1"/>
  <c r="AG52" i="14"/>
  <c r="AB53" i="14" s="1"/>
  <c r="AH53" i="14" s="1"/>
  <c r="AA53" i="14"/>
  <c r="Z16" i="13"/>
  <c r="AA16" i="13" s="1"/>
  <c r="AB16" i="13" s="1"/>
  <c r="V17" i="13" s="1"/>
  <c r="W17" i="13" s="1"/>
  <c r="Y16" i="13"/>
  <c r="AA20" i="15" l="1"/>
  <c r="AH20" i="15"/>
  <c r="AD20" i="15"/>
  <c r="AE20" i="15" s="1"/>
  <c r="AG20" i="15" s="1"/>
  <c r="AB21" i="15" s="1"/>
  <c r="AC21" i="15" s="1"/>
  <c r="AD53" i="14"/>
  <c r="AE53" i="14" s="1"/>
  <c r="AF51" i="15"/>
  <c r="Z52" i="15" s="1"/>
  <c r="AA52" i="15" s="1"/>
  <c r="AG51" i="15"/>
  <c r="AB52" i="15" s="1"/>
  <c r="AC53" i="14"/>
  <c r="AG53" i="14" s="1"/>
  <c r="AB54" i="14" s="1"/>
  <c r="AF53" i="14"/>
  <c r="Z54" i="14" s="1"/>
  <c r="AA54" i="14" s="1"/>
  <c r="AC22" i="14"/>
  <c r="AF21" i="14"/>
  <c r="Z22" i="14" s="1"/>
  <c r="AH22" i="14" s="1"/>
  <c r="AC16" i="13"/>
  <c r="X17" i="13" s="1"/>
  <c r="Z17" i="13" s="1"/>
  <c r="AA17" i="13" s="1"/>
  <c r="AB17" i="13" s="1"/>
  <c r="V18" i="13" s="1"/>
  <c r="W18" i="13" s="1"/>
  <c r="AF20" i="15" l="1"/>
  <c r="Z21" i="15" s="1"/>
  <c r="AH21" i="15" s="1"/>
  <c r="AD52" i="15"/>
  <c r="AE52" i="15" s="1"/>
  <c r="AF52" i="15" s="1"/>
  <c r="Z53" i="15" s="1"/>
  <c r="AA53" i="15" s="1"/>
  <c r="AH52" i="15"/>
  <c r="AC52" i="15"/>
  <c r="AA21" i="15"/>
  <c r="AD21" i="15"/>
  <c r="AE21" i="15" s="1"/>
  <c r="AG21" i="15" s="1"/>
  <c r="AB22" i="15" s="1"/>
  <c r="AC54" i="14"/>
  <c r="AH54" i="14"/>
  <c r="AD54" i="14"/>
  <c r="AE54" i="14" s="1"/>
  <c r="AF54" i="14" s="1"/>
  <c r="Z55" i="14" s="1"/>
  <c r="AA22" i="14"/>
  <c r="AD22" i="14"/>
  <c r="AD17" i="13"/>
  <c r="Y17" i="13"/>
  <c r="AC17" i="13" s="1"/>
  <c r="X18" i="13" s="1"/>
  <c r="Z18" i="13" s="1"/>
  <c r="AA18" i="13" s="1"/>
  <c r="AB18" i="13" s="1"/>
  <c r="V19" i="13" s="1"/>
  <c r="W19" i="13" s="1"/>
  <c r="AG52" i="15" l="1"/>
  <c r="AB53" i="15" s="1"/>
  <c r="AD53" i="15" s="1"/>
  <c r="AE53" i="15" s="1"/>
  <c r="AF53" i="15" s="1"/>
  <c r="Z54" i="15" s="1"/>
  <c r="AC22" i="15"/>
  <c r="AF21" i="15"/>
  <c r="Z22" i="15" s="1"/>
  <c r="AH22" i="15" s="1"/>
  <c r="AA55" i="14"/>
  <c r="AG54" i="14"/>
  <c r="AB55" i="14" s="1"/>
  <c r="AD55" i="14" s="1"/>
  <c r="AE55" i="14" s="1"/>
  <c r="AF55" i="14" s="1"/>
  <c r="Z56" i="14" s="1"/>
  <c r="AE22" i="14"/>
  <c r="AG22" i="14" s="1"/>
  <c r="AB23" i="14" s="1"/>
  <c r="AD18" i="13"/>
  <c r="Y18" i="13"/>
  <c r="AC18" i="13" s="1"/>
  <c r="X19" i="13" s="1"/>
  <c r="Y19" i="13" s="1"/>
  <c r="AC53" i="15" l="1"/>
  <c r="AG53" i="15" s="1"/>
  <c r="AB54" i="15" s="1"/>
  <c r="AH54" i="15" s="1"/>
  <c r="AH53" i="15"/>
  <c r="AA54" i="15"/>
  <c r="AA22" i="15"/>
  <c r="AD22" i="15"/>
  <c r="AE22" i="15" s="1"/>
  <c r="AG22" i="15" s="1"/>
  <c r="AB23" i="15" s="1"/>
  <c r="AC23" i="15" s="1"/>
  <c r="AA56" i="14"/>
  <c r="AC55" i="14"/>
  <c r="AG55" i="14" s="1"/>
  <c r="AB56" i="14" s="1"/>
  <c r="AD56" i="14" s="1"/>
  <c r="AE56" i="14" s="1"/>
  <c r="AF56" i="14" s="1"/>
  <c r="Z57" i="14" s="1"/>
  <c r="AA57" i="14" s="1"/>
  <c r="AH55" i="14"/>
  <c r="AC23" i="14"/>
  <c r="AF22" i="14"/>
  <c r="Z23" i="14" s="1"/>
  <c r="AH23" i="14" s="1"/>
  <c r="Z19" i="13"/>
  <c r="AA19" i="13" s="1"/>
  <c r="AB19" i="13" s="1"/>
  <c r="V20" i="13" s="1"/>
  <c r="W20" i="13" s="1"/>
  <c r="AD19" i="13"/>
  <c r="AD54" i="15" l="1"/>
  <c r="AE54" i="15" s="1"/>
  <c r="AF54" i="15" s="1"/>
  <c r="Z55" i="15" s="1"/>
  <c r="AA55" i="15" s="1"/>
  <c r="AC54" i="15"/>
  <c r="AF22" i="15"/>
  <c r="Z23" i="15" s="1"/>
  <c r="AH23" i="15" s="1"/>
  <c r="AC56" i="14"/>
  <c r="AG56" i="14" s="1"/>
  <c r="AB57" i="14" s="1"/>
  <c r="AH56" i="14"/>
  <c r="AA23" i="14"/>
  <c r="AD23" i="14"/>
  <c r="AE23" i="14" s="1"/>
  <c r="AG23" i="14" s="1"/>
  <c r="AB24" i="14" s="1"/>
  <c r="AC19" i="13"/>
  <c r="X20" i="13" s="1"/>
  <c r="AD20" i="13" s="1"/>
  <c r="AG54" i="15" l="1"/>
  <c r="AB55" i="15" s="1"/>
  <c r="AD55" i="15" s="1"/>
  <c r="AE55" i="15" s="1"/>
  <c r="AF55" i="15" s="1"/>
  <c r="Z56" i="15" s="1"/>
  <c r="AA56" i="15" s="1"/>
  <c r="AA23" i="15"/>
  <c r="AD23" i="15"/>
  <c r="AE23" i="15" s="1"/>
  <c r="AG23" i="15" s="1"/>
  <c r="AB24" i="15" s="1"/>
  <c r="AC24" i="15" s="1"/>
  <c r="AC55" i="15"/>
  <c r="AH55" i="15"/>
  <c r="AD57" i="14"/>
  <c r="AE57" i="14" s="1"/>
  <c r="AF57" i="14" s="1"/>
  <c r="Z58" i="14" s="1"/>
  <c r="AH57" i="14"/>
  <c r="AC57" i="14"/>
  <c r="AC24" i="14"/>
  <c r="AF23" i="14"/>
  <c r="Z24" i="14" s="1"/>
  <c r="AH24" i="14" s="1"/>
  <c r="Z20" i="13"/>
  <c r="AA20" i="13" s="1"/>
  <c r="AB20" i="13" s="1"/>
  <c r="V21" i="13" s="1"/>
  <c r="W21" i="13" s="1"/>
  <c r="Y20" i="13"/>
  <c r="AG55" i="15" l="1"/>
  <c r="AB56" i="15" s="1"/>
  <c r="AD56" i="15"/>
  <c r="AE56" i="15" s="1"/>
  <c r="AF56" i="15" s="1"/>
  <c r="Z57" i="15" s="1"/>
  <c r="AA57" i="15" s="1"/>
  <c r="AF23" i="15"/>
  <c r="Z24" i="15" s="1"/>
  <c r="AH56" i="15"/>
  <c r="AC56" i="15"/>
  <c r="AG56" i="15" s="1"/>
  <c r="AB57" i="15" s="1"/>
  <c r="AG57" i="14"/>
  <c r="AB58" i="14" s="1"/>
  <c r="AH58" i="14" s="1"/>
  <c r="AA58" i="14"/>
  <c r="AA24" i="14"/>
  <c r="AD24" i="14"/>
  <c r="AC20" i="13"/>
  <c r="X21" i="13" s="1"/>
  <c r="Z21" i="13" s="1"/>
  <c r="AA21" i="13" s="1"/>
  <c r="AB21" i="13" s="1"/>
  <c r="V22" i="13" s="1"/>
  <c r="W22" i="13" s="1"/>
  <c r="AD58" i="14" l="1"/>
  <c r="AE58" i="14" s="1"/>
  <c r="AC58" i="14"/>
  <c r="AG58" i="14" s="1"/>
  <c r="AB59" i="14" s="1"/>
  <c r="AH24" i="15"/>
  <c r="AD24" i="15"/>
  <c r="AE24" i="15" s="1"/>
  <c r="AG24" i="15" s="1"/>
  <c r="AB25" i="15" s="1"/>
  <c r="AC25" i="15" s="1"/>
  <c r="AA24" i="15"/>
  <c r="AH57" i="15"/>
  <c r="AC57" i="15"/>
  <c r="AD57" i="15"/>
  <c r="AE57" i="15" s="1"/>
  <c r="AF57" i="15" s="1"/>
  <c r="Z58" i="15" s="1"/>
  <c r="AF58" i="14"/>
  <c r="Z59" i="14" s="1"/>
  <c r="AA59" i="14" s="1"/>
  <c r="AE24" i="14"/>
  <c r="AG24" i="14" s="1"/>
  <c r="AB25" i="14" s="1"/>
  <c r="Y21" i="13"/>
  <c r="AC21" i="13" s="1"/>
  <c r="X22" i="13" s="1"/>
  <c r="AD22" i="13" s="1"/>
  <c r="AD21" i="13"/>
  <c r="AF24" i="15" l="1"/>
  <c r="Z25" i="15" s="1"/>
  <c r="AH25" i="15" s="1"/>
  <c r="AG57" i="15"/>
  <c r="AB58" i="15" s="1"/>
  <c r="AD58" i="15" s="1"/>
  <c r="AE58" i="15" s="1"/>
  <c r="AA58" i="15"/>
  <c r="AD59" i="14"/>
  <c r="AE59" i="14" s="1"/>
  <c r="AF59" i="14" s="1"/>
  <c r="Z60" i="14" s="1"/>
  <c r="AA60" i="14" s="1"/>
  <c r="AC59" i="14"/>
  <c r="AH59" i="14"/>
  <c r="AC25" i="14"/>
  <c r="AF24" i="14"/>
  <c r="Z25" i="14" s="1"/>
  <c r="AH25" i="14" s="1"/>
  <c r="Z22" i="13"/>
  <c r="AA22" i="13" s="1"/>
  <c r="AB22" i="13" s="1"/>
  <c r="V23" i="13" s="1"/>
  <c r="W23" i="13" s="1"/>
  <c r="Y22" i="13"/>
  <c r="AD25" i="15" l="1"/>
  <c r="AE25" i="15" s="1"/>
  <c r="AG25" i="15" s="1"/>
  <c r="AB26" i="15" s="1"/>
  <c r="AC26" i="15" s="1"/>
  <c r="AA25" i="15"/>
  <c r="AF58" i="15"/>
  <c r="Z59" i="15" s="1"/>
  <c r="AA59" i="15" s="1"/>
  <c r="AH58" i="15"/>
  <c r="AC58" i="15"/>
  <c r="AG58" i="15" s="1"/>
  <c r="AB59" i="15" s="1"/>
  <c r="AG59" i="14"/>
  <c r="AB60" i="14" s="1"/>
  <c r="AD60" i="14" s="1"/>
  <c r="AE60" i="14" s="1"/>
  <c r="AF60" i="14" s="1"/>
  <c r="Z61" i="14" s="1"/>
  <c r="AA25" i="14"/>
  <c r="AD25" i="14"/>
  <c r="AC22" i="13"/>
  <c r="X23" i="13" s="1"/>
  <c r="AD23" i="13" s="1"/>
  <c r="AC60" i="14" l="1"/>
  <c r="AG60" i="14" s="1"/>
  <c r="AB61" i="14" s="1"/>
  <c r="AH61" i="14" s="1"/>
  <c r="AF25" i="15"/>
  <c r="Z26" i="15" s="1"/>
  <c r="AA26" i="15" s="1"/>
  <c r="AH60" i="14"/>
  <c r="AH59" i="15"/>
  <c r="AC59" i="15"/>
  <c r="AD59" i="15"/>
  <c r="AE59" i="15" s="1"/>
  <c r="AF59" i="15" s="1"/>
  <c r="Z60" i="15" s="1"/>
  <c r="AA60" i="15" s="1"/>
  <c r="AA61" i="14"/>
  <c r="AE25" i="14"/>
  <c r="AG25" i="14" s="1"/>
  <c r="AB26" i="14" s="1"/>
  <c r="Z23" i="13"/>
  <c r="AA23" i="13" s="1"/>
  <c r="AB23" i="13" s="1"/>
  <c r="V24" i="13" s="1"/>
  <c r="W24" i="13" s="1"/>
  <c r="Y23" i="13"/>
  <c r="AH26" i="15" l="1"/>
  <c r="AD26" i="15"/>
  <c r="AE26" i="15" s="1"/>
  <c r="AG26" i="15" s="1"/>
  <c r="AB27" i="15" s="1"/>
  <c r="AC27" i="15" s="1"/>
  <c r="AD61" i="14"/>
  <c r="AE61" i="14" s="1"/>
  <c r="AF61" i="14" s="1"/>
  <c r="Z62" i="14" s="1"/>
  <c r="AA62" i="14" s="1"/>
  <c r="AC61" i="14"/>
  <c r="AG59" i="15"/>
  <c r="AB60" i="15" s="1"/>
  <c r="AC26" i="14"/>
  <c r="AF25" i="14"/>
  <c r="Z26" i="14" s="1"/>
  <c r="AC23" i="13"/>
  <c r="X24" i="13" s="1"/>
  <c r="AD24" i="13" s="1"/>
  <c r="AG61" i="14" l="1"/>
  <c r="AB62" i="14" s="1"/>
  <c r="AD62" i="14" s="1"/>
  <c r="AE62" i="14" s="1"/>
  <c r="AF62" i="14" s="1"/>
  <c r="Z63" i="14" s="1"/>
  <c r="AA63" i="14" s="1"/>
  <c r="AF26" i="15"/>
  <c r="Z27" i="15" s="1"/>
  <c r="AD60" i="15"/>
  <c r="AE60" i="15" s="1"/>
  <c r="AF60" i="15" s="1"/>
  <c r="Z61" i="15" s="1"/>
  <c r="AH60" i="15"/>
  <c r="AC60" i="15"/>
  <c r="AH62" i="14"/>
  <c r="AC62" i="14"/>
  <c r="AA27" i="15"/>
  <c r="AD27" i="15"/>
  <c r="AH27" i="15"/>
  <c r="AA26" i="14"/>
  <c r="AD26" i="14"/>
  <c r="AH26" i="14"/>
  <c r="Z24" i="13"/>
  <c r="AA24" i="13" s="1"/>
  <c r="AB24" i="13" s="1"/>
  <c r="V25" i="13" s="1"/>
  <c r="W25" i="13" s="1"/>
  <c r="Y24" i="13"/>
  <c r="AG62" i="14" l="1"/>
  <c r="AB63" i="14" s="1"/>
  <c r="AD63" i="14" s="1"/>
  <c r="AE63" i="14" s="1"/>
  <c r="AF63" i="14" s="1"/>
  <c r="Z64" i="14" s="1"/>
  <c r="AG60" i="15"/>
  <c r="AB61" i="15" s="1"/>
  <c r="AH61" i="15" s="1"/>
  <c r="AA61" i="15"/>
  <c r="AH63" i="14"/>
  <c r="AE27" i="15"/>
  <c r="AG27" i="15" s="1"/>
  <c r="AB28" i="15" s="1"/>
  <c r="AE26" i="14"/>
  <c r="AG26" i="14" s="1"/>
  <c r="AB27" i="14" s="1"/>
  <c r="AC24" i="13"/>
  <c r="X25" i="13" s="1"/>
  <c r="AD25" i="13" s="1"/>
  <c r="AC63" i="14" l="1"/>
  <c r="AD61" i="15"/>
  <c r="AE61" i="15" s="1"/>
  <c r="AF61" i="15" s="1"/>
  <c r="Z62" i="15" s="1"/>
  <c r="AA62" i="15" s="1"/>
  <c r="AC61" i="15"/>
  <c r="AG63" i="14"/>
  <c r="AB64" i="14" s="1"/>
  <c r="AC64" i="14" s="1"/>
  <c r="AA64" i="14"/>
  <c r="Y25" i="13"/>
  <c r="AC28" i="15"/>
  <c r="AF27" i="15"/>
  <c r="Z28" i="15" s="1"/>
  <c r="AA28" i="15" s="1"/>
  <c r="Z25" i="13"/>
  <c r="AA25" i="13" s="1"/>
  <c r="AB25" i="13" s="1"/>
  <c r="V26" i="13" s="1"/>
  <c r="W26" i="13" s="1"/>
  <c r="AC27" i="14"/>
  <c r="AF26" i="14"/>
  <c r="Z27" i="14" s="1"/>
  <c r="AH27" i="14" s="1"/>
  <c r="AG61" i="15" l="1"/>
  <c r="AB62" i="15" s="1"/>
  <c r="AD62" i="15" s="1"/>
  <c r="AE62" i="15" s="1"/>
  <c r="AF62" i="15" s="1"/>
  <c r="Z63" i="15" s="1"/>
  <c r="AD64" i="14"/>
  <c r="AE64" i="14" s="1"/>
  <c r="AF64" i="14" s="1"/>
  <c r="Z65" i="14" s="1"/>
  <c r="AA65" i="14" s="1"/>
  <c r="AH64" i="14"/>
  <c r="AH28" i="15"/>
  <c r="AD28" i="15"/>
  <c r="AC25" i="13"/>
  <c r="X26" i="13" s="1"/>
  <c r="AD26" i="13" s="1"/>
  <c r="AA27" i="14"/>
  <c r="AD27" i="14"/>
  <c r="AH62" i="15" l="1"/>
  <c r="AC62" i="15"/>
  <c r="AG62" i="15" s="1"/>
  <c r="AB63" i="15" s="1"/>
  <c r="AG64" i="14"/>
  <c r="AB65" i="14" s="1"/>
  <c r="AD65" i="14" s="1"/>
  <c r="AE65" i="14" s="1"/>
  <c r="AF65" i="14" s="1"/>
  <c r="Z66" i="14" s="1"/>
  <c r="AA63" i="15"/>
  <c r="AC65" i="14"/>
  <c r="Y26" i="13"/>
  <c r="Z26" i="13"/>
  <c r="AA26" i="13" s="1"/>
  <c r="AB26" i="13" s="1"/>
  <c r="V27" i="13" s="1"/>
  <c r="W27" i="13" s="1"/>
  <c r="AE28" i="15"/>
  <c r="AG28" i="15" s="1"/>
  <c r="AB29" i="15" s="1"/>
  <c r="AE27" i="14"/>
  <c r="AG27" i="14" s="1"/>
  <c r="AB28" i="14" s="1"/>
  <c r="AH63" i="15" l="1"/>
  <c r="AD63" i="15"/>
  <c r="AE63" i="15" s="1"/>
  <c r="AF63" i="15" s="1"/>
  <c r="Z64" i="15" s="1"/>
  <c r="AA64" i="15" s="1"/>
  <c r="AH65" i="14"/>
  <c r="AC63" i="15"/>
  <c r="AG65" i="14"/>
  <c r="AB66" i="14" s="1"/>
  <c r="AH66" i="14" s="1"/>
  <c r="AA66" i="14"/>
  <c r="AC26" i="13"/>
  <c r="X27" i="13" s="1"/>
  <c r="AD27" i="13" s="1"/>
  <c r="AC29" i="15"/>
  <c r="AF28" i="15"/>
  <c r="Z29" i="15" s="1"/>
  <c r="AH29" i="15" s="1"/>
  <c r="AC28" i="14"/>
  <c r="AF27" i="14"/>
  <c r="Z28" i="14" s="1"/>
  <c r="AD66" i="14" l="1"/>
  <c r="AE66" i="14" s="1"/>
  <c r="AG63" i="15"/>
  <c r="AB64" i="15" s="1"/>
  <c r="AD64" i="15" s="1"/>
  <c r="AE64" i="15" s="1"/>
  <c r="AF64" i="15" s="1"/>
  <c r="Z65" i="15" s="1"/>
  <c r="AA65" i="15" s="1"/>
  <c r="AC66" i="14"/>
  <c r="AC64" i="15"/>
  <c r="AH64" i="15"/>
  <c r="AF66" i="14"/>
  <c r="Z67" i="14" s="1"/>
  <c r="AA67" i="14" s="1"/>
  <c r="AG66" i="14"/>
  <c r="AB67" i="14" s="1"/>
  <c r="Z27" i="13"/>
  <c r="AA27" i="13" s="1"/>
  <c r="AB27" i="13" s="1"/>
  <c r="V28" i="13" s="1"/>
  <c r="W28" i="13" s="1"/>
  <c r="Y27" i="13"/>
  <c r="AA29" i="15"/>
  <c r="AD29" i="15"/>
  <c r="AA28" i="14"/>
  <c r="AD28" i="14"/>
  <c r="AH28" i="14"/>
  <c r="AD67" i="14" l="1"/>
  <c r="AE67" i="14" s="1"/>
  <c r="AF67" i="14" s="1"/>
  <c r="Z68" i="14" s="1"/>
  <c r="AA68" i="14" s="1"/>
  <c r="AG64" i="15"/>
  <c r="AB65" i="15" s="1"/>
  <c r="AD65" i="15" s="1"/>
  <c r="AE65" i="15" s="1"/>
  <c r="AF65" i="15" s="1"/>
  <c r="Z66" i="15" s="1"/>
  <c r="AA66" i="15" s="1"/>
  <c r="AC65" i="15"/>
  <c r="AH65" i="15"/>
  <c r="AH67" i="14"/>
  <c r="AC67" i="14"/>
  <c r="AC27" i="13"/>
  <c r="X28" i="13" s="1"/>
  <c r="Z28" i="13" s="1"/>
  <c r="AA28" i="13" s="1"/>
  <c r="AB28" i="13" s="1"/>
  <c r="V29" i="13" s="1"/>
  <c r="W29" i="13" s="1"/>
  <c r="AE29" i="15"/>
  <c r="AG29" i="15" s="1"/>
  <c r="AB30" i="15" s="1"/>
  <c r="AE28" i="14"/>
  <c r="AG28" i="14" s="1"/>
  <c r="AB29" i="14" s="1"/>
  <c r="AG67" i="14" l="1"/>
  <c r="AB68" i="14" s="1"/>
  <c r="AG65" i="15"/>
  <c r="AB66" i="15" s="1"/>
  <c r="AD66" i="15" s="1"/>
  <c r="AE66" i="15" s="1"/>
  <c r="AF66" i="15" s="1"/>
  <c r="Z67" i="15" s="1"/>
  <c r="AH68" i="14"/>
  <c r="AC68" i="14"/>
  <c r="AD68" i="14"/>
  <c r="Y28" i="13"/>
  <c r="AC28" i="13" s="1"/>
  <c r="X29" i="13" s="1"/>
  <c r="AD29" i="13" s="1"/>
  <c r="AD28" i="13"/>
  <c r="AC30" i="15"/>
  <c r="AF29" i="15"/>
  <c r="Z30" i="15" s="1"/>
  <c r="AH30" i="15" s="1"/>
  <c r="AC29" i="14"/>
  <c r="AF28" i="14"/>
  <c r="Z29" i="14" s="1"/>
  <c r="AH29" i="14" s="1"/>
  <c r="AH66" i="15" l="1"/>
  <c r="AC66" i="15"/>
  <c r="AG66" i="15" s="1"/>
  <c r="AB67" i="15" s="1"/>
  <c r="AA67" i="15"/>
  <c r="S25" i="14"/>
  <c r="S26" i="14" s="1"/>
  <c r="G21" i="14" s="1"/>
  <c r="AE68" i="14"/>
  <c r="AF68" i="14" s="1"/>
  <c r="Y29" i="13"/>
  <c r="Z29" i="13"/>
  <c r="AA29" i="13" s="1"/>
  <c r="AB29" i="13" s="1"/>
  <c r="V30" i="13" s="1"/>
  <c r="W30" i="13" s="1"/>
  <c r="AA30" i="15"/>
  <c r="AD30" i="15"/>
  <c r="AA29" i="14"/>
  <c r="AD29" i="14"/>
  <c r="AH67" i="15" l="1"/>
  <c r="AD67" i="15"/>
  <c r="AE67" i="15" s="1"/>
  <c r="AC67" i="15"/>
  <c r="AF67" i="15"/>
  <c r="Z68" i="15" s="1"/>
  <c r="AA68" i="15" s="1"/>
  <c r="AG68" i="14"/>
  <c r="G24" i="14"/>
  <c r="G22" i="14"/>
  <c r="AC29" i="13"/>
  <c r="X30" i="13" s="1"/>
  <c r="Z30" i="13" s="1"/>
  <c r="AA30" i="13" s="1"/>
  <c r="AB30" i="13" s="1"/>
  <c r="V31" i="13" s="1"/>
  <c r="W31" i="13" s="1"/>
  <c r="AE30" i="15"/>
  <c r="AG30" i="15" s="1"/>
  <c r="AB31" i="15" s="1"/>
  <c r="AE29" i="14"/>
  <c r="AG29" i="14" s="1"/>
  <c r="AB30" i="14" s="1"/>
  <c r="AG67" i="15" l="1"/>
  <c r="AB68" i="15" s="1"/>
  <c r="AC68" i="15" s="1"/>
  <c r="Y30" i="13"/>
  <c r="AC30" i="13" s="1"/>
  <c r="X31" i="13" s="1"/>
  <c r="AD30" i="13"/>
  <c r="AC31" i="15"/>
  <c r="AF30" i="15"/>
  <c r="Z31" i="15" s="1"/>
  <c r="AH31" i="15" s="1"/>
  <c r="AC30" i="14"/>
  <c r="AF29" i="14"/>
  <c r="Z30" i="14" s="1"/>
  <c r="AH30" i="14" s="1"/>
  <c r="AH68" i="15" l="1"/>
  <c r="AD68" i="15"/>
  <c r="S26" i="15" s="1"/>
  <c r="S27" i="15" s="1"/>
  <c r="G21" i="15" s="1"/>
  <c r="AE68" i="15"/>
  <c r="AF68" i="15" s="1"/>
  <c r="AD31" i="13"/>
  <c r="Y31" i="13"/>
  <c r="Z31" i="13"/>
  <c r="AA31" i="13" s="1"/>
  <c r="AB31" i="13" s="1"/>
  <c r="V32" i="13" s="1"/>
  <c r="W32" i="13" s="1"/>
  <c r="AD31" i="15"/>
  <c r="AE31" i="15" s="1"/>
  <c r="AG31" i="15" s="1"/>
  <c r="AB32" i="15" s="1"/>
  <c r="AA31" i="15"/>
  <c r="AA30" i="14"/>
  <c r="AD30" i="14"/>
  <c r="AG68" i="15" l="1"/>
  <c r="G24" i="15"/>
  <c r="G22" i="15"/>
  <c r="AC31" i="13"/>
  <c r="X32" i="13" s="1"/>
  <c r="AD32" i="13" s="1"/>
  <c r="AF31" i="15"/>
  <c r="Z32" i="15" s="1"/>
  <c r="AA32" i="15" s="1"/>
  <c r="AC32" i="15"/>
  <c r="AE30" i="14"/>
  <c r="AG30" i="14" s="1"/>
  <c r="AB31" i="14" s="1"/>
  <c r="K6" i="15" l="1"/>
  <c r="K7" i="15" s="1"/>
  <c r="Z32" i="13"/>
  <c r="AA32" i="13" s="1"/>
  <c r="AB32" i="13" s="1"/>
  <c r="V33" i="13" s="1"/>
  <c r="W33" i="13" s="1"/>
  <c r="Y32" i="13"/>
  <c r="AD32" i="15"/>
  <c r="AE32" i="15" s="1"/>
  <c r="AG32" i="15" s="1"/>
  <c r="AB33" i="15" s="1"/>
  <c r="AH32" i="15"/>
  <c r="AC31" i="14"/>
  <c r="AF30" i="14"/>
  <c r="Z31" i="14" s="1"/>
  <c r="C56" i="12"/>
  <c r="C55" i="12"/>
  <c r="C51" i="12"/>
  <c r="C50" i="12"/>
  <c r="AN44" i="12"/>
  <c r="AM44" i="12"/>
  <c r="AN43" i="12"/>
  <c r="AM43" i="12"/>
  <c r="AN42" i="12"/>
  <c r="AM42" i="12"/>
  <c r="AN41" i="12"/>
  <c r="AM41" i="12"/>
  <c r="AN40" i="12"/>
  <c r="AM40" i="12"/>
  <c r="C41" i="12"/>
  <c r="AN39" i="12"/>
  <c r="AM39" i="12"/>
  <c r="AN38" i="12"/>
  <c r="AM38" i="12"/>
  <c r="AN37" i="12"/>
  <c r="AM37" i="12"/>
  <c r="AN36" i="12"/>
  <c r="AM36" i="12"/>
  <c r="AN35" i="12"/>
  <c r="AM35" i="12"/>
  <c r="AN34" i="12"/>
  <c r="AM34" i="12"/>
  <c r="AN33" i="12"/>
  <c r="AM33" i="12"/>
  <c r="AN32" i="12"/>
  <c r="AM32" i="12"/>
  <c r="AN31" i="12"/>
  <c r="AM31" i="12"/>
  <c r="AN30" i="12"/>
  <c r="AM30" i="12"/>
  <c r="AN29" i="12"/>
  <c r="AM29" i="12"/>
  <c r="AN28" i="12"/>
  <c r="AM28" i="12"/>
  <c r="AN27" i="12"/>
  <c r="AM27" i="12"/>
  <c r="AN26" i="12"/>
  <c r="AM26" i="12"/>
  <c r="AN25" i="12"/>
  <c r="AM25" i="12"/>
  <c r="AN24" i="12"/>
  <c r="AM24" i="12"/>
  <c r="G24" i="12"/>
  <c r="AN23" i="12"/>
  <c r="AM23" i="12"/>
  <c r="G23" i="12"/>
  <c r="AN22" i="12"/>
  <c r="AM22" i="12"/>
  <c r="AN21" i="12"/>
  <c r="AM21" i="12"/>
  <c r="O21" i="12"/>
  <c r="AN20" i="12"/>
  <c r="AM20" i="12"/>
  <c r="AN19" i="12"/>
  <c r="AM19" i="12"/>
  <c r="AN18" i="12"/>
  <c r="AM18" i="12"/>
  <c r="AN17" i="12"/>
  <c r="AM17" i="12"/>
  <c r="C16" i="12"/>
  <c r="AN16" i="12"/>
  <c r="AM16" i="12"/>
  <c r="G13" i="12"/>
  <c r="AN15" i="12"/>
  <c r="AM15" i="12"/>
  <c r="AN14" i="12"/>
  <c r="AM14" i="12"/>
  <c r="AN13" i="12"/>
  <c r="AM13" i="12"/>
  <c r="AN12" i="12"/>
  <c r="AM12" i="12"/>
  <c r="C11" i="12"/>
  <c r="C30" i="12" s="1"/>
  <c r="AN11" i="12"/>
  <c r="AM11" i="12"/>
  <c r="AN10" i="12"/>
  <c r="AM10" i="12"/>
  <c r="C23" i="12"/>
  <c r="AN9" i="12"/>
  <c r="AM9" i="12"/>
  <c r="AN8" i="12"/>
  <c r="AM8" i="12"/>
  <c r="AN7" i="12"/>
  <c r="AM7" i="12"/>
  <c r="AN6" i="12"/>
  <c r="AM6" i="12"/>
  <c r="AO5" i="12"/>
  <c r="AN5" i="12"/>
  <c r="AM5" i="12"/>
  <c r="AG6" i="12" s="1"/>
  <c r="AK5" i="12"/>
  <c r="G5" i="12"/>
  <c r="AD4" i="12"/>
  <c r="Z4" i="12"/>
  <c r="G4" i="12"/>
  <c r="AR9" i="9"/>
  <c r="AR19" i="9" s="1"/>
  <c r="G24" i="10"/>
  <c r="G23" i="10"/>
  <c r="G5" i="10"/>
  <c r="G4" i="10"/>
  <c r="AR3" i="10" s="1"/>
  <c r="G16" i="10"/>
  <c r="C17" i="10"/>
  <c r="G23" i="9"/>
  <c r="G24" i="9"/>
  <c r="G4" i="9"/>
  <c r="AR3" i="9" s="1"/>
  <c r="G5" i="9"/>
  <c r="G16" i="9"/>
  <c r="AR46" i="9"/>
  <c r="AR45" i="9"/>
  <c r="O4" i="9"/>
  <c r="C13" i="9"/>
  <c r="O5" i="10"/>
  <c r="CA107" i="9"/>
  <c r="CC107" i="9"/>
  <c r="O21" i="10"/>
  <c r="O20" i="9"/>
  <c r="AC32" i="13" l="1"/>
  <c r="X33" i="13" s="1"/>
  <c r="Z33" i="13" s="1"/>
  <c r="AA33" i="13" s="1"/>
  <c r="AB33" i="13" s="1"/>
  <c r="V34" i="13" s="1"/>
  <c r="AF32" i="15"/>
  <c r="Z33" i="15" s="1"/>
  <c r="AA33" i="15" s="1"/>
  <c r="AC33" i="15"/>
  <c r="G14" i="12"/>
  <c r="G15" i="12" s="1"/>
  <c r="O22" i="12"/>
  <c r="O25" i="12" s="1"/>
  <c r="AA31" i="14"/>
  <c r="AD31" i="14"/>
  <c r="AH31" i="14"/>
  <c r="G6" i="12"/>
  <c r="AI6" i="12"/>
  <c r="AO6" i="12" s="1"/>
  <c r="G25" i="12"/>
  <c r="K42" i="12"/>
  <c r="G17" i="9"/>
  <c r="G18" i="9" s="1"/>
  <c r="Y33" i="13" l="1"/>
  <c r="AD33" i="13"/>
  <c r="AH33" i="15"/>
  <c r="AD33" i="15"/>
  <c r="AE33" i="15" s="1"/>
  <c r="AG33" i="15" s="1"/>
  <c r="AB34" i="15" s="1"/>
  <c r="AE31" i="14"/>
  <c r="AG31" i="14" s="1"/>
  <c r="AB32" i="14" s="1"/>
  <c r="AI7" i="12"/>
  <c r="AK6" i="12"/>
  <c r="AG7" i="12" s="1"/>
  <c r="K11" i="12"/>
  <c r="AC33" i="13"/>
  <c r="X34" i="13" s="1"/>
  <c r="Z34" i="13" s="1"/>
  <c r="W34" i="13"/>
  <c r="C57" i="10"/>
  <c r="C56" i="10"/>
  <c r="C52" i="10"/>
  <c r="C51" i="10"/>
  <c r="K42" i="10"/>
  <c r="AR9" i="10"/>
  <c r="AR10" i="10" s="1"/>
  <c r="K21" i="9"/>
  <c r="K20" i="9"/>
  <c r="C33" i="9"/>
  <c r="AN79" i="10"/>
  <c r="AM79" i="10"/>
  <c r="AN78" i="10"/>
  <c r="AM78" i="10"/>
  <c r="AN77" i="10"/>
  <c r="AM77" i="10"/>
  <c r="AN76" i="10"/>
  <c r="AM76" i="10"/>
  <c r="AN75" i="10"/>
  <c r="AM75" i="10"/>
  <c r="AN74" i="10"/>
  <c r="AM74" i="10"/>
  <c r="AN73" i="10"/>
  <c r="AM73" i="10"/>
  <c r="AN72" i="10"/>
  <c r="AM72" i="10"/>
  <c r="AN71" i="10"/>
  <c r="AM71" i="10"/>
  <c r="AN70" i="10"/>
  <c r="AM70" i="10"/>
  <c r="AN69" i="10"/>
  <c r="AM69" i="10"/>
  <c r="AN68" i="10"/>
  <c r="AM68" i="10"/>
  <c r="AN67" i="10"/>
  <c r="AM67" i="10"/>
  <c r="AN66" i="10"/>
  <c r="AM66" i="10"/>
  <c r="AN65" i="10"/>
  <c r="AM65" i="10"/>
  <c r="AN64" i="10"/>
  <c r="AM64" i="10"/>
  <c r="AN63" i="10"/>
  <c r="AM63" i="10"/>
  <c r="AN62" i="10"/>
  <c r="AM62" i="10"/>
  <c r="AN61" i="10"/>
  <c r="AM61" i="10"/>
  <c r="AN60" i="10"/>
  <c r="AM60" i="10"/>
  <c r="AN59" i="10"/>
  <c r="AM59" i="10"/>
  <c r="AN58" i="10"/>
  <c r="AM58" i="10"/>
  <c r="AN57" i="10"/>
  <c r="AM57" i="10"/>
  <c r="AN56" i="10"/>
  <c r="AM56" i="10"/>
  <c r="AN55" i="10"/>
  <c r="AM55" i="10"/>
  <c r="AN54" i="10"/>
  <c r="AM54" i="10"/>
  <c r="AN53" i="10"/>
  <c r="AM53" i="10"/>
  <c r="AN52" i="10"/>
  <c r="AM52" i="10"/>
  <c r="AN51" i="10"/>
  <c r="AM51" i="10"/>
  <c r="AO50" i="10"/>
  <c r="AN50" i="10"/>
  <c r="AM50" i="10"/>
  <c r="AK50" i="10"/>
  <c r="AR46" i="10"/>
  <c r="C12" i="10"/>
  <c r="C31" i="10" s="1"/>
  <c r="C10" i="10"/>
  <c r="C24" i="10" s="1"/>
  <c r="CH136" i="10"/>
  <c r="CG136" i="10"/>
  <c r="BW136" i="10"/>
  <c r="BV136" i="10"/>
  <c r="CH135" i="10"/>
  <c r="CG135" i="10"/>
  <c r="BW135" i="10"/>
  <c r="BV135" i="10"/>
  <c r="CH134" i="10"/>
  <c r="CG134" i="10"/>
  <c r="BW134" i="10"/>
  <c r="BV134" i="10"/>
  <c r="CH133" i="10"/>
  <c r="CG133" i="10"/>
  <c r="BW133" i="10"/>
  <c r="BV133" i="10"/>
  <c r="CH132" i="10"/>
  <c r="CG132" i="10"/>
  <c r="BW132" i="10"/>
  <c r="BV132" i="10"/>
  <c r="CH131" i="10"/>
  <c r="CG131" i="10"/>
  <c r="BW131" i="10"/>
  <c r="BV131" i="10"/>
  <c r="CH130" i="10"/>
  <c r="CG130" i="10"/>
  <c r="BW130" i="10"/>
  <c r="BV130" i="10"/>
  <c r="CH129" i="10"/>
  <c r="CG129" i="10"/>
  <c r="BW129" i="10"/>
  <c r="BV129" i="10"/>
  <c r="CH128" i="10"/>
  <c r="CG128" i="10"/>
  <c r="BW128" i="10"/>
  <c r="BV128" i="10"/>
  <c r="CH127" i="10"/>
  <c r="CG127" i="10"/>
  <c r="BW127" i="10"/>
  <c r="BV127" i="10"/>
  <c r="CH126" i="10"/>
  <c r="CG126" i="10"/>
  <c r="BW126" i="10"/>
  <c r="BV126" i="10"/>
  <c r="CH125" i="10"/>
  <c r="CG125" i="10"/>
  <c r="BW125" i="10"/>
  <c r="BV125" i="10"/>
  <c r="CH124" i="10"/>
  <c r="CG124" i="10"/>
  <c r="BW124" i="10"/>
  <c r="BV124" i="10"/>
  <c r="CH123" i="10"/>
  <c r="CG123" i="10"/>
  <c r="BW123" i="10"/>
  <c r="BV123" i="10"/>
  <c r="CH122" i="10"/>
  <c r="CG122" i="10"/>
  <c r="BW122" i="10"/>
  <c r="BV122" i="10"/>
  <c r="CH121" i="10"/>
  <c r="CG121" i="10"/>
  <c r="BW121" i="10"/>
  <c r="BV121" i="10"/>
  <c r="CH120" i="10"/>
  <c r="CG120" i="10"/>
  <c r="BW120" i="10"/>
  <c r="BV120" i="10"/>
  <c r="CH119" i="10"/>
  <c r="CG119" i="10"/>
  <c r="BW119" i="10"/>
  <c r="BV119" i="10"/>
  <c r="CH118" i="10"/>
  <c r="CG118" i="10"/>
  <c r="BW118" i="10"/>
  <c r="BV118" i="10"/>
  <c r="CH117" i="10"/>
  <c r="CG117" i="10"/>
  <c r="BW117" i="10"/>
  <c r="BV117" i="10"/>
  <c r="CH116" i="10"/>
  <c r="CG116" i="10"/>
  <c r="BW116" i="10"/>
  <c r="BV116" i="10"/>
  <c r="CH115" i="10"/>
  <c r="CG115" i="10"/>
  <c r="BW115" i="10"/>
  <c r="BV115" i="10"/>
  <c r="CH114" i="10"/>
  <c r="CG114" i="10"/>
  <c r="BW114" i="10"/>
  <c r="BV114" i="10"/>
  <c r="CH113" i="10"/>
  <c r="CG113" i="10"/>
  <c r="BW113" i="10"/>
  <c r="BV113" i="10"/>
  <c r="CH112" i="10"/>
  <c r="CG112" i="10"/>
  <c r="BW112" i="10"/>
  <c r="BV112" i="10"/>
  <c r="CH111" i="10"/>
  <c r="CG111" i="10"/>
  <c r="BW111" i="10"/>
  <c r="BV111" i="10"/>
  <c r="CH110" i="10"/>
  <c r="CG110" i="10"/>
  <c r="BW110" i="10"/>
  <c r="BV110" i="10"/>
  <c r="CH109" i="10"/>
  <c r="CG109" i="10"/>
  <c r="BW109" i="10"/>
  <c r="BV109" i="10"/>
  <c r="CH108" i="10"/>
  <c r="CG108" i="10"/>
  <c r="BW108" i="10"/>
  <c r="BV108" i="10"/>
  <c r="CH107" i="10"/>
  <c r="CG107" i="10"/>
  <c r="CC107" i="10"/>
  <c r="CA107" i="10"/>
  <c r="BW107" i="10"/>
  <c r="BV107" i="10"/>
  <c r="BR107" i="10"/>
  <c r="BP107" i="10"/>
  <c r="CH102" i="10"/>
  <c r="CG102" i="10"/>
  <c r="BW102" i="10"/>
  <c r="BV102" i="10"/>
  <c r="CH101" i="10"/>
  <c r="CG101" i="10"/>
  <c r="BW101" i="10"/>
  <c r="BV101" i="10"/>
  <c r="CH100" i="10"/>
  <c r="CG100" i="10"/>
  <c r="BW100" i="10"/>
  <c r="BV100" i="10"/>
  <c r="CH99" i="10"/>
  <c r="CG99" i="10"/>
  <c r="BW99" i="10"/>
  <c r="BV99" i="10"/>
  <c r="CH98" i="10"/>
  <c r="CG98" i="10"/>
  <c r="BW98" i="10"/>
  <c r="BV98" i="10"/>
  <c r="CH97" i="10"/>
  <c r="CG97" i="10"/>
  <c r="BW97" i="10"/>
  <c r="BV97" i="10"/>
  <c r="CH96" i="10"/>
  <c r="CG96" i="10"/>
  <c r="BW96" i="10"/>
  <c r="BV96" i="10"/>
  <c r="CH95" i="10"/>
  <c r="CG95" i="10"/>
  <c r="BW95" i="10"/>
  <c r="BV95" i="10"/>
  <c r="CH94" i="10"/>
  <c r="CG94" i="10"/>
  <c r="BW94" i="10"/>
  <c r="BV94" i="10"/>
  <c r="CH93" i="10"/>
  <c r="CG93" i="10"/>
  <c r="BW93" i="10"/>
  <c r="BV93" i="10"/>
  <c r="CH92" i="10"/>
  <c r="CG92" i="10"/>
  <c r="BW92" i="10"/>
  <c r="BV92" i="10"/>
  <c r="CH91" i="10"/>
  <c r="CG91" i="10"/>
  <c r="BW91" i="10"/>
  <c r="BV91" i="10"/>
  <c r="CH90" i="10"/>
  <c r="CG90" i="10"/>
  <c r="BW90" i="10"/>
  <c r="BV90" i="10"/>
  <c r="CH89" i="10"/>
  <c r="CG89" i="10"/>
  <c r="BW89" i="10"/>
  <c r="BV89" i="10"/>
  <c r="CH88" i="10"/>
  <c r="CG88" i="10"/>
  <c r="BW88" i="10"/>
  <c r="BV88" i="10"/>
  <c r="CH87" i="10"/>
  <c r="CG87" i="10"/>
  <c r="BW87" i="10"/>
  <c r="BV87" i="10"/>
  <c r="CH86" i="10"/>
  <c r="CG86" i="10"/>
  <c r="BW86" i="10"/>
  <c r="BV86" i="10"/>
  <c r="CH85" i="10"/>
  <c r="CG85" i="10"/>
  <c r="BW85" i="10"/>
  <c r="BV85" i="10"/>
  <c r="CH84" i="10"/>
  <c r="CG84" i="10"/>
  <c r="BW84" i="10"/>
  <c r="BV84" i="10"/>
  <c r="CH83" i="10"/>
  <c r="CG83" i="10"/>
  <c r="BW83" i="10"/>
  <c r="BV83" i="10"/>
  <c r="CH82" i="10"/>
  <c r="CG82" i="10"/>
  <c r="BW82" i="10"/>
  <c r="BV82" i="10"/>
  <c r="CH81" i="10"/>
  <c r="CG81" i="10"/>
  <c r="BW81" i="10"/>
  <c r="BV81" i="10"/>
  <c r="CH80" i="10"/>
  <c r="CG80" i="10"/>
  <c r="BW80" i="10"/>
  <c r="BV80" i="10"/>
  <c r="CH79" i="10"/>
  <c r="CG79" i="10"/>
  <c r="BW79" i="10"/>
  <c r="BV79" i="10"/>
  <c r="CH78" i="10"/>
  <c r="CG78" i="10"/>
  <c r="BW78" i="10"/>
  <c r="BV78" i="10"/>
  <c r="CH77" i="10"/>
  <c r="CG77" i="10"/>
  <c r="BW77" i="10"/>
  <c r="BV77" i="10"/>
  <c r="CH76" i="10"/>
  <c r="CG76" i="10"/>
  <c r="BW76" i="10"/>
  <c r="BV76" i="10"/>
  <c r="CH75" i="10"/>
  <c r="CG75" i="10"/>
  <c r="BW75" i="10"/>
  <c r="BV75" i="10"/>
  <c r="CH74" i="10"/>
  <c r="CG74" i="10"/>
  <c r="BW74" i="10"/>
  <c r="BV74" i="10"/>
  <c r="CH73" i="10"/>
  <c r="CG73" i="10"/>
  <c r="CC73" i="10"/>
  <c r="CA73" i="10"/>
  <c r="BW73" i="10"/>
  <c r="BV73" i="10"/>
  <c r="BR73" i="10"/>
  <c r="BP73" i="10"/>
  <c r="CH68" i="10"/>
  <c r="CG68" i="10"/>
  <c r="BW68" i="10"/>
  <c r="BV68" i="10"/>
  <c r="CH67" i="10"/>
  <c r="CG67" i="10"/>
  <c r="BW67" i="10"/>
  <c r="BV67" i="10"/>
  <c r="CH66" i="10"/>
  <c r="CG66" i="10"/>
  <c r="BW66" i="10"/>
  <c r="BV66" i="10"/>
  <c r="CH65" i="10"/>
  <c r="CG65" i="10"/>
  <c r="BW65" i="10"/>
  <c r="BV65" i="10"/>
  <c r="CH64" i="10"/>
  <c r="CG64" i="10"/>
  <c r="BW64" i="10"/>
  <c r="BV64" i="10"/>
  <c r="CH63" i="10"/>
  <c r="CG63" i="10"/>
  <c r="BW63" i="10"/>
  <c r="BV63" i="10"/>
  <c r="CH62" i="10"/>
  <c r="CG62" i="10"/>
  <c r="BW62" i="10"/>
  <c r="BV62" i="10"/>
  <c r="BL62" i="10"/>
  <c r="BH62" i="10"/>
  <c r="CH61" i="10"/>
  <c r="CG61" i="10"/>
  <c r="BW61" i="10"/>
  <c r="BV61" i="10"/>
  <c r="CH60" i="10"/>
  <c r="CG60" i="10"/>
  <c r="BW60" i="10"/>
  <c r="BV60" i="10"/>
  <c r="CH59" i="10"/>
  <c r="CG59" i="10"/>
  <c r="BW59" i="10"/>
  <c r="BV59" i="10"/>
  <c r="CH58" i="10"/>
  <c r="CG58" i="10"/>
  <c r="BW58" i="10"/>
  <c r="BV58" i="10"/>
  <c r="CH57" i="10"/>
  <c r="CG57" i="10"/>
  <c r="BW57" i="10"/>
  <c r="BV57" i="10"/>
  <c r="CH56" i="10"/>
  <c r="CG56" i="10"/>
  <c r="BW56" i="10"/>
  <c r="BV56" i="10"/>
  <c r="CH55" i="10"/>
  <c r="CG55" i="10"/>
  <c r="BW55" i="10"/>
  <c r="BV55" i="10"/>
  <c r="CH54" i="10"/>
  <c r="CG54" i="10"/>
  <c r="BW54" i="10"/>
  <c r="BV54" i="10"/>
  <c r="CH53" i="10"/>
  <c r="CG53" i="10"/>
  <c r="BW53" i="10"/>
  <c r="BV53" i="10"/>
  <c r="CH52" i="10"/>
  <c r="CG52" i="10"/>
  <c r="BW52" i="10"/>
  <c r="BV52" i="10"/>
  <c r="CH51" i="10"/>
  <c r="CG51" i="10"/>
  <c r="BW51" i="10"/>
  <c r="BV51" i="10"/>
  <c r="CH50" i="10"/>
  <c r="CG50" i="10"/>
  <c r="BW50" i="10"/>
  <c r="BV50" i="10"/>
  <c r="CH49" i="10"/>
  <c r="CG49" i="10"/>
  <c r="BW49" i="10"/>
  <c r="BV49" i="10"/>
  <c r="CH48" i="10"/>
  <c r="CG48" i="10"/>
  <c r="BW48" i="10"/>
  <c r="BV48" i="10"/>
  <c r="CH47" i="10"/>
  <c r="CG47" i="10"/>
  <c r="BW47" i="10"/>
  <c r="BV47" i="10"/>
  <c r="CH46" i="10"/>
  <c r="CG46" i="10"/>
  <c r="BW46" i="10"/>
  <c r="BV46" i="10"/>
  <c r="CH45" i="10"/>
  <c r="CG45" i="10"/>
  <c r="BW45" i="10"/>
  <c r="BV45" i="10"/>
  <c r="AR45" i="10"/>
  <c r="CH44" i="10"/>
  <c r="CG44" i="10"/>
  <c r="BW44" i="10"/>
  <c r="BV44" i="10"/>
  <c r="CH43" i="10"/>
  <c r="CG43" i="10"/>
  <c r="BW43" i="10"/>
  <c r="BV43" i="10"/>
  <c r="BL43" i="10"/>
  <c r="BH43" i="10"/>
  <c r="CH42" i="10"/>
  <c r="CG42" i="10"/>
  <c r="BW42" i="10"/>
  <c r="BV42" i="10"/>
  <c r="CH41" i="10"/>
  <c r="CG41" i="10"/>
  <c r="BW41" i="10"/>
  <c r="BV41" i="10"/>
  <c r="CH40" i="10"/>
  <c r="CG40" i="10"/>
  <c r="BW40" i="10"/>
  <c r="BV40" i="10"/>
  <c r="CH39" i="10"/>
  <c r="CG39" i="10"/>
  <c r="CC39" i="10"/>
  <c r="CA39" i="10"/>
  <c r="BW39" i="10"/>
  <c r="BV39" i="10"/>
  <c r="BR39" i="10"/>
  <c r="BP39" i="10"/>
  <c r="CH34" i="10"/>
  <c r="CG34" i="10"/>
  <c r="BW34" i="10"/>
  <c r="BV34" i="10"/>
  <c r="CH33" i="10"/>
  <c r="CG33" i="10"/>
  <c r="BW33" i="10"/>
  <c r="BV33" i="10"/>
  <c r="CH32" i="10"/>
  <c r="CG32" i="10"/>
  <c r="BW32" i="10"/>
  <c r="BV32" i="10"/>
  <c r="CH31" i="10"/>
  <c r="CG31" i="10"/>
  <c r="BW31" i="10"/>
  <c r="BV31" i="10"/>
  <c r="CH30" i="10"/>
  <c r="CG30" i="10"/>
  <c r="BW30" i="10"/>
  <c r="BV30" i="10"/>
  <c r="CH29" i="10"/>
  <c r="CG29" i="10"/>
  <c r="BW29" i="10"/>
  <c r="BV29" i="10"/>
  <c r="CH28" i="10"/>
  <c r="CG28" i="10"/>
  <c r="BW28" i="10"/>
  <c r="BV28" i="10"/>
  <c r="CH27" i="10"/>
  <c r="CG27" i="10"/>
  <c r="BW27" i="10"/>
  <c r="BV27" i="10"/>
  <c r="CH26" i="10"/>
  <c r="CG26" i="10"/>
  <c r="BW26" i="10"/>
  <c r="BV26" i="10"/>
  <c r="CH25" i="10"/>
  <c r="CG25" i="10"/>
  <c r="BW25" i="10"/>
  <c r="BV25" i="10"/>
  <c r="CH24" i="10"/>
  <c r="CG24" i="10"/>
  <c r="BW24" i="10"/>
  <c r="BV24" i="10"/>
  <c r="BL24" i="10"/>
  <c r="BH24" i="10"/>
  <c r="CH23" i="10"/>
  <c r="CG23" i="10"/>
  <c r="BW23" i="10"/>
  <c r="BV23" i="10"/>
  <c r="CH22" i="10"/>
  <c r="CG22" i="10"/>
  <c r="BW22" i="10"/>
  <c r="BV22" i="10"/>
  <c r="CH21" i="10"/>
  <c r="CG21" i="10"/>
  <c r="BW21" i="10"/>
  <c r="BV21" i="10"/>
  <c r="CH20" i="10"/>
  <c r="CG20" i="10"/>
  <c r="BW20" i="10"/>
  <c r="BV20" i="10"/>
  <c r="CH19" i="10"/>
  <c r="CG19" i="10"/>
  <c r="BW19" i="10"/>
  <c r="BV19" i="10"/>
  <c r="CH18" i="10"/>
  <c r="CG18" i="10"/>
  <c r="BW18" i="10"/>
  <c r="BV18" i="10"/>
  <c r="CH17" i="10"/>
  <c r="CG17" i="10"/>
  <c r="BW17" i="10"/>
  <c r="BV17" i="10"/>
  <c r="CH16" i="10"/>
  <c r="CG16" i="10"/>
  <c r="BW16" i="10"/>
  <c r="BV16" i="10"/>
  <c r="CH15" i="10"/>
  <c r="CG15" i="10"/>
  <c r="BW15" i="10"/>
  <c r="BV15" i="10"/>
  <c r="CH14" i="10"/>
  <c r="CG14" i="10"/>
  <c r="BW14" i="10"/>
  <c r="BV14" i="10"/>
  <c r="CH13" i="10"/>
  <c r="CG13" i="10"/>
  <c r="BW13" i="10"/>
  <c r="BV13" i="10"/>
  <c r="CH12" i="10"/>
  <c r="CG12" i="10"/>
  <c r="BW12" i="10"/>
  <c r="BV12" i="10"/>
  <c r="CH11" i="10"/>
  <c r="CG11" i="10"/>
  <c r="BW11" i="10"/>
  <c r="BV11" i="10"/>
  <c r="CH10" i="10"/>
  <c r="CG10" i="10"/>
  <c r="BW10" i="10"/>
  <c r="BV10" i="10"/>
  <c r="CH9" i="10"/>
  <c r="CG9" i="10"/>
  <c r="BW9" i="10"/>
  <c r="BV9" i="10"/>
  <c r="CH8" i="10"/>
  <c r="CG8" i="10"/>
  <c r="BW8" i="10"/>
  <c r="BV8" i="10"/>
  <c r="AR8" i="10"/>
  <c r="CH7" i="10"/>
  <c r="CG7" i="10"/>
  <c r="BW7" i="10"/>
  <c r="BV7" i="10"/>
  <c r="CH6" i="10"/>
  <c r="CG6" i="10"/>
  <c r="BW6" i="10"/>
  <c r="BV6" i="10"/>
  <c r="CH5" i="10"/>
  <c r="CG5" i="10"/>
  <c r="CC5" i="10"/>
  <c r="CA5" i="10"/>
  <c r="BW5" i="10"/>
  <c r="BV5" i="10"/>
  <c r="BR5" i="10"/>
  <c r="BP5" i="10"/>
  <c r="BL5" i="10"/>
  <c r="BH5" i="10"/>
  <c r="AF33" i="15" l="1"/>
  <c r="Z34" i="15" s="1"/>
  <c r="AD34" i="15" s="1"/>
  <c r="AC34" i="15"/>
  <c r="AC32" i="14"/>
  <c r="AF31" i="14"/>
  <c r="Z32" i="14" s="1"/>
  <c r="AO7" i="12"/>
  <c r="AK7" i="12"/>
  <c r="AI8" i="12" s="1"/>
  <c r="O25" i="13"/>
  <c r="O26" i="13" s="1"/>
  <c r="G19" i="13" s="1"/>
  <c r="AA34" i="13"/>
  <c r="AB34" i="13" s="1"/>
  <c r="AD34" i="13"/>
  <c r="Y34" i="13"/>
  <c r="BX39" i="10"/>
  <c r="G17" i="10"/>
  <c r="G18" i="10" s="1"/>
  <c r="AG51" i="10"/>
  <c r="BT5" i="10"/>
  <c r="BR6" i="10" s="1"/>
  <c r="CE73" i="10"/>
  <c r="AR32" i="10"/>
  <c r="BX73" i="10"/>
  <c r="BP108" i="10"/>
  <c r="BP109" i="10" s="1"/>
  <c r="AI51" i="10"/>
  <c r="G6" i="9"/>
  <c r="CC74" i="10"/>
  <c r="CA40" i="10"/>
  <c r="CA41" i="10" s="1"/>
  <c r="BT107" i="10"/>
  <c r="BR108" i="10" s="1"/>
  <c r="BP6" i="10"/>
  <c r="BT73" i="10"/>
  <c r="BP40" i="10"/>
  <c r="BP41" i="10" s="1"/>
  <c r="BT39" i="10"/>
  <c r="BR40" i="10" s="1"/>
  <c r="BP74" i="10"/>
  <c r="BP75" i="10" s="1"/>
  <c r="BP76" i="10" s="1"/>
  <c r="AR22" i="10"/>
  <c r="AR33" i="10"/>
  <c r="AR28" i="10"/>
  <c r="BR74" i="10"/>
  <c r="BX107" i="10"/>
  <c r="AR26" i="10"/>
  <c r="BD31" i="10" s="1"/>
  <c r="CA74" i="10"/>
  <c r="CA75" i="10" s="1"/>
  <c r="CA76" i="10" s="1"/>
  <c r="AR31" i="10"/>
  <c r="AR24" i="10"/>
  <c r="BX5" i="10"/>
  <c r="AR19" i="10"/>
  <c r="CI39" i="10"/>
  <c r="CI73" i="10"/>
  <c r="AR20" i="10"/>
  <c r="AR30" i="10"/>
  <c r="AV3" i="10"/>
  <c r="AV4" i="10" s="1"/>
  <c r="CE5" i="10"/>
  <c r="CC6" i="10" s="1"/>
  <c r="AR21" i="10"/>
  <c r="AR23" i="10"/>
  <c r="AR25" i="10"/>
  <c r="CI5" i="10"/>
  <c r="CA6" i="10"/>
  <c r="CA7" i="10" s="1"/>
  <c r="CE107" i="10"/>
  <c r="CC108" i="10" s="1"/>
  <c r="CA108" i="10"/>
  <c r="CI107" i="10"/>
  <c r="CE39" i="10"/>
  <c r="CC40" i="10" s="1"/>
  <c r="AR34" i="10"/>
  <c r="AR27" i="10"/>
  <c r="AR29" i="10"/>
  <c r="AG8" i="12" l="1"/>
  <c r="AK8" i="12" s="1"/>
  <c r="AI9" i="12" s="1"/>
  <c r="AH34" i="15"/>
  <c r="AA34" i="15"/>
  <c r="AE34" i="15"/>
  <c r="AG34" i="15" s="1"/>
  <c r="O26" i="15"/>
  <c r="AA32" i="14"/>
  <c r="AD32" i="14"/>
  <c r="AH32" i="14"/>
  <c r="AC34" i="13"/>
  <c r="AO8" i="12"/>
  <c r="G20" i="13"/>
  <c r="G22" i="13"/>
  <c r="K4" i="13" s="1"/>
  <c r="K5" i="13" s="1"/>
  <c r="AO51" i="10"/>
  <c r="BT108" i="10"/>
  <c r="BR109" i="10" s="1"/>
  <c r="BX109" i="10" s="1"/>
  <c r="AK51" i="10"/>
  <c r="AI52" i="10" s="1"/>
  <c r="CI40" i="10"/>
  <c r="BX108" i="10"/>
  <c r="CE74" i="10"/>
  <c r="CC75" i="10" s="1"/>
  <c r="CE75" i="10" s="1"/>
  <c r="CC76" i="10" s="1"/>
  <c r="BX40" i="10"/>
  <c r="BT6" i="10"/>
  <c r="BR7" i="10" s="1"/>
  <c r="BX6" i="10"/>
  <c r="BP7" i="10"/>
  <c r="BH65" i="10"/>
  <c r="BX74" i="10"/>
  <c r="AZ22" i="10"/>
  <c r="BL27" i="10"/>
  <c r="BT74" i="10"/>
  <c r="BR75" i="10" s="1"/>
  <c r="BT75" i="10" s="1"/>
  <c r="BR76" i="10" s="1"/>
  <c r="CI6" i="10"/>
  <c r="BL65" i="10"/>
  <c r="AZ31" i="10"/>
  <c r="BH46" i="10"/>
  <c r="CI108" i="10"/>
  <c r="BT40" i="10"/>
  <c r="BR41" i="10" s="1"/>
  <c r="BT41" i="10" s="1"/>
  <c r="BR42" i="10" s="1"/>
  <c r="BL46" i="10"/>
  <c r="CI74" i="10"/>
  <c r="AZ4" i="10"/>
  <c r="BD4" i="10"/>
  <c r="BH27" i="10"/>
  <c r="BH8" i="10"/>
  <c r="BL8" i="10"/>
  <c r="BD13" i="10"/>
  <c r="AZ13" i="10"/>
  <c r="BD22" i="10"/>
  <c r="CA42" i="10"/>
  <c r="CE6" i="10"/>
  <c r="CC7" i="10" s="1"/>
  <c r="CI7" i="10" s="1"/>
  <c r="BP110" i="10"/>
  <c r="CE108" i="10"/>
  <c r="CC109" i="10" s="1"/>
  <c r="CA109" i="10"/>
  <c r="CE40" i="10"/>
  <c r="CC41" i="10" s="1"/>
  <c r="CI41" i="10" s="1"/>
  <c r="O27" i="15" l="1"/>
  <c r="G10" i="15" s="1"/>
  <c r="AF34" i="15"/>
  <c r="AE32" i="14"/>
  <c r="AG32" i="14" s="1"/>
  <c r="AB33" i="14" s="1"/>
  <c r="AG9" i="12"/>
  <c r="K8" i="13"/>
  <c r="K13" i="13" s="1"/>
  <c r="BP42" i="10"/>
  <c r="BX42" i="10" s="1"/>
  <c r="BT109" i="10"/>
  <c r="BR110" i="10" s="1"/>
  <c r="BT110" i="10" s="1"/>
  <c r="AG52" i="10"/>
  <c r="AK52" i="10" s="1"/>
  <c r="AG53" i="10" s="1"/>
  <c r="BT7" i="10"/>
  <c r="BP8" i="10" s="1"/>
  <c r="BX7" i="10"/>
  <c r="CI75" i="10"/>
  <c r="BX75" i="10"/>
  <c r="BX41" i="10"/>
  <c r="CE41" i="10"/>
  <c r="CC42" i="10" s="1"/>
  <c r="CE42" i="10" s="1"/>
  <c r="CA43" i="10" s="1"/>
  <c r="BX76" i="10"/>
  <c r="CE7" i="10"/>
  <c r="CE109" i="10"/>
  <c r="CC110" i="10" s="1"/>
  <c r="CA110" i="10"/>
  <c r="CI109" i="10"/>
  <c r="CI76" i="10"/>
  <c r="BT76" i="10"/>
  <c r="BP77" i="10" s="1"/>
  <c r="CE76" i="10"/>
  <c r="CA77" i="10" s="1"/>
  <c r="G11" i="15" l="1"/>
  <c r="G14" i="15"/>
  <c r="K4" i="15" s="1"/>
  <c r="AC33" i="14"/>
  <c r="AF32" i="14"/>
  <c r="Z33" i="14" s="1"/>
  <c r="AO9" i="12"/>
  <c r="AK9" i="12"/>
  <c r="K48" i="13"/>
  <c r="K40" i="13"/>
  <c r="K32" i="13"/>
  <c r="K17" i="13"/>
  <c r="K16" i="13"/>
  <c r="BT42" i="10"/>
  <c r="BP43" i="10" s="1"/>
  <c r="BR8" i="10"/>
  <c r="BT8" i="10" s="1"/>
  <c r="BR9" i="10" s="1"/>
  <c r="CC77" i="10"/>
  <c r="CI77" i="10" s="1"/>
  <c r="AI53" i="10"/>
  <c r="AO53" i="10" s="1"/>
  <c r="AO52" i="10"/>
  <c r="BX110" i="10"/>
  <c r="CC8" i="10"/>
  <c r="CA8" i="10"/>
  <c r="BP111" i="10"/>
  <c r="BR111" i="10"/>
  <c r="BR77" i="10"/>
  <c r="BT77" i="10" s="1"/>
  <c r="BR78" i="10" s="1"/>
  <c r="CC43" i="10"/>
  <c r="CE43" i="10" s="1"/>
  <c r="CI42" i="10"/>
  <c r="CE110" i="10"/>
  <c r="CA111" i="10" s="1"/>
  <c r="CI110" i="10"/>
  <c r="G12" i="15" l="1"/>
  <c r="K25" i="15"/>
  <c r="K10" i="15"/>
  <c r="K15" i="15" s="1"/>
  <c r="AA33" i="14"/>
  <c r="AD33" i="14"/>
  <c r="AH33" i="14"/>
  <c r="AI10" i="12"/>
  <c r="AG10" i="12"/>
  <c r="K41" i="13"/>
  <c r="K44" i="13" s="1"/>
  <c r="K49" i="13"/>
  <c r="K50" i="13" s="1"/>
  <c r="K33" i="13"/>
  <c r="K36" i="13" s="1"/>
  <c r="K27" i="13"/>
  <c r="BR43" i="10"/>
  <c r="BT43" i="10" s="1"/>
  <c r="BR44" i="10" s="1"/>
  <c r="AK53" i="10"/>
  <c r="AG54" i="10" s="1"/>
  <c r="BX8" i="10"/>
  <c r="BP78" i="10"/>
  <c r="BT78" i="10" s="1"/>
  <c r="BP79" i="10" s="1"/>
  <c r="CE77" i="10"/>
  <c r="CC78" i="10" s="1"/>
  <c r="BP9" i="10"/>
  <c r="BX9" i="10" s="1"/>
  <c r="CI8" i="10"/>
  <c r="CE8" i="10"/>
  <c r="CA9" i="10" s="1"/>
  <c r="CI43" i="10"/>
  <c r="BX111" i="10"/>
  <c r="BX77" i="10"/>
  <c r="CC111" i="10"/>
  <c r="CI111" i="10" s="1"/>
  <c r="BT111" i="10"/>
  <c r="BR112" i="10" s="1"/>
  <c r="CC44" i="10"/>
  <c r="CA44" i="10"/>
  <c r="BP44" i="10"/>
  <c r="K35" i="15" l="1"/>
  <c r="K43" i="15"/>
  <c r="K5" i="15"/>
  <c r="K19" i="15"/>
  <c r="K18" i="15"/>
  <c r="K37" i="15"/>
  <c r="K45" i="15"/>
  <c r="AE33" i="14"/>
  <c r="AG33" i="14" s="1"/>
  <c r="AB34" i="14" s="1"/>
  <c r="AK10" i="12"/>
  <c r="AG11" i="12" s="1"/>
  <c r="AO10" i="12"/>
  <c r="AJ4" i="13"/>
  <c r="K28" i="13"/>
  <c r="AH4" i="13"/>
  <c r="AL4" i="13"/>
  <c r="BX43" i="10"/>
  <c r="CC9" i="10"/>
  <c r="CE9" i="10" s="1"/>
  <c r="CA10" i="10" s="1"/>
  <c r="AI54" i="10"/>
  <c r="AK54" i="10" s="1"/>
  <c r="AI55" i="10" s="1"/>
  <c r="BX78" i="10"/>
  <c r="BT9" i="10"/>
  <c r="BR10" i="10" s="1"/>
  <c r="CA78" i="10"/>
  <c r="CI44" i="10"/>
  <c r="CE111" i="10"/>
  <c r="CC112" i="10" s="1"/>
  <c r="BP112" i="10"/>
  <c r="BX112" i="10" s="1"/>
  <c r="BR79" i="10"/>
  <c r="BX79" i="10" s="1"/>
  <c r="CE44" i="10"/>
  <c r="BX44" i="10"/>
  <c r="BT44" i="10"/>
  <c r="BR45" i="10" s="1"/>
  <c r="AI11" i="12" l="1"/>
  <c r="AO11" i="12" s="1"/>
  <c r="K44" i="15"/>
  <c r="K47" i="15" s="1"/>
  <c r="K36" i="15"/>
  <c r="K39" i="15" s="1"/>
  <c r="K30" i="15"/>
  <c r="AC34" i="14"/>
  <c r="AF33" i="14"/>
  <c r="Z34" i="14" s="1"/>
  <c r="AK11" i="12"/>
  <c r="AI12" i="12" s="1"/>
  <c r="CI9" i="10"/>
  <c r="AG55" i="10"/>
  <c r="AK55" i="10" s="1"/>
  <c r="AG56" i="10" s="1"/>
  <c r="AO54" i="10"/>
  <c r="CA112" i="10"/>
  <c r="CE112" i="10" s="1"/>
  <c r="CC113" i="10" s="1"/>
  <c r="BP10" i="10"/>
  <c r="CI78" i="10"/>
  <c r="CE78" i="10"/>
  <c r="CC10" i="10"/>
  <c r="CI10" i="10" s="1"/>
  <c r="BT79" i="10"/>
  <c r="BR80" i="10" s="1"/>
  <c r="BT112" i="10"/>
  <c r="CA45" i="10"/>
  <c r="CC45" i="10"/>
  <c r="BP45" i="10"/>
  <c r="BT45" i="10" s="1"/>
  <c r="AG12" i="12" l="1"/>
  <c r="AH34" i="14"/>
  <c r="AD34" i="14"/>
  <c r="AE34" i="14" s="1"/>
  <c r="K31" i="15"/>
  <c r="AN4" i="15"/>
  <c r="AP4" i="15"/>
  <c r="AL4" i="15"/>
  <c r="AA34" i="14"/>
  <c r="AO12" i="12"/>
  <c r="AK12" i="12"/>
  <c r="AG13" i="12" s="1"/>
  <c r="AI56" i="10"/>
  <c r="AK56" i="10" s="1"/>
  <c r="AI57" i="10" s="1"/>
  <c r="AO55" i="10"/>
  <c r="CA113" i="10"/>
  <c r="CI113" i="10" s="1"/>
  <c r="CI112" i="10"/>
  <c r="BX10" i="10"/>
  <c r="BT10" i="10"/>
  <c r="CC79" i="10"/>
  <c r="CA79" i="10"/>
  <c r="CE10" i="10"/>
  <c r="CA11" i="10" s="1"/>
  <c r="BP80" i="10"/>
  <c r="BX80" i="10" s="1"/>
  <c r="CI45" i="10"/>
  <c r="BX45" i="10"/>
  <c r="BR113" i="10"/>
  <c r="BP113" i="10"/>
  <c r="CE45" i="10"/>
  <c r="BP46" i="10"/>
  <c r="BR46" i="10"/>
  <c r="AI13" i="12" l="1"/>
  <c r="AK13" i="12" s="1"/>
  <c r="AI14" i="12" s="1"/>
  <c r="AG34" i="14"/>
  <c r="O25" i="14"/>
  <c r="AO13" i="12"/>
  <c r="AO56" i="10"/>
  <c r="AG57" i="10"/>
  <c r="AO57" i="10" s="1"/>
  <c r="CE113" i="10"/>
  <c r="CC114" i="10" s="1"/>
  <c r="BP11" i="10"/>
  <c r="BR11" i="10"/>
  <c r="CE79" i="10"/>
  <c r="CA80" i="10" s="1"/>
  <c r="CI79" i="10"/>
  <c r="CC11" i="10"/>
  <c r="CI11" i="10" s="1"/>
  <c r="BT80" i="10"/>
  <c r="BP81" i="10" s="1"/>
  <c r="BT113" i="10"/>
  <c r="BP114" i="10" s="1"/>
  <c r="BX46" i="10"/>
  <c r="BX113" i="10"/>
  <c r="CA46" i="10"/>
  <c r="CC46" i="10"/>
  <c r="BT46" i="10"/>
  <c r="BR47" i="10" s="1"/>
  <c r="AG14" i="12" l="1"/>
  <c r="AO14" i="12" s="1"/>
  <c r="O26" i="14"/>
  <c r="G10" i="14" s="1"/>
  <c r="AF34" i="14"/>
  <c r="CA114" i="10"/>
  <c r="CI114" i="10" s="1"/>
  <c r="AK57" i="10"/>
  <c r="AG58" i="10" s="1"/>
  <c r="CC80" i="10"/>
  <c r="CE80" i="10" s="1"/>
  <c r="CC81" i="10" s="1"/>
  <c r="BT11" i="10"/>
  <c r="BR12" i="10" s="1"/>
  <c r="BX11" i="10"/>
  <c r="CE11" i="10"/>
  <c r="CA12" i="10" s="1"/>
  <c r="BR114" i="10"/>
  <c r="BX114" i="10" s="1"/>
  <c r="BR81" i="10"/>
  <c r="BX81" i="10" s="1"/>
  <c r="CI46" i="10"/>
  <c r="CE46" i="10"/>
  <c r="BP47" i="10"/>
  <c r="BX47" i="10" s="1"/>
  <c r="AK14" i="12" l="1"/>
  <c r="AG15" i="12" s="1"/>
  <c r="AI15" i="12"/>
  <c r="G11" i="14"/>
  <c r="G14" i="14"/>
  <c r="K4" i="14" s="1"/>
  <c r="CA81" i="10"/>
  <c r="CI81" i="10" s="1"/>
  <c r="CE114" i="10"/>
  <c r="CC115" i="10" s="1"/>
  <c r="AI58" i="10"/>
  <c r="AK58" i="10" s="1"/>
  <c r="AI59" i="10" s="1"/>
  <c r="BP12" i="10"/>
  <c r="BX12" i="10" s="1"/>
  <c r="CI80" i="10"/>
  <c r="BT114" i="10"/>
  <c r="BR115" i="10" s="1"/>
  <c r="CC12" i="10"/>
  <c r="CI12" i="10" s="1"/>
  <c r="BT81" i="10"/>
  <c r="BR82" i="10" s="1"/>
  <c r="BT47" i="10"/>
  <c r="BP48" i="10" s="1"/>
  <c r="CA47" i="10"/>
  <c r="CC47" i="10"/>
  <c r="AK15" i="12" l="1"/>
  <c r="AG16" i="12" s="1"/>
  <c r="AO15" i="12"/>
  <c r="G12" i="14"/>
  <c r="K22" i="14"/>
  <c r="K8" i="14"/>
  <c r="K13" i="14" s="1"/>
  <c r="BP115" i="10"/>
  <c r="BT115" i="10" s="1"/>
  <c r="BR116" i="10" s="1"/>
  <c r="CE81" i="10"/>
  <c r="CA82" i="10" s="1"/>
  <c r="CA115" i="10"/>
  <c r="CE115" i="10" s="1"/>
  <c r="CA116" i="10" s="1"/>
  <c r="AG59" i="10"/>
  <c r="AK59" i="10" s="1"/>
  <c r="AG60" i="10" s="1"/>
  <c r="AO58" i="10"/>
  <c r="BT12" i="10"/>
  <c r="BR13" i="10" s="1"/>
  <c r="CE12" i="10"/>
  <c r="CC13" i="10" s="1"/>
  <c r="BP82" i="10"/>
  <c r="BT82" i="10" s="1"/>
  <c r="BR48" i="10"/>
  <c r="BX48" i="10" s="1"/>
  <c r="CE47" i="10"/>
  <c r="CI47" i="10"/>
  <c r="AI16" i="12" l="1"/>
  <c r="AI17" i="12"/>
  <c r="K5" i="14"/>
  <c r="K16" i="14"/>
  <c r="K17" i="14"/>
  <c r="K48" i="14"/>
  <c r="K40" i="14"/>
  <c r="K32" i="14"/>
  <c r="K34" i="14"/>
  <c r="K42" i="14"/>
  <c r="BX115" i="10"/>
  <c r="CC82" i="10"/>
  <c r="CI82" i="10" s="1"/>
  <c r="CC116" i="10"/>
  <c r="CI116" i="10" s="1"/>
  <c r="CI115" i="10"/>
  <c r="CA13" i="10"/>
  <c r="CE13" i="10" s="1"/>
  <c r="BP13" i="10"/>
  <c r="BX13" i="10" s="1"/>
  <c r="AO59" i="10"/>
  <c r="AI60" i="10"/>
  <c r="AO60" i="10" s="1"/>
  <c r="BP116" i="10"/>
  <c r="BT116" i="10" s="1"/>
  <c r="BP117" i="10" s="1"/>
  <c r="BX82" i="10"/>
  <c r="BP83" i="10"/>
  <c r="BR83" i="10"/>
  <c r="BT48" i="10"/>
  <c r="BR49" i="10" s="1"/>
  <c r="CA48" i="10"/>
  <c r="CC48" i="10"/>
  <c r="AO16" i="12" l="1"/>
  <c r="AK16" i="12"/>
  <c r="AG17" i="12" s="1"/>
  <c r="K27" i="14"/>
  <c r="AP4" i="14" s="1"/>
  <c r="K49" i="14"/>
  <c r="K50" i="14" s="1"/>
  <c r="K33" i="14"/>
  <c r="K36" i="14" s="1"/>
  <c r="K41" i="14"/>
  <c r="K44" i="14" s="1"/>
  <c r="CE82" i="10"/>
  <c r="CC83" i="10" s="1"/>
  <c r="CE116" i="10"/>
  <c r="CC117" i="10" s="1"/>
  <c r="CI13" i="10"/>
  <c r="BT13" i="10"/>
  <c r="BR14" i="10" s="1"/>
  <c r="BX116" i="10"/>
  <c r="AK60" i="10"/>
  <c r="AG61" i="10" s="1"/>
  <c r="BT83" i="10"/>
  <c r="BR84" i="10" s="1"/>
  <c r="BX83" i="10"/>
  <c r="BR117" i="10"/>
  <c r="BT117" i="10" s="1"/>
  <c r="CC14" i="10"/>
  <c r="CA14" i="10"/>
  <c r="BP49" i="10"/>
  <c r="BX49" i="10" s="1"/>
  <c r="CI48" i="10"/>
  <c r="CE48" i="10"/>
  <c r="CC49" i="10" s="1"/>
  <c r="AK17" i="12" l="1"/>
  <c r="AO17" i="12"/>
  <c r="AL4" i="14"/>
  <c r="AN4" i="14"/>
  <c r="K28" i="14"/>
  <c r="CA83" i="10"/>
  <c r="CI83" i="10" s="1"/>
  <c r="BP14" i="10"/>
  <c r="BX14" i="10" s="1"/>
  <c r="CA117" i="10"/>
  <c r="CE117" i="10" s="1"/>
  <c r="BP84" i="10"/>
  <c r="BT84" i="10" s="1"/>
  <c r="BR85" i="10" s="1"/>
  <c r="AI61" i="10"/>
  <c r="AO61" i="10" s="1"/>
  <c r="BX117" i="10"/>
  <c r="CI14" i="10"/>
  <c r="CE14" i="10"/>
  <c r="CA15" i="10" s="1"/>
  <c r="BT49" i="10"/>
  <c r="BR50" i="10" s="1"/>
  <c r="BP118" i="10"/>
  <c r="BR118" i="10"/>
  <c r="CA49" i="10"/>
  <c r="CE49" i="10" s="1"/>
  <c r="AI18" i="12" l="1"/>
  <c r="AG18" i="12"/>
  <c r="AK18" i="12" s="1"/>
  <c r="CE83" i="10"/>
  <c r="CA84" i="10" s="1"/>
  <c r="BT14" i="10"/>
  <c r="BR15" i="10" s="1"/>
  <c r="CI117" i="10"/>
  <c r="BX84" i="10"/>
  <c r="CC15" i="10"/>
  <c r="CI15" i="10" s="1"/>
  <c r="AK61" i="10"/>
  <c r="AI62" i="10" s="1"/>
  <c r="BP85" i="10"/>
  <c r="BT85" i="10" s="1"/>
  <c r="BP50" i="10"/>
  <c r="BT50" i="10" s="1"/>
  <c r="BX118" i="10"/>
  <c r="BT118" i="10"/>
  <c r="CA118" i="10"/>
  <c r="CC118" i="10"/>
  <c r="CA50" i="10"/>
  <c r="CC50" i="10"/>
  <c r="CI49" i="10"/>
  <c r="AG19" i="12" l="1"/>
  <c r="AG20" i="12" s="1"/>
  <c r="AG21" i="12" s="1"/>
  <c r="AI19" i="12"/>
  <c r="AO18" i="12"/>
  <c r="BP15" i="10"/>
  <c r="BT15" i="10" s="1"/>
  <c r="BR16" i="10" s="1"/>
  <c r="CC84" i="10"/>
  <c r="CI84" i="10" s="1"/>
  <c r="CE15" i="10"/>
  <c r="CA16" i="10" s="1"/>
  <c r="AG62" i="10"/>
  <c r="AK62" i="10" s="1"/>
  <c r="AG63" i="10" s="1"/>
  <c r="BX85" i="10"/>
  <c r="BP86" i="10"/>
  <c r="BR86" i="10"/>
  <c r="BR51" i="10"/>
  <c r="BP51" i="10"/>
  <c r="BX50" i="10"/>
  <c r="BP119" i="10"/>
  <c r="BR119" i="10"/>
  <c r="CI118" i="10"/>
  <c r="CI50" i="10"/>
  <c r="CE118" i="10"/>
  <c r="CC119" i="10" s="1"/>
  <c r="CE50" i="10"/>
  <c r="AK19" i="12" l="1"/>
  <c r="AI20" i="12" s="1"/>
  <c r="AO19" i="12"/>
  <c r="BX15" i="10"/>
  <c r="CE84" i="10"/>
  <c r="CA85" i="10" s="1"/>
  <c r="CC16" i="10"/>
  <c r="CE16" i="10" s="1"/>
  <c r="CA17" i="10" s="1"/>
  <c r="BP16" i="10"/>
  <c r="BT16" i="10" s="1"/>
  <c r="AO62" i="10"/>
  <c r="AI63" i="10"/>
  <c r="AO63" i="10" s="1"/>
  <c r="BT86" i="10"/>
  <c r="BP87" i="10" s="1"/>
  <c r="BX86" i="10"/>
  <c r="BX51" i="10"/>
  <c r="BT51" i="10"/>
  <c r="BP52" i="10" s="1"/>
  <c r="BX119" i="10"/>
  <c r="BT119" i="10"/>
  <c r="CA119" i="10"/>
  <c r="CE119" i="10" s="1"/>
  <c r="CC51" i="10"/>
  <c r="CA51" i="10"/>
  <c r="AK20" i="12" l="1"/>
  <c r="AI21" i="12" s="1"/>
  <c r="AO20" i="12"/>
  <c r="CC85" i="10"/>
  <c r="CE85" i="10" s="1"/>
  <c r="CI16" i="10"/>
  <c r="BX16" i="10"/>
  <c r="BR17" i="10"/>
  <c r="BP17" i="10"/>
  <c r="AK63" i="10"/>
  <c r="AI64" i="10" s="1"/>
  <c r="BR87" i="10"/>
  <c r="BT87" i="10" s="1"/>
  <c r="CC17" i="10"/>
  <c r="CE17" i="10" s="1"/>
  <c r="CC18" i="10" s="1"/>
  <c r="BR52" i="10"/>
  <c r="BX52" i="10" s="1"/>
  <c r="BR120" i="10"/>
  <c r="BP120" i="10"/>
  <c r="CE51" i="10"/>
  <c r="CC52" i="10" s="1"/>
  <c r="CA120" i="10"/>
  <c r="CC120" i="10"/>
  <c r="CI119" i="10"/>
  <c r="CI51" i="10"/>
  <c r="AK21" i="12" l="1"/>
  <c r="AG22" i="12" s="1"/>
  <c r="AI22" i="12"/>
  <c r="AO22" i="12" s="1"/>
  <c r="AO21" i="12"/>
  <c r="CI85" i="10"/>
  <c r="BT17" i="10"/>
  <c r="BP18" i="10" s="1"/>
  <c r="BX17" i="10"/>
  <c r="CA18" i="10"/>
  <c r="CE18" i="10" s="1"/>
  <c r="CC19" i="10" s="1"/>
  <c r="AG64" i="10"/>
  <c r="AK64" i="10" s="1"/>
  <c r="AG65" i="10" s="1"/>
  <c r="BX87" i="10"/>
  <c r="BR88" i="10"/>
  <c r="BP88" i="10"/>
  <c r="CI17" i="10"/>
  <c r="CC86" i="10"/>
  <c r="CA86" i="10"/>
  <c r="BT52" i="10"/>
  <c r="BR53" i="10" s="1"/>
  <c r="BT120" i="10"/>
  <c r="BP121" i="10" s="1"/>
  <c r="BX120" i="10"/>
  <c r="CA52" i="10"/>
  <c r="CE52" i="10" s="1"/>
  <c r="CI120" i="10"/>
  <c r="CE120" i="10"/>
  <c r="AK22" i="12" l="1"/>
  <c r="BR18" i="10"/>
  <c r="CI18" i="10"/>
  <c r="AI65" i="10"/>
  <c r="AO65" i="10" s="1"/>
  <c r="AO64" i="10"/>
  <c r="BX88" i="10"/>
  <c r="BT88" i="10"/>
  <c r="CI86" i="10"/>
  <c r="CE86" i="10"/>
  <c r="CA19" i="10"/>
  <c r="CI19" i="10" s="1"/>
  <c r="BP53" i="10"/>
  <c r="BX53" i="10" s="1"/>
  <c r="BR121" i="10"/>
  <c r="BT121" i="10" s="1"/>
  <c r="BP122" i="10" s="1"/>
  <c r="CI52" i="10"/>
  <c r="CA121" i="10"/>
  <c r="CC121" i="10"/>
  <c r="CA53" i="10"/>
  <c r="CC53" i="10"/>
  <c r="AG23" i="12" l="1"/>
  <c r="AG24" i="12" s="1"/>
  <c r="AI23" i="12"/>
  <c r="BX18" i="10"/>
  <c r="BT18" i="10"/>
  <c r="AK65" i="10"/>
  <c r="AG66" i="10" s="1"/>
  <c r="BR89" i="10"/>
  <c r="BP89" i="10"/>
  <c r="CC87" i="10"/>
  <c r="CA87" i="10"/>
  <c r="CE19" i="10"/>
  <c r="CC20" i="10" s="1"/>
  <c r="BT53" i="10"/>
  <c r="BR54" i="10" s="1"/>
  <c r="BX121" i="10"/>
  <c r="BR122" i="10"/>
  <c r="BX122" i="10" s="1"/>
  <c r="CI53" i="10"/>
  <c r="CE121" i="10"/>
  <c r="CI121" i="10"/>
  <c r="CE53" i="10"/>
  <c r="AK23" i="12" l="1"/>
  <c r="AI24" i="12" s="1"/>
  <c r="AI25" i="12" s="1"/>
  <c r="AO23" i="12"/>
  <c r="BR19" i="10"/>
  <c r="BP19" i="10"/>
  <c r="AI66" i="10"/>
  <c r="AO66" i="10" s="1"/>
  <c r="BT89" i="10"/>
  <c r="BR90" i="10" s="1"/>
  <c r="BX89" i="10"/>
  <c r="CE87" i="10"/>
  <c r="CC88" i="10" s="1"/>
  <c r="CA20" i="10"/>
  <c r="CI20" i="10" s="1"/>
  <c r="CI87" i="10"/>
  <c r="BP54" i="10"/>
  <c r="BX54" i="10" s="1"/>
  <c r="BT122" i="10"/>
  <c r="BP123" i="10" s="1"/>
  <c r="CA122" i="10"/>
  <c r="CC122" i="10"/>
  <c r="CC54" i="10"/>
  <c r="CA54" i="10"/>
  <c r="AO24" i="12" l="1"/>
  <c r="AK24" i="12"/>
  <c r="AG25" i="12" s="1"/>
  <c r="AK25" i="12" s="1"/>
  <c r="AG26" i="12" s="1"/>
  <c r="AI26" i="12"/>
  <c r="BT19" i="10"/>
  <c r="BX19" i="10"/>
  <c r="BP90" i="10"/>
  <c r="BX90" i="10" s="1"/>
  <c r="AK66" i="10"/>
  <c r="AI67" i="10" s="1"/>
  <c r="CA88" i="10"/>
  <c r="CI88" i="10" s="1"/>
  <c r="CE20" i="10"/>
  <c r="CA21" i="10" s="1"/>
  <c r="BR123" i="10"/>
  <c r="BT123" i="10" s="1"/>
  <c r="BR124" i="10" s="1"/>
  <c r="BT54" i="10"/>
  <c r="BP55" i="10" s="1"/>
  <c r="CI122" i="10"/>
  <c r="CE122" i="10"/>
  <c r="CE54" i="10"/>
  <c r="CA55" i="10" s="1"/>
  <c r="CI54" i="10"/>
  <c r="AO25" i="12" l="1"/>
  <c r="AK26" i="12"/>
  <c r="AG27" i="12" s="1"/>
  <c r="AI27" i="12"/>
  <c r="AO26" i="12"/>
  <c r="BR20" i="10"/>
  <c r="BP20" i="10"/>
  <c r="BT90" i="10"/>
  <c r="BP91" i="10" s="1"/>
  <c r="AG67" i="10"/>
  <c r="AO67" i="10" s="1"/>
  <c r="CE88" i="10"/>
  <c r="CC21" i="10"/>
  <c r="CE21" i="10" s="1"/>
  <c r="CA22" i="10" s="1"/>
  <c r="BX123" i="10"/>
  <c r="BP124" i="10"/>
  <c r="BT124" i="10" s="1"/>
  <c r="BR55" i="10"/>
  <c r="BT55" i="10" s="1"/>
  <c r="BR56" i="10" s="1"/>
  <c r="CC55" i="10"/>
  <c r="CI55" i="10" s="1"/>
  <c r="CA123" i="10"/>
  <c r="CC123" i="10"/>
  <c r="AK27" i="12" l="1"/>
  <c r="AI28" i="12" s="1"/>
  <c r="AG28" i="12"/>
  <c r="AO28" i="12" s="1"/>
  <c r="AO27" i="12"/>
  <c r="BT20" i="10"/>
  <c r="BR21" i="10" s="1"/>
  <c r="BX20" i="10"/>
  <c r="BR91" i="10"/>
  <c r="BT91" i="10" s="1"/>
  <c r="AK67" i="10"/>
  <c r="AG68" i="10" s="1"/>
  <c r="CA89" i="10"/>
  <c r="CC89" i="10"/>
  <c r="CI21" i="10"/>
  <c r="CC22" i="10"/>
  <c r="CI22" i="10" s="1"/>
  <c r="BX124" i="10"/>
  <c r="BP56" i="10"/>
  <c r="BT56" i="10" s="1"/>
  <c r="BX55" i="10"/>
  <c r="BP125" i="10"/>
  <c r="BR125" i="10"/>
  <c r="CE55" i="10"/>
  <c r="CC56" i="10" s="1"/>
  <c r="CI123" i="10"/>
  <c r="CE123" i="10"/>
  <c r="AK28" i="12" l="1"/>
  <c r="AI29" i="12"/>
  <c r="AG29" i="12"/>
  <c r="BP21" i="10"/>
  <c r="BX21" i="10" s="1"/>
  <c r="BR92" i="10"/>
  <c r="BP92" i="10"/>
  <c r="BX91" i="10"/>
  <c r="AI68" i="10"/>
  <c r="AO68" i="10" s="1"/>
  <c r="CI89" i="10"/>
  <c r="CE89" i="10"/>
  <c r="CA90" i="10" s="1"/>
  <c r="CE22" i="10"/>
  <c r="CC23" i="10" s="1"/>
  <c r="BX56" i="10"/>
  <c r="BX125" i="10"/>
  <c r="CA56" i="10"/>
  <c r="CI56" i="10" s="1"/>
  <c r="BT125" i="10"/>
  <c r="BR57" i="10"/>
  <c r="BP57" i="10"/>
  <c r="CA124" i="10"/>
  <c r="CC124" i="10"/>
  <c r="AK29" i="12" l="1"/>
  <c r="AG30" i="12" s="1"/>
  <c r="AI30" i="12"/>
  <c r="AO29" i="12"/>
  <c r="BT21" i="10"/>
  <c r="BP22" i="10" s="1"/>
  <c r="BX92" i="10"/>
  <c r="BT92" i="10"/>
  <c r="AK68" i="10"/>
  <c r="AG69" i="10" s="1"/>
  <c r="CC90" i="10"/>
  <c r="CI90" i="10" s="1"/>
  <c r="CA23" i="10"/>
  <c r="CE23" i="10" s="1"/>
  <c r="CC24" i="10" s="1"/>
  <c r="CE56" i="10"/>
  <c r="CA57" i="10" s="1"/>
  <c r="BR126" i="10"/>
  <c r="BP126" i="10"/>
  <c r="BT57" i="10"/>
  <c r="BP58" i="10" s="1"/>
  <c r="CI124" i="10"/>
  <c r="BX57" i="10"/>
  <c r="CE124" i="10"/>
  <c r="AK30" i="12" l="1"/>
  <c r="AG31" i="12" s="1"/>
  <c r="AI31" i="12"/>
  <c r="AO30" i="12"/>
  <c r="BR22" i="10"/>
  <c r="BT22" i="10" s="1"/>
  <c r="BR23" i="10" s="1"/>
  <c r="AI69" i="10"/>
  <c r="AO69" i="10" s="1"/>
  <c r="BR93" i="10"/>
  <c r="BP93" i="10"/>
  <c r="CE90" i="10"/>
  <c r="CC91" i="10" s="1"/>
  <c r="CI23" i="10"/>
  <c r="CA24" i="10"/>
  <c r="CI24" i="10" s="1"/>
  <c r="CC57" i="10"/>
  <c r="CI57" i="10" s="1"/>
  <c r="BR58" i="10"/>
  <c r="BT58" i="10" s="1"/>
  <c r="BP59" i="10" s="1"/>
  <c r="BT126" i="10"/>
  <c r="BP127" i="10" s="1"/>
  <c r="BX126" i="10"/>
  <c r="CC125" i="10"/>
  <c r="CA125" i="10"/>
  <c r="AO31" i="12" l="1"/>
  <c r="AK31" i="12"/>
  <c r="BX22" i="10"/>
  <c r="BP23" i="10"/>
  <c r="BT23" i="10" s="1"/>
  <c r="BR24" i="10" s="1"/>
  <c r="AK69" i="10"/>
  <c r="AG70" i="10" s="1"/>
  <c r="BX93" i="10"/>
  <c r="BT93" i="10"/>
  <c r="CA91" i="10"/>
  <c r="CI91" i="10" s="1"/>
  <c r="BR127" i="10"/>
  <c r="BX127" i="10" s="1"/>
  <c r="CE24" i="10"/>
  <c r="CA25" i="10" s="1"/>
  <c r="CE57" i="10"/>
  <c r="CA58" i="10" s="1"/>
  <c r="BX58" i="10"/>
  <c r="BR59" i="10"/>
  <c r="BT59" i="10" s="1"/>
  <c r="BR60" i="10" s="1"/>
  <c r="CE125" i="10"/>
  <c r="CA126" i="10" s="1"/>
  <c r="CI125" i="10"/>
  <c r="AI32" i="12" l="1"/>
  <c r="AG32" i="12"/>
  <c r="BX23" i="10"/>
  <c r="BP24" i="10"/>
  <c r="BT24" i="10" s="1"/>
  <c r="BR25" i="10" s="1"/>
  <c r="AI70" i="10"/>
  <c r="AK70" i="10" s="1"/>
  <c r="AG71" i="10" s="1"/>
  <c r="BR94" i="10"/>
  <c r="BP94" i="10"/>
  <c r="CE91" i="10"/>
  <c r="BT127" i="10"/>
  <c r="BP128" i="10" s="1"/>
  <c r="CC25" i="10"/>
  <c r="CE25" i="10" s="1"/>
  <c r="CA26" i="10" s="1"/>
  <c r="CC58" i="10"/>
  <c r="CI58" i="10" s="1"/>
  <c r="BX59" i="10"/>
  <c r="CC126" i="10"/>
  <c r="CI126" i="10" s="1"/>
  <c r="BP60" i="10"/>
  <c r="BT60" i="10" s="1"/>
  <c r="BR61" i="10" s="1"/>
  <c r="AK32" i="12" l="1"/>
  <c r="AI33" i="12" s="1"/>
  <c r="AO32" i="12"/>
  <c r="BX24" i="10"/>
  <c r="BP25" i="10"/>
  <c r="BX25" i="10" s="1"/>
  <c r="AO70" i="10"/>
  <c r="AI71" i="10"/>
  <c r="AK71" i="10" s="1"/>
  <c r="AI72" i="10" s="1"/>
  <c r="BX94" i="10"/>
  <c r="BT94" i="10"/>
  <c r="CA92" i="10"/>
  <c r="CC92" i="10"/>
  <c r="BR128" i="10"/>
  <c r="BX128" i="10" s="1"/>
  <c r="CI25" i="10"/>
  <c r="CC26" i="10"/>
  <c r="CI26" i="10" s="1"/>
  <c r="CE58" i="10"/>
  <c r="CA59" i="10" s="1"/>
  <c r="CE126" i="10"/>
  <c r="CC127" i="10" s="1"/>
  <c r="BX60" i="10"/>
  <c r="BP61" i="10"/>
  <c r="BT61" i="10" s="1"/>
  <c r="AG33" i="12" l="1"/>
  <c r="AO33" i="12" s="1"/>
  <c r="BT25" i="10"/>
  <c r="BR26" i="10" s="1"/>
  <c r="AO71" i="10"/>
  <c r="BR95" i="10"/>
  <c r="BP95" i="10"/>
  <c r="AG72" i="10"/>
  <c r="AK72" i="10" s="1"/>
  <c r="CE92" i="10"/>
  <c r="CA93" i="10" s="1"/>
  <c r="CI92" i="10"/>
  <c r="BT128" i="10"/>
  <c r="BR129" i="10" s="1"/>
  <c r="CE26" i="10"/>
  <c r="CA27" i="10" s="1"/>
  <c r="CC59" i="10"/>
  <c r="CE59" i="10" s="1"/>
  <c r="CA60" i="10" s="1"/>
  <c r="CA127" i="10"/>
  <c r="CI127" i="10" s="1"/>
  <c r="BX61" i="10"/>
  <c r="BR62" i="10"/>
  <c r="BP62" i="10"/>
  <c r="AK33" i="12" l="1"/>
  <c r="AI34" i="12"/>
  <c r="AG34" i="12"/>
  <c r="BP26" i="10"/>
  <c r="BT26" i="10" s="1"/>
  <c r="BR27" i="10" s="1"/>
  <c r="BT95" i="10"/>
  <c r="BP96" i="10" s="1"/>
  <c r="BX95" i="10"/>
  <c r="AO72" i="10"/>
  <c r="CC93" i="10"/>
  <c r="CI93" i="10" s="1"/>
  <c r="AG73" i="10"/>
  <c r="AI73" i="10"/>
  <c r="BP129" i="10"/>
  <c r="BX129" i="10" s="1"/>
  <c r="CC27" i="10"/>
  <c r="CE27" i="10" s="1"/>
  <c r="CC60" i="10"/>
  <c r="CE60" i="10" s="1"/>
  <c r="CA61" i="10" s="1"/>
  <c r="CI59" i="10"/>
  <c r="CE127" i="10"/>
  <c r="CC128" i="10" s="1"/>
  <c r="BX62" i="10"/>
  <c r="BT62" i="10"/>
  <c r="AK34" i="12" l="1"/>
  <c r="AG35" i="12" s="1"/>
  <c r="AO34" i="12"/>
  <c r="BX26" i="10"/>
  <c r="BP27" i="10"/>
  <c r="BT27" i="10" s="1"/>
  <c r="BR96" i="10"/>
  <c r="BT96" i="10" s="1"/>
  <c r="BP97" i="10" s="1"/>
  <c r="AK73" i="10"/>
  <c r="AG74" i="10" s="1"/>
  <c r="AO73" i="10"/>
  <c r="CE93" i="10"/>
  <c r="CC94" i="10" s="1"/>
  <c r="BT129" i="10"/>
  <c r="BP130" i="10" s="1"/>
  <c r="CI27" i="10"/>
  <c r="CA128" i="10"/>
  <c r="CE128" i="10" s="1"/>
  <c r="CA129" i="10" s="1"/>
  <c r="CI60" i="10"/>
  <c r="CC61" i="10"/>
  <c r="CI61" i="10" s="1"/>
  <c r="CC28" i="10"/>
  <c r="CA28" i="10"/>
  <c r="BR63" i="10"/>
  <c r="BP63" i="10"/>
  <c r="AI35" i="12" l="1"/>
  <c r="AO35" i="12" s="1"/>
  <c r="BX27" i="10"/>
  <c r="BR28" i="10"/>
  <c r="BP28" i="10"/>
  <c r="BR97" i="10"/>
  <c r="BX97" i="10" s="1"/>
  <c r="BX96" i="10"/>
  <c r="AI74" i="10"/>
  <c r="AK74" i="10" s="1"/>
  <c r="AI75" i="10" s="1"/>
  <c r="CA94" i="10"/>
  <c r="CI94" i="10" s="1"/>
  <c r="BR130" i="10"/>
  <c r="BT130" i="10" s="1"/>
  <c r="BR131" i="10" s="1"/>
  <c r="CI128" i="10"/>
  <c r="CE61" i="10"/>
  <c r="CA62" i="10" s="1"/>
  <c r="CC129" i="10"/>
  <c r="CI129" i="10" s="1"/>
  <c r="CE28" i="10"/>
  <c r="CA29" i="10" s="1"/>
  <c r="CI28" i="10"/>
  <c r="BT63" i="10"/>
  <c r="BR64" i="10" s="1"/>
  <c r="BX63" i="10"/>
  <c r="AK35" i="12" l="1"/>
  <c r="AI36" i="12" s="1"/>
  <c r="AG36" i="12"/>
  <c r="BT28" i="10"/>
  <c r="BX28" i="10"/>
  <c r="BT97" i="10"/>
  <c r="BR98" i="10" s="1"/>
  <c r="AO74" i="10"/>
  <c r="AG75" i="10"/>
  <c r="AO75" i="10" s="1"/>
  <c r="CE94" i="10"/>
  <c r="CC95" i="10" s="1"/>
  <c r="BP131" i="10"/>
  <c r="BX131" i="10" s="1"/>
  <c r="BX130" i="10"/>
  <c r="CC62" i="10"/>
  <c r="CI62" i="10" s="1"/>
  <c r="CC29" i="10"/>
  <c r="CI29" i="10" s="1"/>
  <c r="CE129" i="10"/>
  <c r="CC130" i="10" s="1"/>
  <c r="BP64" i="10"/>
  <c r="BT64" i="10" s="1"/>
  <c r="BR65" i="10" s="1"/>
  <c r="AO36" i="12" l="1"/>
  <c r="AK36" i="12"/>
  <c r="BR29" i="10"/>
  <c r="BP29" i="10"/>
  <c r="BP98" i="10"/>
  <c r="BT98" i="10" s="1"/>
  <c r="BR99" i="10" s="1"/>
  <c r="AK75" i="10"/>
  <c r="AG76" i="10" s="1"/>
  <c r="CA95" i="10"/>
  <c r="CI95" i="10" s="1"/>
  <c r="BT131" i="10"/>
  <c r="BR132" i="10" s="1"/>
  <c r="CE62" i="10"/>
  <c r="CA63" i="10" s="1"/>
  <c r="CE29" i="10"/>
  <c r="CA30" i="10" s="1"/>
  <c r="CA130" i="10"/>
  <c r="CE130" i="10" s="1"/>
  <c r="BX64" i="10"/>
  <c r="BP65" i="10"/>
  <c r="BX65" i="10" s="1"/>
  <c r="AI37" i="12" l="1"/>
  <c r="AG37" i="12"/>
  <c r="BT29" i="10"/>
  <c r="BR30" i="10" s="1"/>
  <c r="BX29" i="10"/>
  <c r="BX98" i="10"/>
  <c r="AI76" i="10"/>
  <c r="AK76" i="10" s="1"/>
  <c r="AG77" i="10" s="1"/>
  <c r="BP99" i="10"/>
  <c r="BX99" i="10" s="1"/>
  <c r="BP132" i="10"/>
  <c r="BT132" i="10" s="1"/>
  <c r="BR133" i="10" s="1"/>
  <c r="CE95" i="10"/>
  <c r="CC63" i="10"/>
  <c r="CI63" i="10" s="1"/>
  <c r="CC30" i="10"/>
  <c r="CI30" i="10" s="1"/>
  <c r="CI130" i="10"/>
  <c r="CA131" i="10"/>
  <c r="CC131" i="10"/>
  <c r="BT65" i="10"/>
  <c r="BR66" i="10" s="1"/>
  <c r="AO37" i="12" l="1"/>
  <c r="AK37" i="12"/>
  <c r="BP30" i="10"/>
  <c r="AO76" i="10"/>
  <c r="AI77" i="10"/>
  <c r="AO77" i="10" s="1"/>
  <c r="BT99" i="10"/>
  <c r="BR100" i="10" s="1"/>
  <c r="BX132" i="10"/>
  <c r="BP133" i="10"/>
  <c r="BX133" i="10" s="1"/>
  <c r="CA96" i="10"/>
  <c r="CC96" i="10"/>
  <c r="CE63" i="10"/>
  <c r="CC64" i="10" s="1"/>
  <c r="CE30" i="10"/>
  <c r="CC31" i="10" s="1"/>
  <c r="CE131" i="10"/>
  <c r="CA132" i="10" s="1"/>
  <c r="CI131" i="10"/>
  <c r="BP66" i="10"/>
  <c r="BX66" i="10" s="1"/>
  <c r="G25" i="10"/>
  <c r="AN44" i="10"/>
  <c r="AM44" i="10"/>
  <c r="AN43" i="10"/>
  <c r="AM43" i="10"/>
  <c r="C42" i="10"/>
  <c r="AN42" i="10"/>
  <c r="AM42" i="10"/>
  <c r="AN41" i="10"/>
  <c r="AM41" i="10"/>
  <c r="AN40" i="10"/>
  <c r="AM40" i="10"/>
  <c r="AN39" i="10"/>
  <c r="AM39" i="10"/>
  <c r="AN38" i="10"/>
  <c r="AM38" i="10"/>
  <c r="AN37" i="10"/>
  <c r="AM37" i="10"/>
  <c r="AN36" i="10"/>
  <c r="AM36" i="10"/>
  <c r="AN35" i="10"/>
  <c r="AM35" i="10"/>
  <c r="AN34" i="10"/>
  <c r="AM34" i="10"/>
  <c r="AN33" i="10"/>
  <c r="AM33" i="10"/>
  <c r="AN32" i="10"/>
  <c r="AM32" i="10"/>
  <c r="AN31" i="10"/>
  <c r="AM31" i="10"/>
  <c r="AN30" i="10"/>
  <c r="AM30" i="10"/>
  <c r="AN29" i="10"/>
  <c r="AM29" i="10"/>
  <c r="AN28" i="10"/>
  <c r="AM28" i="10"/>
  <c r="AN27" i="10"/>
  <c r="AM27" i="10"/>
  <c r="AN26" i="10"/>
  <c r="AM26" i="10"/>
  <c r="AN25" i="10"/>
  <c r="AM25" i="10"/>
  <c r="AN24" i="10"/>
  <c r="AM24" i="10"/>
  <c r="AN23" i="10"/>
  <c r="AM23" i="10"/>
  <c r="AN22" i="10"/>
  <c r="AM22" i="10"/>
  <c r="AN21" i="10"/>
  <c r="AM21" i="10"/>
  <c r="AN20" i="10"/>
  <c r="AM20" i="10"/>
  <c r="AN19" i="10"/>
  <c r="AM19" i="10"/>
  <c r="O19" i="10"/>
  <c r="O22" i="10" s="1"/>
  <c r="O25" i="10" s="1"/>
  <c r="AN18" i="10"/>
  <c r="AM18" i="10"/>
  <c r="AN17" i="10"/>
  <c r="AM17" i="10"/>
  <c r="AN16" i="10"/>
  <c r="AM16" i="10"/>
  <c r="AN15" i="10"/>
  <c r="AM15" i="10"/>
  <c r="AN14" i="10"/>
  <c r="AM14" i="10"/>
  <c r="AN13" i="10"/>
  <c r="AM13" i="10"/>
  <c r="AN12" i="10"/>
  <c r="AM12" i="10"/>
  <c r="AN11" i="10"/>
  <c r="AM11" i="10"/>
  <c r="O11" i="10"/>
  <c r="AN10" i="10"/>
  <c r="AM10" i="10"/>
  <c r="AN9" i="10"/>
  <c r="AM9" i="10"/>
  <c r="AN8" i="10"/>
  <c r="AM8" i="10"/>
  <c r="G6" i="10"/>
  <c r="K11" i="10" s="1"/>
  <c r="AN7" i="10"/>
  <c r="AM7" i="10"/>
  <c r="AN6" i="10"/>
  <c r="AM6" i="10"/>
  <c r="AO5" i="10"/>
  <c r="AN5" i="10"/>
  <c r="AM5" i="10"/>
  <c r="AK5" i="10"/>
  <c r="AD4" i="10"/>
  <c r="Z4" i="10"/>
  <c r="AI38" i="12" l="1"/>
  <c r="AG38" i="12"/>
  <c r="BT30" i="10"/>
  <c r="BX30" i="10"/>
  <c r="BP100" i="10"/>
  <c r="BT100" i="10" s="1"/>
  <c r="AK77" i="10"/>
  <c r="AG78" i="10" s="1"/>
  <c r="BT133" i="10"/>
  <c r="BP134" i="10" s="1"/>
  <c r="CI96" i="10"/>
  <c r="CE96" i="10"/>
  <c r="CA64" i="10"/>
  <c r="CE64" i="10" s="1"/>
  <c r="CA65" i="10" s="1"/>
  <c r="CA31" i="10"/>
  <c r="CE31" i="10" s="1"/>
  <c r="CC132" i="10"/>
  <c r="CI132" i="10" s="1"/>
  <c r="AG6" i="10"/>
  <c r="BT66" i="10"/>
  <c r="BR67" i="10" s="1"/>
  <c r="AI6" i="10"/>
  <c r="AK38" i="12" l="1"/>
  <c r="AG39" i="12" s="1"/>
  <c r="AO38" i="12"/>
  <c r="BP31" i="10"/>
  <c r="BR31" i="10"/>
  <c r="BX100" i="10"/>
  <c r="BR134" i="10"/>
  <c r="BX134" i="10" s="1"/>
  <c r="AI78" i="10"/>
  <c r="AK78" i="10" s="1"/>
  <c r="BP101" i="10"/>
  <c r="BR101" i="10"/>
  <c r="CC97" i="10"/>
  <c r="CA97" i="10"/>
  <c r="CI64" i="10"/>
  <c r="CI31" i="10"/>
  <c r="AO6" i="10"/>
  <c r="CE132" i="10"/>
  <c r="CA133" i="10" s="1"/>
  <c r="BP67" i="10"/>
  <c r="BX67" i="10" s="1"/>
  <c r="CC32" i="10"/>
  <c r="CA32" i="10"/>
  <c r="CC65" i="10"/>
  <c r="CE65" i="10" s="1"/>
  <c r="AK6" i="10"/>
  <c r="AG7" i="10" s="1"/>
  <c r="AI39" i="12" l="1"/>
  <c r="AO39" i="12" s="1"/>
  <c r="BX31" i="10"/>
  <c r="BT31" i="10"/>
  <c r="BT134" i="10"/>
  <c r="BP135" i="10" s="1"/>
  <c r="AO78" i="10"/>
  <c r="BX101" i="10"/>
  <c r="BT101" i="10"/>
  <c r="CE97" i="10"/>
  <c r="CI97" i="10"/>
  <c r="AG79" i="10"/>
  <c r="AI79" i="10"/>
  <c r="CC133" i="10"/>
  <c r="CI133" i="10" s="1"/>
  <c r="AI7" i="10"/>
  <c r="AK7" i="10" s="1"/>
  <c r="AI8" i="10" s="1"/>
  <c r="BT67" i="10"/>
  <c r="BR68" i="10" s="1"/>
  <c r="CE32" i="10"/>
  <c r="CA33" i="10" s="1"/>
  <c r="CI32" i="10"/>
  <c r="CI65" i="10"/>
  <c r="CA66" i="10"/>
  <c r="CC66" i="10"/>
  <c r="AK39" i="12" l="1"/>
  <c r="AG40" i="12" s="1"/>
  <c r="AI40" i="12"/>
  <c r="BR32" i="10"/>
  <c r="BP32" i="10"/>
  <c r="BR135" i="10"/>
  <c r="BT135" i="10" s="1"/>
  <c r="BP136" i="10" s="1"/>
  <c r="BP102" i="10"/>
  <c r="BR102" i="10"/>
  <c r="CC98" i="10"/>
  <c r="CA98" i="10"/>
  <c r="AK79" i="10"/>
  <c r="AO79" i="10"/>
  <c r="CE133" i="10"/>
  <c r="CC134" i="10" s="1"/>
  <c r="AO7" i="10"/>
  <c r="CC33" i="10"/>
  <c r="CE33" i="10" s="1"/>
  <c r="CA34" i="10" s="1"/>
  <c r="BP68" i="10"/>
  <c r="BX68" i="10" s="1"/>
  <c r="CI66" i="10"/>
  <c r="CE66" i="10"/>
  <c r="AG8" i="10"/>
  <c r="AK8" i="10" s="1"/>
  <c r="AK40" i="12" l="1"/>
  <c r="AI41" i="12" s="1"/>
  <c r="AO40" i="12"/>
  <c r="BT32" i="10"/>
  <c r="BX32" i="10"/>
  <c r="BR136" i="10"/>
  <c r="BX136" i="10" s="1"/>
  <c r="BX135" i="10"/>
  <c r="BX102" i="10"/>
  <c r="BT102" i="10"/>
  <c r="BH42" i="10" s="1"/>
  <c r="CI98" i="10"/>
  <c r="CE98" i="10"/>
  <c r="CA134" i="10"/>
  <c r="CE134" i="10" s="1"/>
  <c r="CA135" i="10" s="1"/>
  <c r="G7" i="10"/>
  <c r="AR4" i="10"/>
  <c r="CI33" i="10"/>
  <c r="CC34" i="10"/>
  <c r="CE34" i="10" s="1"/>
  <c r="BL4" i="10" s="1"/>
  <c r="BT68" i="10"/>
  <c r="BH23" i="10" s="1"/>
  <c r="BH25" i="10" s="1"/>
  <c r="BH26" i="10" s="1"/>
  <c r="CC67" i="10"/>
  <c r="CA67" i="10"/>
  <c r="AO8" i="10"/>
  <c r="AG9" i="10"/>
  <c r="AI9" i="10"/>
  <c r="AG41" i="12" l="1"/>
  <c r="AK41" i="12" s="1"/>
  <c r="AI42" i="12" s="1"/>
  <c r="BR33" i="10"/>
  <c r="BP33" i="10"/>
  <c r="BH31" i="10"/>
  <c r="BH32" i="10"/>
  <c r="BT136" i="10"/>
  <c r="BH61" i="10" s="1"/>
  <c r="BH63" i="10" s="1"/>
  <c r="BH64" i="10" s="1"/>
  <c r="BH44" i="10"/>
  <c r="BH45" i="10" s="1"/>
  <c r="BH48" i="10"/>
  <c r="BH47" i="10"/>
  <c r="CC99" i="10"/>
  <c r="CA99" i="10"/>
  <c r="CI134" i="10"/>
  <c r="G8" i="10"/>
  <c r="AV6" i="10"/>
  <c r="AV7" i="10" s="1"/>
  <c r="AV5" i="10"/>
  <c r="CC135" i="10"/>
  <c r="CE135" i="10" s="1"/>
  <c r="CA136" i="10" s="1"/>
  <c r="BH29" i="10"/>
  <c r="CI34" i="10"/>
  <c r="BH28" i="10"/>
  <c r="BL9" i="10"/>
  <c r="BL10" i="10"/>
  <c r="BL6" i="10"/>
  <c r="BL7" i="10" s="1"/>
  <c r="CE67" i="10"/>
  <c r="CA68" i="10" s="1"/>
  <c r="CI67" i="10"/>
  <c r="AO9" i="10"/>
  <c r="AK9" i="10"/>
  <c r="AI10" i="10" s="1"/>
  <c r="AO41" i="12" l="1"/>
  <c r="AG42" i="12"/>
  <c r="AO42" i="12" s="1"/>
  <c r="BT33" i="10"/>
  <c r="BX33" i="10"/>
  <c r="BH69" i="10"/>
  <c r="BH70" i="10"/>
  <c r="BH50" i="10"/>
  <c r="BH51" i="10"/>
  <c r="BL12" i="10"/>
  <c r="BL13" i="10"/>
  <c r="BH66" i="10"/>
  <c r="BH67" i="10"/>
  <c r="BH49" i="10"/>
  <c r="CE99" i="10"/>
  <c r="CC100" i="10" s="1"/>
  <c r="CI99" i="10"/>
  <c r="CI135" i="10"/>
  <c r="CC136" i="10"/>
  <c r="CI136" i="10" s="1"/>
  <c r="BH30" i="10"/>
  <c r="BL11" i="10"/>
  <c r="AG10" i="10"/>
  <c r="AO10" i="10" s="1"/>
  <c r="CC68" i="10"/>
  <c r="CE68" i="10" s="1"/>
  <c r="BL23" i="10" s="1"/>
  <c r="BL25" i="10" s="1"/>
  <c r="BL26" i="10" s="1"/>
  <c r="BH34" i="10"/>
  <c r="BH33" i="10"/>
  <c r="AK42" i="12" l="1"/>
  <c r="AI43" i="12"/>
  <c r="AG43" i="12"/>
  <c r="BR34" i="10"/>
  <c r="BP34" i="10"/>
  <c r="BH71" i="10"/>
  <c r="BL31" i="10"/>
  <c r="BL32" i="10"/>
  <c r="BH72" i="10"/>
  <c r="BH68" i="10"/>
  <c r="CA100" i="10"/>
  <c r="CE100" i="10" s="1"/>
  <c r="CC101" i="10" s="1"/>
  <c r="BH53" i="10"/>
  <c r="BH55" i="10" s="1"/>
  <c r="BH57" i="10" s="1"/>
  <c r="AZ24" i="10" s="1"/>
  <c r="BH52" i="10"/>
  <c r="BH54" i="10" s="1"/>
  <c r="BH56" i="10" s="1"/>
  <c r="CE136" i="10"/>
  <c r="BL61" i="10" s="1"/>
  <c r="BL67" i="10" s="1"/>
  <c r="BH35" i="10"/>
  <c r="BH37" i="10" s="1"/>
  <c r="AZ14" i="10" s="1"/>
  <c r="BH36" i="10"/>
  <c r="BH38" i="10" s="1"/>
  <c r="AZ15" i="10" s="1"/>
  <c r="AK10" i="10"/>
  <c r="AI11" i="10" s="1"/>
  <c r="BL14" i="10"/>
  <c r="BL16" i="10" s="1"/>
  <c r="BL18" i="10" s="1"/>
  <c r="BL15" i="10"/>
  <c r="BL17" i="10" s="1"/>
  <c r="BL19" i="10" s="1"/>
  <c r="BD6" i="10" s="1"/>
  <c r="CI68" i="10"/>
  <c r="BL29" i="10"/>
  <c r="BL28" i="10"/>
  <c r="AK43" i="12" l="1"/>
  <c r="AG44" i="12" s="1"/>
  <c r="AO43" i="12"/>
  <c r="BX34" i="10"/>
  <c r="BT34" i="10"/>
  <c r="BH4" i="10" s="1"/>
  <c r="BH73" i="10"/>
  <c r="BH75" i="10" s="1"/>
  <c r="AZ32" i="10" s="1"/>
  <c r="BH74" i="10"/>
  <c r="BH76" i="10" s="1"/>
  <c r="AZ33" i="10" s="1"/>
  <c r="CI100" i="10"/>
  <c r="CA101" i="10"/>
  <c r="CI101" i="10" s="1"/>
  <c r="AZ23" i="10"/>
  <c r="AZ25" i="10" s="1"/>
  <c r="BH58" i="10"/>
  <c r="BL66" i="10"/>
  <c r="BL68" i="10" s="1"/>
  <c r="BL63" i="10"/>
  <c r="BL64" i="10" s="1"/>
  <c r="AG11" i="10"/>
  <c r="AK11" i="10" s="1"/>
  <c r="AG12" i="10" s="1"/>
  <c r="AZ16" i="10"/>
  <c r="AZ19" i="10" s="1"/>
  <c r="BH39" i="10"/>
  <c r="BS38" i="10" s="1"/>
  <c r="BD5" i="10"/>
  <c r="BD7" i="10" s="1"/>
  <c r="BL20" i="10"/>
  <c r="BL30" i="10"/>
  <c r="BL33" i="10"/>
  <c r="BL34" i="10"/>
  <c r="AI44" i="12" l="1"/>
  <c r="AK44" i="12" s="1"/>
  <c r="C5" i="12" s="1"/>
  <c r="K14" i="12" s="1"/>
  <c r="BH6" i="10"/>
  <c r="BH7" i="10" s="1"/>
  <c r="BH10" i="10"/>
  <c r="BH9" i="10"/>
  <c r="BL69" i="10"/>
  <c r="BL70" i="10"/>
  <c r="BH77" i="10"/>
  <c r="AZ34" i="10"/>
  <c r="AZ37" i="10" s="1"/>
  <c r="CE101" i="10"/>
  <c r="CA102" i="10" s="1"/>
  <c r="BS72" i="10"/>
  <c r="AV27" i="10"/>
  <c r="BU72" i="10"/>
  <c r="BQ72" i="10"/>
  <c r="AZ28" i="10"/>
  <c r="AZ26" i="10"/>
  <c r="AZ27" i="10"/>
  <c r="AO11" i="10"/>
  <c r="AZ18" i="10"/>
  <c r="AZ17" i="10"/>
  <c r="BU38" i="10"/>
  <c r="AV25" i="10"/>
  <c r="BQ38" i="10"/>
  <c r="CD4" i="10"/>
  <c r="CF4" i="10"/>
  <c r="CB4" i="10"/>
  <c r="AV24" i="10"/>
  <c r="BD9" i="10"/>
  <c r="BD8" i="10"/>
  <c r="BD10" i="10"/>
  <c r="BL36" i="10"/>
  <c r="BL38" i="10" s="1"/>
  <c r="BD15" i="10" s="1"/>
  <c r="BL35" i="10"/>
  <c r="BL37" i="10" s="1"/>
  <c r="BD14" i="10" s="1"/>
  <c r="AI12" i="10"/>
  <c r="AO12" i="10" s="1"/>
  <c r="AO44" i="12" l="1"/>
  <c r="K24" i="12"/>
  <c r="K26" i="12"/>
  <c r="K34" i="12"/>
  <c r="G10" i="12"/>
  <c r="K28" i="12"/>
  <c r="O4" i="12"/>
  <c r="O12" i="12" s="1"/>
  <c r="K27" i="12"/>
  <c r="G29" i="12"/>
  <c r="G27" i="12" s="1"/>
  <c r="K20" i="12"/>
  <c r="K23" i="12"/>
  <c r="G7" i="12"/>
  <c r="O6" i="12"/>
  <c r="O7" i="12" s="1"/>
  <c r="O9" i="12" s="1"/>
  <c r="O10" i="12" s="1"/>
  <c r="K29" i="12"/>
  <c r="G26" i="12"/>
  <c r="K22" i="12"/>
  <c r="K21" i="12"/>
  <c r="BH11" i="10"/>
  <c r="BH13" i="10"/>
  <c r="BH12" i="10"/>
  <c r="BL71" i="10"/>
  <c r="BL73" i="10" s="1"/>
  <c r="BL75" i="10" s="1"/>
  <c r="BD32" i="10" s="1"/>
  <c r="AZ35" i="10"/>
  <c r="CC102" i="10"/>
  <c r="CE102" i="10" s="1"/>
  <c r="BL42" i="10" s="1"/>
  <c r="BL48" i="10" s="1"/>
  <c r="AZ36" i="10"/>
  <c r="AV29" i="10"/>
  <c r="BU106" i="10"/>
  <c r="BS106" i="10"/>
  <c r="BQ106" i="10"/>
  <c r="BL72" i="10"/>
  <c r="BL74" i="10" s="1"/>
  <c r="BL76" i="10" s="1"/>
  <c r="BD33" i="10" s="1"/>
  <c r="BD16" i="10"/>
  <c r="BD17" i="10" s="1"/>
  <c r="BL39" i="10"/>
  <c r="CD38" i="10" s="1"/>
  <c r="AK12" i="10"/>
  <c r="AG13" i="10" s="1"/>
  <c r="K4" i="12" l="1"/>
  <c r="K5" i="12" s="1"/>
  <c r="G8" i="12"/>
  <c r="G9" i="12" s="1"/>
  <c r="K46" i="12"/>
  <c r="G28" i="12"/>
  <c r="O13" i="12"/>
  <c r="O14" i="12" s="1"/>
  <c r="K38" i="12"/>
  <c r="K25" i="12"/>
  <c r="K45" i="12" s="1"/>
  <c r="BH15" i="10"/>
  <c r="BH17" i="10" s="1"/>
  <c r="BH19" i="10" s="1"/>
  <c r="AZ6" i="10" s="1"/>
  <c r="BH14" i="10"/>
  <c r="BH16" i="10" s="1"/>
  <c r="BH18" i="10" s="1"/>
  <c r="CI102" i="10"/>
  <c r="BL44" i="10"/>
  <c r="BL45" i="10" s="1"/>
  <c r="BL47" i="10"/>
  <c r="BL49" i="10" s="1"/>
  <c r="AI13" i="10"/>
  <c r="AO13" i="10" s="1"/>
  <c r="BL77" i="10"/>
  <c r="CF106" i="10" s="1"/>
  <c r="BD34" i="10"/>
  <c r="BD37" i="10" s="1"/>
  <c r="BD19" i="10"/>
  <c r="BD18" i="10"/>
  <c r="CF38" i="10"/>
  <c r="AV26" i="10"/>
  <c r="CB38" i="10"/>
  <c r="O16" i="12" l="1"/>
  <c r="K37" i="12"/>
  <c r="O20" i="12"/>
  <c r="O15" i="12"/>
  <c r="AZ5" i="10"/>
  <c r="AZ7" i="10" s="1"/>
  <c r="BH20" i="10"/>
  <c r="BL50" i="10"/>
  <c r="BL51" i="10"/>
  <c r="AK13" i="10"/>
  <c r="AI14" i="10" s="1"/>
  <c r="BD36" i="10"/>
  <c r="BD35" i="10"/>
  <c r="CB106" i="10"/>
  <c r="CD106" i="10"/>
  <c r="G16" i="12" l="1"/>
  <c r="O23" i="12"/>
  <c r="G19" i="12" s="1"/>
  <c r="O28" i="12"/>
  <c r="O30" i="12" s="1"/>
  <c r="K16" i="12"/>
  <c r="AV23" i="10"/>
  <c r="BQ4" i="10"/>
  <c r="BS4" i="10"/>
  <c r="BU4" i="10"/>
  <c r="AZ10" i="10"/>
  <c r="AZ8" i="10"/>
  <c r="AZ9" i="10"/>
  <c r="BL52" i="10"/>
  <c r="BL54" i="10" s="1"/>
  <c r="BL56" i="10" s="1"/>
  <c r="BD23" i="10" s="1"/>
  <c r="BL53" i="10"/>
  <c r="BL55" i="10" s="1"/>
  <c r="BL57" i="10" s="1"/>
  <c r="BD24" i="10" s="1"/>
  <c r="AG14" i="10"/>
  <c r="AK14" i="10" s="1"/>
  <c r="AG15" i="10" s="1"/>
  <c r="AA4" i="12" l="1"/>
  <c r="Y4" i="12"/>
  <c r="W4" i="12"/>
  <c r="BL58" i="10"/>
  <c r="CF72" i="10" s="1"/>
  <c r="BD25" i="10"/>
  <c r="BD27" i="10" s="1"/>
  <c r="AV10" i="10" s="1"/>
  <c r="AV15" i="10" s="1"/>
  <c r="AO14" i="10"/>
  <c r="AI15" i="10"/>
  <c r="AO15" i="10" s="1"/>
  <c r="AB4" i="12" l="1"/>
  <c r="V5" i="12" s="1"/>
  <c r="W5" i="12" s="1"/>
  <c r="AC4" i="12"/>
  <c r="X5" i="12" s="1"/>
  <c r="CB72" i="10"/>
  <c r="BD28" i="10"/>
  <c r="AV11" i="10" s="1"/>
  <c r="AV12" i="10" s="1"/>
  <c r="AV16" i="10" s="1"/>
  <c r="BD26" i="10"/>
  <c r="AV28" i="10"/>
  <c r="AV30" i="10" s="1"/>
  <c r="CD72" i="10"/>
  <c r="AV17" i="10"/>
  <c r="G10" i="10"/>
  <c r="AK15" i="10"/>
  <c r="AI16" i="10" s="1"/>
  <c r="Z5" i="12" l="1"/>
  <c r="AA5" i="12" s="1"/>
  <c r="AB5" i="12" s="1"/>
  <c r="V6" i="12" s="1"/>
  <c r="AD5" i="12"/>
  <c r="Y5" i="12"/>
  <c r="G13" i="10"/>
  <c r="AV18" i="10"/>
  <c r="AV19" i="10" s="1"/>
  <c r="AV20" i="10" s="1"/>
  <c r="AG16" i="10"/>
  <c r="AK16" i="10" s="1"/>
  <c r="AG17" i="10" s="1"/>
  <c r="AC5" i="12" l="1"/>
  <c r="X6" i="12" s="1"/>
  <c r="Y6" i="12" s="1"/>
  <c r="W6" i="12"/>
  <c r="K25" i="10"/>
  <c r="AO16" i="10"/>
  <c r="AI17" i="10"/>
  <c r="AO17" i="10" s="1"/>
  <c r="Z6" i="12" l="1"/>
  <c r="AA6" i="12" s="1"/>
  <c r="AC6" i="12" s="1"/>
  <c r="X7" i="12" s="1"/>
  <c r="Y7" i="12" s="1"/>
  <c r="AD6" i="12"/>
  <c r="AK17" i="10"/>
  <c r="AI18" i="10" s="1"/>
  <c r="AB6" i="12" l="1"/>
  <c r="V7" i="12" s="1"/>
  <c r="W7" i="12" s="1"/>
  <c r="AG18" i="10"/>
  <c r="AK18" i="10" s="1"/>
  <c r="AG19" i="10" s="1"/>
  <c r="AD7" i="12" l="1"/>
  <c r="Z7" i="12"/>
  <c r="AA7" i="12" s="1"/>
  <c r="AC7" i="12" s="1"/>
  <c r="X8" i="12" s="1"/>
  <c r="Y8" i="12" s="1"/>
  <c r="AO18" i="10"/>
  <c r="AI19" i="10"/>
  <c r="AK19" i="10" s="1"/>
  <c r="AG20" i="10" s="1"/>
  <c r="AB7" i="12" l="1"/>
  <c r="V8" i="12" s="1"/>
  <c r="W8" i="12" s="1"/>
  <c r="AO19" i="10"/>
  <c r="AI20" i="10"/>
  <c r="AO20" i="10" s="1"/>
  <c r="AD8" i="12" l="1"/>
  <c r="Z8" i="12"/>
  <c r="AA8" i="12" s="1"/>
  <c r="AB8" i="12" s="1"/>
  <c r="V9" i="12" s="1"/>
  <c r="AK20" i="10"/>
  <c r="AG21" i="10" s="1"/>
  <c r="AC8" i="12" l="1"/>
  <c r="X9" i="12" s="1"/>
  <c r="AD9" i="12" s="1"/>
  <c r="W9" i="12"/>
  <c r="AI21" i="10"/>
  <c r="AO21" i="10" s="1"/>
  <c r="Z9" i="12" l="1"/>
  <c r="AA9" i="12" s="1"/>
  <c r="AB9" i="12" s="1"/>
  <c r="V10" i="12" s="1"/>
  <c r="Y9" i="12"/>
  <c r="AK21" i="10"/>
  <c r="AI22" i="10" s="1"/>
  <c r="AC9" i="12" l="1"/>
  <c r="X10" i="12" s="1"/>
  <c r="AD10" i="12" s="1"/>
  <c r="W10" i="12"/>
  <c r="AG22" i="10"/>
  <c r="AK22" i="10" s="1"/>
  <c r="Z10" i="12" l="1"/>
  <c r="AA10" i="12" s="1"/>
  <c r="AB10" i="12" s="1"/>
  <c r="V11" i="12" s="1"/>
  <c r="W11" i="12" s="1"/>
  <c r="Y10" i="12"/>
  <c r="AO22" i="10"/>
  <c r="AG23" i="10"/>
  <c r="AI23" i="10"/>
  <c r="AC10" i="12" l="1"/>
  <c r="X11" i="12" s="1"/>
  <c r="Y11" i="12" s="1"/>
  <c r="AK23" i="10"/>
  <c r="AI24" i="10" s="1"/>
  <c r="AO23" i="10"/>
  <c r="AD11" i="12" l="1"/>
  <c r="Z11" i="12"/>
  <c r="AA11" i="12" s="1"/>
  <c r="AB11" i="12" s="1"/>
  <c r="V12" i="12" s="1"/>
  <c r="W12" i="12" s="1"/>
  <c r="AG24" i="10"/>
  <c r="AO24" i="10" s="1"/>
  <c r="AC11" i="12" l="1"/>
  <c r="X12" i="12" s="1"/>
  <c r="AD12" i="12" s="1"/>
  <c r="AK24" i="10"/>
  <c r="AI25" i="10" s="1"/>
  <c r="Z12" i="12" l="1"/>
  <c r="AA12" i="12" s="1"/>
  <c r="AB12" i="12" s="1"/>
  <c r="V13" i="12" s="1"/>
  <c r="W13" i="12" s="1"/>
  <c r="Y12" i="12"/>
  <c r="AG25" i="10"/>
  <c r="AK25" i="10" s="1"/>
  <c r="AI26" i="10" s="1"/>
  <c r="AC12" i="12" l="1"/>
  <c r="X13" i="12" s="1"/>
  <c r="Z13" i="12" s="1"/>
  <c r="AA13" i="12" s="1"/>
  <c r="AB13" i="12" s="1"/>
  <c r="V14" i="12" s="1"/>
  <c r="AO25" i="10"/>
  <c r="AG26" i="10"/>
  <c r="AO26" i="10" s="1"/>
  <c r="AD13" i="12" l="1"/>
  <c r="Y13" i="12"/>
  <c r="AC13" i="12" s="1"/>
  <c r="X14" i="12" s="1"/>
  <c r="AD14" i="12" s="1"/>
  <c r="W14" i="12"/>
  <c r="AK26" i="10"/>
  <c r="AI27" i="10" s="1"/>
  <c r="Z14" i="12" l="1"/>
  <c r="AA14" i="12" s="1"/>
  <c r="AB14" i="12" s="1"/>
  <c r="V15" i="12" s="1"/>
  <c r="W15" i="12" s="1"/>
  <c r="Y14" i="12"/>
  <c r="AG27" i="10"/>
  <c r="AK27" i="10" s="1"/>
  <c r="AI28" i="10" s="1"/>
  <c r="AC14" i="12" l="1"/>
  <c r="X15" i="12" s="1"/>
  <c r="Z15" i="12" s="1"/>
  <c r="AA15" i="12" s="1"/>
  <c r="AB15" i="12" s="1"/>
  <c r="V16" i="12" s="1"/>
  <c r="AO27" i="10"/>
  <c r="AG28" i="10"/>
  <c r="AO28" i="10" s="1"/>
  <c r="Y15" i="12" l="1"/>
  <c r="AC15" i="12" s="1"/>
  <c r="X16" i="12" s="1"/>
  <c r="AD15" i="12"/>
  <c r="W16" i="12"/>
  <c r="AK28" i="10"/>
  <c r="AG29" i="10" s="1"/>
  <c r="AD16" i="12" l="1"/>
  <c r="Z16" i="12"/>
  <c r="AA16" i="12" s="1"/>
  <c r="AB16" i="12" s="1"/>
  <c r="V17" i="12" s="1"/>
  <c r="Y16" i="12"/>
  <c r="AI29" i="10"/>
  <c r="AO29" i="10" s="1"/>
  <c r="AC16" i="12" l="1"/>
  <c r="X17" i="12" s="1"/>
  <c r="Y17" i="12" s="1"/>
  <c r="W17" i="12"/>
  <c r="AK29" i="10"/>
  <c r="AI30" i="10" s="1"/>
  <c r="AD17" i="12" l="1"/>
  <c r="Z17" i="12"/>
  <c r="AA17" i="12" s="1"/>
  <c r="AB17" i="12" s="1"/>
  <c r="V18" i="12" s="1"/>
  <c r="AG30" i="10"/>
  <c r="AO30" i="10" s="1"/>
  <c r="AC17" i="12" l="1"/>
  <c r="X18" i="12" s="1"/>
  <c r="AD18" i="12" s="1"/>
  <c r="W18" i="12"/>
  <c r="AK30" i="10"/>
  <c r="AG31" i="10" s="1"/>
  <c r="Z18" i="12" l="1"/>
  <c r="AA18" i="12" s="1"/>
  <c r="AB18" i="12" s="1"/>
  <c r="V19" i="12" s="1"/>
  <c r="Y18" i="12"/>
  <c r="AI31" i="10"/>
  <c r="AK31" i="10" s="1"/>
  <c r="AG32" i="10" s="1"/>
  <c r="AC18" i="12" l="1"/>
  <c r="X19" i="12" s="1"/>
  <c r="AD19" i="12" s="1"/>
  <c r="W19" i="12"/>
  <c r="AO31" i="10"/>
  <c r="AI32" i="10"/>
  <c r="AO32" i="10" s="1"/>
  <c r="Z19" i="12" l="1"/>
  <c r="AA19" i="12" s="1"/>
  <c r="AB19" i="12" s="1"/>
  <c r="V20" i="12" s="1"/>
  <c r="W20" i="12" s="1"/>
  <c r="Y19" i="12"/>
  <c r="AK32" i="10"/>
  <c r="AG33" i="10" s="1"/>
  <c r="AC19" i="12" l="1"/>
  <c r="X20" i="12" s="1"/>
  <c r="Z20" i="12" s="1"/>
  <c r="AA20" i="12" s="1"/>
  <c r="AB20" i="12" s="1"/>
  <c r="V21" i="12" s="1"/>
  <c r="AI33" i="10"/>
  <c r="AO33" i="10" s="1"/>
  <c r="Y20" i="12" l="1"/>
  <c r="AC20" i="12" s="1"/>
  <c r="X21" i="12" s="1"/>
  <c r="AD20" i="12"/>
  <c r="W21" i="12"/>
  <c r="AK33" i="10"/>
  <c r="AI34" i="10" s="1"/>
  <c r="AD21" i="12" l="1"/>
  <c r="Y21" i="12"/>
  <c r="Z21" i="12"/>
  <c r="AA21" i="12" s="1"/>
  <c r="AB21" i="12" s="1"/>
  <c r="V22" i="12" s="1"/>
  <c r="AG34" i="10"/>
  <c r="AO34" i="10" s="1"/>
  <c r="W22" i="12" l="1"/>
  <c r="AC21" i="12"/>
  <c r="X22" i="12" s="1"/>
  <c r="AK34" i="10"/>
  <c r="AG35" i="10" s="1"/>
  <c r="AD22" i="12" l="1"/>
  <c r="Y22" i="12"/>
  <c r="Z22" i="12"/>
  <c r="AA22" i="12" s="1"/>
  <c r="AB22" i="12" s="1"/>
  <c r="V23" i="12" s="1"/>
  <c r="AI35" i="10"/>
  <c r="AO35" i="10" s="1"/>
  <c r="W23" i="12" l="1"/>
  <c r="AC22" i="12"/>
  <c r="X23" i="12" s="1"/>
  <c r="AK35" i="10"/>
  <c r="AI36" i="10" s="1"/>
  <c r="Y23" i="12" l="1"/>
  <c r="AD23" i="12"/>
  <c r="Z23" i="12"/>
  <c r="AA23" i="12" s="1"/>
  <c r="AB23" i="12" s="1"/>
  <c r="V24" i="12" s="1"/>
  <c r="AG36" i="10"/>
  <c r="AO36" i="10" s="1"/>
  <c r="W24" i="12" l="1"/>
  <c r="AC23" i="12"/>
  <c r="X24" i="12" s="1"/>
  <c r="AK36" i="10"/>
  <c r="AI37" i="10" s="1"/>
  <c r="AD24" i="12" l="1"/>
  <c r="Y24" i="12"/>
  <c r="Z24" i="12"/>
  <c r="AA24" i="12" s="1"/>
  <c r="AB24" i="12" s="1"/>
  <c r="V25" i="12" s="1"/>
  <c r="AG37" i="10"/>
  <c r="AK37" i="10" s="1"/>
  <c r="AI38" i="10" s="1"/>
  <c r="W25" i="12" l="1"/>
  <c r="AC24" i="12"/>
  <c r="X25" i="12" s="1"/>
  <c r="AO37" i="10"/>
  <c r="AG38" i="10"/>
  <c r="AK38" i="10" s="1"/>
  <c r="AG39" i="10" s="1"/>
  <c r="Y25" i="12" l="1"/>
  <c r="AD25" i="12"/>
  <c r="Z25" i="12"/>
  <c r="AA25" i="12" s="1"/>
  <c r="AB25" i="12" s="1"/>
  <c r="V26" i="12" s="1"/>
  <c r="AO38" i="10"/>
  <c r="AI39" i="10"/>
  <c r="AK39" i="10" s="1"/>
  <c r="W26" i="12" l="1"/>
  <c r="AC25" i="12"/>
  <c r="X26" i="12" s="1"/>
  <c r="AO39" i="10"/>
  <c r="AI40" i="10"/>
  <c r="AG40" i="10"/>
  <c r="Y26" i="12" l="1"/>
  <c r="AD26" i="12"/>
  <c r="Z26" i="12"/>
  <c r="AA26" i="12" s="1"/>
  <c r="AB26" i="12" s="1"/>
  <c r="V27" i="12" s="1"/>
  <c r="AK40" i="10"/>
  <c r="AO40" i="10"/>
  <c r="W27" i="12" l="1"/>
  <c r="AC26" i="12"/>
  <c r="X27" i="12" s="1"/>
  <c r="AI41" i="10"/>
  <c r="AG41" i="10"/>
  <c r="Y27" i="12" l="1"/>
  <c r="AD27" i="12"/>
  <c r="Z27" i="12"/>
  <c r="AA27" i="12" s="1"/>
  <c r="AB27" i="12" s="1"/>
  <c r="V28" i="12" s="1"/>
  <c r="AK41" i="10"/>
  <c r="AI42" i="10" s="1"/>
  <c r="AO41" i="10"/>
  <c r="W28" i="12" l="1"/>
  <c r="AC27" i="12"/>
  <c r="X28" i="12" s="1"/>
  <c r="AG42" i="10"/>
  <c r="AK42" i="10" s="1"/>
  <c r="AG43" i="10" s="1"/>
  <c r="AD28" i="12" l="1"/>
  <c r="Y28" i="12"/>
  <c r="Z28" i="12"/>
  <c r="AA28" i="12" s="1"/>
  <c r="AB28" i="12" s="1"/>
  <c r="V29" i="12" s="1"/>
  <c r="AI43" i="10"/>
  <c r="AK43" i="10" s="1"/>
  <c r="AI44" i="10" s="1"/>
  <c r="AO42" i="10"/>
  <c r="W29" i="12" l="1"/>
  <c r="AC28" i="12"/>
  <c r="X29" i="12" s="1"/>
  <c r="AO43" i="10"/>
  <c r="AG44" i="10"/>
  <c r="AO44" i="10" s="1"/>
  <c r="Y29" i="12" l="1"/>
  <c r="AD29" i="12"/>
  <c r="Z29" i="12"/>
  <c r="AA29" i="12" s="1"/>
  <c r="AB29" i="12" s="1"/>
  <c r="V30" i="12" s="1"/>
  <c r="AK44" i="10"/>
  <c r="W30" i="12" l="1"/>
  <c r="AC29" i="12"/>
  <c r="X30" i="12" s="1"/>
  <c r="O4" i="10"/>
  <c r="K27" i="10"/>
  <c r="K28" i="10"/>
  <c r="G26" i="10"/>
  <c r="AD30" i="12" l="1"/>
  <c r="Y30" i="12"/>
  <c r="Z30" i="12"/>
  <c r="AA30" i="12" s="1"/>
  <c r="AB30" i="12" s="1"/>
  <c r="V31" i="12" s="1"/>
  <c r="K21" i="10"/>
  <c r="K22" i="10"/>
  <c r="K23" i="10"/>
  <c r="K26" i="10"/>
  <c r="K14" i="10"/>
  <c r="G9" i="10"/>
  <c r="G27" i="10"/>
  <c r="K4" i="10" s="1"/>
  <c r="K24" i="10"/>
  <c r="O6" i="10"/>
  <c r="K20" i="10"/>
  <c r="K29" i="10"/>
  <c r="O12" i="10"/>
  <c r="K34" i="10"/>
  <c r="W31" i="12" l="1"/>
  <c r="AC30" i="12"/>
  <c r="X31" i="12" s="1"/>
  <c r="G11" i="10"/>
  <c r="AH49" i="10" s="1"/>
  <c r="K45" i="10"/>
  <c r="K38" i="10"/>
  <c r="O7" i="10"/>
  <c r="O9" i="10" s="1"/>
  <c r="O13" i="10" s="1"/>
  <c r="K37" i="10"/>
  <c r="K5" i="10"/>
  <c r="K46" i="10"/>
  <c r="Y31" i="12" l="1"/>
  <c r="AD31" i="12"/>
  <c r="Z31" i="12"/>
  <c r="AA31" i="12" s="1"/>
  <c r="AB31" i="12" s="1"/>
  <c r="V32" i="12" s="1"/>
  <c r="AL49" i="10"/>
  <c r="AJ49" i="10"/>
  <c r="G12" i="10"/>
  <c r="O10" i="10"/>
  <c r="W32" i="12" l="1"/>
  <c r="AC31" i="12"/>
  <c r="X32" i="12" s="1"/>
  <c r="O16" i="10"/>
  <c r="O14" i="10"/>
  <c r="AD32" i="12" l="1"/>
  <c r="Y32" i="12"/>
  <c r="Z32" i="12"/>
  <c r="AA32" i="12" s="1"/>
  <c r="AB32" i="12" s="1"/>
  <c r="V33" i="12" s="1"/>
  <c r="O20" i="10"/>
  <c r="K16" i="10" s="1"/>
  <c r="O15" i="10"/>
  <c r="W33" i="12" l="1"/>
  <c r="AC32" i="12"/>
  <c r="X33" i="12" s="1"/>
  <c r="Z33" i="12" s="1"/>
  <c r="AA33" i="12" s="1"/>
  <c r="O23" i="10"/>
  <c r="W4" i="10" s="1"/>
  <c r="O28" i="10"/>
  <c r="O30" i="10" s="1"/>
  <c r="AB33" i="12" l="1"/>
  <c r="V34" i="12" s="1"/>
  <c r="W34" i="12" s="1"/>
  <c r="AD33" i="12"/>
  <c r="Y33" i="12"/>
  <c r="AC33" i="12" s="1"/>
  <c r="X34" i="12" s="1"/>
  <c r="Y4" i="10"/>
  <c r="AA4" i="10"/>
  <c r="Y34" i="12" l="1"/>
  <c r="AD34" i="12"/>
  <c r="Z34" i="12"/>
  <c r="AB4" i="10"/>
  <c r="V5" i="10" s="1"/>
  <c r="W5" i="10" s="1"/>
  <c r="AC4" i="10"/>
  <c r="X5" i="10" s="1"/>
  <c r="O26" i="12" l="1"/>
  <c r="O27" i="12" s="1"/>
  <c r="G17" i="12" s="1"/>
  <c r="AA34" i="12"/>
  <c r="AB34" i="12" s="1"/>
  <c r="Z5" i="10"/>
  <c r="AA5" i="10" s="1"/>
  <c r="AB5" i="10" s="1"/>
  <c r="V6" i="10" s="1"/>
  <c r="W6" i="10" s="1"/>
  <c r="AD5" i="10"/>
  <c r="Y5" i="10"/>
  <c r="AC34" i="12" l="1"/>
  <c r="G18" i="12"/>
  <c r="G20" i="12"/>
  <c r="K6" i="12" s="1"/>
  <c r="AC5" i="10"/>
  <c r="X6" i="10" s="1"/>
  <c r="AD6" i="10" s="1"/>
  <c r="K10" i="12" l="1"/>
  <c r="K15" i="12" s="1"/>
  <c r="Z6" i="10"/>
  <c r="AA6" i="10" s="1"/>
  <c r="AB6" i="10" s="1"/>
  <c r="V7" i="10" s="1"/>
  <c r="W7" i="10" s="1"/>
  <c r="Y6" i="10"/>
  <c r="K43" i="12" l="1"/>
  <c r="K35" i="12"/>
  <c r="K19" i="12"/>
  <c r="K7" i="12"/>
  <c r="K18" i="12"/>
  <c r="AC6" i="10"/>
  <c r="X7" i="10" s="1"/>
  <c r="Z7" i="10" s="1"/>
  <c r="AA7" i="10" s="1"/>
  <c r="AB7" i="10" s="1"/>
  <c r="V8" i="10" s="1"/>
  <c r="W8" i="10" s="1"/>
  <c r="K44" i="12" l="1"/>
  <c r="K47" i="12" s="1"/>
  <c r="K36" i="12"/>
  <c r="K39" i="12" s="1"/>
  <c r="K30" i="12"/>
  <c r="Y7" i="10"/>
  <c r="AC7" i="10" s="1"/>
  <c r="X8" i="10" s="1"/>
  <c r="Y8" i="10" s="1"/>
  <c r="AD7" i="10"/>
  <c r="K31" i="12" l="1"/>
  <c r="AH4" i="12"/>
  <c r="AL4" i="12"/>
  <c r="AJ4" i="12"/>
  <c r="Z8" i="10"/>
  <c r="AA8" i="10" s="1"/>
  <c r="AC8" i="10" s="1"/>
  <c r="X9" i="10" s="1"/>
  <c r="AD8" i="10"/>
  <c r="AB8" i="10" l="1"/>
  <c r="V9" i="10" s="1"/>
  <c r="Z9" i="10" s="1"/>
  <c r="AA9" i="10" s="1"/>
  <c r="Y9" i="10"/>
  <c r="AD9" i="10" l="1"/>
  <c r="W9" i="10"/>
  <c r="AB9" i="10" s="1"/>
  <c r="V10" i="10" s="1"/>
  <c r="AC9" i="10"/>
  <c r="X10" i="10" s="1"/>
  <c r="Y10" i="10" s="1"/>
  <c r="Z10" i="10" l="1"/>
  <c r="AA10" i="10" s="1"/>
  <c r="AC10" i="10" s="1"/>
  <c r="X11" i="10" s="1"/>
  <c r="Y11" i="10" s="1"/>
  <c r="AD10" i="10"/>
  <c r="W10" i="10"/>
  <c r="AB10" i="10" l="1"/>
  <c r="V11" i="10" s="1"/>
  <c r="AD11" i="10" s="1"/>
  <c r="Z11" i="10" l="1"/>
  <c r="AA11" i="10" s="1"/>
  <c r="AC11" i="10" s="1"/>
  <c r="X12" i="10" s="1"/>
  <c r="W11" i="10"/>
  <c r="AB11" i="10" l="1"/>
  <c r="V12" i="10" s="1"/>
  <c r="AD12" i="10" s="1"/>
  <c r="Y12" i="10"/>
  <c r="Z12" i="10" l="1"/>
  <c r="AA12" i="10" s="1"/>
  <c r="AC12" i="10" s="1"/>
  <c r="X13" i="10" s="1"/>
  <c r="W12" i="10"/>
  <c r="AB12" i="10" l="1"/>
  <c r="V13" i="10" s="1"/>
  <c r="W13" i="10" s="1"/>
  <c r="Y13" i="10"/>
  <c r="Z13" i="10" l="1"/>
  <c r="AA13" i="10" s="1"/>
  <c r="AB13" i="10" s="1"/>
  <c r="V14" i="10" s="1"/>
  <c r="W14" i="10" s="1"/>
  <c r="AD13" i="10"/>
  <c r="AC13" i="10" l="1"/>
  <c r="X14" i="10" s="1"/>
  <c r="AD14" i="10" s="1"/>
  <c r="Z14" i="10" l="1"/>
  <c r="AA14" i="10" s="1"/>
  <c r="AB14" i="10" s="1"/>
  <c r="V15" i="10" s="1"/>
  <c r="W15" i="10" s="1"/>
  <c r="Y14" i="10"/>
  <c r="AC14" i="10" l="1"/>
  <c r="X15" i="10" s="1"/>
  <c r="Z15" i="10" s="1"/>
  <c r="AA15" i="10" s="1"/>
  <c r="AB15" i="10" s="1"/>
  <c r="V16" i="10" s="1"/>
  <c r="AD15" i="10" l="1"/>
  <c r="Y15" i="10"/>
  <c r="AC15" i="10" s="1"/>
  <c r="X16" i="10" s="1"/>
  <c r="AD16" i="10" s="1"/>
  <c r="W16" i="10"/>
  <c r="Z16" i="10" l="1"/>
  <c r="AA16" i="10" s="1"/>
  <c r="AB16" i="10" s="1"/>
  <c r="V17" i="10" s="1"/>
  <c r="Y16" i="10"/>
  <c r="AC16" i="10" l="1"/>
  <c r="X17" i="10" s="1"/>
  <c r="AD17" i="10" s="1"/>
  <c r="W17" i="10"/>
  <c r="Z17" i="10" l="1"/>
  <c r="AA17" i="10" s="1"/>
  <c r="AB17" i="10" s="1"/>
  <c r="V18" i="10" s="1"/>
  <c r="W18" i="10" s="1"/>
  <c r="Y17" i="10"/>
  <c r="AC17" i="10" l="1"/>
  <c r="X18" i="10" s="1"/>
  <c r="AD18" i="10" s="1"/>
  <c r="Y18" i="10" l="1"/>
  <c r="Z18" i="10"/>
  <c r="AA18" i="10" s="1"/>
  <c r="AB18" i="10" s="1"/>
  <c r="V19" i="10" s="1"/>
  <c r="W19" i="10" s="1"/>
  <c r="AC18" i="10" l="1"/>
  <c r="X19" i="10" s="1"/>
  <c r="Y19" i="10" s="1"/>
  <c r="AD19" i="10" l="1"/>
  <c r="Z19" i="10"/>
  <c r="AA19" i="10" s="1"/>
  <c r="AB19" i="10" s="1"/>
  <c r="V20" i="10" s="1"/>
  <c r="W20" i="10" s="1"/>
  <c r="AC19" i="10" l="1"/>
  <c r="X20" i="10" s="1"/>
  <c r="AD20" i="10" s="1"/>
  <c r="Z20" i="10" l="1"/>
  <c r="AA20" i="10" s="1"/>
  <c r="AB20" i="10" s="1"/>
  <c r="V21" i="10" s="1"/>
  <c r="W21" i="10" s="1"/>
  <c r="Y20" i="10"/>
  <c r="AC20" i="10" l="1"/>
  <c r="X21" i="10" s="1"/>
  <c r="Z21" i="10" s="1"/>
  <c r="AA21" i="10" s="1"/>
  <c r="AB21" i="10" s="1"/>
  <c r="V22" i="10" s="1"/>
  <c r="Y21" i="10" l="1"/>
  <c r="AC21" i="10" s="1"/>
  <c r="X22" i="10" s="1"/>
  <c r="Y22" i="10" s="1"/>
  <c r="AD21" i="10"/>
  <c r="W22" i="10"/>
  <c r="Z22" i="10" l="1"/>
  <c r="AA22" i="10" s="1"/>
  <c r="AB22" i="10" s="1"/>
  <c r="V23" i="10" s="1"/>
  <c r="W23" i="10" s="1"/>
  <c r="AD22" i="10"/>
  <c r="AC22" i="10" l="1"/>
  <c r="X23" i="10" s="1"/>
  <c r="Y23" i="10" s="1"/>
  <c r="Z23" i="10" l="1"/>
  <c r="AA23" i="10" s="1"/>
  <c r="AB23" i="10" s="1"/>
  <c r="V24" i="10" s="1"/>
  <c r="W24" i="10" s="1"/>
  <c r="AD23" i="10"/>
  <c r="AC23" i="10" l="1"/>
  <c r="X24" i="10" s="1"/>
  <c r="AD24" i="10" s="1"/>
  <c r="BH5" i="9"/>
  <c r="C10" i="9"/>
  <c r="C20" i="9" s="1"/>
  <c r="Y24" i="10" l="1"/>
  <c r="Z24" i="10"/>
  <c r="AA24" i="10" s="1"/>
  <c r="AB24" i="10" s="1"/>
  <c r="V25" i="10" s="1"/>
  <c r="W25" i="10" s="1"/>
  <c r="BL62" i="9"/>
  <c r="BL43" i="9"/>
  <c r="CH136" i="9"/>
  <c r="CG136" i="9"/>
  <c r="CH135" i="9"/>
  <c r="CG135" i="9"/>
  <c r="CH134" i="9"/>
  <c r="CG134" i="9"/>
  <c r="CH133" i="9"/>
  <c r="CG133" i="9"/>
  <c r="CH132" i="9"/>
  <c r="CG132" i="9"/>
  <c r="CH131" i="9"/>
  <c r="CG131" i="9"/>
  <c r="CH130" i="9"/>
  <c r="CG130" i="9"/>
  <c r="CH129" i="9"/>
  <c r="CG129" i="9"/>
  <c r="CH128" i="9"/>
  <c r="CG128" i="9"/>
  <c r="CH127" i="9"/>
  <c r="CG127" i="9"/>
  <c r="CH126" i="9"/>
  <c r="CG126" i="9"/>
  <c r="CH125" i="9"/>
  <c r="CG125" i="9"/>
  <c r="CH124" i="9"/>
  <c r="CG124" i="9"/>
  <c r="CH123" i="9"/>
  <c r="CG123" i="9"/>
  <c r="CH122" i="9"/>
  <c r="CG122" i="9"/>
  <c r="CH121" i="9"/>
  <c r="CG121" i="9"/>
  <c r="CH120" i="9"/>
  <c r="CG120" i="9"/>
  <c r="CH119" i="9"/>
  <c r="CG119" i="9"/>
  <c r="CH118" i="9"/>
  <c r="CG118" i="9"/>
  <c r="CH117" i="9"/>
  <c r="CG117" i="9"/>
  <c r="CH116" i="9"/>
  <c r="CG116" i="9"/>
  <c r="CH115" i="9"/>
  <c r="CG115" i="9"/>
  <c r="CH114" i="9"/>
  <c r="CG114" i="9"/>
  <c r="CH113" i="9"/>
  <c r="CG113" i="9"/>
  <c r="CH112" i="9"/>
  <c r="CG112" i="9"/>
  <c r="CH111" i="9"/>
  <c r="CG111" i="9"/>
  <c r="CH110" i="9"/>
  <c r="CG110" i="9"/>
  <c r="CH109" i="9"/>
  <c r="CG109" i="9"/>
  <c r="CH108" i="9"/>
  <c r="CG108" i="9"/>
  <c r="CH107" i="9"/>
  <c r="CG107" i="9"/>
  <c r="AC24" i="10" l="1"/>
  <c r="X25" i="10" s="1"/>
  <c r="Y25" i="10" s="1"/>
  <c r="CE107" i="9"/>
  <c r="CC108" i="9"/>
  <c r="CI107" i="9"/>
  <c r="CA108" i="9"/>
  <c r="C31" i="9"/>
  <c r="AN79" i="9"/>
  <c r="AM79" i="9"/>
  <c r="AN78" i="9"/>
  <c r="AM78" i="9"/>
  <c r="AN77" i="9"/>
  <c r="AM77" i="9"/>
  <c r="AN76" i="9"/>
  <c r="AM76" i="9"/>
  <c r="AN75" i="9"/>
  <c r="AM75" i="9"/>
  <c r="AN74" i="9"/>
  <c r="AM74" i="9"/>
  <c r="AN73" i="9"/>
  <c r="AM73" i="9"/>
  <c r="AN72" i="9"/>
  <c r="AM72" i="9"/>
  <c r="AN71" i="9"/>
  <c r="AM71" i="9"/>
  <c r="AN70" i="9"/>
  <c r="AM70" i="9"/>
  <c r="AN69" i="9"/>
  <c r="AM69" i="9"/>
  <c r="AN68" i="9"/>
  <c r="AM68" i="9"/>
  <c r="AN67" i="9"/>
  <c r="AM67" i="9"/>
  <c r="AN66" i="9"/>
  <c r="AM66" i="9"/>
  <c r="AN65" i="9"/>
  <c r="AM65" i="9"/>
  <c r="AN64" i="9"/>
  <c r="AM64" i="9"/>
  <c r="AN63" i="9"/>
  <c r="AM63" i="9"/>
  <c r="AN62" i="9"/>
  <c r="AM62" i="9"/>
  <c r="AN61" i="9"/>
  <c r="AM61" i="9"/>
  <c r="AN60" i="9"/>
  <c r="AM60" i="9"/>
  <c r="AN59" i="9"/>
  <c r="AM59" i="9"/>
  <c r="AN58" i="9"/>
  <c r="AM58" i="9"/>
  <c r="AN57" i="9"/>
  <c r="AM57" i="9"/>
  <c r="AN56" i="9"/>
  <c r="AM56" i="9"/>
  <c r="AN55" i="9"/>
  <c r="AM55" i="9"/>
  <c r="AN54" i="9"/>
  <c r="AM54" i="9"/>
  <c r="AN53" i="9"/>
  <c r="AM53" i="9"/>
  <c r="AN52" i="9"/>
  <c r="AM52" i="9"/>
  <c r="AN51" i="9"/>
  <c r="AM51" i="9"/>
  <c r="AO50" i="9"/>
  <c r="AN50" i="9"/>
  <c r="AM50" i="9"/>
  <c r="AK50" i="9"/>
  <c r="AR8" i="9"/>
  <c r="Z25" i="10" l="1"/>
  <c r="AA25" i="10" s="1"/>
  <c r="AB25" i="10" s="1"/>
  <c r="V26" i="10" s="1"/>
  <c r="AD25" i="10"/>
  <c r="CE108" i="9"/>
  <c r="CC109" i="9" s="1"/>
  <c r="CI108" i="9"/>
  <c r="AR32" i="9"/>
  <c r="AR25" i="9"/>
  <c r="AR34" i="9"/>
  <c r="BL65" i="9" s="1"/>
  <c r="AR31" i="9"/>
  <c r="AR24" i="9"/>
  <c r="AR30" i="9"/>
  <c r="AR23" i="9"/>
  <c r="AR27" i="9"/>
  <c r="BH8" i="9" s="1"/>
  <c r="AR29" i="9"/>
  <c r="AR22" i="9"/>
  <c r="AR26" i="9"/>
  <c r="BD31" i="9" s="1"/>
  <c r="AR28" i="9"/>
  <c r="AR21" i="9"/>
  <c r="AR20" i="9"/>
  <c r="AR10" i="9"/>
  <c r="AR33" i="9"/>
  <c r="AI51" i="9"/>
  <c r="AG51" i="9"/>
  <c r="AV3" i="9"/>
  <c r="AV4" i="9" s="1"/>
  <c r="BL5" i="9"/>
  <c r="BP5" i="9"/>
  <c r="BR5" i="9"/>
  <c r="BV5" i="9"/>
  <c r="BW5" i="9"/>
  <c r="CA5" i="9"/>
  <c r="CC5" i="9"/>
  <c r="CG5" i="9"/>
  <c r="CH5" i="9"/>
  <c r="BV6" i="9"/>
  <c r="BW6" i="9"/>
  <c r="CG6" i="9"/>
  <c r="CH6" i="9"/>
  <c r="BV7" i="9"/>
  <c r="BW7" i="9"/>
  <c r="CG7" i="9"/>
  <c r="CH7" i="9"/>
  <c r="BV8" i="9"/>
  <c r="BW8" i="9"/>
  <c r="CG8" i="9"/>
  <c r="CH8" i="9"/>
  <c r="BV9" i="9"/>
  <c r="BW9" i="9"/>
  <c r="CG9" i="9"/>
  <c r="CH9" i="9"/>
  <c r="BV10" i="9"/>
  <c r="BW10" i="9"/>
  <c r="CG10" i="9"/>
  <c r="CH10" i="9"/>
  <c r="BV11" i="9"/>
  <c r="BW11" i="9"/>
  <c r="CG11" i="9"/>
  <c r="CH11" i="9"/>
  <c r="BV12" i="9"/>
  <c r="BW12" i="9"/>
  <c r="CG12" i="9"/>
  <c r="CH12" i="9"/>
  <c r="BV13" i="9"/>
  <c r="BW13" i="9"/>
  <c r="CG13" i="9"/>
  <c r="CH13" i="9"/>
  <c r="BV14" i="9"/>
  <c r="BW14" i="9"/>
  <c r="CG14" i="9"/>
  <c r="CH14" i="9"/>
  <c r="BV15" i="9"/>
  <c r="BW15" i="9"/>
  <c r="CG15" i="9"/>
  <c r="CH15" i="9"/>
  <c r="BV16" i="9"/>
  <c r="BW16" i="9"/>
  <c r="CG16" i="9"/>
  <c r="CH16" i="9"/>
  <c r="BV17" i="9"/>
  <c r="BW17" i="9"/>
  <c r="CG17" i="9"/>
  <c r="CH17" i="9"/>
  <c r="BV18" i="9"/>
  <c r="BW18" i="9"/>
  <c r="CG18" i="9"/>
  <c r="CH18" i="9"/>
  <c r="BV19" i="9"/>
  <c r="BW19" i="9"/>
  <c r="CG19" i="9"/>
  <c r="CH19" i="9"/>
  <c r="BV20" i="9"/>
  <c r="BW20" i="9"/>
  <c r="CG20" i="9"/>
  <c r="CH20" i="9"/>
  <c r="BV21" i="9"/>
  <c r="BW21" i="9"/>
  <c r="CG21" i="9"/>
  <c r="CH21" i="9"/>
  <c r="BV22" i="9"/>
  <c r="BW22" i="9"/>
  <c r="CG22" i="9"/>
  <c r="CH22" i="9"/>
  <c r="BV23" i="9"/>
  <c r="BW23" i="9"/>
  <c r="CG23" i="9"/>
  <c r="CH23" i="9"/>
  <c r="BH24" i="9"/>
  <c r="BL24" i="9"/>
  <c r="BV24" i="9"/>
  <c r="BW24" i="9"/>
  <c r="CG24" i="9"/>
  <c r="CH24" i="9"/>
  <c r="BV25" i="9"/>
  <c r="BW25" i="9"/>
  <c r="CG25" i="9"/>
  <c r="CH25" i="9"/>
  <c r="BV26" i="9"/>
  <c r="BW26" i="9"/>
  <c r="CG26" i="9"/>
  <c r="CH26" i="9"/>
  <c r="BV27" i="9"/>
  <c r="BW27" i="9"/>
  <c r="CG27" i="9"/>
  <c r="CH27" i="9"/>
  <c r="BV28" i="9"/>
  <c r="BW28" i="9"/>
  <c r="CG28" i="9"/>
  <c r="CH28" i="9"/>
  <c r="BV29" i="9"/>
  <c r="BW29" i="9"/>
  <c r="CG29" i="9"/>
  <c r="CH29" i="9"/>
  <c r="BV30" i="9"/>
  <c r="BW30" i="9"/>
  <c r="CG30" i="9"/>
  <c r="CH30" i="9"/>
  <c r="BV31" i="9"/>
  <c r="BW31" i="9"/>
  <c r="CG31" i="9"/>
  <c r="CH31" i="9"/>
  <c r="BV32" i="9"/>
  <c r="BW32" i="9"/>
  <c r="CG32" i="9"/>
  <c r="CH32" i="9"/>
  <c r="BV33" i="9"/>
  <c r="BW33" i="9"/>
  <c r="CG33" i="9"/>
  <c r="CH33" i="9"/>
  <c r="BV34" i="9"/>
  <c r="BW34" i="9"/>
  <c r="CG34" i="9"/>
  <c r="CH34" i="9"/>
  <c r="BP39" i="9"/>
  <c r="BR39" i="9"/>
  <c r="BV39" i="9"/>
  <c r="BW39" i="9"/>
  <c r="CA39" i="9"/>
  <c r="CC39" i="9"/>
  <c r="CG39" i="9"/>
  <c r="CH39" i="9"/>
  <c r="BV40" i="9"/>
  <c r="BW40" i="9"/>
  <c r="CG40" i="9"/>
  <c r="CH40" i="9"/>
  <c r="BV41" i="9"/>
  <c r="BW41" i="9"/>
  <c r="CG41" i="9"/>
  <c r="CH41" i="9"/>
  <c r="BV42" i="9"/>
  <c r="BW42" i="9"/>
  <c r="CG42" i="9"/>
  <c r="CH42" i="9"/>
  <c r="BH43" i="9"/>
  <c r="BV43" i="9"/>
  <c r="BW43" i="9"/>
  <c r="CG43" i="9"/>
  <c r="CH43" i="9"/>
  <c r="BV44" i="9"/>
  <c r="BW44" i="9"/>
  <c r="CG44" i="9"/>
  <c r="CH44" i="9"/>
  <c r="BV45" i="9"/>
  <c r="BW45" i="9"/>
  <c r="CG45" i="9"/>
  <c r="CH45" i="9"/>
  <c r="BV46" i="9"/>
  <c r="BW46" i="9"/>
  <c r="CG46" i="9"/>
  <c r="CH46" i="9"/>
  <c r="BV47" i="9"/>
  <c r="BW47" i="9"/>
  <c r="CG47" i="9"/>
  <c r="CH47" i="9"/>
  <c r="BV48" i="9"/>
  <c r="BW48" i="9"/>
  <c r="CG48" i="9"/>
  <c r="CH48" i="9"/>
  <c r="BV49" i="9"/>
  <c r="BW49" i="9"/>
  <c r="CG49" i="9"/>
  <c r="CH49" i="9"/>
  <c r="BV50" i="9"/>
  <c r="BW50" i="9"/>
  <c r="CG50" i="9"/>
  <c r="CH50" i="9"/>
  <c r="BV51" i="9"/>
  <c r="BW51" i="9"/>
  <c r="CG51" i="9"/>
  <c r="CH51" i="9"/>
  <c r="BV52" i="9"/>
  <c r="BW52" i="9"/>
  <c r="CG52" i="9"/>
  <c r="CH52" i="9"/>
  <c r="BV53" i="9"/>
  <c r="BW53" i="9"/>
  <c r="CG53" i="9"/>
  <c r="CH53" i="9"/>
  <c r="BV54" i="9"/>
  <c r="BW54" i="9"/>
  <c r="CG54" i="9"/>
  <c r="CH54" i="9"/>
  <c r="BV55" i="9"/>
  <c r="BW55" i="9"/>
  <c r="CG55" i="9"/>
  <c r="CH55" i="9"/>
  <c r="BV56" i="9"/>
  <c r="BW56" i="9"/>
  <c r="CG56" i="9"/>
  <c r="CH56" i="9"/>
  <c r="BV57" i="9"/>
  <c r="BW57" i="9"/>
  <c r="CG57" i="9"/>
  <c r="CH57" i="9"/>
  <c r="BV58" i="9"/>
  <c r="BW58" i="9"/>
  <c r="CG58" i="9"/>
  <c r="CH58" i="9"/>
  <c r="BV59" i="9"/>
  <c r="BW59" i="9"/>
  <c r="CG59" i="9"/>
  <c r="CH59" i="9"/>
  <c r="BV60" i="9"/>
  <c r="BW60" i="9"/>
  <c r="CG60" i="9"/>
  <c r="CH60" i="9"/>
  <c r="BV61" i="9"/>
  <c r="BW61" i="9"/>
  <c r="CG61" i="9"/>
  <c r="CH61" i="9"/>
  <c r="BH62" i="9"/>
  <c r="BV62" i="9"/>
  <c r="BW62" i="9"/>
  <c r="CG62" i="9"/>
  <c r="CH62" i="9"/>
  <c r="BV63" i="9"/>
  <c r="BW63" i="9"/>
  <c r="CG63" i="9"/>
  <c r="CH63" i="9"/>
  <c r="BV64" i="9"/>
  <c r="BW64" i="9"/>
  <c r="CG64" i="9"/>
  <c r="CH64" i="9"/>
  <c r="BV65" i="9"/>
  <c r="BW65" i="9"/>
  <c r="CG65" i="9"/>
  <c r="CH65" i="9"/>
  <c r="BV66" i="9"/>
  <c r="BW66" i="9"/>
  <c r="CG66" i="9"/>
  <c r="CH66" i="9"/>
  <c r="BV67" i="9"/>
  <c r="BW67" i="9"/>
  <c r="CG67" i="9"/>
  <c r="CH67" i="9"/>
  <c r="BV68" i="9"/>
  <c r="BW68" i="9"/>
  <c r="CG68" i="9"/>
  <c r="CH68" i="9"/>
  <c r="BP73" i="9"/>
  <c r="BR73" i="9"/>
  <c r="BV73" i="9"/>
  <c r="BW73" i="9"/>
  <c r="CA73" i="9"/>
  <c r="CC73" i="9"/>
  <c r="CG73" i="9"/>
  <c r="CH73" i="9"/>
  <c r="BV74" i="9"/>
  <c r="BW74" i="9"/>
  <c r="CG74" i="9"/>
  <c r="CH74" i="9"/>
  <c r="BV75" i="9"/>
  <c r="BW75" i="9"/>
  <c r="CG75" i="9"/>
  <c r="CH75" i="9"/>
  <c r="BV76" i="9"/>
  <c r="BW76" i="9"/>
  <c r="CG76" i="9"/>
  <c r="CH76" i="9"/>
  <c r="BV77" i="9"/>
  <c r="BW77" i="9"/>
  <c r="CG77" i="9"/>
  <c r="CH77" i="9"/>
  <c r="BV78" i="9"/>
  <c r="BW78" i="9"/>
  <c r="CG78" i="9"/>
  <c r="CH78" i="9"/>
  <c r="BV79" i="9"/>
  <c r="BW79" i="9"/>
  <c r="CG79" i="9"/>
  <c r="CH79" i="9"/>
  <c r="BV80" i="9"/>
  <c r="BW80" i="9"/>
  <c r="CG80" i="9"/>
  <c r="CH80" i="9"/>
  <c r="BV81" i="9"/>
  <c r="BW81" i="9"/>
  <c r="CG81" i="9"/>
  <c r="CH81" i="9"/>
  <c r="BV82" i="9"/>
  <c r="BW82" i="9"/>
  <c r="CG82" i="9"/>
  <c r="CH82" i="9"/>
  <c r="BV83" i="9"/>
  <c r="BW83" i="9"/>
  <c r="CG83" i="9"/>
  <c r="CH83" i="9"/>
  <c r="BV84" i="9"/>
  <c r="BW84" i="9"/>
  <c r="CG84" i="9"/>
  <c r="CH84" i="9"/>
  <c r="BV85" i="9"/>
  <c r="BW85" i="9"/>
  <c r="CG85" i="9"/>
  <c r="CH85" i="9"/>
  <c r="BV86" i="9"/>
  <c r="BW86" i="9"/>
  <c r="CG86" i="9"/>
  <c r="CH86" i="9"/>
  <c r="BV87" i="9"/>
  <c r="BW87" i="9"/>
  <c r="CG87" i="9"/>
  <c r="CH87" i="9"/>
  <c r="BV88" i="9"/>
  <c r="BW88" i="9"/>
  <c r="CG88" i="9"/>
  <c r="CH88" i="9"/>
  <c r="BV89" i="9"/>
  <c r="BW89" i="9"/>
  <c r="CG89" i="9"/>
  <c r="CH89" i="9"/>
  <c r="BV90" i="9"/>
  <c r="BW90" i="9"/>
  <c r="CG90" i="9"/>
  <c r="CH90" i="9"/>
  <c r="BV91" i="9"/>
  <c r="BW91" i="9"/>
  <c r="CG91" i="9"/>
  <c r="CH91" i="9"/>
  <c r="BV92" i="9"/>
  <c r="BW92" i="9"/>
  <c r="CG92" i="9"/>
  <c r="CH92" i="9"/>
  <c r="BV93" i="9"/>
  <c r="BW93" i="9"/>
  <c r="CG93" i="9"/>
  <c r="CH93" i="9"/>
  <c r="BV94" i="9"/>
  <c r="BW94" i="9"/>
  <c r="CG94" i="9"/>
  <c r="CH94" i="9"/>
  <c r="BV95" i="9"/>
  <c r="BW95" i="9"/>
  <c r="CG95" i="9"/>
  <c r="CH95" i="9"/>
  <c r="BV96" i="9"/>
  <c r="BW96" i="9"/>
  <c r="CG96" i="9"/>
  <c r="CH96" i="9"/>
  <c r="BV97" i="9"/>
  <c r="BW97" i="9"/>
  <c r="CG97" i="9"/>
  <c r="CH97" i="9"/>
  <c r="BV98" i="9"/>
  <c r="BW98" i="9"/>
  <c r="CG98" i="9"/>
  <c r="CH98" i="9"/>
  <c r="BV99" i="9"/>
  <c r="BW99" i="9"/>
  <c r="CG99" i="9"/>
  <c r="CH99" i="9"/>
  <c r="BV100" i="9"/>
  <c r="BW100" i="9"/>
  <c r="CG100" i="9"/>
  <c r="CH100" i="9"/>
  <c r="BV101" i="9"/>
  <c r="BW101" i="9"/>
  <c r="CG101" i="9"/>
  <c r="CH101" i="9"/>
  <c r="BV102" i="9"/>
  <c r="BW102" i="9"/>
  <c r="CG102" i="9"/>
  <c r="CH102" i="9"/>
  <c r="BP107" i="9"/>
  <c r="BR107" i="9"/>
  <c r="BV107" i="9"/>
  <c r="BW107" i="9"/>
  <c r="BV108" i="9"/>
  <c r="BW108" i="9"/>
  <c r="BV109" i="9"/>
  <c r="BW109" i="9"/>
  <c r="BV110" i="9"/>
  <c r="BW110" i="9"/>
  <c r="BV111" i="9"/>
  <c r="BW111" i="9"/>
  <c r="BV112" i="9"/>
  <c r="BW112" i="9"/>
  <c r="BV113" i="9"/>
  <c r="BW113" i="9"/>
  <c r="BV114" i="9"/>
  <c r="BW114" i="9"/>
  <c r="BV115" i="9"/>
  <c r="BW115" i="9"/>
  <c r="BV116" i="9"/>
  <c r="BW116" i="9"/>
  <c r="BV117" i="9"/>
  <c r="BW117" i="9"/>
  <c r="BV118" i="9"/>
  <c r="BW118" i="9"/>
  <c r="BV119" i="9"/>
  <c r="BW119" i="9"/>
  <c r="BV120" i="9"/>
  <c r="BW120" i="9"/>
  <c r="BV121" i="9"/>
  <c r="BW121" i="9"/>
  <c r="BV122" i="9"/>
  <c r="BW122" i="9"/>
  <c r="BV123" i="9"/>
  <c r="BW123" i="9"/>
  <c r="BV124" i="9"/>
  <c r="BW124" i="9"/>
  <c r="BV125" i="9"/>
  <c r="BW125" i="9"/>
  <c r="BV126" i="9"/>
  <c r="BW126" i="9"/>
  <c r="BV127" i="9"/>
  <c r="BW127" i="9"/>
  <c r="BV128" i="9"/>
  <c r="BW128" i="9"/>
  <c r="BV129" i="9"/>
  <c r="BW129" i="9"/>
  <c r="BV130" i="9"/>
  <c r="BW130" i="9"/>
  <c r="BV131" i="9"/>
  <c r="BW131" i="9"/>
  <c r="BV132" i="9"/>
  <c r="BW132" i="9"/>
  <c r="BV133" i="9"/>
  <c r="BW133" i="9"/>
  <c r="BV134" i="9"/>
  <c r="BW134" i="9"/>
  <c r="BV135" i="9"/>
  <c r="BW135" i="9"/>
  <c r="BV136" i="9"/>
  <c r="BW136" i="9"/>
  <c r="G25" i="9"/>
  <c r="AN44" i="9"/>
  <c r="AM44" i="9"/>
  <c r="AN43" i="9"/>
  <c r="AM43" i="9"/>
  <c r="AN42" i="9"/>
  <c r="AM42" i="9"/>
  <c r="AN41" i="9"/>
  <c r="AM41" i="9"/>
  <c r="AN40" i="9"/>
  <c r="AM40" i="9"/>
  <c r="AN39" i="9"/>
  <c r="AM39" i="9"/>
  <c r="AN38" i="9"/>
  <c r="AM38" i="9"/>
  <c r="AN37" i="9"/>
  <c r="AM37" i="9"/>
  <c r="AN36" i="9"/>
  <c r="AM36" i="9"/>
  <c r="AN35" i="9"/>
  <c r="AM35" i="9"/>
  <c r="AN34" i="9"/>
  <c r="AM34" i="9"/>
  <c r="AN33" i="9"/>
  <c r="AM33" i="9"/>
  <c r="AN32" i="9"/>
  <c r="AM32" i="9"/>
  <c r="AN31" i="9"/>
  <c r="AM31" i="9"/>
  <c r="AN30" i="9"/>
  <c r="AM30" i="9"/>
  <c r="AN29" i="9"/>
  <c r="AM29" i="9"/>
  <c r="AN28" i="9"/>
  <c r="AM28" i="9"/>
  <c r="AN27" i="9"/>
  <c r="AM27" i="9"/>
  <c r="AN26" i="9"/>
  <c r="AM26" i="9"/>
  <c r="AN25" i="9"/>
  <c r="AM25" i="9"/>
  <c r="AN24" i="9"/>
  <c r="AM24" i="9"/>
  <c r="AN23" i="9"/>
  <c r="AM23" i="9"/>
  <c r="AN22" i="9"/>
  <c r="AM22" i="9"/>
  <c r="AN21" i="9"/>
  <c r="AM21" i="9"/>
  <c r="AN20" i="9"/>
  <c r="AM20" i="9"/>
  <c r="AN19" i="9"/>
  <c r="AM19" i="9"/>
  <c r="AN18" i="9"/>
  <c r="AM18" i="9"/>
  <c r="AN17" i="9"/>
  <c r="AM17" i="9"/>
  <c r="AN16" i="9"/>
  <c r="AM16" i="9"/>
  <c r="AN15" i="9"/>
  <c r="AM15" i="9"/>
  <c r="AN14" i="9"/>
  <c r="AM14" i="9"/>
  <c r="AN13" i="9"/>
  <c r="AM13" i="9"/>
  <c r="K31" i="9"/>
  <c r="AN12" i="9"/>
  <c r="AM12" i="9"/>
  <c r="AN11" i="9"/>
  <c r="AM11" i="9"/>
  <c r="AN10" i="9"/>
  <c r="AM10" i="9"/>
  <c r="AN9" i="9"/>
  <c r="AM9" i="9"/>
  <c r="AN8" i="9"/>
  <c r="AM8" i="9"/>
  <c r="AN7" i="9"/>
  <c r="AM7" i="9"/>
  <c r="AN6" i="9"/>
  <c r="AM6" i="9"/>
  <c r="AO5" i="9"/>
  <c r="AN5" i="9"/>
  <c r="AM5" i="9"/>
  <c r="AK5" i="9"/>
  <c r="AD4" i="9"/>
  <c r="Z4" i="9"/>
  <c r="K9" i="9" l="1"/>
  <c r="AZ13" i="9"/>
  <c r="AC25" i="10"/>
  <c r="X26" i="10" s="1"/>
  <c r="AD26" i="10" s="1"/>
  <c r="W26" i="10"/>
  <c r="BL46" i="9"/>
  <c r="BL8" i="9"/>
  <c r="BH65" i="9"/>
  <c r="BL27" i="9"/>
  <c r="AZ4" i="9"/>
  <c r="CA109" i="9"/>
  <c r="AZ31" i="9"/>
  <c r="BH46" i="9"/>
  <c r="BH27" i="9"/>
  <c r="BX107" i="9"/>
  <c r="BD13" i="9"/>
  <c r="CA74" i="9"/>
  <c r="AG6" i="9"/>
  <c r="BD22" i="9"/>
  <c r="BD4" i="9"/>
  <c r="AZ22" i="9"/>
  <c r="AO51" i="9"/>
  <c r="AK51" i="9"/>
  <c r="AI52" i="9" s="1"/>
  <c r="CI5" i="9"/>
  <c r="CE73" i="9"/>
  <c r="CC74" i="9" s="1"/>
  <c r="BP6" i="9"/>
  <c r="BT5" i="9"/>
  <c r="BR6" i="9" s="1"/>
  <c r="BP40" i="9"/>
  <c r="BX5" i="9"/>
  <c r="CI39" i="9"/>
  <c r="BT107" i="9"/>
  <c r="BR108" i="9" s="1"/>
  <c r="CE39" i="9"/>
  <c r="CC40" i="9" s="1"/>
  <c r="BT39" i="9"/>
  <c r="BR40" i="9" s="1"/>
  <c r="BP108" i="9"/>
  <c r="CI73" i="9"/>
  <c r="CA40" i="9"/>
  <c r="BP74" i="9"/>
  <c r="BT73" i="9"/>
  <c r="BR74" i="9" s="1"/>
  <c r="BX73" i="9"/>
  <c r="CE5" i="9"/>
  <c r="CC6" i="9" s="1"/>
  <c r="BX39" i="9"/>
  <c r="CA6" i="9"/>
  <c r="AI6" i="9"/>
  <c r="Z26" i="10" l="1"/>
  <c r="AA26" i="10" s="1"/>
  <c r="AB26" i="10" s="1"/>
  <c r="V27" i="10" s="1"/>
  <c r="W27" i="10" s="1"/>
  <c r="Y26" i="10"/>
  <c r="CE109" i="9"/>
  <c r="CI109" i="9"/>
  <c r="AO6" i="9"/>
  <c r="CI74" i="9"/>
  <c r="AG52" i="9"/>
  <c r="AO52" i="9" s="1"/>
  <c r="BT40" i="9"/>
  <c r="BR41" i="9" s="1"/>
  <c r="BT6" i="9"/>
  <c r="BR7" i="9" s="1"/>
  <c r="BX6" i="9"/>
  <c r="BX108" i="9"/>
  <c r="CE40" i="9"/>
  <c r="CC41" i="9" s="1"/>
  <c r="BT108" i="9"/>
  <c r="BR109" i="9" s="1"/>
  <c r="CI40" i="9"/>
  <c r="CE6" i="9"/>
  <c r="CC7" i="9" s="1"/>
  <c r="BX74" i="9"/>
  <c r="CA7" i="9"/>
  <c r="BX40" i="9"/>
  <c r="CE74" i="9"/>
  <c r="CI6" i="9"/>
  <c r="BT74" i="9"/>
  <c r="BR75" i="9" s="1"/>
  <c r="AK6" i="9"/>
  <c r="AG7" i="9" s="1"/>
  <c r="AC26" i="10" l="1"/>
  <c r="X27" i="10" s="1"/>
  <c r="Y27" i="10" s="1"/>
  <c r="CA110" i="9"/>
  <c r="CC110" i="9"/>
  <c r="AI7" i="9"/>
  <c r="AO7" i="9" s="1"/>
  <c r="AK52" i="9"/>
  <c r="AG53" i="9" s="1"/>
  <c r="BP41" i="9"/>
  <c r="BX41" i="9" s="1"/>
  <c r="BP7" i="9"/>
  <c r="BT7" i="9" s="1"/>
  <c r="BR8" i="9" s="1"/>
  <c r="BP109" i="9"/>
  <c r="BT109" i="9" s="1"/>
  <c r="CA41" i="9"/>
  <c r="CI41" i="9" s="1"/>
  <c r="CC75" i="9"/>
  <c r="CA75" i="9"/>
  <c r="BP75" i="9"/>
  <c r="BT75" i="9" s="1"/>
  <c r="BR76" i="9" s="1"/>
  <c r="CE7" i="9"/>
  <c r="CC8" i="9" s="1"/>
  <c r="CI7" i="9"/>
  <c r="Z27" i="10" l="1"/>
  <c r="AA27" i="10" s="1"/>
  <c r="AB27" i="10" s="1"/>
  <c r="V28" i="10" s="1"/>
  <c r="W28" i="10" s="1"/>
  <c r="AD27" i="10"/>
  <c r="CI110" i="9"/>
  <c r="CE110" i="9"/>
  <c r="AK7" i="9"/>
  <c r="AG8" i="9" s="1"/>
  <c r="AI53" i="9"/>
  <c r="AO53" i="9" s="1"/>
  <c r="CE75" i="9"/>
  <c r="CC76" i="9" s="1"/>
  <c r="BT41" i="9"/>
  <c r="BR42" i="9" s="1"/>
  <c r="BP42" i="9"/>
  <c r="BX109" i="9"/>
  <c r="CA8" i="9"/>
  <c r="CE8" i="9" s="1"/>
  <c r="CC9" i="9" s="1"/>
  <c r="BP8" i="9"/>
  <c r="BX8" i="9" s="1"/>
  <c r="BX7" i="9"/>
  <c r="BR110" i="9"/>
  <c r="BP110" i="9"/>
  <c r="CE41" i="9"/>
  <c r="CC42" i="9" s="1"/>
  <c r="CI75" i="9"/>
  <c r="BP76" i="9"/>
  <c r="BT76" i="9" s="1"/>
  <c r="BR77" i="9" s="1"/>
  <c r="BX75" i="9"/>
  <c r="AC27" i="10" l="1"/>
  <c r="X28" i="10" s="1"/>
  <c r="AD28" i="10" s="1"/>
  <c r="CC111" i="9"/>
  <c r="CA111" i="9"/>
  <c r="AI8" i="9"/>
  <c r="AK8" i="9" s="1"/>
  <c r="AI9" i="9" s="1"/>
  <c r="AK53" i="9"/>
  <c r="AI54" i="9" s="1"/>
  <c r="CA76" i="9"/>
  <c r="CI76" i="9" s="1"/>
  <c r="BX42" i="9"/>
  <c r="BT110" i="9"/>
  <c r="BR111" i="9" s="1"/>
  <c r="CI8" i="9"/>
  <c r="BT8" i="9"/>
  <c r="BT42" i="9"/>
  <c r="BX76" i="9"/>
  <c r="BP111" i="9"/>
  <c r="BX110" i="9"/>
  <c r="CA42" i="9"/>
  <c r="CE42" i="9" s="1"/>
  <c r="BP77" i="9"/>
  <c r="BX77" i="9" s="1"/>
  <c r="CA9" i="9"/>
  <c r="CI9" i="9" s="1"/>
  <c r="Y28" i="10" l="1"/>
  <c r="Z28" i="10"/>
  <c r="AA28" i="10" s="1"/>
  <c r="AB28" i="10" s="1"/>
  <c r="V29" i="10" s="1"/>
  <c r="W29" i="10" s="1"/>
  <c r="CE111" i="9"/>
  <c r="CA112" i="9" s="1"/>
  <c r="CI111" i="9"/>
  <c r="AO8" i="9"/>
  <c r="AG9" i="9"/>
  <c r="AO9" i="9" s="1"/>
  <c r="AG54" i="9"/>
  <c r="AK54" i="9" s="1"/>
  <c r="AG55" i="9" s="1"/>
  <c r="CE76" i="9"/>
  <c r="CC77" i="9" s="1"/>
  <c r="CA77" i="9"/>
  <c r="BT111" i="9"/>
  <c r="BP112" i="9" s="1"/>
  <c r="CA43" i="9"/>
  <c r="CC43" i="9"/>
  <c r="BP9" i="9"/>
  <c r="BR9" i="9"/>
  <c r="BR43" i="9"/>
  <c r="BP43" i="9"/>
  <c r="BX111" i="9"/>
  <c r="CI42" i="9"/>
  <c r="BT77" i="9"/>
  <c r="CE9" i="9"/>
  <c r="CA10" i="9" s="1"/>
  <c r="AC28" i="10" l="1"/>
  <c r="X29" i="10" s="1"/>
  <c r="AD29" i="10" s="1"/>
  <c r="CC112" i="9"/>
  <c r="CE112" i="9" s="1"/>
  <c r="AK9" i="9"/>
  <c r="AI10" i="9" s="1"/>
  <c r="AO54" i="9"/>
  <c r="AI55" i="9"/>
  <c r="AO55" i="9" s="1"/>
  <c r="CI77" i="9"/>
  <c r="CE77" i="9"/>
  <c r="CA78" i="9" s="1"/>
  <c r="BR112" i="9"/>
  <c r="BT112" i="9" s="1"/>
  <c r="CI43" i="9"/>
  <c r="BX9" i="9"/>
  <c r="BT9" i="9"/>
  <c r="BR10" i="9" s="1"/>
  <c r="BP78" i="9"/>
  <c r="BR78" i="9"/>
  <c r="CE43" i="9"/>
  <c r="BX43" i="9"/>
  <c r="BT43" i="9"/>
  <c r="CC10" i="9"/>
  <c r="CI10" i="9" s="1"/>
  <c r="Y29" i="10" l="1"/>
  <c r="Z29" i="10"/>
  <c r="AA29" i="10" s="1"/>
  <c r="AB29" i="10" s="1"/>
  <c r="V30" i="10" s="1"/>
  <c r="W30" i="10" s="1"/>
  <c r="CI112" i="9"/>
  <c r="CC113" i="9"/>
  <c r="CA113" i="9"/>
  <c r="CC78" i="9"/>
  <c r="CI78" i="9" s="1"/>
  <c r="AG10" i="9"/>
  <c r="AK10" i="9" s="1"/>
  <c r="AG11" i="9" s="1"/>
  <c r="AK55" i="9"/>
  <c r="AI56" i="9" s="1"/>
  <c r="BX112" i="9"/>
  <c r="BP10" i="9"/>
  <c r="BX10" i="9" s="1"/>
  <c r="CC44" i="9"/>
  <c r="CA44" i="9"/>
  <c r="BX78" i="9"/>
  <c r="BT78" i="9"/>
  <c r="BR113" i="9"/>
  <c r="BP113" i="9"/>
  <c r="BP44" i="9"/>
  <c r="BR44" i="9"/>
  <c r="CE10" i="9"/>
  <c r="CA11" i="9" s="1"/>
  <c r="AC29" i="10" l="1"/>
  <c r="X30" i="10" s="1"/>
  <c r="Z30" i="10" s="1"/>
  <c r="AA30" i="10" s="1"/>
  <c r="AB30" i="10" s="1"/>
  <c r="V31" i="10" s="1"/>
  <c r="W31" i="10" s="1"/>
  <c r="CE113" i="9"/>
  <c r="CA114" i="9" s="1"/>
  <c r="CE78" i="9"/>
  <c r="CA79" i="9" s="1"/>
  <c r="CI113" i="9"/>
  <c r="AO10" i="9"/>
  <c r="AG56" i="9"/>
  <c r="AK56" i="9" s="1"/>
  <c r="AI57" i="9" s="1"/>
  <c r="BT10" i="9"/>
  <c r="BR11" i="9" s="1"/>
  <c r="CI44" i="9"/>
  <c r="CE44" i="9"/>
  <c r="AI11" i="9"/>
  <c r="AO11" i="9" s="1"/>
  <c r="BT113" i="9"/>
  <c r="BP114" i="9" s="1"/>
  <c r="BR79" i="9"/>
  <c r="BP79" i="9"/>
  <c r="BX113" i="9"/>
  <c r="BT44" i="9"/>
  <c r="BX44" i="9"/>
  <c r="CC11" i="9"/>
  <c r="CI11" i="9" s="1"/>
  <c r="Y30" i="10" l="1"/>
  <c r="AC30" i="10" s="1"/>
  <c r="X31" i="10" s="1"/>
  <c r="AD30" i="10"/>
  <c r="CC114" i="9"/>
  <c r="CI114" i="9" s="1"/>
  <c r="CC79" i="9"/>
  <c r="CI79" i="9" s="1"/>
  <c r="AG57" i="9"/>
  <c r="AO57" i="9" s="1"/>
  <c r="AO56" i="9"/>
  <c r="BP11" i="9"/>
  <c r="BT11" i="9" s="1"/>
  <c r="BR12" i="9" s="1"/>
  <c r="BR114" i="9"/>
  <c r="BX114" i="9" s="1"/>
  <c r="CA45" i="9"/>
  <c r="CC45" i="9"/>
  <c r="AK11" i="9"/>
  <c r="AI12" i="9" s="1"/>
  <c r="BT79" i="9"/>
  <c r="BP80" i="9" s="1"/>
  <c r="BX79" i="9"/>
  <c r="BP45" i="9"/>
  <c r="BR45" i="9"/>
  <c r="CE11" i="9"/>
  <c r="CA12" i="9" s="1"/>
  <c r="Z31" i="10" l="1"/>
  <c r="AA31" i="10" s="1"/>
  <c r="AB31" i="10" s="1"/>
  <c r="V32" i="10" s="1"/>
  <c r="W32" i="10" s="1"/>
  <c r="Y31" i="10"/>
  <c r="AD31" i="10"/>
  <c r="CE114" i="9"/>
  <c r="CC115" i="9" s="1"/>
  <c r="CE79" i="9"/>
  <c r="CC80" i="9" s="1"/>
  <c r="CC12" i="9"/>
  <c r="CE12" i="9" s="1"/>
  <c r="CA13" i="9" s="1"/>
  <c r="AK57" i="9"/>
  <c r="AI58" i="9" s="1"/>
  <c r="BP12" i="9"/>
  <c r="BT12" i="9" s="1"/>
  <c r="BR13" i="9" s="1"/>
  <c r="BX11" i="9"/>
  <c r="AG12" i="9"/>
  <c r="AO12" i="9" s="1"/>
  <c r="BR80" i="9"/>
  <c r="BX80" i="9" s="1"/>
  <c r="BT114" i="9"/>
  <c r="BR115" i="9" s="1"/>
  <c r="CI45" i="9"/>
  <c r="CE45" i="9"/>
  <c r="BX45" i="9"/>
  <c r="BT45" i="9"/>
  <c r="CA115" i="9" l="1"/>
  <c r="CE115" i="9" s="1"/>
  <c r="CC116" i="9" s="1"/>
  <c r="AC31" i="10"/>
  <c r="X32" i="10" s="1"/>
  <c r="Z32" i="10" s="1"/>
  <c r="AA32" i="10" s="1"/>
  <c r="AB32" i="10" s="1"/>
  <c r="V33" i="10" s="1"/>
  <c r="W33" i="10" s="1"/>
  <c r="CA80" i="9"/>
  <c r="CI80" i="9" s="1"/>
  <c r="CI12" i="9"/>
  <c r="AG58" i="9"/>
  <c r="AO58" i="9" s="1"/>
  <c r="BX12" i="9"/>
  <c r="BP13" i="9"/>
  <c r="BX13" i="9" s="1"/>
  <c r="AK12" i="9"/>
  <c r="AI13" i="9" s="1"/>
  <c r="BT80" i="9"/>
  <c r="BP81" i="9" s="1"/>
  <c r="BP115" i="9"/>
  <c r="BX115" i="9" s="1"/>
  <c r="CA46" i="9"/>
  <c r="CC46" i="9"/>
  <c r="CC13" i="9"/>
  <c r="CI13" i="9" s="1"/>
  <c r="BP46" i="9"/>
  <c r="BR46" i="9"/>
  <c r="CI115" i="9" l="1"/>
  <c r="AD32" i="10"/>
  <c r="Y32" i="10"/>
  <c r="AC32" i="10" s="1"/>
  <c r="X33" i="10" s="1"/>
  <c r="AD33" i="10" s="1"/>
  <c r="CA116" i="9"/>
  <c r="CI116" i="9" s="1"/>
  <c r="CE80" i="9"/>
  <c r="CC81" i="9" s="1"/>
  <c r="AK58" i="9"/>
  <c r="AI59" i="9" s="1"/>
  <c r="BT13" i="9"/>
  <c r="BP14" i="9" s="1"/>
  <c r="AG13" i="9"/>
  <c r="AK13" i="9" s="1"/>
  <c r="AG14" i="9" s="1"/>
  <c r="BR81" i="9"/>
  <c r="BX81" i="9" s="1"/>
  <c r="BT115" i="9"/>
  <c r="BR116" i="9" s="1"/>
  <c r="CI46" i="9"/>
  <c r="CE13" i="9"/>
  <c r="CC14" i="9" s="1"/>
  <c r="CE46" i="9"/>
  <c r="BT46" i="9"/>
  <c r="BX46" i="9"/>
  <c r="CA81" i="9" l="1"/>
  <c r="CI81" i="9" s="1"/>
  <c r="Z33" i="10"/>
  <c r="AA33" i="10" s="1"/>
  <c r="AB33" i="10" s="1"/>
  <c r="V34" i="10" s="1"/>
  <c r="W34" i="10" s="1"/>
  <c r="Y33" i="10"/>
  <c r="CE116" i="9"/>
  <c r="CC117" i="9" s="1"/>
  <c r="AG59" i="9"/>
  <c r="AO59" i="9" s="1"/>
  <c r="BR14" i="9"/>
  <c r="BT14" i="9" s="1"/>
  <c r="BP15" i="9" s="1"/>
  <c r="AO13" i="9"/>
  <c r="AI14" i="9"/>
  <c r="AK14" i="9" s="1"/>
  <c r="AI15" i="9" s="1"/>
  <c r="BT81" i="9"/>
  <c r="BP82" i="9" s="1"/>
  <c r="CA14" i="9"/>
  <c r="CI14" i="9" s="1"/>
  <c r="BP116" i="9"/>
  <c r="BT116" i="9" s="1"/>
  <c r="BR117" i="9" s="1"/>
  <c r="CC47" i="9"/>
  <c r="CA47" i="9"/>
  <c r="BP47" i="9"/>
  <c r="BR47" i="9"/>
  <c r="CA117" i="9" l="1"/>
  <c r="CE117" i="9" s="1"/>
  <c r="CA118" i="9" s="1"/>
  <c r="CE81" i="9"/>
  <c r="CA82" i="9" s="1"/>
  <c r="AC33" i="10"/>
  <c r="X34" i="10" s="1"/>
  <c r="Z34" i="10" s="1"/>
  <c r="AK59" i="9"/>
  <c r="AI60" i="9" s="1"/>
  <c r="BX14" i="9"/>
  <c r="BR15" i="9"/>
  <c r="BX15" i="9" s="1"/>
  <c r="AO14" i="9"/>
  <c r="AG15" i="9"/>
  <c r="AO15" i="9" s="1"/>
  <c r="BR82" i="9"/>
  <c r="BX82" i="9" s="1"/>
  <c r="CE14" i="9"/>
  <c r="CC15" i="9" s="1"/>
  <c r="BX116" i="9"/>
  <c r="BP117" i="9"/>
  <c r="BT117" i="9" s="1"/>
  <c r="BP118" i="9" s="1"/>
  <c r="CE47" i="9"/>
  <c r="CC48" i="9" s="1"/>
  <c r="CI47" i="9"/>
  <c r="BT47" i="9"/>
  <c r="BX47" i="9"/>
  <c r="CI117" i="9" l="1"/>
  <c r="CC82" i="9"/>
  <c r="CE82" i="9" s="1"/>
  <c r="CC83" i="9" s="1"/>
  <c r="Y34" i="10"/>
  <c r="AD34" i="10"/>
  <c r="O26" i="10"/>
  <c r="AA34" i="10"/>
  <c r="AB34" i="10" s="1"/>
  <c r="CC118" i="9"/>
  <c r="CE118" i="9" s="1"/>
  <c r="CC119" i="9" s="1"/>
  <c r="AG60" i="9"/>
  <c r="AK60" i="9" s="1"/>
  <c r="AG61" i="9" s="1"/>
  <c r="BT15" i="9"/>
  <c r="BR16" i="9" s="1"/>
  <c r="AK15" i="9"/>
  <c r="AI16" i="9" s="1"/>
  <c r="CA15" i="9"/>
  <c r="CI15" i="9" s="1"/>
  <c r="BT82" i="9"/>
  <c r="BR83" i="9" s="1"/>
  <c r="CA48" i="9"/>
  <c r="CI48" i="9" s="1"/>
  <c r="BR118" i="9"/>
  <c r="BT118" i="9" s="1"/>
  <c r="BX117" i="9"/>
  <c r="BP48" i="9"/>
  <c r="BR48" i="9"/>
  <c r="CI82" i="9" l="1"/>
  <c r="O27" i="10"/>
  <c r="G19" i="10" s="1"/>
  <c r="G20" i="10" s="1"/>
  <c r="K6" i="10" s="1"/>
  <c r="AC34" i="10"/>
  <c r="CI118" i="9"/>
  <c r="CA119" i="9"/>
  <c r="CE119" i="9" s="1"/>
  <c r="AO60" i="9"/>
  <c r="CA83" i="9"/>
  <c r="CE83" i="9" s="1"/>
  <c r="CA84" i="9" s="1"/>
  <c r="BP83" i="9"/>
  <c r="BX83" i="9" s="1"/>
  <c r="BP16" i="9"/>
  <c r="BX16" i="9" s="1"/>
  <c r="AG16" i="9"/>
  <c r="AO16" i="9" s="1"/>
  <c r="CE15" i="9"/>
  <c r="CC16" i="9" s="1"/>
  <c r="CE48" i="9"/>
  <c r="CC49" i="9" s="1"/>
  <c r="BX118" i="9"/>
  <c r="AI61" i="9"/>
  <c r="AO61" i="9" s="1"/>
  <c r="BR119" i="9"/>
  <c r="BP119" i="9"/>
  <c r="BX48" i="9"/>
  <c r="BT48" i="9"/>
  <c r="K10" i="10" l="1"/>
  <c r="K15" i="10" s="1"/>
  <c r="K18" i="10"/>
  <c r="CI119" i="9"/>
  <c r="CA120" i="9"/>
  <c r="CC120" i="9"/>
  <c r="CI83" i="9"/>
  <c r="CC84" i="9"/>
  <c r="CI84" i="9" s="1"/>
  <c r="BT83" i="9"/>
  <c r="BR84" i="9" s="1"/>
  <c r="CA16" i="9"/>
  <c r="CE16" i="9" s="1"/>
  <c r="CA17" i="9" s="1"/>
  <c r="BT16" i="9"/>
  <c r="BR17" i="9" s="1"/>
  <c r="AK16" i="9"/>
  <c r="AG17" i="9" s="1"/>
  <c r="CA49" i="9"/>
  <c r="CE49" i="9" s="1"/>
  <c r="AK61" i="9"/>
  <c r="AG62" i="9" s="1"/>
  <c r="BT119" i="9"/>
  <c r="BP120" i="9" s="1"/>
  <c r="BX119" i="9"/>
  <c r="BR49" i="9"/>
  <c r="BP49" i="9"/>
  <c r="K19" i="10" l="1"/>
  <c r="K7" i="10"/>
  <c r="K35" i="10"/>
  <c r="K43" i="10"/>
  <c r="CI120" i="9"/>
  <c r="CE120" i="9"/>
  <c r="AI17" i="9"/>
  <c r="AO17" i="9" s="1"/>
  <c r="BP17" i="9"/>
  <c r="BX17" i="9" s="1"/>
  <c r="BP84" i="9"/>
  <c r="BT84" i="9" s="1"/>
  <c r="CE84" i="9"/>
  <c r="CC85" i="9" s="1"/>
  <c r="CI16" i="9"/>
  <c r="AI62" i="9"/>
  <c r="AO62" i="9" s="1"/>
  <c r="CI49" i="9"/>
  <c r="CC17" i="9"/>
  <c r="CE17" i="9" s="1"/>
  <c r="CA18" i="9" s="1"/>
  <c r="BR120" i="9"/>
  <c r="BX120" i="9" s="1"/>
  <c r="CA50" i="9"/>
  <c r="CC50" i="9"/>
  <c r="BT49" i="9"/>
  <c r="BP50" i="9" s="1"/>
  <c r="BX49" i="9"/>
  <c r="K44" i="10" l="1"/>
  <c r="K47" i="10" s="1"/>
  <c r="K36" i="10"/>
  <c r="K39" i="10" s="1"/>
  <c r="K30" i="10"/>
  <c r="K31" i="10" s="1"/>
  <c r="CA121" i="9"/>
  <c r="CC121" i="9"/>
  <c r="CA85" i="9"/>
  <c r="CE85" i="9" s="1"/>
  <c r="CA86" i="9" s="1"/>
  <c r="AK17" i="9"/>
  <c r="AG18" i="9" s="1"/>
  <c r="BT17" i="9"/>
  <c r="BR18" i="9" s="1"/>
  <c r="BX84" i="9"/>
  <c r="AK62" i="9"/>
  <c r="AG63" i="9" s="1"/>
  <c r="CI17" i="9"/>
  <c r="BT120" i="9"/>
  <c r="BR121" i="9" s="1"/>
  <c r="CI50" i="9"/>
  <c r="CE50" i="9"/>
  <c r="CC18" i="9"/>
  <c r="CI18" i="9" s="1"/>
  <c r="BR50" i="9"/>
  <c r="BT50" i="9" s="1"/>
  <c r="BR85" i="9"/>
  <c r="BP85" i="9"/>
  <c r="AJ4" i="10" l="1"/>
  <c r="AH4" i="10"/>
  <c r="AL4" i="10"/>
  <c r="CE121" i="9"/>
  <c r="CI121" i="9"/>
  <c r="BP18" i="9"/>
  <c r="BT18" i="9" s="1"/>
  <c r="BP19" i="9" s="1"/>
  <c r="CI85" i="9"/>
  <c r="AI18" i="9"/>
  <c r="AK18" i="9" s="1"/>
  <c r="AI63" i="9"/>
  <c r="AO63" i="9" s="1"/>
  <c r="CC86" i="9"/>
  <c r="CI86" i="9" s="1"/>
  <c r="BP121" i="9"/>
  <c r="BT121" i="9" s="1"/>
  <c r="BX50" i="9"/>
  <c r="CC51" i="9"/>
  <c r="CA51" i="9"/>
  <c r="CE18" i="9"/>
  <c r="CC19" i="9" s="1"/>
  <c r="BT85" i="9"/>
  <c r="BR86" i="9" s="1"/>
  <c r="BX85" i="9"/>
  <c r="BP51" i="9"/>
  <c r="BR51" i="9"/>
  <c r="CA122" i="9" l="1"/>
  <c r="CC122" i="9"/>
  <c r="BR19" i="9"/>
  <c r="BX19" i="9" s="1"/>
  <c r="BX18" i="9"/>
  <c r="AO18" i="9"/>
  <c r="AG19" i="9"/>
  <c r="AI19" i="9"/>
  <c r="BP86" i="9"/>
  <c r="BT86" i="9" s="1"/>
  <c r="AK63" i="9"/>
  <c r="AI64" i="9" s="1"/>
  <c r="CE86" i="9"/>
  <c r="CC87" i="9" s="1"/>
  <c r="BX121" i="9"/>
  <c r="CA19" i="9"/>
  <c r="CE19" i="9" s="1"/>
  <c r="CC20" i="9" s="1"/>
  <c r="CE51" i="9"/>
  <c r="CI51" i="9"/>
  <c r="BR122" i="9"/>
  <c r="BP122" i="9"/>
  <c r="BX51" i="9"/>
  <c r="BT51" i="9"/>
  <c r="CE122" i="9" l="1"/>
  <c r="CI122" i="9"/>
  <c r="BT19" i="9"/>
  <c r="BP20" i="9" s="1"/>
  <c r="AG64" i="9"/>
  <c r="AK64" i="9" s="1"/>
  <c r="AG65" i="9" s="1"/>
  <c r="AK19" i="9"/>
  <c r="AI20" i="9" s="1"/>
  <c r="AO19" i="9"/>
  <c r="BX86" i="9"/>
  <c r="CA87" i="9"/>
  <c r="CI87" i="9" s="1"/>
  <c r="CI19" i="9"/>
  <c r="CC52" i="9"/>
  <c r="CA52" i="9"/>
  <c r="BX122" i="9"/>
  <c r="BT122" i="9"/>
  <c r="BP87" i="9"/>
  <c r="BR87" i="9"/>
  <c r="BR52" i="9"/>
  <c r="BP52" i="9"/>
  <c r="CA20" i="9"/>
  <c r="CI20" i="9" s="1"/>
  <c r="BR20" i="9" l="1"/>
  <c r="BX20" i="9" s="1"/>
  <c r="CC123" i="9"/>
  <c r="CA123" i="9"/>
  <c r="AO64" i="9"/>
  <c r="AG20" i="9"/>
  <c r="AO20" i="9" s="1"/>
  <c r="CE87" i="9"/>
  <c r="AI65" i="9"/>
  <c r="AK65" i="9" s="1"/>
  <c r="CE52" i="9"/>
  <c r="CC53" i="9" s="1"/>
  <c r="CI52" i="9"/>
  <c r="BR123" i="9"/>
  <c r="BP123" i="9"/>
  <c r="BT52" i="9"/>
  <c r="BR53" i="9" s="1"/>
  <c r="BT87" i="9"/>
  <c r="BX87" i="9"/>
  <c r="BX52" i="9"/>
  <c r="CE20" i="9"/>
  <c r="CA21" i="9" s="1"/>
  <c r="BT20" i="9" l="1"/>
  <c r="BP21" i="9" s="1"/>
  <c r="CE123" i="9"/>
  <c r="CA124" i="9" s="1"/>
  <c r="CI123" i="9"/>
  <c r="AK20" i="9"/>
  <c r="AI21" i="9" s="1"/>
  <c r="CA53" i="9"/>
  <c r="CI53" i="9" s="1"/>
  <c r="CA88" i="9"/>
  <c r="CC88" i="9"/>
  <c r="AO65" i="9"/>
  <c r="AG66" i="9"/>
  <c r="AI66" i="9"/>
  <c r="BP53" i="9"/>
  <c r="BT53" i="9" s="1"/>
  <c r="BR54" i="9" s="1"/>
  <c r="BX123" i="9"/>
  <c r="BT123" i="9"/>
  <c r="BP88" i="9"/>
  <c r="BR88" i="9"/>
  <c r="CC21" i="9"/>
  <c r="CI21" i="9" s="1"/>
  <c r="BR21" i="9" l="1"/>
  <c r="BT21" i="9" s="1"/>
  <c r="BR22" i="9" s="1"/>
  <c r="CC124" i="9"/>
  <c r="CE124" i="9" s="1"/>
  <c r="AG21" i="9"/>
  <c r="AO21" i="9" s="1"/>
  <c r="CE53" i="9"/>
  <c r="CA54" i="9" s="1"/>
  <c r="CI88" i="9"/>
  <c r="CE88" i="9"/>
  <c r="AO66" i="9"/>
  <c r="AK66" i="9"/>
  <c r="BX88" i="9"/>
  <c r="BP54" i="9"/>
  <c r="BX54" i="9" s="1"/>
  <c r="BX53" i="9"/>
  <c r="BP124" i="9"/>
  <c r="BR124" i="9"/>
  <c r="BT88" i="9"/>
  <c r="CE21" i="9"/>
  <c r="CA22" i="9" s="1"/>
  <c r="BX21" i="9" l="1"/>
  <c r="CI124" i="9"/>
  <c r="CA125" i="9"/>
  <c r="CC125" i="9"/>
  <c r="AK21" i="9"/>
  <c r="AI22" i="9" s="1"/>
  <c r="CC54" i="9"/>
  <c r="CE54" i="9" s="1"/>
  <c r="CA55" i="9" s="1"/>
  <c r="CA89" i="9"/>
  <c r="CC89" i="9"/>
  <c r="BP22" i="9"/>
  <c r="BT22" i="9" s="1"/>
  <c r="AI67" i="9"/>
  <c r="AG67" i="9"/>
  <c r="BT54" i="9"/>
  <c r="BR55" i="9" s="1"/>
  <c r="CC22" i="9"/>
  <c r="CE22" i="9" s="1"/>
  <c r="CA23" i="9" s="1"/>
  <c r="BX124" i="9"/>
  <c r="BT124" i="9"/>
  <c r="BP89" i="9"/>
  <c r="BR89" i="9"/>
  <c r="CE125" i="9" l="1"/>
  <c r="CI125" i="9"/>
  <c r="AG22" i="9"/>
  <c r="AO22" i="9" s="1"/>
  <c r="CI54" i="9"/>
  <c r="CI89" i="9"/>
  <c r="CE89" i="9"/>
  <c r="BX22" i="9"/>
  <c r="CC55" i="9"/>
  <c r="CI55" i="9" s="1"/>
  <c r="BP23" i="9"/>
  <c r="BR23" i="9"/>
  <c r="AK67" i="9"/>
  <c r="AI68" i="9" s="1"/>
  <c r="AO67" i="9"/>
  <c r="BP55" i="9"/>
  <c r="BX55" i="9" s="1"/>
  <c r="CI22" i="9"/>
  <c r="CC23" i="9"/>
  <c r="CE23" i="9" s="1"/>
  <c r="CA24" i="9" s="1"/>
  <c r="BR125" i="9"/>
  <c r="BP125" i="9"/>
  <c r="BX89" i="9"/>
  <c r="BT89" i="9"/>
  <c r="CC126" i="9" l="1"/>
  <c r="CA126" i="9"/>
  <c r="AK22" i="9"/>
  <c r="AG23" i="9" s="1"/>
  <c r="CA90" i="9"/>
  <c r="CC90" i="9"/>
  <c r="AG68" i="9"/>
  <c r="AK68" i="9" s="1"/>
  <c r="AI69" i="9" s="1"/>
  <c r="CE55" i="9"/>
  <c r="CA56" i="9" s="1"/>
  <c r="BX23" i="9"/>
  <c r="BT23" i="9"/>
  <c r="BP24" i="9" s="1"/>
  <c r="BT55" i="9"/>
  <c r="BP56" i="9" s="1"/>
  <c r="BT125" i="9"/>
  <c r="BR126" i="9" s="1"/>
  <c r="CI23" i="9"/>
  <c r="BX125" i="9"/>
  <c r="CC24" i="9"/>
  <c r="CI24" i="9" s="1"/>
  <c r="BP90" i="9"/>
  <c r="BR90" i="9"/>
  <c r="CI126" i="9" l="1"/>
  <c r="CE126" i="9"/>
  <c r="AI23" i="9"/>
  <c r="AO23" i="9" s="1"/>
  <c r="CI90" i="9"/>
  <c r="CE90" i="9"/>
  <c r="AO68" i="9"/>
  <c r="CC56" i="9"/>
  <c r="CE56" i="9" s="1"/>
  <c r="CC57" i="9" s="1"/>
  <c r="AG69" i="9"/>
  <c r="AK69" i="9" s="1"/>
  <c r="AG70" i="9" s="1"/>
  <c r="BR24" i="9"/>
  <c r="BX24" i="9" s="1"/>
  <c r="BR56" i="9"/>
  <c r="BX56" i="9" s="1"/>
  <c r="BP126" i="9"/>
  <c r="BX126" i="9" s="1"/>
  <c r="CE24" i="9"/>
  <c r="CA25" i="9" s="1"/>
  <c r="BT90" i="9"/>
  <c r="BX90" i="9"/>
  <c r="CA127" i="9" l="1"/>
  <c r="CC127" i="9"/>
  <c r="AK23" i="9"/>
  <c r="AI24" i="9" s="1"/>
  <c r="CC91" i="9"/>
  <c r="CA91" i="9"/>
  <c r="CI56" i="9"/>
  <c r="AO69" i="9"/>
  <c r="CA57" i="9"/>
  <c r="CE57" i="9" s="1"/>
  <c r="CA58" i="9" s="1"/>
  <c r="AI70" i="9"/>
  <c r="AK70" i="9" s="1"/>
  <c r="BT24" i="9"/>
  <c r="BR25" i="9" s="1"/>
  <c r="BT56" i="9"/>
  <c r="BP57" i="9" s="1"/>
  <c r="BT126" i="9"/>
  <c r="BR127" i="9" s="1"/>
  <c r="CC25" i="9"/>
  <c r="CI25" i="9" s="1"/>
  <c r="BP91" i="9"/>
  <c r="BR91" i="9"/>
  <c r="CI127" i="9" l="1"/>
  <c r="CE127" i="9"/>
  <c r="AG24" i="9"/>
  <c r="AK24" i="9" s="1"/>
  <c r="CE91" i="9"/>
  <c r="CA92" i="9" s="1"/>
  <c r="CI91" i="9"/>
  <c r="CI57" i="9"/>
  <c r="BP25" i="9"/>
  <c r="BX25" i="9" s="1"/>
  <c r="AO70" i="9"/>
  <c r="CC58" i="9"/>
  <c r="CI58" i="9" s="1"/>
  <c r="BR57" i="9"/>
  <c r="BT57" i="9" s="1"/>
  <c r="BP58" i="9" s="1"/>
  <c r="BP127" i="9"/>
  <c r="BX127" i="9" s="1"/>
  <c r="AI71" i="9"/>
  <c r="AG71" i="9"/>
  <c r="CE25" i="9"/>
  <c r="CA26" i="9" s="1"/>
  <c r="BX91" i="9"/>
  <c r="BT91" i="9"/>
  <c r="CC128" i="9" l="1"/>
  <c r="CA128" i="9"/>
  <c r="AO24" i="9"/>
  <c r="CC92" i="9"/>
  <c r="CI92" i="9" s="1"/>
  <c r="CE58" i="9"/>
  <c r="CC59" i="9" s="1"/>
  <c r="BT25" i="9"/>
  <c r="BP26" i="9" s="1"/>
  <c r="AG25" i="9"/>
  <c r="AI25" i="9"/>
  <c r="BX57" i="9"/>
  <c r="BR58" i="9"/>
  <c r="BT58" i="9" s="1"/>
  <c r="BR59" i="9" s="1"/>
  <c r="BT127" i="9"/>
  <c r="BP128" i="9" s="1"/>
  <c r="AK71" i="9"/>
  <c r="AO71" i="9"/>
  <c r="CC26" i="9"/>
  <c r="CI26" i="9" s="1"/>
  <c r="BP92" i="9"/>
  <c r="BR92" i="9"/>
  <c r="CI128" i="9" l="1"/>
  <c r="CE128" i="9"/>
  <c r="CE92" i="9"/>
  <c r="CA59" i="9"/>
  <c r="CE59" i="9" s="1"/>
  <c r="CA60" i="9" s="1"/>
  <c r="BR26" i="9"/>
  <c r="BX26" i="9" s="1"/>
  <c r="AK25" i="9"/>
  <c r="AO25" i="9"/>
  <c r="BP59" i="9"/>
  <c r="BX59" i="9" s="1"/>
  <c r="BX58" i="9"/>
  <c r="BR128" i="9"/>
  <c r="BT128" i="9" s="1"/>
  <c r="AI72" i="9"/>
  <c r="AG72" i="9"/>
  <c r="CE26" i="9"/>
  <c r="BX92" i="9"/>
  <c r="BT92" i="9"/>
  <c r="CA129" i="9" l="1"/>
  <c r="CC129" i="9"/>
  <c r="CA93" i="9"/>
  <c r="CC93" i="9"/>
  <c r="CI59" i="9"/>
  <c r="CC60" i="9"/>
  <c r="CI60" i="9" s="1"/>
  <c r="BT26" i="9"/>
  <c r="BT59" i="9"/>
  <c r="BP60" i="9" s="1"/>
  <c r="AI26" i="9"/>
  <c r="AG26" i="9"/>
  <c r="BX128" i="9"/>
  <c r="AK72" i="9"/>
  <c r="AI73" i="9" s="1"/>
  <c r="AO72" i="9"/>
  <c r="CA27" i="9"/>
  <c r="CC27" i="9"/>
  <c r="BR129" i="9"/>
  <c r="BP129" i="9"/>
  <c r="BR93" i="9"/>
  <c r="BP93" i="9"/>
  <c r="CE129" i="9" l="1"/>
  <c r="CI129" i="9"/>
  <c r="BR60" i="9"/>
  <c r="BX60" i="9" s="1"/>
  <c r="CI93" i="9"/>
  <c r="CE93" i="9"/>
  <c r="CE60" i="9"/>
  <c r="CC61" i="9" s="1"/>
  <c r="AG73" i="9"/>
  <c r="AK73" i="9" s="1"/>
  <c r="AI74" i="9" s="1"/>
  <c r="BR27" i="9"/>
  <c r="BP27" i="9"/>
  <c r="AK26" i="9"/>
  <c r="AG27" i="9" s="1"/>
  <c r="AO26" i="9"/>
  <c r="BT129" i="9"/>
  <c r="BP130" i="9" s="1"/>
  <c r="CI27" i="9"/>
  <c r="CE27" i="9"/>
  <c r="BX129" i="9"/>
  <c r="BT93" i="9"/>
  <c r="BR94" i="9" s="1"/>
  <c r="BX93" i="9"/>
  <c r="CA130" i="9" l="1"/>
  <c r="CC130" i="9"/>
  <c r="BT60" i="9"/>
  <c r="BR61" i="9" s="1"/>
  <c r="AI27" i="9"/>
  <c r="AK27" i="9" s="1"/>
  <c r="AG28" i="9" s="1"/>
  <c r="CA94" i="9"/>
  <c r="CC94" i="9"/>
  <c r="CA61" i="9"/>
  <c r="CI61" i="9" s="1"/>
  <c r="AO73" i="9"/>
  <c r="BT27" i="9"/>
  <c r="BR28" i="9" s="1"/>
  <c r="BX27" i="9"/>
  <c r="AG74" i="9"/>
  <c r="AO74" i="9" s="1"/>
  <c r="BR130" i="9"/>
  <c r="BX130" i="9" s="1"/>
  <c r="CC28" i="9"/>
  <c r="CA28" i="9"/>
  <c r="BP94" i="9"/>
  <c r="BT94" i="9" s="1"/>
  <c r="CI130" i="9" l="1"/>
  <c r="CE130" i="9"/>
  <c r="BP61" i="9"/>
  <c r="BX61" i="9" s="1"/>
  <c r="AO27" i="9"/>
  <c r="CI94" i="9"/>
  <c r="CE94" i="9"/>
  <c r="AI28" i="9"/>
  <c r="AO28" i="9" s="1"/>
  <c r="CE61" i="9"/>
  <c r="CC62" i="9" s="1"/>
  <c r="BP28" i="9"/>
  <c r="BX28" i="9" s="1"/>
  <c r="AK74" i="9"/>
  <c r="AG75" i="9" s="1"/>
  <c r="BT130" i="9"/>
  <c r="BR131" i="9" s="1"/>
  <c r="CE28" i="9"/>
  <c r="CI28" i="9"/>
  <c r="BX94" i="9"/>
  <c r="BR95" i="9"/>
  <c r="BP95" i="9"/>
  <c r="CA131" i="9" l="1"/>
  <c r="CC131" i="9"/>
  <c r="BT61" i="9"/>
  <c r="BP62" i="9" s="1"/>
  <c r="CC95" i="9"/>
  <c r="CA95" i="9"/>
  <c r="CA62" i="9"/>
  <c r="CI62" i="9" s="1"/>
  <c r="AK28" i="9"/>
  <c r="AG29" i="9" s="1"/>
  <c r="BT28" i="9"/>
  <c r="BR29" i="9" s="1"/>
  <c r="AI75" i="9"/>
  <c r="AO75" i="9" s="1"/>
  <c r="BP131" i="9"/>
  <c r="BT131" i="9" s="1"/>
  <c r="CA29" i="9"/>
  <c r="CC29" i="9"/>
  <c r="BX95" i="9"/>
  <c r="BT95" i="9"/>
  <c r="BP96" i="9" s="1"/>
  <c r="CI131" i="9" l="1"/>
  <c r="CE131" i="9"/>
  <c r="BR62" i="9"/>
  <c r="BT62" i="9" s="1"/>
  <c r="BP63" i="9" s="1"/>
  <c r="AI29" i="9"/>
  <c r="AO29" i="9" s="1"/>
  <c r="CE62" i="9"/>
  <c r="CA63" i="9" s="1"/>
  <c r="CE95" i="9"/>
  <c r="CI95" i="9"/>
  <c r="BP29" i="9"/>
  <c r="BX29" i="9" s="1"/>
  <c r="AK75" i="9"/>
  <c r="BX131" i="9"/>
  <c r="BR96" i="9"/>
  <c r="BX96" i="9" s="1"/>
  <c r="CI29" i="9"/>
  <c r="CE29" i="9"/>
  <c r="BP132" i="9"/>
  <c r="BR132" i="9"/>
  <c r="CC132" i="9" l="1"/>
  <c r="CA132" i="9"/>
  <c r="BX62" i="9"/>
  <c r="AK29" i="9"/>
  <c r="AI30" i="9" s="1"/>
  <c r="CC63" i="9"/>
  <c r="CI63" i="9" s="1"/>
  <c r="CC96" i="9"/>
  <c r="CA96" i="9"/>
  <c r="BT29" i="9"/>
  <c r="BR30" i="9" s="1"/>
  <c r="AG76" i="9"/>
  <c r="AI76" i="9"/>
  <c r="BT96" i="9"/>
  <c r="BR97" i="9" s="1"/>
  <c r="BR63" i="9"/>
  <c r="BX63" i="9" s="1"/>
  <c r="CC30" i="9"/>
  <c r="CA30" i="9"/>
  <c r="BX132" i="9"/>
  <c r="BT132" i="9"/>
  <c r="CE132" i="9" l="1"/>
  <c r="CC133" i="9" s="1"/>
  <c r="CI132" i="9"/>
  <c r="AG30" i="9"/>
  <c r="AK30" i="9" s="1"/>
  <c r="AI31" i="9" s="1"/>
  <c r="CE63" i="9"/>
  <c r="CA64" i="9" s="1"/>
  <c r="CE96" i="9"/>
  <c r="CC97" i="9" s="1"/>
  <c r="CI96" i="9"/>
  <c r="BP30" i="9"/>
  <c r="BX30" i="9" s="1"/>
  <c r="AO76" i="9"/>
  <c r="BP97" i="9"/>
  <c r="BX97" i="9" s="1"/>
  <c r="AK76" i="9"/>
  <c r="BT63" i="9"/>
  <c r="BP64" i="9" s="1"/>
  <c r="CE30" i="9"/>
  <c r="CC31" i="9" s="1"/>
  <c r="CI30" i="9"/>
  <c r="BP133" i="9"/>
  <c r="BR133" i="9"/>
  <c r="CA133" i="9" l="1"/>
  <c r="CE133" i="9" s="1"/>
  <c r="CC134" i="9" s="1"/>
  <c r="AO30" i="9"/>
  <c r="CC64" i="9"/>
  <c r="CI64" i="9" s="1"/>
  <c r="CA97" i="9"/>
  <c r="CI97" i="9" s="1"/>
  <c r="BT30" i="9"/>
  <c r="BR31" i="9" s="1"/>
  <c r="BT97" i="9"/>
  <c r="BR98" i="9" s="1"/>
  <c r="AI77" i="9"/>
  <c r="AG77" i="9"/>
  <c r="AG31" i="9"/>
  <c r="AO31" i="9" s="1"/>
  <c r="BR64" i="9"/>
  <c r="BT64" i="9" s="1"/>
  <c r="BP65" i="9" s="1"/>
  <c r="CA31" i="9"/>
  <c r="CI31" i="9" s="1"/>
  <c r="BX133" i="9"/>
  <c r="BT133" i="9"/>
  <c r="CI133" i="9" l="1"/>
  <c r="CA134" i="9"/>
  <c r="CI134" i="9" s="1"/>
  <c r="CE64" i="9"/>
  <c r="CC65" i="9" s="1"/>
  <c r="CE97" i="9"/>
  <c r="CC98" i="9" s="1"/>
  <c r="BP31" i="9"/>
  <c r="BT31" i="9" s="1"/>
  <c r="BR32" i="9" s="1"/>
  <c r="BP98" i="9"/>
  <c r="BT98" i="9" s="1"/>
  <c r="BP99" i="9" s="1"/>
  <c r="AK77" i="9"/>
  <c r="AG78" i="9" s="1"/>
  <c r="AO77" i="9"/>
  <c r="BX64" i="9"/>
  <c r="AK31" i="9"/>
  <c r="AI32" i="9" s="1"/>
  <c r="CE31" i="9"/>
  <c r="CC32" i="9" s="1"/>
  <c r="BR65" i="9"/>
  <c r="BX65" i="9" s="1"/>
  <c r="BP134" i="9"/>
  <c r="BR134" i="9"/>
  <c r="CE134" i="9" l="1"/>
  <c r="CA135" i="9" s="1"/>
  <c r="CA65" i="9"/>
  <c r="CI65" i="9" s="1"/>
  <c r="CA98" i="9"/>
  <c r="CE98" i="9" s="1"/>
  <c r="CC99" i="9" s="1"/>
  <c r="AI78" i="9"/>
  <c r="AO78" i="9" s="1"/>
  <c r="BX98" i="9"/>
  <c r="BX31" i="9"/>
  <c r="BP32" i="9"/>
  <c r="BX32" i="9" s="1"/>
  <c r="AG32" i="9"/>
  <c r="AK32" i="9" s="1"/>
  <c r="CA32" i="9"/>
  <c r="CE32" i="9" s="1"/>
  <c r="BR99" i="9"/>
  <c r="BT99" i="9" s="1"/>
  <c r="BP100" i="9" s="1"/>
  <c r="BT65" i="9"/>
  <c r="BR66" i="9" s="1"/>
  <c r="BX134" i="9"/>
  <c r="BT134" i="9"/>
  <c r="CC135" i="9" l="1"/>
  <c r="CI135" i="9" s="1"/>
  <c r="CE65" i="9"/>
  <c r="CC66" i="9" s="1"/>
  <c r="CA99" i="9"/>
  <c r="CI99" i="9" s="1"/>
  <c r="CI98" i="9"/>
  <c r="AK78" i="9"/>
  <c r="AG79" i="9" s="1"/>
  <c r="AO32" i="9"/>
  <c r="BT32" i="9"/>
  <c r="BR33" i="9" s="1"/>
  <c r="CI32" i="9"/>
  <c r="BX99" i="9"/>
  <c r="AG33" i="9"/>
  <c r="AI33" i="9"/>
  <c r="BR100" i="9"/>
  <c r="BX100" i="9" s="1"/>
  <c r="BP66" i="9"/>
  <c r="BT66" i="9" s="1"/>
  <c r="BP67" i="9" s="1"/>
  <c r="CA33" i="9"/>
  <c r="CC33" i="9"/>
  <c r="BP135" i="9"/>
  <c r="BR135" i="9"/>
  <c r="CE135" i="9" l="1"/>
  <c r="CC136" i="9" s="1"/>
  <c r="CA66" i="9"/>
  <c r="CE66" i="9" s="1"/>
  <c r="CE99" i="9"/>
  <c r="CA100" i="9" s="1"/>
  <c r="AI79" i="9"/>
  <c r="AO79" i="9" s="1"/>
  <c r="BP33" i="9"/>
  <c r="BT33" i="9" s="1"/>
  <c r="BR34" i="9" s="1"/>
  <c r="AO33" i="9"/>
  <c r="AK33" i="9"/>
  <c r="BT100" i="9"/>
  <c r="BR101" i="9" s="1"/>
  <c r="BR67" i="9"/>
  <c r="BX67" i="9" s="1"/>
  <c r="BX66" i="9"/>
  <c r="CI33" i="9"/>
  <c r="CE33" i="9"/>
  <c r="BX135" i="9"/>
  <c r="BT135" i="9"/>
  <c r="CA136" i="9" l="1"/>
  <c r="CE136" i="9" s="1"/>
  <c r="BL61" i="9" s="1"/>
  <c r="CI66" i="9"/>
  <c r="CA67" i="9"/>
  <c r="CC67" i="9"/>
  <c r="BP101" i="9"/>
  <c r="BX101" i="9" s="1"/>
  <c r="CC100" i="9"/>
  <c r="CI100" i="9" s="1"/>
  <c r="AK79" i="9"/>
  <c r="BP34" i="9"/>
  <c r="BT34" i="9" s="1"/>
  <c r="BH4" i="9" s="1"/>
  <c r="BX33" i="9"/>
  <c r="AI34" i="9"/>
  <c r="AG34" i="9"/>
  <c r="BT67" i="9"/>
  <c r="BR68" i="9" s="1"/>
  <c r="CC34" i="9"/>
  <c r="CA34" i="9"/>
  <c r="BP136" i="9"/>
  <c r="BR136" i="9"/>
  <c r="BL63" i="9" l="1"/>
  <c r="BL64" i="9" s="1"/>
  <c r="G7" i="9"/>
  <c r="CI136" i="9"/>
  <c r="BL66" i="9"/>
  <c r="BL67" i="9"/>
  <c r="CI67" i="9"/>
  <c r="CE67" i="9"/>
  <c r="CA68" i="9" s="1"/>
  <c r="BT101" i="9"/>
  <c r="BP102" i="9" s="1"/>
  <c r="CE100" i="9"/>
  <c r="CA101" i="9" s="1"/>
  <c r="BX34" i="9"/>
  <c r="BH10" i="9"/>
  <c r="BH9" i="9"/>
  <c r="BH6" i="9"/>
  <c r="BH7" i="9" s="1"/>
  <c r="BP68" i="9"/>
  <c r="BT68" i="9" s="1"/>
  <c r="BH23" i="9" s="1"/>
  <c r="BH29" i="9" s="1"/>
  <c r="AK34" i="9"/>
  <c r="AG35" i="9" s="1"/>
  <c r="AO34" i="9"/>
  <c r="CI34" i="9"/>
  <c r="CE34" i="9"/>
  <c r="BL4" i="9" s="1"/>
  <c r="BX136" i="9"/>
  <c r="BT136" i="9"/>
  <c r="BH61" i="9" s="1"/>
  <c r="G8" i="9" l="1"/>
  <c r="BH12" i="9"/>
  <c r="BH13" i="9"/>
  <c r="BL69" i="9"/>
  <c r="BL70" i="9"/>
  <c r="BL68" i="9"/>
  <c r="CC68" i="9"/>
  <c r="CI68" i="9" s="1"/>
  <c r="BR102" i="9"/>
  <c r="BT102" i="9" s="1"/>
  <c r="BH42" i="9" s="1"/>
  <c r="BH48" i="9" s="1"/>
  <c r="CC101" i="9"/>
  <c r="CI101" i="9" s="1"/>
  <c r="BH11" i="9"/>
  <c r="BX68" i="9"/>
  <c r="AI35" i="9"/>
  <c r="AK35" i="9" s="1"/>
  <c r="AG36" i="9" s="1"/>
  <c r="BH28" i="9"/>
  <c r="BH30" i="9" s="1"/>
  <c r="BH25" i="9"/>
  <c r="BH26" i="9" s="1"/>
  <c r="BL6" i="9"/>
  <c r="BL7" i="9" s="1"/>
  <c r="BL13" i="9" s="1"/>
  <c r="BL9" i="9"/>
  <c r="BL10" i="9"/>
  <c r="BH67" i="9"/>
  <c r="BH66" i="9"/>
  <c r="BH63" i="9"/>
  <c r="BH64" i="9" s="1"/>
  <c r="BH15" i="9" l="1"/>
  <c r="BH17" i="9" s="1"/>
  <c r="BH19" i="9" s="1"/>
  <c r="BH69" i="9"/>
  <c r="BH70" i="9"/>
  <c r="BH31" i="9"/>
  <c r="BH32" i="9"/>
  <c r="BL12" i="9"/>
  <c r="BL71" i="9"/>
  <c r="BL72" i="9"/>
  <c r="CE68" i="9"/>
  <c r="BL23" i="9" s="1"/>
  <c r="BL28" i="9" s="1"/>
  <c r="BX102" i="9"/>
  <c r="CE101" i="9"/>
  <c r="CA102" i="9" s="1"/>
  <c r="BH44" i="9"/>
  <c r="BH45" i="9" s="1"/>
  <c r="BH47" i="9"/>
  <c r="BH49" i="9" s="1"/>
  <c r="BH14" i="9"/>
  <c r="BH16" i="9" s="1"/>
  <c r="BH18" i="9" s="1"/>
  <c r="AZ5" i="9" s="1"/>
  <c r="AO35" i="9"/>
  <c r="AI36" i="9"/>
  <c r="AK36" i="9" s="1"/>
  <c r="AG37" i="9" s="1"/>
  <c r="BL11" i="9"/>
  <c r="BH68" i="9"/>
  <c r="BH33" i="9" l="1"/>
  <c r="BH35" i="9" s="1"/>
  <c r="BH37" i="9" s="1"/>
  <c r="AZ14" i="9" s="1"/>
  <c r="BH50" i="9"/>
  <c r="BH51" i="9"/>
  <c r="BL29" i="9"/>
  <c r="BL30" i="9" s="1"/>
  <c r="BL25" i="9"/>
  <c r="BL26" i="9" s="1"/>
  <c r="CC102" i="9"/>
  <c r="CI102" i="9" s="1"/>
  <c r="AI37" i="9"/>
  <c r="AO37" i="9" s="1"/>
  <c r="AO36" i="9"/>
  <c r="BH34" i="9"/>
  <c r="BH36" i="9" s="1"/>
  <c r="BH38" i="9" s="1"/>
  <c r="BL74" i="9"/>
  <c r="BL76" i="9" s="1"/>
  <c r="BL73" i="9"/>
  <c r="BL75" i="9" s="1"/>
  <c r="BL15" i="9"/>
  <c r="BL17" i="9" s="1"/>
  <c r="BL19" i="9" s="1"/>
  <c r="BL14" i="9"/>
  <c r="BL16" i="9" s="1"/>
  <c r="BL18" i="9" s="1"/>
  <c r="BD5" i="9" s="1"/>
  <c r="BH72" i="9"/>
  <c r="BH74" i="9" s="1"/>
  <c r="BH76" i="9" s="1"/>
  <c r="BH71" i="9"/>
  <c r="BH73" i="9" s="1"/>
  <c r="BH75" i="9" s="1"/>
  <c r="BH53" i="9" l="1"/>
  <c r="BH55" i="9" s="1"/>
  <c r="BH57" i="9" s="1"/>
  <c r="BL31" i="9"/>
  <c r="BL32" i="9"/>
  <c r="CE102" i="9"/>
  <c r="BL42" i="9" s="1"/>
  <c r="BH52" i="9"/>
  <c r="BH54" i="9" s="1"/>
  <c r="BH56" i="9" s="1"/>
  <c r="AZ23" i="9" s="1"/>
  <c r="AK37" i="9"/>
  <c r="AI38" i="9" s="1"/>
  <c r="BD32" i="9"/>
  <c r="AZ32" i="9"/>
  <c r="BL33" i="9" l="1"/>
  <c r="BL35" i="9" s="1"/>
  <c r="BL37" i="9" s="1"/>
  <c r="BD14" i="9" s="1"/>
  <c r="BL47" i="9"/>
  <c r="BL44" i="9"/>
  <c r="BL34" i="9"/>
  <c r="BL36" i="9" s="1"/>
  <c r="BL38" i="9" s="1"/>
  <c r="BL48" i="9"/>
  <c r="AG38" i="9"/>
  <c r="AK38" i="9" s="1"/>
  <c r="AI39" i="9" s="1"/>
  <c r="BL49" i="9" l="1"/>
  <c r="BL45" i="9"/>
  <c r="AO38" i="9"/>
  <c r="AG39" i="9"/>
  <c r="AK39" i="9" s="1"/>
  <c r="AI40" i="9" s="1"/>
  <c r="BL50" i="9" l="1"/>
  <c r="BL51" i="9"/>
  <c r="AO39" i="9"/>
  <c r="AG40" i="9"/>
  <c r="AK40" i="9" s="1"/>
  <c r="BL52" i="9" l="1"/>
  <c r="BL54" i="9" s="1"/>
  <c r="BL56" i="9" s="1"/>
  <c r="BD23" i="9" s="1"/>
  <c r="BL53" i="9"/>
  <c r="BL55" i="9" s="1"/>
  <c r="BL57" i="9" s="1"/>
  <c r="AO40" i="9"/>
  <c r="AI41" i="9"/>
  <c r="AG41" i="9"/>
  <c r="AK41" i="9" l="1"/>
  <c r="AG42" i="9" s="1"/>
  <c r="AO41" i="9"/>
  <c r="AI42" i="9" l="1"/>
  <c r="AO42" i="9" s="1"/>
  <c r="AK42" i="9" l="1"/>
  <c r="AG43" i="9" s="1"/>
  <c r="AR4" i="9"/>
  <c r="AV6" i="9" s="1"/>
  <c r="AV7" i="9" s="1"/>
  <c r="AI43" i="9" l="1"/>
  <c r="AV5" i="9"/>
  <c r="BL77" i="9" l="1"/>
  <c r="CF106" i="9" s="1"/>
  <c r="BH20" i="9"/>
  <c r="AK43" i="9"/>
  <c r="AO43" i="9"/>
  <c r="BD33" i="9"/>
  <c r="BD34" i="9" s="1"/>
  <c r="BD37" i="9" s="1"/>
  <c r="AZ15" i="9"/>
  <c r="AZ16" i="9" s="1"/>
  <c r="AZ19" i="9" s="1"/>
  <c r="BH39" i="9"/>
  <c r="AZ24" i="9"/>
  <c r="AZ25" i="9" s="1"/>
  <c r="BH58" i="9"/>
  <c r="BD24" i="9"/>
  <c r="BD25" i="9" s="1"/>
  <c r="AZ6" i="9"/>
  <c r="AZ7" i="9" s="1"/>
  <c r="AZ10" i="9" s="1"/>
  <c r="BL58" i="9"/>
  <c r="CB72" i="9" s="1"/>
  <c r="AZ33" i="9"/>
  <c r="AZ34" i="9" s="1"/>
  <c r="BH77" i="9"/>
  <c r="BD6" i="9"/>
  <c r="BD7" i="9" s="1"/>
  <c r="BL20" i="9"/>
  <c r="BD15" i="9"/>
  <c r="BD16" i="9" s="1"/>
  <c r="BL39" i="9"/>
  <c r="AZ36" i="9" l="1"/>
  <c r="AZ37" i="9"/>
  <c r="BD27" i="9"/>
  <c r="BD28" i="9"/>
  <c r="AZ27" i="9"/>
  <c r="AZ28" i="9"/>
  <c r="BD18" i="9"/>
  <c r="BD19" i="9"/>
  <c r="AZ18" i="9"/>
  <c r="BD9" i="9"/>
  <c r="BD10" i="9"/>
  <c r="AZ9" i="9"/>
  <c r="AG44" i="9"/>
  <c r="AI44" i="9"/>
  <c r="BD36" i="9"/>
  <c r="BD35" i="9"/>
  <c r="CB106" i="9"/>
  <c r="CD106" i="9"/>
  <c r="AV29" i="9"/>
  <c r="BQ106" i="9"/>
  <c r="BU106" i="9"/>
  <c r="BS106" i="9"/>
  <c r="BD8" i="9"/>
  <c r="AV28" i="9"/>
  <c r="CD72" i="9"/>
  <c r="CF72" i="9"/>
  <c r="AZ26" i="9"/>
  <c r="AZ35" i="9"/>
  <c r="AZ8" i="9"/>
  <c r="BU38" i="9"/>
  <c r="BQ38" i="9"/>
  <c r="BS38" i="9"/>
  <c r="AV25" i="9"/>
  <c r="AV24" i="9"/>
  <c r="CF4" i="9"/>
  <c r="CB4" i="9"/>
  <c r="CD4" i="9"/>
  <c r="BU4" i="9"/>
  <c r="BQ4" i="9"/>
  <c r="BS4" i="9"/>
  <c r="AV23" i="9"/>
  <c r="BD26" i="9"/>
  <c r="BQ72" i="9"/>
  <c r="BS72" i="9"/>
  <c r="AV27" i="9"/>
  <c r="BU72" i="9"/>
  <c r="CF38" i="9"/>
  <c r="CD38" i="9"/>
  <c r="CB38" i="9"/>
  <c r="AV26" i="9"/>
  <c r="BD17" i="9"/>
  <c r="AZ17" i="9"/>
  <c r="AV11" i="9" l="1"/>
  <c r="AV12" i="9" s="1"/>
  <c r="AV10" i="9"/>
  <c r="AV15" i="9" s="1"/>
  <c r="AO44" i="9"/>
  <c r="AK44" i="9"/>
  <c r="AV30" i="9"/>
  <c r="G27" i="9" l="1"/>
  <c r="AV16" i="9"/>
  <c r="K18" i="9"/>
  <c r="K19" i="9"/>
  <c r="G13" i="9"/>
  <c r="AV18" i="9"/>
  <c r="AV19" i="9" s="1"/>
  <c r="G10" i="9"/>
  <c r="AV17" i="9"/>
  <c r="O5" i="9" l="1"/>
  <c r="K24" i="9"/>
  <c r="K23" i="9"/>
  <c r="K26" i="9"/>
  <c r="K25" i="9"/>
  <c r="K22" i="9"/>
  <c r="G9" i="9"/>
  <c r="K12" i="9"/>
  <c r="G26" i="9"/>
  <c r="K39" i="9"/>
  <c r="AV20" i="9"/>
  <c r="G11" i="9" l="1"/>
  <c r="G12" i="9" s="1"/>
  <c r="O6" i="9"/>
  <c r="O8" i="9" s="1"/>
  <c r="K34" i="9"/>
  <c r="K35" i="9"/>
  <c r="K42" i="9"/>
  <c r="K43" i="9"/>
  <c r="AL49" i="9" l="1"/>
  <c r="O9" i="9"/>
  <c r="O10" i="9" s="1"/>
  <c r="O14" i="9" s="1"/>
  <c r="O15" i="9" s="1"/>
  <c r="O11" i="9"/>
  <c r="AJ49" i="9"/>
  <c r="AH49" i="9"/>
  <c r="O19" i="9" l="1"/>
  <c r="K14" i="9" s="1"/>
  <c r="K15" i="9" s="1"/>
  <c r="O22" i="9" l="1"/>
  <c r="O18" i="9"/>
  <c r="O16" i="9" s="1"/>
  <c r="O21" i="9" l="1"/>
  <c r="O24" i="9" s="1"/>
  <c r="O27" i="9" s="1"/>
  <c r="O29" i="9" l="1"/>
  <c r="AA4" i="9" l="1"/>
  <c r="Y4" i="9"/>
  <c r="W4" i="9"/>
  <c r="AC4" i="9" l="1"/>
  <c r="X5" i="9" s="1"/>
  <c r="Y5" i="9" s="1"/>
  <c r="AB4" i="9"/>
  <c r="V5" i="9" s="1"/>
  <c r="W5" i="9" s="1"/>
  <c r="Z5" i="9" l="1"/>
  <c r="AA5" i="9" s="1"/>
  <c r="AD5" i="9"/>
  <c r="AB5" i="9" l="1"/>
  <c r="V6" i="9" s="1"/>
  <c r="W6" i="9" s="1"/>
  <c r="AC5" i="9"/>
  <c r="X6" i="9" s="1"/>
  <c r="Y6" i="9" s="1"/>
  <c r="AD6" i="9" l="1"/>
  <c r="Z6" i="9"/>
  <c r="AA6" i="9" l="1"/>
  <c r="AB6" i="9" s="1"/>
  <c r="V7" i="9" s="1"/>
  <c r="W7" i="9" s="1"/>
  <c r="AC6" i="9" l="1"/>
  <c r="X7" i="9" s="1"/>
  <c r="Y7" i="9" s="1"/>
  <c r="Z7" i="9" l="1"/>
  <c r="AA7" i="9" s="1"/>
  <c r="AB7" i="9" s="1"/>
  <c r="V8" i="9" s="1"/>
  <c r="W8" i="9" s="1"/>
  <c r="AD7" i="9"/>
  <c r="AC7" i="9" l="1"/>
  <c r="X8" i="9" s="1"/>
  <c r="Y8" i="9" s="1"/>
  <c r="Z8" i="9" l="1"/>
  <c r="AA8" i="9" s="1"/>
  <c r="AB8" i="9" s="1"/>
  <c r="V9" i="9" s="1"/>
  <c r="W9" i="9" s="1"/>
  <c r="AD8" i="9"/>
  <c r="AC8" i="9" l="1"/>
  <c r="X9" i="9" s="1"/>
  <c r="Y9" i="9" s="1"/>
  <c r="AD9" i="9" l="1"/>
  <c r="Z9" i="9"/>
  <c r="AA9" i="9" l="1"/>
  <c r="AC9" i="9" s="1"/>
  <c r="X10" i="9" s="1"/>
  <c r="Y10" i="9" s="1"/>
  <c r="AB9" i="9" l="1"/>
  <c r="V10" i="9" s="1"/>
  <c r="W10" i="9" l="1"/>
  <c r="Z10" i="9"/>
  <c r="AD10" i="9"/>
  <c r="AA10" i="9" l="1"/>
  <c r="AC10" i="9" s="1"/>
  <c r="X11" i="9" s="1"/>
  <c r="Y11" i="9" l="1"/>
  <c r="AB10" i="9"/>
  <c r="V11" i="9" s="1"/>
  <c r="AD11" i="9" s="1"/>
  <c r="W11" i="9" l="1"/>
  <c r="Z11" i="9"/>
  <c r="AA11" i="9" l="1"/>
  <c r="AC11" i="9" s="1"/>
  <c r="X12" i="9" s="1"/>
  <c r="Y12" i="9" l="1"/>
  <c r="AB11" i="9"/>
  <c r="V12" i="9" s="1"/>
  <c r="W12" i="9" l="1"/>
  <c r="Z12" i="9"/>
  <c r="AD12" i="9"/>
  <c r="AA12" i="9" l="1"/>
  <c r="AC12" i="9" s="1"/>
  <c r="X13" i="9" s="1"/>
  <c r="Y13" i="9" l="1"/>
  <c r="AB12" i="9"/>
  <c r="V13" i="9" s="1"/>
  <c r="AD13" i="9" s="1"/>
  <c r="W13" i="9" l="1"/>
  <c r="Z13" i="9"/>
  <c r="AA13" i="9" l="1"/>
  <c r="AC13" i="9" s="1"/>
  <c r="X14" i="9" s="1"/>
  <c r="Y14" i="9" l="1"/>
  <c r="AB13" i="9"/>
  <c r="V14" i="9" s="1"/>
  <c r="AD14" i="9" s="1"/>
  <c r="W14" i="9" l="1"/>
  <c r="Z14" i="9"/>
  <c r="AA14" i="9" l="1"/>
  <c r="AC14" i="9" s="1"/>
  <c r="X15" i="9" s="1"/>
  <c r="Y15" i="9" l="1"/>
  <c r="AB14" i="9"/>
  <c r="V15" i="9" s="1"/>
  <c r="AD15" i="9" s="1"/>
  <c r="W15" i="9" l="1"/>
  <c r="Z15" i="9"/>
  <c r="AA15" i="9" l="1"/>
  <c r="AC15" i="9" s="1"/>
  <c r="X16" i="9" s="1"/>
  <c r="Y16" i="9" l="1"/>
  <c r="AB15" i="9"/>
  <c r="V16" i="9" s="1"/>
  <c r="AD16" i="9" s="1"/>
  <c r="W16" i="9" l="1"/>
  <c r="Z16" i="9"/>
  <c r="AA16" i="9" l="1"/>
  <c r="AC16" i="9" s="1"/>
  <c r="X17" i="9" s="1"/>
  <c r="Y17" i="9" l="1"/>
  <c r="AB16" i="9"/>
  <c r="V17" i="9" s="1"/>
  <c r="W17" i="9" l="1"/>
  <c r="Z17" i="9"/>
  <c r="AD17" i="9"/>
  <c r="AA17" i="9" l="1"/>
  <c r="AC17" i="9" s="1"/>
  <c r="X18" i="9" s="1"/>
  <c r="Y18" i="9" l="1"/>
  <c r="AB17" i="9"/>
  <c r="V18" i="9" s="1"/>
  <c r="AD18" i="9" s="1"/>
  <c r="W18" i="9" l="1"/>
  <c r="Z18" i="9"/>
  <c r="AA18" i="9" l="1"/>
  <c r="AC18" i="9" s="1"/>
  <c r="X19" i="9" s="1"/>
  <c r="Y19" i="9" l="1"/>
  <c r="AB18" i="9"/>
  <c r="V19" i="9" s="1"/>
  <c r="W19" i="9" l="1"/>
  <c r="Z19" i="9"/>
  <c r="AD19" i="9"/>
  <c r="AA19" i="9" l="1"/>
  <c r="AC19" i="9" s="1"/>
  <c r="X20" i="9" s="1"/>
  <c r="Y20" i="9" l="1"/>
  <c r="AB19" i="9"/>
  <c r="V20" i="9" s="1"/>
  <c r="W20" i="9" l="1"/>
  <c r="Z20" i="9"/>
  <c r="AD20" i="9"/>
  <c r="AA20" i="9" l="1"/>
  <c r="AC20" i="9" s="1"/>
  <c r="X21" i="9" s="1"/>
  <c r="Y21" i="9" l="1"/>
  <c r="AB20" i="9"/>
  <c r="V21" i="9" s="1"/>
  <c r="AD21" i="9" s="1"/>
  <c r="W21" i="9" l="1"/>
  <c r="Z21" i="9"/>
  <c r="AA21" i="9" s="1"/>
  <c r="AC21" i="9" s="1"/>
  <c r="X22" i="9" s="1"/>
  <c r="Y22" i="9" l="1"/>
  <c r="AB21" i="9"/>
  <c r="V22" i="9" s="1"/>
  <c r="AD22" i="9" s="1"/>
  <c r="W22" i="9" l="1"/>
  <c r="Z22" i="9"/>
  <c r="AA22" i="9" s="1"/>
  <c r="AC22" i="9" s="1"/>
  <c r="X23" i="9" s="1"/>
  <c r="Y23" i="9" l="1"/>
  <c r="AB22" i="9"/>
  <c r="V23" i="9" s="1"/>
  <c r="AD23" i="9" s="1"/>
  <c r="W23" i="9" l="1"/>
  <c r="Z23" i="9"/>
  <c r="AA23" i="9" s="1"/>
  <c r="AC23" i="9" s="1"/>
  <c r="X24" i="9" s="1"/>
  <c r="Y24" i="9" l="1"/>
  <c r="AB23" i="9"/>
  <c r="V24" i="9" s="1"/>
  <c r="AD24" i="9" s="1"/>
  <c r="W24" i="9" l="1"/>
  <c r="Z24" i="9"/>
  <c r="AA24" i="9" s="1"/>
  <c r="AC24" i="9" s="1"/>
  <c r="X25" i="9" s="1"/>
  <c r="Y25" i="9" l="1"/>
  <c r="AB24" i="9"/>
  <c r="V25" i="9" s="1"/>
  <c r="AD25" i="9" s="1"/>
  <c r="W25" i="9" l="1"/>
  <c r="Z25" i="9"/>
  <c r="AA25" i="9" s="1"/>
  <c r="AC25" i="9" s="1"/>
  <c r="X26" i="9" s="1"/>
  <c r="Y26" i="9" l="1"/>
  <c r="AB25" i="9"/>
  <c r="V26" i="9" s="1"/>
  <c r="AD26" i="9" s="1"/>
  <c r="Z26" i="9" l="1"/>
  <c r="AA26" i="9" s="1"/>
  <c r="AC26" i="9" s="1"/>
  <c r="X27" i="9" s="1"/>
  <c r="W26" i="9"/>
  <c r="AB26" i="9" l="1"/>
  <c r="V27" i="9" s="1"/>
  <c r="W27" i="9" s="1"/>
  <c r="Y27" i="9"/>
  <c r="AD27" i="9" l="1"/>
  <c r="Z27" i="9"/>
  <c r="AA27" i="9" s="1"/>
  <c r="AC27" i="9" s="1"/>
  <c r="X28" i="9" s="1"/>
  <c r="AB27" i="9" l="1"/>
  <c r="V28" i="9" s="1"/>
  <c r="W28" i="9" s="1"/>
  <c r="Y28" i="9"/>
  <c r="AD28" i="9" l="1"/>
  <c r="Z28" i="9"/>
  <c r="AA28" i="9" s="1"/>
  <c r="AC28" i="9" s="1"/>
  <c r="X29" i="9" s="1"/>
  <c r="AB28" i="9" l="1"/>
  <c r="V29" i="9" s="1"/>
  <c r="W29" i="9" s="1"/>
  <c r="Y29" i="9"/>
  <c r="AD29" i="9" l="1"/>
  <c r="Z29" i="9"/>
  <c r="AA29" i="9" s="1"/>
  <c r="AC29" i="9" s="1"/>
  <c r="X30" i="9" s="1"/>
  <c r="AB29" i="9" l="1"/>
  <c r="V30" i="9" s="1"/>
  <c r="W30" i="9" s="1"/>
  <c r="Y30" i="9"/>
  <c r="AD30" i="9" l="1"/>
  <c r="Z30" i="9"/>
  <c r="AA30" i="9" s="1"/>
  <c r="AC30" i="9" s="1"/>
  <c r="X31" i="9" s="1"/>
  <c r="Y31" i="9" s="1"/>
  <c r="AB30" i="9" l="1"/>
  <c r="V31" i="9" s="1"/>
  <c r="AD31" i="9" s="1"/>
  <c r="Z31" i="9" l="1"/>
  <c r="AA31" i="9" s="1"/>
  <c r="AC31" i="9" s="1"/>
  <c r="X32" i="9" s="1"/>
  <c r="Y32" i="9" s="1"/>
  <c r="W31" i="9"/>
  <c r="AB31" i="9" l="1"/>
  <c r="V32" i="9" s="1"/>
  <c r="AD32" i="9" s="1"/>
  <c r="W32" i="9" l="1"/>
  <c r="Z32" i="9"/>
  <c r="AA32" i="9" s="1"/>
  <c r="AC32" i="9" s="1"/>
  <c r="X33" i="9" s="1"/>
  <c r="Y33" i="9" s="1"/>
  <c r="AB32" i="9" l="1"/>
  <c r="V33" i="9" s="1"/>
  <c r="W33" i="9" s="1"/>
  <c r="AD33" i="9" l="1"/>
  <c r="Z33" i="9"/>
  <c r="AA33" i="9" s="1"/>
  <c r="AB33" i="9" s="1"/>
  <c r="V34" i="9" s="1"/>
  <c r="W34" i="9" s="1"/>
  <c r="AC33" i="9" l="1"/>
  <c r="X34" i="9" s="1"/>
  <c r="Y34" i="9" s="1"/>
  <c r="AD34" i="9" l="1"/>
  <c r="Z34" i="9"/>
  <c r="AA34" i="9" s="1"/>
  <c r="O25" i="9" l="1"/>
  <c r="O26" i="9" s="1"/>
  <c r="G19" i="9" s="1"/>
  <c r="AC34" i="9"/>
  <c r="AB34" i="9"/>
  <c r="G20" i="9" l="1"/>
  <c r="K8" i="9" l="1"/>
  <c r="K4" i="9"/>
  <c r="K16" i="9" s="1"/>
  <c r="K5" i="9" l="1"/>
  <c r="K17" i="9"/>
  <c r="K41" i="9" s="1"/>
  <c r="K33" i="9" l="1"/>
  <c r="K13" i="9"/>
  <c r="K40" i="9" l="1"/>
  <c r="K44" i="9" s="1"/>
  <c r="K27" i="9"/>
  <c r="K32" i="9"/>
  <c r="K36" i="9" s="1"/>
  <c r="AL4" i="9" l="1"/>
  <c r="K28" i="9"/>
  <c r="AJ4" i="9"/>
  <c r="AH4" i="9"/>
</calcChain>
</file>

<file path=xl/sharedStrings.xml><?xml version="1.0" encoding="utf-8"?>
<sst xmlns="http://schemas.openxmlformats.org/spreadsheetml/2006/main" count="2686" uniqueCount="289">
  <si>
    <t>!!! Press F9 to recalculate !!!</t>
  </si>
  <si>
    <t>Cd0</t>
  </si>
  <si>
    <t>Battery parameters</t>
  </si>
  <si>
    <t>battery_rho</t>
  </si>
  <si>
    <t>Wh/kg</t>
  </si>
  <si>
    <t>battery_eff</t>
  </si>
  <si>
    <t>battery_max_discharge</t>
  </si>
  <si>
    <t>kg</t>
  </si>
  <si>
    <t>m</t>
  </si>
  <si>
    <t>cruise_speed</t>
  </si>
  <si>
    <t>m/s</t>
  </si>
  <si>
    <t>m^2</t>
  </si>
  <si>
    <t>Mission requirements</t>
  </si>
  <si>
    <t>flight_range</t>
  </si>
  <si>
    <t>s</t>
  </si>
  <si>
    <t>rho_air</t>
  </si>
  <si>
    <t>kg/m^3</t>
  </si>
  <si>
    <t>gravitational_accel</t>
  </si>
  <si>
    <t>m/s^2</t>
  </si>
  <si>
    <t>rho</t>
  </si>
  <si>
    <t>W</t>
  </si>
  <si>
    <t>thrust_each</t>
  </si>
  <si>
    <t>N</t>
  </si>
  <si>
    <t>Energy and time</t>
  </si>
  <si>
    <t>flight_time</t>
  </si>
  <si>
    <t>dyn_pressure</t>
  </si>
  <si>
    <t>N/m^2</t>
  </si>
  <si>
    <t>Rotor performance</t>
  </si>
  <si>
    <t>alpha</t>
  </si>
  <si>
    <t>omega</t>
  </si>
  <si>
    <t>rad/s</t>
  </si>
  <si>
    <t>mu</t>
  </si>
  <si>
    <t>Ct</t>
  </si>
  <si>
    <t>Profile_power</t>
  </si>
  <si>
    <t>lambda</t>
  </si>
  <si>
    <t>v_induced</t>
  </si>
  <si>
    <t>kappa_raw</t>
  </si>
  <si>
    <t>kappa_min</t>
  </si>
  <si>
    <t>kappa</t>
  </si>
  <si>
    <t>evtol_config</t>
  </si>
  <si>
    <t>W_total_takeoff</t>
  </si>
  <si>
    <t>Parasite_drag</t>
  </si>
  <si>
    <t>Total_drag</t>
  </si>
  <si>
    <t>deg</t>
  </si>
  <si>
    <t>Iter</t>
  </si>
  <si>
    <t>a</t>
  </si>
  <si>
    <t>f(a)</t>
  </si>
  <si>
    <t>b</t>
  </si>
  <si>
    <t>f(b)</t>
  </si>
  <si>
    <t>c</t>
  </si>
  <si>
    <t>f(c)</t>
  </si>
  <si>
    <t>f(a)*f(c)</t>
  </si>
  <si>
    <t>f(b)*f(c)</t>
  </si>
  <si>
    <t>Error (b-a)</t>
  </si>
  <si>
    <t>Weights modeling</t>
  </si>
  <si>
    <t>W_battery</t>
  </si>
  <si>
    <t>W_motors</t>
  </si>
  <si>
    <t>W_residual</t>
  </si>
  <si>
    <t>Acceptable?</t>
  </si>
  <si>
    <t>Weight percentages</t>
  </si>
  <si>
    <t>W_payload</t>
  </si>
  <si>
    <t>%</t>
  </si>
  <si>
    <t>Total</t>
  </si>
  <si>
    <t>W_fuselage</t>
  </si>
  <si>
    <t>W_landing_gear</t>
  </si>
  <si>
    <t>W_htail</t>
  </si>
  <si>
    <t>W_vtail</t>
  </si>
  <si>
    <t>W_avionics</t>
  </si>
  <si>
    <t>W_flight_control</t>
  </si>
  <si>
    <t>W_anti_icing</t>
  </si>
  <si>
    <t>W_furnishings</t>
  </si>
  <si>
    <t>payload_weight</t>
  </si>
  <si>
    <t>W_structure</t>
  </si>
  <si>
    <t>W_equipment</t>
  </si>
  <si>
    <t>Constants</t>
  </si>
  <si>
    <t>multirotor</t>
  </si>
  <si>
    <t>Stability (trim)</t>
  </si>
  <si>
    <t>Thrust_all</t>
  </si>
  <si>
    <t>sin_beta</t>
  </si>
  <si>
    <t>Bisection method for solving W_total_takeoff</t>
  </si>
  <si>
    <t>W_controllers</t>
  </si>
  <si>
    <t>W_propulsion</t>
  </si>
  <si>
    <t>W_takeoff</t>
  </si>
  <si>
    <t>Hover climb segment</t>
  </si>
  <si>
    <t>Hover descent segment</t>
  </si>
  <si>
    <t>power_hover_climb</t>
  </si>
  <si>
    <t>power_hover_descent</t>
  </si>
  <si>
    <t>hover_climb_speed</t>
  </si>
  <si>
    <t>hover_descent_speed</t>
  </si>
  <si>
    <t>Cruise segment</t>
  </si>
  <si>
    <t>hover_climb_distance</t>
  </si>
  <si>
    <t>hover climb duration</t>
  </si>
  <si>
    <t>cruise duration</t>
  </si>
  <si>
    <t>hover descent duration</t>
  </si>
  <si>
    <t>hover_descent_distance</t>
  </si>
  <si>
    <t>Aerodynamics in cruise</t>
  </si>
  <si>
    <t>Bisection method for solving RotorInflow lambda in cruise</t>
  </si>
  <si>
    <t>N_lift_rotor</t>
  </si>
  <si>
    <t>r_lift_rotor</t>
  </si>
  <si>
    <t>energy_consumption</t>
  </si>
  <si>
    <t>power_each</t>
  </si>
  <si>
    <t>Power maximum for design</t>
  </si>
  <si>
    <t>p_max_liftrotor</t>
  </si>
  <si>
    <t>p_max_liftrotor_each</t>
  </si>
  <si>
    <t>kW</t>
  </si>
  <si>
    <t>kWh</t>
  </si>
  <si>
    <t>mins</t>
  </si>
  <si>
    <t>Fuselage parameters</t>
  </si>
  <si>
    <t>n_pax</t>
  </si>
  <si>
    <t>l_fuse</t>
  </si>
  <si>
    <t>d_max</t>
  </si>
  <si>
    <t>Landing gear parameters</t>
  </si>
  <si>
    <t>l_sm</t>
  </si>
  <si>
    <t>n_ult</t>
  </si>
  <si>
    <t>N_blade_lift_rotor</t>
  </si>
  <si>
    <t>Rotor parameters</t>
  </si>
  <si>
    <t>Weight breakdown</t>
  </si>
  <si>
    <t>W_booms</t>
  </si>
  <si>
    <t>f/(W/1000)^2/3</t>
  </si>
  <si>
    <t>f_e_rotor_hubs</t>
  </si>
  <si>
    <t>m2</t>
  </si>
  <si>
    <t>CD0_hubs</t>
  </si>
  <si>
    <t>CD0_total</t>
  </si>
  <si>
    <t>CD0_non_hubs</t>
  </si>
  <si>
    <t>type</t>
  </si>
  <si>
    <t>wheeled</t>
  </si>
  <si>
    <t>f_LG</t>
  </si>
  <si>
    <t>eVTOL design parameters</t>
  </si>
  <si>
    <t>lift_rotor_solidity</t>
  </si>
  <si>
    <t>lift_rotor_hover_FM</t>
  </si>
  <si>
    <t>rotor_tip_speed</t>
  </si>
  <si>
    <t>M</t>
  </si>
  <si>
    <t>sound_speed</t>
  </si>
  <si>
    <t>rotor_tip_speed_Mach</t>
  </si>
  <si>
    <t>RPM</t>
  </si>
  <si>
    <t>W_rotors_and_hubs</t>
  </si>
  <si>
    <t>W_extra_hubs</t>
  </si>
  <si>
    <t>[case]</t>
  </si>
  <si>
    <t>[Precalculated properties]</t>
  </si>
  <si>
    <t>[Sectional forces]</t>
  </si>
  <si>
    <t>[Iterations to determine phi per airfoil section]</t>
  </si>
  <si>
    <t>[Bisection method for inflow angle at section 1]</t>
  </si>
  <si>
    <t>[Bisection method for inflow angle at section 2]</t>
  </si>
  <si>
    <t>Airfoil</t>
  </si>
  <si>
    <t>v_inf</t>
  </si>
  <si>
    <t>blade_radius</t>
  </si>
  <si>
    <t>Section 1</t>
  </si>
  <si>
    <t>Section 2</t>
  </si>
  <si>
    <t>Region 1</t>
  </si>
  <si>
    <t>Region 2</t>
  </si>
  <si>
    <t>Region 3</t>
  </si>
  <si>
    <t>rpm</t>
  </si>
  <si>
    <t>area</t>
  </si>
  <si>
    <t>width</t>
  </si>
  <si>
    <t>phi</t>
  </si>
  <si>
    <t>rad</t>
  </si>
  <si>
    <t>Range</t>
  </si>
  <si>
    <t>global_twist</t>
  </si>
  <si>
    <t>v</t>
  </si>
  <si>
    <t>pitch</t>
  </si>
  <si>
    <t>Cl=f(alpha)</t>
  </si>
  <si>
    <t>n</t>
  </si>
  <si>
    <t>rev/s</t>
  </si>
  <si>
    <t>vp</t>
  </si>
  <si>
    <t>Cd=f(alpha)</t>
  </si>
  <si>
    <t>[rotor]</t>
  </si>
  <si>
    <t>J</t>
  </si>
  <si>
    <t>U</t>
  </si>
  <si>
    <t>alpha_deg</t>
  </si>
  <si>
    <t>nblades</t>
  </si>
  <si>
    <t>Re</t>
  </si>
  <si>
    <t>sigma</t>
  </si>
  <si>
    <t>diameter</t>
  </si>
  <si>
    <t>[Main results]</t>
  </si>
  <si>
    <t>dT</t>
  </si>
  <si>
    <t>Ftip</t>
  </si>
  <si>
    <t>radius_hub</t>
  </si>
  <si>
    <t>Thrust</t>
  </si>
  <si>
    <t>dQ</t>
  </si>
  <si>
    <t>Nm</t>
  </si>
  <si>
    <t>Fhub</t>
  </si>
  <si>
    <t>sections</t>
  </si>
  <si>
    <t>Torque</t>
  </si>
  <si>
    <t>F</t>
  </si>
  <si>
    <t>Power</t>
  </si>
  <si>
    <t>Section 3</t>
  </si>
  <si>
    <t>Section 4</t>
  </si>
  <si>
    <t>Cl</t>
  </si>
  <si>
    <t>Cd</t>
  </si>
  <si>
    <t>[Performance summary]</t>
  </si>
  <si>
    <t>CT</t>
  </si>
  <si>
    <t>Ideal Power</t>
  </si>
  <si>
    <t>CQ</t>
  </si>
  <si>
    <t>Figure of Merit</t>
  </si>
  <si>
    <t>kappap</t>
  </si>
  <si>
    <t>radii</t>
  </si>
  <si>
    <t>CP</t>
  </si>
  <si>
    <t>ap</t>
  </si>
  <si>
    <t>eta</t>
  </si>
  <si>
    <t>residual</t>
  </si>
  <si>
    <t>Section 5</t>
  </si>
  <si>
    <t>Section 6</t>
  </si>
  <si>
    <t>[Convergence]</t>
  </si>
  <si>
    <t>residuals</t>
  </si>
  <si>
    <t>chords</t>
  </si>
  <si>
    <t>is_converged</t>
  </si>
  <si>
    <t>Section 7</t>
  </si>
  <si>
    <t>[Bisection method for inflow angle at section 3]</t>
  </si>
  <si>
    <t>[Bisection method for inflow angle at section 4]</t>
  </si>
  <si>
    <t>[fluid]</t>
  </si>
  <si>
    <t>Pa s</t>
  </si>
  <si>
    <t>[Bisection method for inflow angle at section 5]</t>
  </si>
  <si>
    <t>[Bisection method for inflow angle at section 6]</t>
  </si>
  <si>
    <t>[Bisection method for inflow angle at section 7]</t>
  </si>
  <si>
    <t>mu_air</t>
  </si>
  <si>
    <t>thrust_each_calc</t>
  </si>
  <si>
    <t>thrust_residual</t>
  </si>
  <si>
    <t>is_trimmed</t>
  </si>
  <si>
    <t>boeing_vertol-vr12</t>
  </si>
  <si>
    <t>VR12</t>
  </si>
  <si>
    <t>Section 8</t>
  </si>
  <si>
    <t>[Bisection method for inflow angle at section 8]</t>
  </si>
  <si>
    <t>Bisection method for solving RPM_hover</t>
  </si>
  <si>
    <t>local_twist</t>
  </si>
  <si>
    <t>c_to_r_lift_rotor</t>
  </si>
  <si>
    <t>power_cruise</t>
  </si>
  <si>
    <t>Bisection method for solving W_total</t>
  </si>
  <si>
    <t>lift+cruise</t>
  </si>
  <si>
    <t>lift</t>
  </si>
  <si>
    <t>p_max_prop</t>
  </si>
  <si>
    <t>p_max_prop_each</t>
  </si>
  <si>
    <t>r_propeller</t>
  </si>
  <si>
    <t>wing_area</t>
  </si>
  <si>
    <t>wing_AR</t>
  </si>
  <si>
    <t>Oswald_e</t>
  </si>
  <si>
    <t>CL</t>
  </si>
  <si>
    <t>CD</t>
  </si>
  <si>
    <t>L/D</t>
  </si>
  <si>
    <t>Propeller performance in cruise</t>
  </si>
  <si>
    <t>prop_tip_speed</t>
  </si>
  <si>
    <t>prop_tip_speed_Mach</t>
  </si>
  <si>
    <t>W_wing</t>
  </si>
  <si>
    <t>lift_rotor_FM</t>
  </si>
  <si>
    <t>Propeller parameters</t>
  </si>
  <si>
    <t>N_propeller</t>
  </si>
  <si>
    <t>N_blade_propeller</t>
  </si>
  <si>
    <t>propeller_solidity</t>
  </si>
  <si>
    <t>propeller_FM</t>
  </si>
  <si>
    <t>Wing parameters</t>
  </si>
  <si>
    <t>Horizontal tail parameters</t>
  </si>
  <si>
    <t>htail_AR</t>
  </si>
  <si>
    <t>htail_S</t>
  </si>
  <si>
    <t>t_rh</t>
  </si>
  <si>
    <t>Vertical tail parameters</t>
  </si>
  <si>
    <t>vtail_AR</t>
  </si>
  <si>
    <t>vtail_S</t>
  </si>
  <si>
    <t>t_rv</t>
  </si>
  <si>
    <t>quarter_chord_sweep</t>
  </si>
  <si>
    <t>AoA</t>
  </si>
  <si>
    <t>c_to_r_propeller</t>
  </si>
  <si>
    <t>skid</t>
  </si>
  <si>
    <t>skid_length</t>
  </si>
  <si>
    <t>skid_height</t>
  </si>
  <si>
    <t>mission_repetition</t>
  </si>
  <si>
    <t>rho_softmax</t>
  </si>
  <si>
    <t>mission_time</t>
  </si>
  <si>
    <t>tf_propulsion</t>
  </si>
  <si>
    <t>tf_structure</t>
  </si>
  <si>
    <t>tf_equipments</t>
  </si>
  <si>
    <t>LiftRotor|RPM_cruise</t>
  </si>
  <si>
    <t>LiftRotor|RPM_hover</t>
  </si>
  <si>
    <t>Propeller|RPM_cruise</t>
  </si>
  <si>
    <t>Environment at 5500 ft</t>
  </si>
  <si>
    <t>Environment at 6500 ft</t>
  </si>
  <si>
    <t>efficiency T/P</t>
  </si>
  <si>
    <t>g/W</t>
  </si>
  <si>
    <t>CT/sigma</t>
  </si>
  <si>
    <t>W_empty</t>
  </si>
  <si>
    <t>Bisection method for solving RotorInflow lambda in hover climb</t>
  </si>
  <si>
    <t>Aerodynamics in hover climb</t>
  </si>
  <si>
    <t>-</t>
  </si>
  <si>
    <t>figure_of_merit_calc</t>
  </si>
  <si>
    <t>power_ideal</t>
  </si>
  <si>
    <t>omega_motor</t>
  </si>
  <si>
    <t>gear_ratio</t>
  </si>
  <si>
    <t>RPM_motor</t>
  </si>
  <si>
    <t>torque_motor</t>
  </si>
  <si>
    <t>motor_weight</t>
  </si>
  <si>
    <t>motor_power_margin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</si>
</sst>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name val="Aptos Narrow"/>
      <family val="2"/>
      <scheme val="minor"/>
    </font>
    <font>
      <sz val="12"/>
      <color rgb="FFFFFF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89999084444715716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4" borderId="0" xfId="0" applyFill="1"/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vertical="center"/>
    </xf>
    <xf numFmtId="0" fontId="0" fillId="5" borderId="0" xfId="0" applyFill="1" applyAlignment="1">
      <alignment vertical="center"/>
    </xf>
    <xf numFmtId="0" fontId="0" fillId="9" borderId="0" xfId="0" applyFill="1" applyAlignment="1">
      <alignment vertical="center"/>
    </xf>
    <xf numFmtId="0" fontId="3" fillId="6" borderId="0" xfId="0" applyFont="1" applyFill="1" applyAlignment="1">
      <alignment vertical="center"/>
    </xf>
    <xf numFmtId="0" fontId="0" fillId="6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8" borderId="0" xfId="0" applyFill="1" applyAlignment="1">
      <alignment vertical="center"/>
    </xf>
    <xf numFmtId="0" fontId="2" fillId="0" borderId="0" xfId="0" applyFont="1" applyAlignment="1">
      <alignment vertical="center"/>
    </xf>
    <xf numFmtId="0" fontId="0" fillId="4" borderId="0" xfId="0" applyFill="1" applyAlignment="1">
      <alignment vertical="center"/>
    </xf>
    <xf numFmtId="0" fontId="4" fillId="0" borderId="0" xfId="0" applyFont="1" applyAlignment="1">
      <alignment vertical="center"/>
    </xf>
    <xf numFmtId="0" fontId="3" fillId="10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0" fillId="4" borderId="0" xfId="0" applyFill="1" applyAlignment="1">
      <alignment horizontal="right"/>
    </xf>
    <xf numFmtId="0" fontId="0" fillId="4" borderId="0" xfId="0" applyFill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0" fillId="0" borderId="0" xfId="0" applyAlignment="1">
      <alignment horizontal="left"/>
    </xf>
    <xf numFmtId="0" fontId="0" fillId="3" borderId="0" xfId="0" applyFill="1" applyAlignment="1">
      <alignment horizontal="center" vertical="center"/>
    </xf>
    <xf numFmtId="11" fontId="0" fillId="4" borderId="0" xfId="0" applyNumberFormat="1" applyFill="1" applyAlignment="1">
      <alignment vertical="center"/>
    </xf>
    <xf numFmtId="0" fontId="0" fillId="12" borderId="0" xfId="0" applyFill="1"/>
    <xf numFmtId="0" fontId="0" fillId="12" borderId="0" xfId="0" applyFill="1" applyAlignment="1">
      <alignment vertical="center"/>
    </xf>
    <xf numFmtId="0" fontId="3" fillId="1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3" borderId="0" xfId="0" applyFont="1" applyFill="1" applyAlignment="1">
      <alignment horizontal="left" vertical="center"/>
    </xf>
    <xf numFmtId="0" fontId="6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4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11" fontId="0" fillId="4" borderId="0" xfId="0" applyNumberForma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2" fillId="3" borderId="0" xfId="0" applyFont="1" applyFill="1" applyAlignment="1">
      <alignment horizontal="left"/>
    </xf>
    <xf numFmtId="0" fontId="2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6" borderId="0" xfId="0" applyFont="1" applyFill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">
    <cellStyle name="Normal" xfId="0" builtinId="0"/>
  </cellStyles>
  <dxfs count="4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B5BF-2848-997A-67B83D124A95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B5BF-2848-997A-67B83D124A95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B5BF-2848-997A-67B83D124A95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B5BF-2848-997A-67B83D124A95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B5BF-2848-997A-67B83D124A9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multirotor_fidelity0!$J$39:$J$43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multirotor_fidelity0!$K$39:$K$43</c:f>
              <c:numCache>
                <c:formatCode>General</c:formatCode>
                <c:ptCount val="5"/>
                <c:pt idx="0">
                  <c:v>27.27</c:v>
                </c:pt>
                <c:pt idx="1">
                  <c:v>35.36</c:v>
                </c:pt>
                <c:pt idx="2">
                  <c:v>24.68</c:v>
                </c:pt>
                <c:pt idx="3">
                  <c:v>7.87</c:v>
                </c:pt>
                <c:pt idx="4">
                  <c:v>4.8099999999999996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5BF-2848-997A-67B83D124A95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C281-DF45-8BD9-ED3F872106A5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C281-DF45-8BD9-ED3F872106A5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C281-DF45-8BD9-ED3F872106A5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C281-DF45-8BD9-ED3F872106A5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C281-DF45-8BD9-ED3F872106A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multirotor_fidelity0!$J$31:$J$35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multirotor_fidelity0!$K$31:$K$35</c:f>
              <c:numCache>
                <c:formatCode>General</c:formatCode>
                <c:ptCount val="5"/>
                <c:pt idx="0">
                  <c:v>600</c:v>
                </c:pt>
                <c:pt idx="1">
                  <c:v>777.85</c:v>
                </c:pt>
                <c:pt idx="2">
                  <c:v>542.97</c:v>
                </c:pt>
                <c:pt idx="3">
                  <c:v>173.21</c:v>
                </c:pt>
                <c:pt idx="4">
                  <c:v>105.83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281-DF45-8BD9-ED3F872106A5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4CAE-794C-8627-DAE87CB97443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4CAE-794C-8627-DAE87CB97443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4CAE-794C-8627-DAE87CB97443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4CAE-794C-8627-DAE87CB97443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4CAE-794C-8627-DAE87CB9744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multirotor_fidelity1!$J$39:$J$43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multirotor_fidelity1!$K$39:$K$43</c:f>
              <c:numCache>
                <c:formatCode>General</c:formatCode>
                <c:ptCount val="5"/>
                <c:pt idx="0">
                  <c:v>26.91</c:v>
                </c:pt>
                <c:pt idx="1">
                  <c:v>35.33</c:v>
                </c:pt>
                <c:pt idx="2">
                  <c:v>25.06</c:v>
                </c:pt>
                <c:pt idx="3">
                  <c:v>7.88</c:v>
                </c:pt>
                <c:pt idx="4">
                  <c:v>4.8099999999999996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CAE-794C-8627-DAE87CB97443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E727-7146-881B-EDFBA99A9882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E727-7146-881B-EDFBA99A9882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E727-7146-881B-EDFBA99A9882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E727-7146-881B-EDFBA99A9882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E727-7146-881B-EDFBA99A988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multirotor_fidelity1!$J$31:$J$35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multirotor_fidelity1!$K$31:$K$35</c:f>
              <c:numCache>
                <c:formatCode>General</c:formatCode>
                <c:ptCount val="5"/>
                <c:pt idx="0">
                  <c:v>600</c:v>
                </c:pt>
                <c:pt idx="1">
                  <c:v>787.85</c:v>
                </c:pt>
                <c:pt idx="2">
                  <c:v>558.80999999999995</c:v>
                </c:pt>
                <c:pt idx="3">
                  <c:v>175.78</c:v>
                </c:pt>
                <c:pt idx="4">
                  <c:v>107.36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727-7146-881B-EDFBA99A988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EDC8-D841-920A-DC59971DC95F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EDC8-D841-920A-DC59971DC95F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EDC8-D841-920A-DC59971DC95F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EDC8-D841-920A-DC59971DC95F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EDC8-D841-920A-DC59971DC95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multirotor_fidelity2!$J$39:$J$43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multirotor_fidelity2!$K$39:$K$43</c:f>
              <c:numCache>
                <c:formatCode>General</c:formatCode>
                <c:ptCount val="5"/>
                <c:pt idx="0">
                  <c:v>27.54</c:v>
                </c:pt>
                <c:pt idx="1">
                  <c:v>35.79</c:v>
                </c:pt>
                <c:pt idx="2">
                  <c:v>23.85</c:v>
                </c:pt>
                <c:pt idx="3">
                  <c:v>8.01</c:v>
                </c:pt>
                <c:pt idx="4">
                  <c:v>4.8099999999999996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DC8-D841-920A-DC59971DC95F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96A5-B347-89CE-5C0D51C4FD6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96A5-B347-89CE-5C0D51C4FD6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96A5-B347-89CE-5C0D51C4FD6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96A5-B347-89CE-5C0D51C4FD6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96A5-B347-89CE-5C0D51C4FD6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multirotor_fidelity2!$J$31:$J$35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multirotor_fidelity2!$K$31:$K$35</c:f>
              <c:numCache>
                <c:formatCode>General</c:formatCode>
                <c:ptCount val="5"/>
                <c:pt idx="0">
                  <c:v>600</c:v>
                </c:pt>
                <c:pt idx="1">
                  <c:v>779.61</c:v>
                </c:pt>
                <c:pt idx="2">
                  <c:v>519.63</c:v>
                </c:pt>
                <c:pt idx="3">
                  <c:v>174.46</c:v>
                </c:pt>
                <c:pt idx="4">
                  <c:v>104.74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6A5-B347-89CE-5C0D51C4FD61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AB5F-4646-9083-700F5D6198D7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AB5F-4646-9083-700F5D6198D7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AB5F-4646-9083-700F5D6198D7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AB5F-4646-9083-700F5D6198D7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AB5F-4646-9083-700F5D6198D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'lift+cruise_fidelity0'!$J$42:$J$46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'lift+cruise_fidelity0'!$K$42:$K$46</c:f>
              <c:numCache>
                <c:formatCode>General</c:formatCode>
                <c:ptCount val="5"/>
                <c:pt idx="0">
                  <c:v>600</c:v>
                </c:pt>
                <c:pt idx="1">
                  <c:v>508.43</c:v>
                </c:pt>
                <c:pt idx="2">
                  <c:v>389.25</c:v>
                </c:pt>
                <c:pt idx="3">
                  <c:v>723.83</c:v>
                </c:pt>
                <c:pt idx="4">
                  <c:v>112.7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B5F-4646-9083-700F5D6198D7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 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D7A9-D34A-80CC-998DBF2EAB60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D7A9-D34A-80CC-998DBF2EAB60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D7A9-D34A-80CC-998DBF2EAB60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D7A9-D34A-80CC-998DBF2EAB60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D7A9-D34A-80CC-998DBF2EAB6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'lift+cruise_fidelity0'!$J$34:$J$38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'lift+cruise_fidelity0'!$K$34:$K$38</c:f>
              <c:numCache>
                <c:formatCode>General</c:formatCode>
                <c:ptCount val="5"/>
                <c:pt idx="0">
                  <c:v>25.7</c:v>
                </c:pt>
                <c:pt idx="1">
                  <c:v>21.78</c:v>
                </c:pt>
                <c:pt idx="2">
                  <c:v>16.68</c:v>
                </c:pt>
                <c:pt idx="3">
                  <c:v>31.01</c:v>
                </c:pt>
                <c:pt idx="4">
                  <c:v>4.83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7A9-D34A-80CC-998DBF2EAB60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8A4E-9149-A337-58005F2E9B58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8A4E-9149-A337-58005F2E9B58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8A4E-9149-A337-58005F2E9B58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8A4E-9149-A337-58005F2E9B58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8A4E-9149-A337-58005F2E9B5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'lift+cruise_fidelity1'!$J$42:$J$46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'lift+cruise_fidelity1'!$K$42:$K$46</c:f>
              <c:numCache>
                <c:formatCode>General</c:formatCode>
                <c:ptCount val="5"/>
                <c:pt idx="0">
                  <c:v>600</c:v>
                </c:pt>
                <c:pt idx="1">
                  <c:v>504.82</c:v>
                </c:pt>
                <c:pt idx="2">
                  <c:v>385.35</c:v>
                </c:pt>
                <c:pt idx="3">
                  <c:v>722.19</c:v>
                </c:pt>
                <c:pt idx="4">
                  <c:v>112.21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A4E-9149-A337-58005F2E9B58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 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05AF-AB42-A2FA-1A8A79D3F45C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05AF-AB42-A2FA-1A8A79D3F45C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05AF-AB42-A2FA-1A8A79D3F45C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05AF-AB42-A2FA-1A8A79D3F45C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05AF-AB42-A2FA-1A8A79D3F45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'lift+cruise_fidelity1'!$J$34:$J$38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'lift+cruise_fidelity1'!$K$34:$K$38</c:f>
              <c:numCache>
                <c:formatCode>General</c:formatCode>
                <c:ptCount val="5"/>
                <c:pt idx="0">
                  <c:v>25.81</c:v>
                </c:pt>
                <c:pt idx="1">
                  <c:v>21.72</c:v>
                </c:pt>
                <c:pt idx="2">
                  <c:v>16.579999999999998</c:v>
                </c:pt>
                <c:pt idx="3">
                  <c:v>31.07</c:v>
                </c:pt>
                <c:pt idx="4">
                  <c:v>4.83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5AF-AB42-A2FA-1A8A79D3F45C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C7C6-C447-912E-4427BAE6F8E2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C7C6-C447-912E-4427BAE6F8E2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C7C6-C447-912E-4427BAE6F8E2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C7C6-C447-912E-4427BAE6F8E2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C7C6-C447-912E-4427BAE6F8E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'lift+cruise_fidelity2'!$J$42:$J$46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'lift+cruise_fidelity2'!$K$42:$K$46</c:f>
              <c:numCache>
                <c:formatCode>General</c:formatCode>
                <c:ptCount val="5"/>
                <c:pt idx="0">
                  <c:v>600</c:v>
                </c:pt>
                <c:pt idx="1">
                  <c:v>675.81</c:v>
                </c:pt>
                <c:pt idx="2">
                  <c:v>561.66</c:v>
                </c:pt>
                <c:pt idx="3">
                  <c:v>794.55</c:v>
                </c:pt>
                <c:pt idx="4">
                  <c:v>135.15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7C6-C447-912E-4427BAE6F8E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 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CCA7-7D46-B981-01BD36208812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CCA7-7D46-B981-01BD36208812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CCA7-7D46-B981-01BD36208812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CCA7-7D46-B981-01BD36208812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CCA7-7D46-B981-01BD3620881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'lift+cruise_fidelity2'!$J$34:$J$38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'lift+cruise_fidelity2'!$K$34:$K$38</c:f>
              <c:numCache>
                <c:formatCode>General</c:formatCode>
                <c:ptCount val="5"/>
                <c:pt idx="0">
                  <c:v>21.68</c:v>
                </c:pt>
                <c:pt idx="1">
                  <c:v>24.42</c:v>
                </c:pt>
                <c:pt idx="2">
                  <c:v>20.3</c:v>
                </c:pt>
                <c:pt idx="3">
                  <c:v>28.71</c:v>
                </c:pt>
                <c:pt idx="4">
                  <c:v>4.88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CA7-7D46-B981-01BD3620881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276810</xdr:colOff>
      <xdr:row>29</xdr:row>
      <xdr:rowOff>159439</xdr:rowOff>
    </xdr:from>
    <xdr:to>
      <xdr:col>17</xdr:col>
      <xdr:colOff>93717</xdr:colOff>
      <xdr:row>41</xdr:row>
      <xdr:rowOff>130128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1CE1C9-E089-5B4E-A20D-9F0A421169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344289</xdr:colOff>
      <xdr:row>32</xdr:row>
      <xdr:rowOff>16000</xdr:rowOff>
    </xdr:from>
    <xdr:to>
      <xdr:col>8</xdr:col>
      <xdr:colOff>181756</xdr:colOff>
      <xdr:row>43</xdr:row>
      <xdr:rowOff>109133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F592E60-0489-E74B-82FC-CEE8010A35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441910</xdr:colOff>
      <xdr:row>30</xdr:row>
      <xdr:rowOff>70539</xdr:rowOff>
    </xdr:from>
    <xdr:to>
      <xdr:col>17</xdr:col>
      <xdr:colOff>93717</xdr:colOff>
      <xdr:row>42</xdr:row>
      <xdr:rowOff>41228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F07513D-49D6-AA48-9350-801DA9722D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344289</xdr:colOff>
      <xdr:row>34</xdr:row>
      <xdr:rowOff>54100</xdr:rowOff>
    </xdr:from>
    <xdr:to>
      <xdr:col>8</xdr:col>
      <xdr:colOff>181756</xdr:colOff>
      <xdr:row>45</xdr:row>
      <xdr:rowOff>147233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77A8925-0881-784B-9A81-49442A6B81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276810</xdr:colOff>
      <xdr:row>29</xdr:row>
      <xdr:rowOff>159439</xdr:rowOff>
    </xdr:from>
    <xdr:to>
      <xdr:col>17</xdr:col>
      <xdr:colOff>93717</xdr:colOff>
      <xdr:row>41</xdr:row>
      <xdr:rowOff>130128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C9B272-495C-584B-9385-72EE03F97E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382389</xdr:colOff>
      <xdr:row>28</xdr:row>
      <xdr:rowOff>181100</xdr:rowOff>
    </xdr:from>
    <xdr:to>
      <xdr:col>8</xdr:col>
      <xdr:colOff>219856</xdr:colOff>
      <xdr:row>40</xdr:row>
      <xdr:rowOff>71033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1E123E1-F43F-4C41-963D-EE46FFD80C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327227</xdr:colOff>
      <xdr:row>50</xdr:row>
      <xdr:rowOff>85113</xdr:rowOff>
    </xdr:from>
    <xdr:to>
      <xdr:col>12</xdr:col>
      <xdr:colOff>204759</xdr:colOff>
      <xdr:row>62</xdr:row>
      <xdr:rowOff>65357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B1CBC6-84EC-8745-BD4C-46A724EFF3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286433</xdr:colOff>
      <xdr:row>62</xdr:row>
      <xdr:rowOff>189610</xdr:rowOff>
    </xdr:from>
    <xdr:to>
      <xdr:col>12</xdr:col>
      <xdr:colOff>175436</xdr:colOff>
      <xdr:row>74</xdr:row>
      <xdr:rowOff>169855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EE1386F-6C97-874B-857E-C5B3029F59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327227</xdr:colOff>
      <xdr:row>50</xdr:row>
      <xdr:rowOff>85113</xdr:rowOff>
    </xdr:from>
    <xdr:to>
      <xdr:col>12</xdr:col>
      <xdr:colOff>204759</xdr:colOff>
      <xdr:row>62</xdr:row>
      <xdr:rowOff>65357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95B303-FA41-714F-9295-E2307B2485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286433</xdr:colOff>
      <xdr:row>62</xdr:row>
      <xdr:rowOff>189610</xdr:rowOff>
    </xdr:from>
    <xdr:to>
      <xdr:col>12</xdr:col>
      <xdr:colOff>175436</xdr:colOff>
      <xdr:row>74</xdr:row>
      <xdr:rowOff>169855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D3F6C2B-EBC6-F848-9097-717A680ACB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327227</xdr:colOff>
      <xdr:row>50</xdr:row>
      <xdr:rowOff>85113</xdr:rowOff>
    </xdr:from>
    <xdr:to>
      <xdr:col>12</xdr:col>
      <xdr:colOff>204759</xdr:colOff>
      <xdr:row>62</xdr:row>
      <xdr:rowOff>65357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3ACCD21-002A-8741-926C-817623265A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286433</xdr:colOff>
      <xdr:row>62</xdr:row>
      <xdr:rowOff>189610</xdr:rowOff>
    </xdr:from>
    <xdr:to>
      <xdr:col>12</xdr:col>
      <xdr:colOff>175436</xdr:colOff>
      <xdr:row>74</xdr:row>
      <xdr:rowOff>169855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F087AFF-C185-9D4C-BB32-4F09A99B05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37D87-B951-4841-B7CA-13CC46090773}">
  <dimension ref="B1:AO56"/>
  <sheetViews>
    <sheetView workbookViewId="0">
      <selection activeCell="E5" sqref="E5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0.83203125" style="6"/>
    <col min="4" max="4" width="7.1640625" style="6" customWidth="1"/>
    <col min="5" max="5" width="5.6640625" style="6" customWidth="1"/>
    <col min="6" max="6" width="20.66406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3.1640625" style="6" customWidth="1"/>
    <col min="12" max="12" width="4.83203125" style="6" customWidth="1"/>
    <col min="13" max="13" width="6" style="6" customWidth="1"/>
    <col min="14" max="14" width="15.33203125" style="6" customWidth="1"/>
    <col min="15" max="15" width="11.1640625" style="6" customWidth="1"/>
    <col min="16" max="16" width="6.33203125" style="6" customWidth="1"/>
    <col min="17" max="17" width="6" style="6" customWidth="1"/>
    <col min="18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7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2" width="5.1640625" style="6" customWidth="1"/>
    <col min="33" max="33" width="11.83203125" style="6" bestFit="1" customWidth="1"/>
    <col min="34" max="34" width="16.5" style="6" bestFit="1" customWidth="1"/>
    <col min="35" max="35" width="11.83203125" style="6" bestFit="1" customWidth="1"/>
    <col min="36" max="36" width="14.1640625" style="6" bestFit="1" customWidth="1"/>
    <col min="37" max="37" width="18.33203125" style="6" customWidth="1"/>
    <col min="38" max="41" width="11.83203125" style="6" bestFit="1" customWidth="1"/>
    <col min="42" max="16384" width="10.83203125" style="6"/>
  </cols>
  <sheetData>
    <row r="1" spans="2:41" x14ac:dyDescent="0.2">
      <c r="B1" s="60" t="s">
        <v>0</v>
      </c>
      <c r="C1" s="60"/>
      <c r="D1" s="60"/>
    </row>
    <row r="2" spans="2:41" x14ac:dyDescent="0.2">
      <c r="U2" s="16" t="s">
        <v>96</v>
      </c>
      <c r="AF2" s="16" t="s">
        <v>79</v>
      </c>
    </row>
    <row r="3" spans="2:41" x14ac:dyDescent="0.2">
      <c r="B3" s="57" t="s">
        <v>127</v>
      </c>
      <c r="C3" s="58"/>
      <c r="D3" s="58"/>
      <c r="F3" s="57" t="s">
        <v>83</v>
      </c>
      <c r="G3" s="58"/>
      <c r="H3" s="58"/>
      <c r="J3" s="54" t="s">
        <v>101</v>
      </c>
      <c r="K3" s="54"/>
      <c r="L3" s="54"/>
      <c r="N3" s="54" t="s">
        <v>95</v>
      </c>
      <c r="O3" s="54"/>
      <c r="P3" s="54"/>
      <c r="U3" s="7" t="s">
        <v>44</v>
      </c>
      <c r="V3" s="7" t="s">
        <v>45</v>
      </c>
      <c r="W3" s="7" t="s">
        <v>46</v>
      </c>
      <c r="X3" s="7" t="s">
        <v>47</v>
      </c>
      <c r="Y3" s="7" t="s">
        <v>48</v>
      </c>
      <c r="Z3" s="7" t="s">
        <v>49</v>
      </c>
      <c r="AA3" s="7" t="s">
        <v>50</v>
      </c>
      <c r="AB3" s="7" t="s">
        <v>51</v>
      </c>
      <c r="AC3" s="7" t="s">
        <v>52</v>
      </c>
      <c r="AD3" s="7" t="s">
        <v>53</v>
      </c>
      <c r="AF3" s="7" t="s">
        <v>44</v>
      </c>
      <c r="AG3" s="7" t="s">
        <v>45</v>
      </c>
      <c r="AH3" s="7" t="s">
        <v>46</v>
      </c>
      <c r="AI3" s="7" t="s">
        <v>47</v>
      </c>
      <c r="AJ3" s="7" t="s">
        <v>48</v>
      </c>
      <c r="AK3" s="7" t="s">
        <v>49</v>
      </c>
      <c r="AL3" s="7" t="s">
        <v>50</v>
      </c>
      <c r="AM3" s="7" t="s">
        <v>51</v>
      </c>
      <c r="AN3" s="7" t="s">
        <v>52</v>
      </c>
      <c r="AO3" s="7" t="s">
        <v>53</v>
      </c>
    </row>
    <row r="4" spans="2:41" x14ac:dyDescent="0.2">
      <c r="B4" s="6" t="s">
        <v>39</v>
      </c>
      <c r="C4" s="22" t="s">
        <v>75</v>
      </c>
      <c r="F4" t="s">
        <v>87</v>
      </c>
      <c r="G4" s="1">
        <f>500*0.3048/60</f>
        <v>2.54</v>
      </c>
      <c r="H4" t="s">
        <v>10</v>
      </c>
      <c r="J4" t="s">
        <v>102</v>
      </c>
      <c r="K4" s="6">
        <f>(1+$C$22/100)*MAX(G12,G22,G31)</f>
        <v>369.25330035811135</v>
      </c>
      <c r="L4" s="6" t="s">
        <v>104</v>
      </c>
      <c r="N4" s="6" t="s">
        <v>25</v>
      </c>
      <c r="O4" s="6">
        <f xml:space="preserve"> 0.5 * $C$47 * $C$8^2</f>
        <v>1260.6806333299751</v>
      </c>
      <c r="P4" s="6" t="s">
        <v>26</v>
      </c>
      <c r="U4" s="2">
        <v>0</v>
      </c>
      <c r="V4" s="3">
        <v>0</v>
      </c>
      <c r="W4" s="2">
        <f t="shared" ref="W4:W34" si="0" xml:space="preserve"> $O$21 * TAN($O$18/180*PI()) + $O$22 / (2 * SQRT($O$21^2 + V4^2)) - V4</f>
        <v>2.0795366847058284E-2</v>
      </c>
      <c r="X4" s="3">
        <v>1</v>
      </c>
      <c r="Y4" s="2">
        <f t="shared" ref="Y4:Y34" si="1" xml:space="preserve"> $O$21 * TAN($O$18/180*PI()) + $O$22 / (2 * SQRT($O$21^2 + X4^2)) - X4</f>
        <v>-0.98341488093855645</v>
      </c>
      <c r="Z4" s="2">
        <f xml:space="preserve"> (V4 + X4)/2</f>
        <v>0.5</v>
      </c>
      <c r="AA4" s="2">
        <f t="shared" ref="AA4:AA34" si="2" xml:space="preserve"> $O$21 * TAN($O$18/180*PI()) + $O$22 / (2 * SQRT($O$21^2 + Z4^2)) - Z4</f>
        <v>-0.48221488798013085</v>
      </c>
      <c r="AB4" s="2">
        <f>W4*AA4</f>
        <v>-1.0027835494659937E-2</v>
      </c>
      <c r="AC4" s="2">
        <f>Y4*AA4</f>
        <v>0.47421729664977968</v>
      </c>
      <c r="AD4" s="2">
        <f>X4-V4</f>
        <v>1</v>
      </c>
      <c r="AF4" s="2">
        <v>0</v>
      </c>
      <c r="AG4" s="2"/>
      <c r="AH4" s="2">
        <f>K27</f>
        <v>1.0122676030732691E-9</v>
      </c>
      <c r="AI4" s="2"/>
      <c r="AJ4" s="2">
        <f>K27</f>
        <v>1.0122676030732691E-9</v>
      </c>
      <c r="AK4" s="2"/>
      <c r="AL4" s="2">
        <f>K27</f>
        <v>1.0122676030732691E-9</v>
      </c>
      <c r="AM4" s="2"/>
      <c r="AN4" s="2"/>
      <c r="AO4" s="2"/>
    </row>
    <row r="5" spans="2:41" x14ac:dyDescent="0.2">
      <c r="B5" s="10" t="s">
        <v>40</v>
      </c>
      <c r="C5" s="10">
        <f>AK44</f>
        <v>2199.8564090804393</v>
      </c>
      <c r="D5" s="10" t="s">
        <v>7</v>
      </c>
      <c r="F5" t="s">
        <v>90</v>
      </c>
      <c r="G5" s="1">
        <f>1000*0.3048</f>
        <v>304.8</v>
      </c>
      <c r="H5" t="s">
        <v>8</v>
      </c>
      <c r="J5" t="s">
        <v>103</v>
      </c>
      <c r="K5" s="6">
        <f>K4/$C$18</f>
        <v>92.313325089527837</v>
      </c>
      <c r="L5" s="6" t="s">
        <v>104</v>
      </c>
      <c r="N5" s="6" t="s">
        <v>119</v>
      </c>
      <c r="O5" s="6">
        <f xml:space="preserve"> $C$18 * 0.85 * ($C$5/$C$18 *2.20462/1000)^(2/3) * 0.3048^2</f>
        <v>0.35915967193848236</v>
      </c>
      <c r="P5" s="6" t="s">
        <v>120</v>
      </c>
      <c r="U5" s="2">
        <v>1</v>
      </c>
      <c r="V5" s="2">
        <f>IF(AB4&gt;0, Z4, V4)</f>
        <v>0</v>
      </c>
      <c r="W5" s="2">
        <f t="shared" si="0"/>
        <v>2.0795366847058284E-2</v>
      </c>
      <c r="X5" s="2">
        <f>IF(AC4&gt;0, Z4, X4)</f>
        <v>0.5</v>
      </c>
      <c r="Y5" s="2">
        <f t="shared" si="1"/>
        <v>-0.48221488798013085</v>
      </c>
      <c r="Z5" s="2">
        <f t="shared" ref="Z5:Z34" si="3" xml:space="preserve"> (V5 + X5)/2</f>
        <v>0.25</v>
      </c>
      <c r="AA5" s="2">
        <f t="shared" si="2"/>
        <v>-0.23074857029951942</v>
      </c>
      <c r="AB5" s="2">
        <f t="shared" ref="AB5:AB34" si="4">W5*AA5</f>
        <v>-4.7985011688127244E-3</v>
      </c>
      <c r="AC5" s="2">
        <f t="shared" ref="AC5:AC34" si="5">Y5*AA5</f>
        <v>0.1112703959785581</v>
      </c>
      <c r="AD5" s="2">
        <f t="shared" ref="AD5:AD33" si="6">X5-V5</f>
        <v>0.5</v>
      </c>
      <c r="AF5" s="2">
        <v>1</v>
      </c>
      <c r="AG5" s="3">
        <v>500</v>
      </c>
      <c r="AH5" s="2">
        <f t="dataTable" ref="AH5:AH44" dt2D="0" dtr="0" r1="C5"/>
        <v>-1015.9902525666422</v>
      </c>
      <c r="AI5" s="3">
        <v>5000</v>
      </c>
      <c r="AJ5" s="2">
        <f t="dataTable" ref="AJ5:AJ44" dt2D="0" dtr="0" r1="C5" ca="1"/>
        <v>1305.1537683498823</v>
      </c>
      <c r="AK5" s="2">
        <f>(AG5+AI5)/2</f>
        <v>2750</v>
      </c>
      <c r="AL5" s="2">
        <f t="dataTable" ref="AL5:AL44" dt2D="0" dtr="0" r1="C5" ca="1"/>
        <v>287.75892107616642</v>
      </c>
      <c r="AM5" s="2">
        <f>AH5*AL5</f>
        <v>-292360.25890247879</v>
      </c>
      <c r="AN5" s="2">
        <f>AJ5*AL5</f>
        <v>375569.64021885494</v>
      </c>
      <c r="AO5" s="2">
        <f>AI5-AG5</f>
        <v>4500</v>
      </c>
    </row>
    <row r="6" spans="2:41" x14ac:dyDescent="0.2">
      <c r="B6" s="6" t="s">
        <v>270</v>
      </c>
      <c r="C6" s="17">
        <v>400</v>
      </c>
      <c r="D6" s="6" t="s">
        <v>134</v>
      </c>
      <c r="F6" t="s">
        <v>91</v>
      </c>
      <c r="G6" s="8">
        <f>$G$5/$G$4</f>
        <v>120</v>
      </c>
      <c r="H6" s="6" t="s">
        <v>14</v>
      </c>
      <c r="N6" t="s">
        <v>121</v>
      </c>
      <c r="O6">
        <f xml:space="preserve"> O5 / (PI() * $C$9^2)</f>
        <v>7.1452546435341203E-3</v>
      </c>
      <c r="U6" s="2">
        <v>2</v>
      </c>
      <c r="V6" s="2">
        <f t="shared" ref="V6:V34" si="7">IF(AB5&gt;0, Z5, V5)</f>
        <v>0</v>
      </c>
      <c r="W6" s="2">
        <f t="shared" si="0"/>
        <v>2.0795366847058284E-2</v>
      </c>
      <c r="X6" s="2">
        <f t="shared" ref="X6:X34" si="8">IF(AC5&gt;0, Z5, X5)</f>
        <v>0.25</v>
      </c>
      <c r="Y6" s="2">
        <f t="shared" si="1"/>
        <v>-0.23074857029951942</v>
      </c>
      <c r="Z6" s="2">
        <f t="shared" si="3"/>
        <v>0.125</v>
      </c>
      <c r="AA6" s="2">
        <f t="shared" si="2"/>
        <v>-0.10474606142421147</v>
      </c>
      <c r="AB6" s="2">
        <f t="shared" si="4"/>
        <v>-2.1782327731009778E-3</v>
      </c>
      <c r="AC6" s="2">
        <f t="shared" si="5"/>
        <v>2.4170003918142439E-2</v>
      </c>
      <c r="AD6" s="2">
        <f t="shared" si="6"/>
        <v>0.25</v>
      </c>
      <c r="AF6" s="2">
        <v>2</v>
      </c>
      <c r="AG6" s="2">
        <f>IF(AM5&gt;0, AK5, AG5)</f>
        <v>500</v>
      </c>
      <c r="AH6" s="2">
        <v>-1015.9902525666422</v>
      </c>
      <c r="AI6" s="2">
        <f>IF(AN5&gt;0, AK5, AI5)</f>
        <v>2750</v>
      </c>
      <c r="AJ6" s="2">
        <v>287.75892107616642</v>
      </c>
      <c r="AK6" s="2">
        <f t="shared" ref="AK6:AK43" si="9">(AG6+AI6)/2</f>
        <v>1625</v>
      </c>
      <c r="AL6" s="2">
        <v>-329.11748272751697</v>
      </c>
      <c r="AM6" s="2">
        <f t="shared" ref="AM6:AM44" si="10">AH6*AL6</f>
        <v>334380.15440042748</v>
      </c>
      <c r="AN6" s="2">
        <f t="shared" ref="AN6:AN44" si="11">AJ6*AL6</f>
        <v>-94706.491736974116</v>
      </c>
      <c r="AO6" s="2">
        <f t="shared" ref="AO6:AO44" si="12">AI6-AG6</f>
        <v>2250</v>
      </c>
    </row>
    <row r="7" spans="2:41" x14ac:dyDescent="0.2">
      <c r="B7" s="6" t="s">
        <v>269</v>
      </c>
      <c r="C7" s="17">
        <v>450</v>
      </c>
      <c r="D7" s="6" t="s">
        <v>134</v>
      </c>
      <c r="F7" t="s">
        <v>130</v>
      </c>
      <c r="G7" s="8">
        <f>$C$6*2*PI()/60*$C$9</f>
        <v>167.55160819145564</v>
      </c>
      <c r="H7" s="6" t="s">
        <v>10</v>
      </c>
      <c r="J7" s="54" t="s">
        <v>23</v>
      </c>
      <c r="K7" s="54"/>
      <c r="L7" s="54"/>
      <c r="N7" t="s">
        <v>123</v>
      </c>
      <c r="O7" s="17">
        <f>0.01230085</f>
        <v>1.230085E-2</v>
      </c>
      <c r="U7" s="2">
        <v>3</v>
      </c>
      <c r="V7" s="2">
        <f t="shared" si="7"/>
        <v>0</v>
      </c>
      <c r="W7" s="2">
        <f t="shared" si="0"/>
        <v>2.0795366847058284E-2</v>
      </c>
      <c r="X7" s="2">
        <f t="shared" si="8"/>
        <v>0.125</v>
      </c>
      <c r="Y7" s="2">
        <f t="shared" si="1"/>
        <v>-0.10474606142421147</v>
      </c>
      <c r="Z7" s="2">
        <f t="shared" si="3"/>
        <v>6.25E-2</v>
      </c>
      <c r="AA7" s="2">
        <f t="shared" si="2"/>
        <v>-4.1855936826640773E-2</v>
      </c>
      <c r="AB7" s="2">
        <f t="shared" si="4"/>
        <v>-8.7040956103729143E-4</v>
      </c>
      <c r="AC7" s="2">
        <f t="shared" si="5"/>
        <v>4.3842445298112294E-3</v>
      </c>
      <c r="AD7" s="2">
        <f t="shared" si="6"/>
        <v>0.125</v>
      </c>
      <c r="AF7" s="2">
        <v>3</v>
      </c>
      <c r="AG7" s="2">
        <f t="shared" ref="AG7:AG44" si="13">IF(AM6&gt;0, AK6, AG6)</f>
        <v>1625</v>
      </c>
      <c r="AH7" s="2">
        <v>-329.11748272751697</v>
      </c>
      <c r="AI7" s="2">
        <f t="shared" ref="AI7:AI44" si="14">IF(AN6&gt;0, AK6, AI6)</f>
        <v>2750</v>
      </c>
      <c r="AJ7" s="2">
        <v>287.75892107616642</v>
      </c>
      <c r="AK7" s="2">
        <f t="shared" si="9"/>
        <v>2187.5</v>
      </c>
      <c r="AL7" s="2">
        <v>-6.6289745773513005</v>
      </c>
      <c r="AM7" s="2">
        <f t="shared" si="10"/>
        <v>2181.711425962566</v>
      </c>
      <c r="AN7" s="2">
        <f t="shared" si="11"/>
        <v>-1907.5465722199465</v>
      </c>
      <c r="AO7" s="2">
        <f t="shared" si="12"/>
        <v>1125</v>
      </c>
    </row>
    <row r="8" spans="2:41" x14ac:dyDescent="0.2">
      <c r="B8" s="6" t="s">
        <v>9</v>
      </c>
      <c r="C8" s="17">
        <f>180*1000/3600</f>
        <v>50</v>
      </c>
      <c r="D8" s="6" t="s">
        <v>10</v>
      </c>
      <c r="F8" t="s">
        <v>133</v>
      </c>
      <c r="G8" s="8">
        <f>G7/$C$43</f>
        <v>0.50177629770214827</v>
      </c>
      <c r="H8" s="6" t="s">
        <v>131</v>
      </c>
      <c r="J8" s="6" t="s">
        <v>99</v>
      </c>
      <c r="K8" s="6">
        <f xml:space="preserve"> $C$15 * (G12*G6 + G22*G15 + G31*G27)/3600</f>
        <v>132.23406800258789</v>
      </c>
      <c r="L8" s="6" t="s">
        <v>105</v>
      </c>
      <c r="N8" s="6" t="s">
        <v>122</v>
      </c>
      <c r="O8" s="6">
        <f xml:space="preserve"> $O$7 + O6</f>
        <v>1.9446104643534121E-2</v>
      </c>
      <c r="U8" s="2">
        <v>4</v>
      </c>
      <c r="V8" s="2">
        <f t="shared" si="7"/>
        <v>0</v>
      </c>
      <c r="W8" s="2">
        <f t="shared" si="0"/>
        <v>2.0795366847058284E-2</v>
      </c>
      <c r="X8" s="2">
        <f t="shared" si="8"/>
        <v>6.25E-2</v>
      </c>
      <c r="Y8" s="2">
        <f t="shared" si="1"/>
        <v>-4.1855936826640773E-2</v>
      </c>
      <c r="Z8" s="2">
        <f t="shared" si="3"/>
        <v>3.125E-2</v>
      </c>
      <c r="AA8" s="2">
        <f t="shared" si="2"/>
        <v>-1.0493625312801874E-2</v>
      </c>
      <c r="AB8" s="2">
        <f t="shared" si="4"/>
        <v>-2.182187879352917E-4</v>
      </c>
      <c r="AC8" s="2">
        <f t="shared" si="5"/>
        <v>4.3922051817507374E-4</v>
      </c>
      <c r="AD8" s="2">
        <f t="shared" si="6"/>
        <v>6.25E-2</v>
      </c>
      <c r="AF8" s="2">
        <v>4</v>
      </c>
      <c r="AG8" s="2">
        <f t="shared" si="13"/>
        <v>2187.5</v>
      </c>
      <c r="AH8" s="2">
        <v>-6.6289745773513005</v>
      </c>
      <c r="AI8" s="2">
        <f t="shared" si="14"/>
        <v>2750</v>
      </c>
      <c r="AJ8" s="2">
        <v>287.75892107616642</v>
      </c>
      <c r="AK8" s="2">
        <f t="shared" si="9"/>
        <v>2468.75</v>
      </c>
      <c r="AL8" s="2">
        <v>142.4693393651296</v>
      </c>
      <c r="AM8" s="2">
        <f t="shared" si="10"/>
        <v>-944.42562870347899</v>
      </c>
      <c r="AN8" s="2">
        <f t="shared" si="11"/>
        <v>40996.823382143899</v>
      </c>
      <c r="AO8" s="2">
        <f t="shared" si="12"/>
        <v>562.5</v>
      </c>
    </row>
    <row r="9" spans="2:41" x14ac:dyDescent="0.2">
      <c r="B9" s="6" t="s">
        <v>98</v>
      </c>
      <c r="C9" s="17">
        <v>4</v>
      </c>
      <c r="D9" s="6" t="s">
        <v>8</v>
      </c>
      <c r="F9" t="s">
        <v>21</v>
      </c>
      <c r="G9" s="6">
        <f xml:space="preserve"> $C$5 * $C$44 / $C$18</f>
        <v>5390.4683045371712</v>
      </c>
      <c r="H9" s="6" t="s">
        <v>22</v>
      </c>
      <c r="J9" s="6" t="s">
        <v>265</v>
      </c>
      <c r="K9" s="6">
        <f xml:space="preserve"> $C$15 * (G6 + G15 + G27)/3600</f>
        <v>0.62222222222222223</v>
      </c>
      <c r="L9" s="6" t="s">
        <v>106</v>
      </c>
      <c r="N9" s="6" t="s">
        <v>41</v>
      </c>
      <c r="O9" s="6">
        <f xml:space="preserve"> O4 *O8 * PI() * $C$9 * $C$9</f>
        <v>1232.274765284872</v>
      </c>
      <c r="P9" s="6" t="s">
        <v>22</v>
      </c>
      <c r="U9" s="2">
        <v>5</v>
      </c>
      <c r="V9" s="2">
        <f t="shared" si="7"/>
        <v>0</v>
      </c>
      <c r="W9" s="2">
        <f t="shared" si="0"/>
        <v>2.0795366847058284E-2</v>
      </c>
      <c r="X9" s="2">
        <f t="shared" si="8"/>
        <v>3.125E-2</v>
      </c>
      <c r="Y9" s="2">
        <f t="shared" si="1"/>
        <v>-1.0493625312801874E-2</v>
      </c>
      <c r="Z9" s="2">
        <f t="shared" si="3"/>
        <v>1.5625E-2</v>
      </c>
      <c r="AA9" s="2">
        <f t="shared" si="2"/>
        <v>5.1605427638422574E-3</v>
      </c>
      <c r="AB9" s="2">
        <f t="shared" si="4"/>
        <v>1.073153799040318E-4</v>
      </c>
      <c r="AC9" s="2">
        <f t="shared" si="5"/>
        <v>-5.415280217445166E-5</v>
      </c>
      <c r="AD9" s="2">
        <f t="shared" si="6"/>
        <v>3.125E-2</v>
      </c>
      <c r="AF9" s="2">
        <v>5</v>
      </c>
      <c r="AG9" s="2">
        <f t="shared" si="13"/>
        <v>2187.5</v>
      </c>
      <c r="AH9" s="2">
        <v>-6.6289745773513005</v>
      </c>
      <c r="AI9" s="2">
        <f t="shared" si="14"/>
        <v>2468.75</v>
      </c>
      <c r="AJ9" s="2">
        <v>142.4693393651296</v>
      </c>
      <c r="AK9" s="2">
        <f t="shared" si="9"/>
        <v>2328.125</v>
      </c>
      <c r="AL9" s="2">
        <v>68.389827979353186</v>
      </c>
      <c r="AM9" s="2">
        <f t="shared" si="10"/>
        <v>-453.35443102456094</v>
      </c>
      <c r="AN9" s="2">
        <f t="shared" si="11"/>
        <v>9743.4536115133051</v>
      </c>
      <c r="AO9" s="2">
        <f t="shared" si="12"/>
        <v>281.25</v>
      </c>
    </row>
    <row r="10" spans="2:41" x14ac:dyDescent="0.2">
      <c r="B10" s="6" t="s">
        <v>224</v>
      </c>
      <c r="C10" s="17">
        <f>(0.071475+0.069425+0.067375+0.065325+0.063275+0.061225+0.059175+0.057125)/8</f>
        <v>6.4299999999999982E-2</v>
      </c>
      <c r="F10" t="s">
        <v>100</v>
      </c>
      <c r="G10" s="6">
        <f>G12/$C$18</f>
        <v>61.542216726351889</v>
      </c>
      <c r="H10" s="6" t="s">
        <v>104</v>
      </c>
      <c r="N10" s="6" t="s">
        <v>42</v>
      </c>
      <c r="O10" s="6">
        <f xml:space="preserve"> O9</f>
        <v>1232.274765284872</v>
      </c>
      <c r="P10" s="6" t="s">
        <v>22</v>
      </c>
      <c r="U10" s="2">
        <v>6</v>
      </c>
      <c r="V10" s="2">
        <f t="shared" si="7"/>
        <v>1.5625E-2</v>
      </c>
      <c r="W10" s="2">
        <f t="shared" si="0"/>
        <v>5.1605427638422574E-3</v>
      </c>
      <c r="X10" s="2">
        <f t="shared" si="8"/>
        <v>3.125E-2</v>
      </c>
      <c r="Y10" s="2">
        <f t="shared" si="1"/>
        <v>-1.0493625312801874E-2</v>
      </c>
      <c r="Z10" s="2">
        <f t="shared" si="3"/>
        <v>2.34375E-2</v>
      </c>
      <c r="AA10" s="2">
        <f t="shared" si="2"/>
        <v>-2.6641656904353161E-3</v>
      </c>
      <c r="AB10" s="2">
        <f t="shared" si="4"/>
        <v>-1.3748540975452783E-5</v>
      </c>
      <c r="AC10" s="2">
        <f t="shared" si="5"/>
        <v>2.7956756526650317E-5</v>
      </c>
      <c r="AD10" s="2">
        <f t="shared" si="6"/>
        <v>1.5625E-2</v>
      </c>
      <c r="AF10" s="2">
        <v>6</v>
      </c>
      <c r="AG10" s="2">
        <f t="shared" si="13"/>
        <v>2187.5</v>
      </c>
      <c r="AH10" s="2">
        <v>-6.6289745773513005</v>
      </c>
      <c r="AI10" s="2">
        <f t="shared" si="14"/>
        <v>2328.125</v>
      </c>
      <c r="AJ10" s="2">
        <v>68.389827979353186</v>
      </c>
      <c r="AK10" s="2">
        <f t="shared" si="9"/>
        <v>2257.8125</v>
      </c>
      <c r="AL10" s="2">
        <v>30.996859881011005</v>
      </c>
      <c r="AM10" s="2">
        <f t="shared" si="10"/>
        <v>-205.47739612894242</v>
      </c>
      <c r="AN10" s="2">
        <f t="shared" si="11"/>
        <v>2119.8699151624569</v>
      </c>
      <c r="AO10" s="2">
        <f t="shared" si="12"/>
        <v>140.625</v>
      </c>
    </row>
    <row r="11" spans="2:41" x14ac:dyDescent="0.2">
      <c r="F11" t="s">
        <v>274</v>
      </c>
      <c r="G11" s="6">
        <f xml:space="preserve"> (G9/$C$44*1000) / ($G$10*1000)</f>
        <v>8.9363713483953777</v>
      </c>
      <c r="H11" s="6" t="s">
        <v>275</v>
      </c>
      <c r="J11" s="57" t="s">
        <v>54</v>
      </c>
      <c r="K11" s="57"/>
      <c r="L11" s="57"/>
      <c r="N11" s="6" t="s">
        <v>118</v>
      </c>
      <c r="O11" s="6">
        <f>($O$8*PI()*$C$9^2)/(0.3048^2)/($C$5*2.20462/1000)^(2/3) + 0.85</f>
        <v>4.5221507114374111</v>
      </c>
      <c r="U11" s="2">
        <v>7</v>
      </c>
      <c r="V11" s="2">
        <f t="shared" si="7"/>
        <v>1.5625E-2</v>
      </c>
      <c r="W11" s="2">
        <f t="shared" si="0"/>
        <v>5.1605427638422574E-3</v>
      </c>
      <c r="X11" s="2">
        <f t="shared" si="8"/>
        <v>2.34375E-2</v>
      </c>
      <c r="Y11" s="2">
        <f t="shared" si="1"/>
        <v>-2.6641656904353161E-3</v>
      </c>
      <c r="Z11" s="2">
        <f t="shared" si="3"/>
        <v>1.953125E-2</v>
      </c>
      <c r="AA11" s="2">
        <f t="shared" si="2"/>
        <v>1.2487891520009294E-3</v>
      </c>
      <c r="AB11" s="2">
        <f t="shared" si="4"/>
        <v>6.4444298219231051E-6</v>
      </c>
      <c r="AC11" s="2">
        <f t="shared" si="5"/>
        <v>-3.3269812133486887E-6</v>
      </c>
      <c r="AD11" s="2">
        <f t="shared" si="6"/>
        <v>7.8125E-3</v>
      </c>
      <c r="AF11" s="2">
        <v>7</v>
      </c>
      <c r="AG11" s="2">
        <f t="shared" si="13"/>
        <v>2187.5</v>
      </c>
      <c r="AH11" s="2">
        <v>-6.6289745773513005</v>
      </c>
      <c r="AI11" s="2">
        <f t="shared" si="14"/>
        <v>2257.8125</v>
      </c>
      <c r="AJ11" s="2">
        <v>30.996859881011005</v>
      </c>
      <c r="AK11" s="2">
        <f t="shared" si="9"/>
        <v>2222.65625</v>
      </c>
      <c r="AL11" s="2">
        <v>12.212914956643544</v>
      </c>
      <c r="AM11" s="2">
        <f t="shared" si="10"/>
        <v>-80.959102762943516</v>
      </c>
      <c r="AN11" s="2">
        <f t="shared" si="11"/>
        <v>378.56201364978352</v>
      </c>
      <c r="AO11" s="2">
        <f t="shared" si="12"/>
        <v>70.3125</v>
      </c>
    </row>
    <row r="12" spans="2:41" x14ac:dyDescent="0.2">
      <c r="B12" s="54" t="s">
        <v>12</v>
      </c>
      <c r="C12" s="54"/>
      <c r="D12" s="54"/>
      <c r="F12" s="42" t="s">
        <v>85</v>
      </c>
      <c r="G12" s="43">
        <f xml:space="preserve"> 1/1000 * (($C$5*$C$44)/$C$21 * ( ($G$4/2) + SQRT( ($G$4/2)^2 + ($C$5*$C$44) / (2*$C$41*PI()*$C$9^2 * $C$18) ) ) )</f>
        <v>246.16886690540755</v>
      </c>
      <c r="H12" s="43" t="s">
        <v>104</v>
      </c>
      <c r="J12" s="10" t="s">
        <v>82</v>
      </c>
      <c r="K12" s="6">
        <f>C5</f>
        <v>2199.8564090804393</v>
      </c>
      <c r="L12" s="6" t="s">
        <v>7</v>
      </c>
      <c r="U12" s="2">
        <v>8</v>
      </c>
      <c r="V12" s="2">
        <f t="shared" si="7"/>
        <v>1.953125E-2</v>
      </c>
      <c r="W12" s="2">
        <f t="shared" si="0"/>
        <v>1.2487891520009294E-3</v>
      </c>
      <c r="X12" s="2">
        <f t="shared" si="8"/>
        <v>2.34375E-2</v>
      </c>
      <c r="Y12" s="2">
        <f t="shared" si="1"/>
        <v>-2.6641656904353161E-3</v>
      </c>
      <c r="Z12" s="2">
        <f t="shared" si="3"/>
        <v>2.1484375E-2</v>
      </c>
      <c r="AA12" s="2">
        <f t="shared" si="2"/>
        <v>-7.0753886927670678E-4</v>
      </c>
      <c r="AB12" s="2">
        <f t="shared" si="4"/>
        <v>-8.8356686457175504E-7</v>
      </c>
      <c r="AC12" s="2">
        <f t="shared" si="5"/>
        <v>1.8850007801764004E-6</v>
      </c>
      <c r="AD12" s="2">
        <f t="shared" si="6"/>
        <v>3.90625E-3</v>
      </c>
      <c r="AF12" s="2">
        <v>8</v>
      </c>
      <c r="AG12" s="2">
        <f t="shared" si="13"/>
        <v>2187.5</v>
      </c>
      <c r="AH12" s="2">
        <v>-6.6289745773513005</v>
      </c>
      <c r="AI12" s="2">
        <f t="shared" si="14"/>
        <v>2222.65625</v>
      </c>
      <c r="AJ12" s="2">
        <v>12.212914956643544</v>
      </c>
      <c r="AK12" s="2">
        <f t="shared" si="9"/>
        <v>2205.078125</v>
      </c>
      <c r="AL12" s="2">
        <v>2.7991908662331753</v>
      </c>
      <c r="AM12" s="2">
        <f t="shared" si="10"/>
        <v>-18.555765089413683</v>
      </c>
      <c r="AN12" s="2">
        <f t="shared" si="11"/>
        <v>34.186279996719144</v>
      </c>
      <c r="AO12" s="2">
        <f t="shared" si="12"/>
        <v>35.15625</v>
      </c>
    </row>
    <row r="13" spans="2:41" x14ac:dyDescent="0.2">
      <c r="B13" s="6" t="s">
        <v>71</v>
      </c>
      <c r="C13" s="6">
        <f>C25*100</f>
        <v>600</v>
      </c>
      <c r="D13" s="6" t="s">
        <v>7</v>
      </c>
      <c r="J13" s="11" t="s">
        <v>55</v>
      </c>
      <c r="K13" s="6">
        <f xml:space="preserve"> K8 * 1000 / ($C$36 * $C$37 * $C$38)</f>
        <v>777.84745883875223</v>
      </c>
      <c r="L13" s="6" t="s">
        <v>7</v>
      </c>
      <c r="N13" s="57" t="s">
        <v>76</v>
      </c>
      <c r="O13" s="59"/>
      <c r="P13" s="59"/>
      <c r="U13" s="2">
        <v>9</v>
      </c>
      <c r="V13" s="2">
        <f t="shared" si="7"/>
        <v>1.953125E-2</v>
      </c>
      <c r="W13" s="2">
        <f t="shared" si="0"/>
        <v>1.2487891520009294E-3</v>
      </c>
      <c r="X13" s="2">
        <f t="shared" si="8"/>
        <v>2.1484375E-2</v>
      </c>
      <c r="Y13" s="2">
        <f t="shared" si="1"/>
        <v>-7.0753886927670678E-4</v>
      </c>
      <c r="Z13" s="2">
        <f t="shared" si="3"/>
        <v>2.05078125E-2</v>
      </c>
      <c r="AA13" s="2">
        <f t="shared" si="2"/>
        <v>2.7066259105292326E-4</v>
      </c>
      <c r="AB13" s="2">
        <f t="shared" si="4"/>
        <v>3.3800050755935438E-7</v>
      </c>
      <c r="AC13" s="2">
        <f t="shared" si="5"/>
        <v>-1.9150430362908902E-7</v>
      </c>
      <c r="AD13" s="2">
        <f t="shared" si="6"/>
        <v>1.953125E-3</v>
      </c>
      <c r="AF13" s="2">
        <v>9</v>
      </c>
      <c r="AG13" s="2">
        <f t="shared" si="13"/>
        <v>2187.5</v>
      </c>
      <c r="AH13" s="2">
        <v>-6.6289745773513005</v>
      </c>
      <c r="AI13" s="2">
        <f t="shared" si="14"/>
        <v>2205.078125</v>
      </c>
      <c r="AJ13" s="2">
        <v>2.7991908662331753</v>
      </c>
      <c r="AK13" s="2">
        <f t="shared" si="9"/>
        <v>2196.2890625</v>
      </c>
      <c r="AL13" s="2">
        <v>-1.9130856126621438</v>
      </c>
      <c r="AM13" s="2">
        <f t="shared" si="10"/>
        <v>12.681795890633889</v>
      </c>
      <c r="AN13" s="2">
        <f t="shared" si="11"/>
        <v>-5.3550917732859711</v>
      </c>
      <c r="AO13" s="2">
        <f t="shared" si="12"/>
        <v>17.578125</v>
      </c>
    </row>
    <row r="14" spans="2:41" x14ac:dyDescent="0.2">
      <c r="B14" s="6" t="s">
        <v>13</v>
      </c>
      <c r="C14" s="17">
        <v>96000</v>
      </c>
      <c r="D14" s="6" t="s">
        <v>8</v>
      </c>
      <c r="F14" s="57" t="s">
        <v>89</v>
      </c>
      <c r="G14" s="58"/>
      <c r="H14" s="58"/>
      <c r="J14" s="12" t="s">
        <v>135</v>
      </c>
      <c r="K14" s="6">
        <f xml:space="preserve"> $C$54 * $C$18 * (0.0095 * MAX(G9,O19,G28) - 1.9275)</f>
        <v>157.95398547931427</v>
      </c>
      <c r="L14" s="6" t="s">
        <v>7</v>
      </c>
      <c r="N14" s="6" t="s">
        <v>77</v>
      </c>
      <c r="O14" s="6">
        <f xml:space="preserve"> SQRT( ($C$5*$C$50)^2 + O10^2)</f>
        <v>21594.998089383454</v>
      </c>
      <c r="P14" s="6" t="s">
        <v>22</v>
      </c>
      <c r="U14" s="2">
        <v>10</v>
      </c>
      <c r="V14" s="2">
        <f t="shared" si="7"/>
        <v>2.05078125E-2</v>
      </c>
      <c r="W14" s="2">
        <f t="shared" si="0"/>
        <v>2.7066259105292326E-4</v>
      </c>
      <c r="X14" s="2">
        <f t="shared" si="8"/>
        <v>2.1484375E-2</v>
      </c>
      <c r="Y14" s="2">
        <f t="shared" si="1"/>
        <v>-7.0753886927670678E-4</v>
      </c>
      <c r="Z14" s="2">
        <f t="shared" si="3"/>
        <v>2.099609375E-2</v>
      </c>
      <c r="AA14" s="2">
        <f t="shared" si="2"/>
        <v>-2.1842878881323316E-4</v>
      </c>
      <c r="AB14" s="2">
        <f t="shared" si="4"/>
        <v>-5.9120501940741466E-8</v>
      </c>
      <c r="AC14" s="2">
        <f t="shared" si="5"/>
        <v>1.5454685825439557E-7</v>
      </c>
      <c r="AD14" s="2">
        <f t="shared" si="6"/>
        <v>9.765625E-4</v>
      </c>
      <c r="AF14" s="2">
        <v>10</v>
      </c>
      <c r="AG14" s="2">
        <f t="shared" si="13"/>
        <v>2196.2890625</v>
      </c>
      <c r="AH14" s="2">
        <v>-1.9130856126621438</v>
      </c>
      <c r="AI14" s="2">
        <f t="shared" si="14"/>
        <v>2205.078125</v>
      </c>
      <c r="AJ14" s="2">
        <v>2.7991908662331753</v>
      </c>
      <c r="AK14" s="2">
        <f t="shared" si="9"/>
        <v>2200.68359375</v>
      </c>
      <c r="AL14" s="2">
        <v>0.44351157841856548</v>
      </c>
      <c r="AM14" s="2">
        <f t="shared" si="10"/>
        <v>-0.84847561972163577</v>
      </c>
      <c r="AN14" s="2">
        <f t="shared" si="11"/>
        <v>1.2414735593779072</v>
      </c>
      <c r="AO14" s="2">
        <f t="shared" si="12"/>
        <v>8.7890625</v>
      </c>
    </row>
    <row r="15" spans="2:41" x14ac:dyDescent="0.2">
      <c r="B15" s="6" t="s">
        <v>263</v>
      </c>
      <c r="C15" s="17">
        <v>1</v>
      </c>
      <c r="F15" s="9" t="s">
        <v>92</v>
      </c>
      <c r="G15" s="6">
        <f xml:space="preserve"> $C$14/$C$8</f>
        <v>1920</v>
      </c>
      <c r="H15" s="6" t="s">
        <v>14</v>
      </c>
      <c r="J15" s="12" t="s">
        <v>136</v>
      </c>
      <c r="K15" s="6">
        <f xml:space="preserve"> $C$54 * $C$18 * ( 0.0037 * $C$19^0.28 * ($C$9*3.28084)^1.5 * ($G$7*3.28084)^0.43 * ( 0.01742 * $C$19^0.66 * ($C$10*$C$9*3.28084) * ($C$9*3.28084)^1.3 * ($G$7*3.28084)^0.67 + 0.5*(K14/$C$18)* 2.20462 * 9.80665*3.28084 )^0.55 ) * 0.453592</f>
        <v>287.91368320779605</v>
      </c>
      <c r="L15" s="6" t="s">
        <v>7</v>
      </c>
      <c r="N15" s="6" t="s">
        <v>78</v>
      </c>
      <c r="O15" s="6">
        <f>$C$5*$C$50/O14</f>
        <v>0.99837058112626353</v>
      </c>
      <c r="U15" s="2">
        <v>11</v>
      </c>
      <c r="V15" s="2">
        <f t="shared" si="7"/>
        <v>2.05078125E-2</v>
      </c>
      <c r="W15" s="2">
        <f t="shared" si="0"/>
        <v>2.7066259105292326E-4</v>
      </c>
      <c r="X15" s="2">
        <f t="shared" si="8"/>
        <v>2.099609375E-2</v>
      </c>
      <c r="Y15" s="2">
        <f t="shared" si="1"/>
        <v>-2.1842878881323316E-4</v>
      </c>
      <c r="Z15" s="2">
        <f t="shared" si="3"/>
        <v>2.0751953125E-2</v>
      </c>
      <c r="AA15" s="2">
        <f t="shared" si="2"/>
        <v>2.611924023130166E-5</v>
      </c>
      <c r="AB15" s="2">
        <f t="shared" si="4"/>
        <v>7.0695012373378621E-9</v>
      </c>
      <c r="AC15" s="2">
        <f t="shared" si="5"/>
        <v>-5.7051940084450933E-9</v>
      </c>
      <c r="AD15" s="2">
        <f t="shared" si="6"/>
        <v>4.8828125E-4</v>
      </c>
      <c r="AF15" s="2">
        <v>11</v>
      </c>
      <c r="AG15" s="2">
        <f t="shared" si="13"/>
        <v>2196.2890625</v>
      </c>
      <c r="AH15" s="2">
        <v>-1.9130856126621438</v>
      </c>
      <c r="AI15" s="2">
        <f t="shared" si="14"/>
        <v>2200.68359375</v>
      </c>
      <c r="AJ15" s="2">
        <v>0.44351157841856548</v>
      </c>
      <c r="AK15" s="2">
        <f t="shared" si="9"/>
        <v>2198.486328125</v>
      </c>
      <c r="AL15" s="2">
        <v>-0.73467448653059364</v>
      </c>
      <c r="AM15" s="2">
        <f t="shared" si="10"/>
        <v>1.4054951901716266</v>
      </c>
      <c r="AN15" s="2">
        <f t="shared" si="11"/>
        <v>-0.32583664114503269</v>
      </c>
      <c r="AO15" s="2">
        <f t="shared" si="12"/>
        <v>4.39453125</v>
      </c>
    </row>
    <row r="16" spans="2:41" x14ac:dyDescent="0.2">
      <c r="F16" t="s">
        <v>130</v>
      </c>
      <c r="G16" s="8">
        <f>O20*$C$9</f>
        <v>188.49555921538757</v>
      </c>
      <c r="H16" s="6" t="s">
        <v>10</v>
      </c>
      <c r="J16" s="13" t="s">
        <v>56</v>
      </c>
      <c r="K16" s="6">
        <f xml:space="preserve"> $C$54 * 0.2138 * K4</f>
        <v>63.157084493251361</v>
      </c>
      <c r="L16" s="6" t="s">
        <v>7</v>
      </c>
      <c r="U16" s="2">
        <v>12</v>
      </c>
      <c r="V16" s="2">
        <f t="shared" si="7"/>
        <v>2.0751953125E-2</v>
      </c>
      <c r="W16" s="2">
        <f t="shared" si="0"/>
        <v>2.611924023130166E-5</v>
      </c>
      <c r="X16" s="2">
        <f t="shared" si="8"/>
        <v>2.099609375E-2</v>
      </c>
      <c r="Y16" s="2">
        <f t="shared" si="1"/>
        <v>-2.1842878881323316E-4</v>
      </c>
      <c r="Z16" s="2">
        <f t="shared" si="3"/>
        <v>2.08740234375E-2</v>
      </c>
      <c r="AA16" s="2">
        <f t="shared" si="2"/>
        <v>-9.615418970387174E-5</v>
      </c>
      <c r="AB16" s="2">
        <f t="shared" si="4"/>
        <v>-2.5114743801215785E-9</v>
      </c>
      <c r="AC16" s="2">
        <f t="shared" si="5"/>
        <v>2.100284319633456E-8</v>
      </c>
      <c r="AD16" s="2">
        <f t="shared" si="6"/>
        <v>2.44140625E-4</v>
      </c>
      <c r="AF16" s="2">
        <v>12</v>
      </c>
      <c r="AG16" s="2">
        <f t="shared" si="13"/>
        <v>2198.486328125</v>
      </c>
      <c r="AH16" s="2">
        <v>-0.73467448653059364</v>
      </c>
      <c r="AI16" s="2">
        <f t="shared" si="14"/>
        <v>2200.68359375</v>
      </c>
      <c r="AJ16" s="2">
        <v>0.44351157841856548</v>
      </c>
      <c r="AK16" s="2">
        <f t="shared" si="9"/>
        <v>2199.5849609375</v>
      </c>
      <c r="AL16" s="2">
        <v>-0.14555838807677901</v>
      </c>
      <c r="AM16" s="2">
        <f t="shared" si="10"/>
        <v>0.1069380340205285</v>
      </c>
      <c r="AN16" s="2">
        <f t="shared" si="11"/>
        <v>-6.4556830447994359E-2</v>
      </c>
      <c r="AO16" s="2">
        <f t="shared" si="12"/>
        <v>2.197265625</v>
      </c>
    </row>
    <row r="17" spans="2:41" x14ac:dyDescent="0.2">
      <c r="B17" s="56" t="s">
        <v>115</v>
      </c>
      <c r="C17" s="56"/>
      <c r="D17" s="56"/>
      <c r="F17" s="6" t="s">
        <v>133</v>
      </c>
      <c r="G17" s="6">
        <f>G16/$C$49</f>
        <v>0.56652610777154422</v>
      </c>
      <c r="H17" s="6" t="s">
        <v>131</v>
      </c>
      <c r="J17" s="13" t="s">
        <v>80</v>
      </c>
      <c r="K17" s="6">
        <f xml:space="preserve"> $C$54 * 0.1149 * K4</f>
        <v>33.941763368917599</v>
      </c>
      <c r="L17" s="6" t="s">
        <v>7</v>
      </c>
      <c r="N17" s="57" t="s">
        <v>27</v>
      </c>
      <c r="O17" s="59"/>
      <c r="P17" s="59"/>
      <c r="U17" s="2">
        <v>13</v>
      </c>
      <c r="V17" s="2">
        <f t="shared" si="7"/>
        <v>2.0751953125E-2</v>
      </c>
      <c r="W17" s="2">
        <f t="shared" si="0"/>
        <v>2.611924023130166E-5</v>
      </c>
      <c r="X17" s="2">
        <f t="shared" si="8"/>
        <v>2.08740234375E-2</v>
      </c>
      <c r="Y17" s="2">
        <f t="shared" si="1"/>
        <v>-9.615418970387174E-5</v>
      </c>
      <c r="Z17" s="2">
        <f t="shared" si="3"/>
        <v>2.081298828125E-2</v>
      </c>
      <c r="AA17" s="2">
        <f t="shared" si="2"/>
        <v>-3.5017328565582762E-5</v>
      </c>
      <c r="AB17" s="2">
        <f t="shared" si="4"/>
        <v>-9.1462601706287813E-10</v>
      </c>
      <c r="AC17" s="2">
        <f t="shared" si="5"/>
        <v>3.3670628538178515E-9</v>
      </c>
      <c r="AD17" s="2">
        <f t="shared" si="6"/>
        <v>1.220703125E-4</v>
      </c>
      <c r="AF17" s="2">
        <v>13</v>
      </c>
      <c r="AG17" s="2">
        <f t="shared" si="13"/>
        <v>2199.5849609375</v>
      </c>
      <c r="AH17" s="2">
        <v>-0.14555838807677901</v>
      </c>
      <c r="AI17" s="2">
        <f t="shared" si="14"/>
        <v>2200.68359375</v>
      </c>
      <c r="AJ17" s="2">
        <v>0.44351157841856548</v>
      </c>
      <c r="AK17" s="2">
        <f t="shared" si="9"/>
        <v>2200.13427734375</v>
      </c>
      <c r="AL17" s="2">
        <v>0.14898749807548484</v>
      </c>
      <c r="AM17" s="2">
        <f t="shared" si="10"/>
        <v>-2.1686380063459788E-2</v>
      </c>
      <c r="AN17" s="2">
        <f t="shared" si="11"/>
        <v>6.607768043609126E-2</v>
      </c>
      <c r="AO17" s="2">
        <f t="shared" si="12"/>
        <v>1.0986328125</v>
      </c>
    </row>
    <row r="18" spans="2:41" x14ac:dyDescent="0.2">
      <c r="B18" s="6" t="s">
        <v>97</v>
      </c>
      <c r="C18" s="17">
        <v>4</v>
      </c>
      <c r="F18" s="9" t="s">
        <v>21</v>
      </c>
      <c r="G18" s="6">
        <f>O19</f>
        <v>5398.7495223458636</v>
      </c>
      <c r="H18" s="6" t="s">
        <v>22</v>
      </c>
      <c r="J18" s="14" t="s">
        <v>63</v>
      </c>
      <c r="K18" s="6">
        <f xml:space="preserve"> $C$55 * (14.86 * ($C$5*2.20462)^0.144 * ($C$26/(PI()*$C$27))^0.778 * ($C$26*3.28084)^0.383 * $C$25^0.455 * 0.453592)</f>
        <v>131.8010421452438</v>
      </c>
      <c r="L18" s="6" t="s">
        <v>7</v>
      </c>
      <c r="N18" s="6" t="s">
        <v>28</v>
      </c>
      <c r="O18" s="6">
        <f xml:space="preserve"> ACOS(O15)/PI()*180</f>
        <v>3.2712443815992951</v>
      </c>
      <c r="P18" s="6" t="s">
        <v>43</v>
      </c>
      <c r="U18" s="2">
        <v>14</v>
      </c>
      <c r="V18" s="2">
        <f t="shared" si="7"/>
        <v>2.0751953125E-2</v>
      </c>
      <c r="W18" s="2">
        <f t="shared" si="0"/>
        <v>2.611924023130166E-5</v>
      </c>
      <c r="X18" s="2">
        <f t="shared" si="8"/>
        <v>2.081298828125E-2</v>
      </c>
      <c r="Y18" s="2">
        <f t="shared" si="1"/>
        <v>-3.5017328565582762E-5</v>
      </c>
      <c r="Z18" s="2">
        <f t="shared" si="3"/>
        <v>2.0782470703125E-2</v>
      </c>
      <c r="AA18" s="2">
        <f t="shared" si="2"/>
        <v>-4.4490076214799557E-6</v>
      </c>
      <c r="AB18" s="2">
        <f t="shared" si="4"/>
        <v>-1.1620469885632696E-10</v>
      </c>
      <c r="AC18" s="2">
        <f t="shared" si="5"/>
        <v>1.5579236167214546E-10</v>
      </c>
      <c r="AD18" s="2">
        <f t="shared" si="6"/>
        <v>6.103515625E-5</v>
      </c>
      <c r="AF18" s="2">
        <v>14</v>
      </c>
      <c r="AG18" s="2">
        <f t="shared" si="13"/>
        <v>2199.5849609375</v>
      </c>
      <c r="AH18" s="2">
        <v>-0.14555838807677901</v>
      </c>
      <c r="AI18" s="2">
        <f t="shared" si="14"/>
        <v>2200.13427734375</v>
      </c>
      <c r="AJ18" s="2">
        <v>0.14898749807548484</v>
      </c>
      <c r="AK18" s="2">
        <f t="shared" si="9"/>
        <v>2199.859619140625</v>
      </c>
      <c r="AL18" s="2">
        <v>1.7206987442932586E-3</v>
      </c>
      <c r="AM18" s="2">
        <f t="shared" si="10"/>
        <v>-2.5046213558506446E-4</v>
      </c>
      <c r="AN18" s="2">
        <f t="shared" si="11"/>
        <v>2.5636260085388102E-4</v>
      </c>
      <c r="AO18" s="2">
        <f t="shared" si="12"/>
        <v>0.54931640625</v>
      </c>
    </row>
    <row r="19" spans="2:41" x14ac:dyDescent="0.2">
      <c r="B19" t="s">
        <v>114</v>
      </c>
      <c r="C19" s="1">
        <v>3</v>
      </c>
      <c r="D19"/>
      <c r="F19" s="9" t="s">
        <v>100</v>
      </c>
      <c r="G19" s="6">
        <f xml:space="preserve"> 1/1000 * (O24 + O19 * (O26 * O29 + $C$8 * SIN(O18/180*PI())))</f>
        <v>52.761931016709639</v>
      </c>
      <c r="H19" s="6" t="s">
        <v>104</v>
      </c>
      <c r="J19" s="14" t="s">
        <v>64</v>
      </c>
      <c r="K19" s="6">
        <f xml:space="preserve"> $C$55 * C31 * $C$5</f>
        <v>24.638391781700925</v>
      </c>
      <c r="L19" s="6" t="s">
        <v>7</v>
      </c>
      <c r="N19" s="6" t="s">
        <v>21</v>
      </c>
      <c r="O19" s="6">
        <f xml:space="preserve"> O14 / $C$18</f>
        <v>5398.7495223458636</v>
      </c>
      <c r="P19" s="6" t="s">
        <v>22</v>
      </c>
      <c r="U19" s="2">
        <v>15</v>
      </c>
      <c r="V19" s="2">
        <f t="shared" si="7"/>
        <v>2.0751953125E-2</v>
      </c>
      <c r="W19" s="2">
        <f t="shared" si="0"/>
        <v>2.611924023130166E-5</v>
      </c>
      <c r="X19" s="2">
        <f t="shared" si="8"/>
        <v>2.0782470703125E-2</v>
      </c>
      <c r="Y19" s="2">
        <f t="shared" si="1"/>
        <v>-4.4490076214799557E-6</v>
      </c>
      <c r="Z19" s="2">
        <f t="shared" si="3"/>
        <v>2.07672119140625E-2</v>
      </c>
      <c r="AA19" s="2">
        <f t="shared" si="2"/>
        <v>1.08351254416994E-5</v>
      </c>
      <c r="AB19" s="2">
        <f t="shared" si="4"/>
        <v>2.8300524434803516E-10</v>
      </c>
      <c r="AC19" s="2">
        <f t="shared" si="5"/>
        <v>-4.8205555669812002E-11</v>
      </c>
      <c r="AD19" s="2">
        <f t="shared" si="6"/>
        <v>3.0517578125E-5</v>
      </c>
      <c r="AF19" s="2">
        <v>15</v>
      </c>
      <c r="AG19" s="2">
        <f t="shared" si="13"/>
        <v>2199.5849609375</v>
      </c>
      <c r="AH19" s="2">
        <v>-0.14555838807677901</v>
      </c>
      <c r="AI19" s="2">
        <f t="shared" si="14"/>
        <v>2199.859619140625</v>
      </c>
      <c r="AJ19" s="2">
        <v>1.7206987442932586E-3</v>
      </c>
      <c r="AK19" s="2">
        <f t="shared" si="9"/>
        <v>2199.7222900390625</v>
      </c>
      <c r="AL19" s="2">
        <v>-7.1919018621201758E-2</v>
      </c>
      <c r="AM19" s="2">
        <f t="shared" si="10"/>
        <v>1.0468416422565982E-2</v>
      </c>
      <c r="AN19" s="2">
        <f t="shared" si="11"/>
        <v>-1.2375096503230534E-4</v>
      </c>
      <c r="AO19" s="2">
        <f t="shared" si="12"/>
        <v>0.274658203125</v>
      </c>
    </row>
    <row r="20" spans="2:41" x14ac:dyDescent="0.2">
      <c r="B20" s="6" t="s">
        <v>128</v>
      </c>
      <c r="C20" s="6">
        <f>$C$19*$C$10/PI()</f>
        <v>6.1401977044853208E-2</v>
      </c>
      <c r="F20" t="s">
        <v>274</v>
      </c>
      <c r="G20" s="6">
        <f xml:space="preserve"> (G18/$C$50*1000) / ($G$19*1000)</f>
        <v>10.440514137452221</v>
      </c>
      <c r="H20" s="6" t="s">
        <v>275</v>
      </c>
      <c r="J20" s="14" t="s">
        <v>65</v>
      </c>
      <c r="K20" s="6">
        <f xml:space="preserve"> $C$55 * 0</f>
        <v>0</v>
      </c>
      <c r="L20" s="6" t="s">
        <v>7</v>
      </c>
      <c r="N20" s="6" t="s">
        <v>29</v>
      </c>
      <c r="O20" s="6">
        <f>$C$7*2*PI()/60</f>
        <v>47.123889803846893</v>
      </c>
      <c r="P20" s="6" t="s">
        <v>30</v>
      </c>
      <c r="U20" s="2">
        <v>16</v>
      </c>
      <c r="V20" s="2">
        <f t="shared" si="7"/>
        <v>2.07672119140625E-2</v>
      </c>
      <c r="W20" s="2">
        <f t="shared" si="0"/>
        <v>1.08351254416994E-5</v>
      </c>
      <c r="X20" s="2">
        <f t="shared" si="8"/>
        <v>2.0782470703125E-2</v>
      </c>
      <c r="Y20" s="2">
        <f t="shared" si="1"/>
        <v>-4.4490076214799557E-6</v>
      </c>
      <c r="Z20" s="2">
        <f t="shared" si="3"/>
        <v>2.077484130859375E-2</v>
      </c>
      <c r="AA20" s="2">
        <f t="shared" si="2"/>
        <v>3.1930611942600218E-6</v>
      </c>
      <c r="AB20" s="2">
        <f t="shared" si="4"/>
        <v>3.459721858282983E-11</v>
      </c>
      <c r="AC20" s="2">
        <f t="shared" si="5"/>
        <v>-1.4205953589114725E-11</v>
      </c>
      <c r="AD20" s="2">
        <f t="shared" si="6"/>
        <v>1.52587890625E-5</v>
      </c>
      <c r="AF20" s="2">
        <v>16</v>
      </c>
      <c r="AG20" s="2">
        <f t="shared" si="13"/>
        <v>2199.7222900390625</v>
      </c>
      <c r="AH20" s="2">
        <v>-7.1919018621201758E-2</v>
      </c>
      <c r="AI20" s="2">
        <f t="shared" si="14"/>
        <v>2199.859619140625</v>
      </c>
      <c r="AJ20" s="2">
        <v>1.7206987442932586E-3</v>
      </c>
      <c r="AK20" s="2">
        <f t="shared" si="9"/>
        <v>2199.7909545898438</v>
      </c>
      <c r="AL20" s="2">
        <v>-3.5106041898416152E-2</v>
      </c>
      <c r="AM20" s="2">
        <f t="shared" si="10"/>
        <v>2.5247920810088803E-3</v>
      </c>
      <c r="AN20" s="2">
        <f t="shared" si="11"/>
        <v>-6.0406922211711195E-5</v>
      </c>
      <c r="AO20" s="2">
        <f t="shared" si="12"/>
        <v>0.1373291015625</v>
      </c>
    </row>
    <row r="21" spans="2:41" x14ac:dyDescent="0.2">
      <c r="B21" s="6" t="s">
        <v>129</v>
      </c>
      <c r="C21" s="17">
        <v>0.75</v>
      </c>
      <c r="F21" s="9" t="s">
        <v>276</v>
      </c>
      <c r="G21" s="6">
        <f>O22/ ($C$19*$C$10/PI())</f>
        <v>4.8813916504908815E-2</v>
      </c>
      <c r="J21" s="14" t="s">
        <v>66</v>
      </c>
      <c r="K21" s="6">
        <f xml:space="preserve"> $C$55 * 0</f>
        <v>0</v>
      </c>
      <c r="L21" s="6" t="s">
        <v>7</v>
      </c>
      <c r="N21" s="6" t="s">
        <v>31</v>
      </c>
      <c r="O21" s="6">
        <f xml:space="preserve"> $C$8 * COS(O18/180*PI()) / (O20 * $C$9)</f>
        <v>0.26482602170628827</v>
      </c>
      <c r="U21" s="2">
        <v>17</v>
      </c>
      <c r="V21" s="2">
        <f t="shared" si="7"/>
        <v>2.077484130859375E-2</v>
      </c>
      <c r="W21" s="2">
        <f t="shared" si="0"/>
        <v>3.1930611942600218E-6</v>
      </c>
      <c r="X21" s="2">
        <f t="shared" si="8"/>
        <v>2.0782470703125E-2</v>
      </c>
      <c r="Y21" s="2">
        <f t="shared" si="1"/>
        <v>-4.4490076214799557E-6</v>
      </c>
      <c r="Z21" s="2">
        <f t="shared" si="3"/>
        <v>2.0778656005859375E-2</v>
      </c>
      <c r="AA21" s="2">
        <f t="shared" si="2"/>
        <v>-6.2797264257716257E-7</v>
      </c>
      <c r="AB21" s="2">
        <f t="shared" si="4"/>
        <v>-2.0051550760700566E-12</v>
      </c>
      <c r="AC21" s="2">
        <f t="shared" si="5"/>
        <v>2.7938550729067043E-12</v>
      </c>
      <c r="AD21" s="2">
        <f t="shared" si="6"/>
        <v>7.62939453125E-6</v>
      </c>
      <c r="AF21" s="2">
        <v>17</v>
      </c>
      <c r="AG21" s="2">
        <f t="shared" si="13"/>
        <v>2199.7909545898438</v>
      </c>
      <c r="AH21" s="2">
        <v>-3.5106041898416152E-2</v>
      </c>
      <c r="AI21" s="2">
        <f t="shared" si="14"/>
        <v>2199.859619140625</v>
      </c>
      <c r="AJ21" s="2">
        <v>1.7206987442932586E-3</v>
      </c>
      <c r="AK21" s="2">
        <f t="shared" si="9"/>
        <v>2199.8252868652344</v>
      </c>
      <c r="AL21" s="2">
        <v>-1.6692682500888623E-2</v>
      </c>
      <c r="AM21" s="2">
        <f t="shared" si="10"/>
        <v>5.8601401127315411E-4</v>
      </c>
      <c r="AN21" s="2">
        <f t="shared" si="11"/>
        <v>-2.8723077818165105E-5</v>
      </c>
      <c r="AO21" s="2">
        <f t="shared" si="12"/>
        <v>6.866455078125E-2</v>
      </c>
    </row>
    <row r="22" spans="2:41" x14ac:dyDescent="0.2">
      <c r="B22" s="6" t="s">
        <v>288</v>
      </c>
      <c r="C22" s="17">
        <v>50</v>
      </c>
      <c r="D22" s="6" t="s">
        <v>61</v>
      </c>
      <c r="F22" s="44" t="s">
        <v>225</v>
      </c>
      <c r="G22" s="43">
        <f>$C$18 * G19</f>
        <v>211.04772406683855</v>
      </c>
      <c r="H22" s="43" t="s">
        <v>104</v>
      </c>
      <c r="J22" s="14" t="s">
        <v>117</v>
      </c>
      <c r="K22" s="6">
        <f>$C$55*(0.14*$G$12*1000/745.7)*0.453592</f>
        <v>16.770746428676482</v>
      </c>
      <c r="L22" s="6" t="s">
        <v>7</v>
      </c>
      <c r="N22" s="6" t="s">
        <v>32</v>
      </c>
      <c r="O22" s="6">
        <f xml:space="preserve"> O19 / ($C$47 * PI() * $C$9^2 * O20^2 * $C$9^2)</f>
        <v>2.9972709807037923E-3</v>
      </c>
      <c r="U22" s="2">
        <v>18</v>
      </c>
      <c r="V22" s="2">
        <f t="shared" si="7"/>
        <v>2.077484130859375E-2</v>
      </c>
      <c r="W22" s="2">
        <f t="shared" si="0"/>
        <v>3.1930611942600218E-6</v>
      </c>
      <c r="X22" s="2">
        <f t="shared" si="8"/>
        <v>2.0778656005859375E-2</v>
      </c>
      <c r="Y22" s="2">
        <f t="shared" si="1"/>
        <v>-6.2797264257716257E-7</v>
      </c>
      <c r="Z22" s="2">
        <f t="shared" si="3"/>
        <v>2.0776748657226562E-2</v>
      </c>
      <c r="AA22" s="2">
        <f t="shared" si="2"/>
        <v>1.2825444185987633E-6</v>
      </c>
      <c r="AB22" s="2">
        <f t="shared" si="4"/>
        <v>4.0952428129424922E-12</v>
      </c>
      <c r="AC22" s="2">
        <f t="shared" si="5"/>
        <v>-8.0540280777005594E-13</v>
      </c>
      <c r="AD22" s="2">
        <f t="shared" si="6"/>
        <v>3.814697265625E-6</v>
      </c>
      <c r="AF22" s="2">
        <v>18</v>
      </c>
      <c r="AG22" s="2">
        <f t="shared" si="13"/>
        <v>2199.8252868652344</v>
      </c>
      <c r="AH22" s="2">
        <v>-1.6692682500888623E-2</v>
      </c>
      <c r="AI22" s="2">
        <f t="shared" si="14"/>
        <v>2199.859619140625</v>
      </c>
      <c r="AJ22" s="2">
        <v>1.7206987442932586E-3</v>
      </c>
      <c r="AK22" s="2">
        <f t="shared" si="9"/>
        <v>2199.8424530029297</v>
      </c>
      <c r="AL22" s="2">
        <v>-7.4928332437593781E-3</v>
      </c>
      <c r="AM22" s="2">
        <f t="shared" si="10"/>
        <v>1.2507548637017871E-4</v>
      </c>
      <c r="AN22" s="2">
        <f t="shared" si="11"/>
        <v>-1.2892908753735546E-5</v>
      </c>
      <c r="AO22" s="2">
        <f t="shared" si="12"/>
        <v>3.4332275390625E-2</v>
      </c>
    </row>
    <row r="23" spans="2:41" x14ac:dyDescent="0.2">
      <c r="J23" s="15" t="s">
        <v>67</v>
      </c>
      <c r="K23" s="6">
        <f xml:space="preserve"> $C$56 * (0.0268 * $C$5)</f>
        <v>47.164921410684627</v>
      </c>
      <c r="L23" s="6" t="s">
        <v>7</v>
      </c>
      <c r="N23" s="6" t="s">
        <v>1</v>
      </c>
      <c r="O23" s="17">
        <v>8.8999999999999999E-3</v>
      </c>
      <c r="U23" s="2">
        <v>19</v>
      </c>
      <c r="V23" s="2">
        <f t="shared" si="7"/>
        <v>2.0776748657226562E-2</v>
      </c>
      <c r="W23" s="2">
        <f t="shared" si="0"/>
        <v>1.2825444185987633E-6</v>
      </c>
      <c r="X23" s="2">
        <f t="shared" si="8"/>
        <v>2.0778656005859375E-2</v>
      </c>
      <c r="Y23" s="2">
        <f t="shared" si="1"/>
        <v>-6.2797264257716257E-7</v>
      </c>
      <c r="Z23" s="2">
        <f t="shared" si="3"/>
        <v>2.0777702331542969E-2</v>
      </c>
      <c r="AA23" s="2">
        <f t="shared" si="2"/>
        <v>3.2728592369926646E-7</v>
      </c>
      <c r="AB23" s="2">
        <f t="shared" si="4"/>
        <v>4.1975873472643493E-13</v>
      </c>
      <c r="AC23" s="2">
        <f t="shared" si="5"/>
        <v>-2.0552660638373595E-13</v>
      </c>
      <c r="AD23" s="2">
        <f t="shared" si="6"/>
        <v>1.9073486328125E-6</v>
      </c>
      <c r="AF23" s="2">
        <v>19</v>
      </c>
      <c r="AG23" s="2">
        <f t="shared" si="13"/>
        <v>2199.8424530029297</v>
      </c>
      <c r="AH23" s="2">
        <v>-7.4928332437593781E-3</v>
      </c>
      <c r="AI23" s="2">
        <f t="shared" si="14"/>
        <v>2199.859619140625</v>
      </c>
      <c r="AJ23" s="2">
        <v>1.7206987442932586E-3</v>
      </c>
      <c r="AK23" s="2">
        <f t="shared" si="9"/>
        <v>2199.8510360717773</v>
      </c>
      <c r="AL23" s="2">
        <v>-2.8792292850994272E-3</v>
      </c>
      <c r="AM23" s="2">
        <f t="shared" si="10"/>
        <v>2.1573584903798536E-5</v>
      </c>
      <c r="AN23" s="2">
        <f t="shared" si="11"/>
        <v>-4.9542862154029613E-6</v>
      </c>
      <c r="AO23" s="2">
        <f t="shared" si="12"/>
        <v>1.71661376953125E-2</v>
      </c>
    </row>
    <row r="24" spans="2:41" x14ac:dyDescent="0.2">
      <c r="B24" s="56" t="s">
        <v>107</v>
      </c>
      <c r="C24" s="56"/>
      <c r="D24" s="56"/>
      <c r="F24" s="57" t="s">
        <v>84</v>
      </c>
      <c r="G24" s="58"/>
      <c r="H24" s="58"/>
      <c r="J24" s="15" t="s">
        <v>68</v>
      </c>
      <c r="K24" s="6">
        <f xml:space="preserve"> $C$56 * (11.5 * ($C$5*2.20462/1000)^0.4 * 0.453592)</f>
        <v>7.8477370776932887</v>
      </c>
      <c r="L24" s="6" t="s">
        <v>7</v>
      </c>
      <c r="N24" s="6" t="s">
        <v>33</v>
      </c>
      <c r="O24" s="6">
        <f xml:space="preserve"> ($C$20 * O23 / 8) * (1 + 4.65 *O21^ 2) * ( PI() * $C$47 * O20^3 *$C$9^ 5)</f>
        <v>30756.202618897623</v>
      </c>
      <c r="P24" s="6" t="s">
        <v>20</v>
      </c>
      <c r="U24" s="2">
        <v>20</v>
      </c>
      <c r="V24" s="2">
        <f t="shared" si="7"/>
        <v>2.0777702331542969E-2</v>
      </c>
      <c r="W24" s="2">
        <f t="shared" si="0"/>
        <v>3.2728592369926646E-7</v>
      </c>
      <c r="X24" s="2">
        <f t="shared" si="8"/>
        <v>2.0778656005859375E-2</v>
      </c>
      <c r="Y24" s="2">
        <f t="shared" si="1"/>
        <v>-6.2797264257716257E-7</v>
      </c>
      <c r="Z24" s="2">
        <f t="shared" si="3"/>
        <v>2.0778179168701172E-2</v>
      </c>
      <c r="AA24" s="2">
        <f t="shared" si="2"/>
        <v>-1.5034335051553049E-7</v>
      </c>
      <c r="AB24" s="2">
        <f t="shared" si="4"/>
        <v>-4.9205262345517985E-14</v>
      </c>
      <c r="AC24" s="2">
        <f t="shared" si="5"/>
        <v>9.4411511117142296E-14</v>
      </c>
      <c r="AD24" s="2">
        <f t="shared" si="6"/>
        <v>9.5367431640625E-7</v>
      </c>
      <c r="AF24" s="2">
        <v>20</v>
      </c>
      <c r="AG24" s="2">
        <f t="shared" si="13"/>
        <v>2199.8510360717773</v>
      </c>
      <c r="AH24" s="2">
        <v>-2.8792292850994272E-3</v>
      </c>
      <c r="AI24" s="2">
        <f t="shared" si="14"/>
        <v>2199.859619140625</v>
      </c>
      <c r="AJ24" s="2">
        <v>1.7206987442932586E-3</v>
      </c>
      <c r="AK24" s="2">
        <f t="shared" si="9"/>
        <v>2199.8553276062012</v>
      </c>
      <c r="AL24" s="2">
        <v>-5.7926543718167522E-4</v>
      </c>
      <c r="AM24" s="2">
        <f t="shared" si="10"/>
        <v>1.6678380105794018E-6</v>
      </c>
      <c r="AN24" s="2">
        <f t="shared" si="11"/>
        <v>-9.9674131037099414E-7</v>
      </c>
      <c r="AO24" s="2">
        <f t="shared" si="12"/>
        <v>8.58306884765625E-3</v>
      </c>
    </row>
    <row r="25" spans="2:41" x14ac:dyDescent="0.2">
      <c r="B25" t="s">
        <v>108</v>
      </c>
      <c r="C25" s="1">
        <v>6</v>
      </c>
      <c r="D25"/>
      <c r="F25" t="s">
        <v>88</v>
      </c>
      <c r="G25" s="1">
        <f>300*0.3048/60</f>
        <v>1.524</v>
      </c>
      <c r="H25" t="s">
        <v>10</v>
      </c>
      <c r="J25" s="15" t="s">
        <v>69</v>
      </c>
      <c r="K25" s="6">
        <f xml:space="preserve"> $C$56 * (8 * ($C$5/1000))</f>
        <v>14.079081018114813</v>
      </c>
      <c r="L25" s="6" t="s">
        <v>7</v>
      </c>
      <c r="N25" s="6" t="s">
        <v>34</v>
      </c>
      <c r="O25" s="18">
        <f>Z34</f>
        <v>2.0778028760105371E-2</v>
      </c>
      <c r="U25" s="2">
        <v>21</v>
      </c>
      <c r="V25" s="2">
        <f t="shared" si="7"/>
        <v>2.0777702331542969E-2</v>
      </c>
      <c r="W25" s="2">
        <f t="shared" si="0"/>
        <v>3.2728592369926646E-7</v>
      </c>
      <c r="X25" s="2">
        <f t="shared" si="8"/>
        <v>2.0778179168701172E-2</v>
      </c>
      <c r="Y25" s="2">
        <f t="shared" si="1"/>
        <v>-1.5034335051553049E-7</v>
      </c>
      <c r="Z25" s="2">
        <f t="shared" si="3"/>
        <v>2.077794075012207E-2</v>
      </c>
      <c r="AA25" s="2">
        <f t="shared" si="2"/>
        <v>8.8471288822722371E-8</v>
      </c>
      <c r="AB25" s="2">
        <f t="shared" si="4"/>
        <v>2.8955407483209279E-14</v>
      </c>
      <c r="AC25" s="2">
        <f t="shared" si="5"/>
        <v>-1.3301069986035285E-14</v>
      </c>
      <c r="AD25" s="2">
        <f t="shared" si="6"/>
        <v>4.76837158203125E-7</v>
      </c>
      <c r="AF25" s="2">
        <v>21</v>
      </c>
      <c r="AG25" s="2">
        <f t="shared" si="13"/>
        <v>2199.8553276062012</v>
      </c>
      <c r="AH25" s="2">
        <v>-5.7926543718167522E-4</v>
      </c>
      <c r="AI25" s="2">
        <f t="shared" si="14"/>
        <v>2199.859619140625</v>
      </c>
      <c r="AJ25" s="2">
        <v>1.7206987442932586E-3</v>
      </c>
      <c r="AK25" s="2">
        <f t="shared" si="9"/>
        <v>2199.8574733734131</v>
      </c>
      <c r="AL25" s="2">
        <v>5.7071661262853013E-4</v>
      </c>
      <c r="AM25" s="2">
        <f t="shared" si="10"/>
        <v>-3.3059640812111031E-7</v>
      </c>
      <c r="AN25" s="2">
        <f t="shared" si="11"/>
        <v>9.820313586972139E-7</v>
      </c>
      <c r="AO25" s="2">
        <f t="shared" si="12"/>
        <v>4.291534423828125E-3</v>
      </c>
    </row>
    <row r="26" spans="2:41" x14ac:dyDescent="0.2">
      <c r="B26" t="s">
        <v>109</v>
      </c>
      <c r="C26" s="1">
        <v>6.4008000000000003</v>
      </c>
      <c r="D26" t="s">
        <v>8</v>
      </c>
      <c r="F26" t="s">
        <v>94</v>
      </c>
      <c r="G26" s="1">
        <f>1000*0.3048</f>
        <v>304.8</v>
      </c>
      <c r="H26" t="s">
        <v>8</v>
      </c>
      <c r="J26" s="15" t="s">
        <v>70</v>
      </c>
      <c r="K26" s="6">
        <f xml:space="preserve"> $C$56 * (13 * ($C$5*2.20462/1000)^1.3 * 0.453592)</f>
        <v>36.740513829281745</v>
      </c>
      <c r="L26" s="6" t="s">
        <v>7</v>
      </c>
      <c r="N26" s="6" t="s">
        <v>35</v>
      </c>
      <c r="O26" s="6">
        <f xml:space="preserve"> O20 * $C$9 * O25 - $C$8 * SIN(O18/180*PI())</f>
        <v>1.0634175644903414</v>
      </c>
      <c r="P26" s="6" t="s">
        <v>10</v>
      </c>
      <c r="U26" s="2">
        <v>22</v>
      </c>
      <c r="V26" s="2">
        <f t="shared" si="7"/>
        <v>2.077794075012207E-2</v>
      </c>
      <c r="W26" s="2">
        <f t="shared" si="0"/>
        <v>8.8471288822722371E-8</v>
      </c>
      <c r="X26" s="2">
        <f t="shared" si="8"/>
        <v>2.0778179168701172E-2</v>
      </c>
      <c r="Y26" s="2">
        <f t="shared" si="1"/>
        <v>-1.5034335051553049E-7</v>
      </c>
      <c r="Z26" s="2">
        <f t="shared" si="3"/>
        <v>2.0778059959411621E-2</v>
      </c>
      <c r="AA26" s="2">
        <f t="shared" si="2"/>
        <v>-3.0936030289557825E-8</v>
      </c>
      <c r="AB26" s="2">
        <f t="shared" si="4"/>
        <v>-2.7369504707759578E-15</v>
      </c>
      <c r="AC26" s="2">
        <f t="shared" si="5"/>
        <v>4.6510264453820603E-15</v>
      </c>
      <c r="AD26" s="2">
        <f t="shared" si="6"/>
        <v>2.384185791015625E-7</v>
      </c>
      <c r="AF26" s="2">
        <v>22</v>
      </c>
      <c r="AG26" s="2">
        <f t="shared" si="13"/>
        <v>2199.8553276062012</v>
      </c>
      <c r="AH26" s="2">
        <v>-5.7926543718167522E-4</v>
      </c>
      <c r="AI26" s="2">
        <f t="shared" si="14"/>
        <v>2199.8574733734131</v>
      </c>
      <c r="AJ26" s="2">
        <v>5.7071661262853013E-4</v>
      </c>
      <c r="AK26" s="2">
        <f t="shared" si="9"/>
        <v>2199.8564004898071</v>
      </c>
      <c r="AL26" s="2">
        <v>-4.2744225083879428E-6</v>
      </c>
      <c r="AM26" s="2">
        <f t="shared" si="10"/>
        <v>2.4760252230205344E-9</v>
      </c>
      <c r="AN26" s="2">
        <f t="shared" si="11"/>
        <v>-2.4394839349303115E-9</v>
      </c>
      <c r="AO26" s="2">
        <f t="shared" si="12"/>
        <v>2.1457672119140625E-3</v>
      </c>
    </row>
    <row r="27" spans="2:41" x14ac:dyDescent="0.2">
      <c r="B27" t="s">
        <v>110</v>
      </c>
      <c r="C27" s="1">
        <v>2.0560284000000002</v>
      </c>
      <c r="D27" t="s">
        <v>8</v>
      </c>
      <c r="F27" t="s">
        <v>93</v>
      </c>
      <c r="G27" s="8">
        <f>$G$26/$G$25</f>
        <v>200</v>
      </c>
      <c r="H27" t="s">
        <v>14</v>
      </c>
      <c r="J27" s="10" t="s">
        <v>57</v>
      </c>
      <c r="K27" s="10">
        <f>$C$5 - $C$13 - SUM(K13:K26)</f>
        <v>1.0122676030732691E-9</v>
      </c>
      <c r="L27" s="10" t="s">
        <v>7</v>
      </c>
      <c r="N27" s="6" t="s">
        <v>36</v>
      </c>
      <c r="O27" s="6">
        <f xml:space="preserve"> 1/$C$21 - O24 * SQRT( (2*$C$47*PI()*$C$9^2) / O19^3 )</f>
        <v>0.55262214187959791</v>
      </c>
      <c r="U27" s="2">
        <v>23</v>
      </c>
      <c r="V27" s="2">
        <f t="shared" si="7"/>
        <v>2.077794075012207E-2</v>
      </c>
      <c r="W27" s="2">
        <f t="shared" si="0"/>
        <v>8.8471288822722371E-8</v>
      </c>
      <c r="X27" s="2">
        <f t="shared" si="8"/>
        <v>2.0778059959411621E-2</v>
      </c>
      <c r="Y27" s="2">
        <f t="shared" si="1"/>
        <v>-3.0936030289557825E-8</v>
      </c>
      <c r="Z27" s="2">
        <f t="shared" si="3"/>
        <v>2.0778000354766846E-2</v>
      </c>
      <c r="AA27" s="2">
        <f t="shared" si="2"/>
        <v>2.8767629407094875E-8</v>
      </c>
      <c r="AB27" s="2">
        <f t="shared" si="4"/>
        <v>2.5451092500201323E-15</v>
      </c>
      <c r="AC27" s="2">
        <f t="shared" si="5"/>
        <v>-8.8995625469666154E-16</v>
      </c>
      <c r="AD27" s="2">
        <f t="shared" si="6"/>
        <v>1.1920928955078125E-7</v>
      </c>
      <c r="AF27" s="2">
        <v>23</v>
      </c>
      <c r="AG27" s="2">
        <f t="shared" si="13"/>
        <v>2199.8564004898071</v>
      </c>
      <c r="AH27" s="2">
        <v>-4.2744225083879428E-6</v>
      </c>
      <c r="AI27" s="2">
        <f t="shared" si="14"/>
        <v>2199.8574733734131</v>
      </c>
      <c r="AJ27" s="2">
        <v>5.7071661262853013E-4</v>
      </c>
      <c r="AK27" s="2">
        <f t="shared" si="9"/>
        <v>2199.8569369316101</v>
      </c>
      <c r="AL27" s="2">
        <v>2.7638241294880572E-4</v>
      </c>
      <c r="AM27" s="2">
        <f t="shared" si="10"/>
        <v>-1.1813752068309464E-9</v>
      </c>
      <c r="AN27" s="2">
        <f t="shared" si="11"/>
        <v>1.57736034508242E-7</v>
      </c>
      <c r="AO27" s="2">
        <f t="shared" si="12"/>
        <v>1.0728836059570312E-3</v>
      </c>
    </row>
    <row r="28" spans="2:41" x14ac:dyDescent="0.2">
      <c r="F28" t="s">
        <v>21</v>
      </c>
      <c r="G28" s="6">
        <f xml:space="preserve"> $C$5 * $C$44 / $C$18</f>
        <v>5390.4683045371712</v>
      </c>
      <c r="H28" t="s">
        <v>22</v>
      </c>
      <c r="J28" s="6" t="s">
        <v>58</v>
      </c>
      <c r="K28" s="4" t="str">
        <f>IF(ABS(K27)&lt;1, "TRUE", "FALSE")</f>
        <v>TRUE</v>
      </c>
      <c r="N28" s="6" t="s">
        <v>37</v>
      </c>
      <c r="O28" s="17">
        <v>1.1499999999999999</v>
      </c>
      <c r="U28" s="2">
        <v>24</v>
      </c>
      <c r="V28" s="2">
        <f t="shared" si="7"/>
        <v>2.0778000354766846E-2</v>
      </c>
      <c r="W28" s="2">
        <f t="shared" si="0"/>
        <v>2.8767629407094875E-8</v>
      </c>
      <c r="X28" s="2">
        <f t="shared" si="8"/>
        <v>2.0778059959411621E-2</v>
      </c>
      <c r="Y28" s="2">
        <f t="shared" si="1"/>
        <v>-3.0936030289557825E-8</v>
      </c>
      <c r="Z28" s="2">
        <f t="shared" si="3"/>
        <v>2.0778030157089233E-2</v>
      </c>
      <c r="AA28" s="2">
        <f t="shared" si="2"/>
        <v>-1.0842004065370059E-9</v>
      </c>
      <c r="AB28" s="2">
        <f t="shared" si="4"/>
        <v>-3.118987549827819E-17</v>
      </c>
      <c r="AC28" s="2">
        <f t="shared" si="5"/>
        <v>3.3540856616579723E-17</v>
      </c>
      <c r="AD28" s="2">
        <f t="shared" si="6"/>
        <v>5.9604644775390625E-8</v>
      </c>
      <c r="AF28" s="2">
        <v>24</v>
      </c>
      <c r="AG28" s="2">
        <f t="shared" si="13"/>
        <v>2199.8564004898071</v>
      </c>
      <c r="AH28" s="2">
        <v>-4.2744225083879428E-6</v>
      </c>
      <c r="AI28" s="2">
        <f t="shared" si="14"/>
        <v>2199.8569369316101</v>
      </c>
      <c r="AJ28" s="2">
        <v>2.7638241294880572E-4</v>
      </c>
      <c r="AK28" s="2">
        <f t="shared" si="9"/>
        <v>2199.8566687107086</v>
      </c>
      <c r="AL28" s="2">
        <v>1.2921531720166968E-4</v>
      </c>
      <c r="AM28" s="2">
        <f t="shared" si="10"/>
        <v>-5.5232086027530465E-10</v>
      </c>
      <c r="AN28" s="2">
        <f t="shared" si="11"/>
        <v>3.5712841158142788E-8</v>
      </c>
      <c r="AO28" s="2">
        <f t="shared" si="12"/>
        <v>5.3644180297851562E-4</v>
      </c>
    </row>
    <row r="29" spans="2:41" x14ac:dyDescent="0.2">
      <c r="B29" s="56" t="s">
        <v>111</v>
      </c>
      <c r="C29" s="56"/>
      <c r="D29" s="56"/>
      <c r="F29" t="s">
        <v>100</v>
      </c>
      <c r="G29" s="6">
        <f>G31/$C$18</f>
        <v>51.613438215421922</v>
      </c>
      <c r="H29" t="s">
        <v>20</v>
      </c>
      <c r="N29" s="6" t="s">
        <v>38</v>
      </c>
      <c r="O29" s="6">
        <f xml:space="preserve"> 1/$C$53 * LN( EXP($C$53 * O27) + EXP($C$53 * O28) )</f>
        <v>1.1500000005492139</v>
      </c>
      <c r="U29" s="2">
        <v>25</v>
      </c>
      <c r="V29" s="2">
        <f t="shared" si="7"/>
        <v>2.0778000354766846E-2</v>
      </c>
      <c r="W29" s="2">
        <f t="shared" si="0"/>
        <v>2.8767629407094875E-8</v>
      </c>
      <c r="X29" s="2">
        <f t="shared" si="8"/>
        <v>2.0778030157089233E-2</v>
      </c>
      <c r="Y29" s="2">
        <f t="shared" si="1"/>
        <v>-1.0842004065370059E-9</v>
      </c>
      <c r="Z29" s="2">
        <f t="shared" si="3"/>
        <v>2.077801525592804E-2</v>
      </c>
      <c r="AA29" s="2">
        <f t="shared" si="2"/>
        <v>1.3841714507217828E-8</v>
      </c>
      <c r="AB29" s="2">
        <f t="shared" si="4"/>
        <v>3.9819331330245131E-16</v>
      </c>
      <c r="AC29" s="2">
        <f t="shared" si="5"/>
        <v>-1.5007192495894743E-17</v>
      </c>
      <c r="AD29" s="2">
        <f t="shared" si="6"/>
        <v>2.9802322387695312E-8</v>
      </c>
      <c r="AF29" s="2">
        <v>25</v>
      </c>
      <c r="AG29" s="2">
        <f t="shared" si="13"/>
        <v>2199.8564004898071</v>
      </c>
      <c r="AH29" s="2">
        <v>-4.2744225083879428E-6</v>
      </c>
      <c r="AI29" s="2">
        <f t="shared" si="14"/>
        <v>2199.8566687107086</v>
      </c>
      <c r="AJ29" s="2">
        <v>1.2921531720166968E-4</v>
      </c>
      <c r="AK29" s="2">
        <f t="shared" si="9"/>
        <v>2199.8565346002579</v>
      </c>
      <c r="AL29" s="2">
        <v>6.2470447801388218E-5</v>
      </c>
      <c r="AM29" s="2">
        <f t="shared" si="10"/>
        <v>-2.6702508819132787E-10</v>
      </c>
      <c r="AN29" s="2">
        <f t="shared" si="11"/>
        <v>8.0721387283867266E-9</v>
      </c>
      <c r="AO29" s="2">
        <f t="shared" si="12"/>
        <v>2.6822090148925781E-4</v>
      </c>
    </row>
    <row r="30" spans="2:41" x14ac:dyDescent="0.2">
      <c r="B30" s="6" t="s">
        <v>124</v>
      </c>
      <c r="C30" s="21" t="s">
        <v>260</v>
      </c>
      <c r="F30" t="s">
        <v>274</v>
      </c>
      <c r="G30" s="6">
        <f xml:space="preserve"> (G28/$C$44*1000) / (G29*1000)</f>
        <v>10.655444033290198</v>
      </c>
      <c r="H30" s="6" t="s">
        <v>275</v>
      </c>
      <c r="J30" s="54" t="s">
        <v>116</v>
      </c>
      <c r="K30" s="54"/>
      <c r="L30" s="54"/>
      <c r="U30" s="2">
        <v>26</v>
      </c>
      <c r="V30" s="2">
        <f t="shared" si="7"/>
        <v>2.077801525592804E-2</v>
      </c>
      <c r="W30" s="2">
        <f t="shared" si="0"/>
        <v>1.3841714507217828E-8</v>
      </c>
      <c r="X30" s="2">
        <f t="shared" si="8"/>
        <v>2.0778030157089233E-2</v>
      </c>
      <c r="Y30" s="2">
        <f t="shared" si="1"/>
        <v>-1.0842004065370059E-9</v>
      </c>
      <c r="Z30" s="2">
        <f t="shared" si="3"/>
        <v>2.0778022706508636E-2</v>
      </c>
      <c r="AA30" s="2">
        <f t="shared" si="2"/>
        <v>6.3787570503404112E-9</v>
      </c>
      <c r="AB30" s="2">
        <f t="shared" si="4"/>
        <v>8.8292934001714868E-17</v>
      </c>
      <c r="AC30" s="2">
        <f t="shared" si="5"/>
        <v>-6.9158509871798666E-18</v>
      </c>
      <c r="AD30" s="2">
        <f t="shared" si="6"/>
        <v>1.4901161193847656E-8</v>
      </c>
      <c r="AF30" s="2">
        <v>26</v>
      </c>
      <c r="AG30" s="2">
        <f t="shared" si="13"/>
        <v>2199.8564004898071</v>
      </c>
      <c r="AH30" s="2">
        <v>-4.2744225083879428E-6</v>
      </c>
      <c r="AI30" s="2">
        <f t="shared" si="14"/>
        <v>2199.8565346002579</v>
      </c>
      <c r="AJ30" s="2">
        <v>6.2470447801388218E-5</v>
      </c>
      <c r="AK30" s="2">
        <f t="shared" si="9"/>
        <v>2199.8564675450325</v>
      </c>
      <c r="AL30" s="2">
        <v>2.9098012419126462E-5</v>
      </c>
      <c r="AM30" s="2">
        <f t="shared" si="10"/>
        <v>-1.2437719923366604E-10</v>
      </c>
      <c r="AN30" s="2">
        <f t="shared" si="11"/>
        <v>1.8177658659531858E-9</v>
      </c>
      <c r="AO30" s="2">
        <f t="shared" si="12"/>
        <v>1.3411045074462891E-4</v>
      </c>
    </row>
    <row r="31" spans="2:41" x14ac:dyDescent="0.2">
      <c r="B31" s="6" t="s">
        <v>126</v>
      </c>
      <c r="C31" s="6">
        <f>IF(C30="wheeled",0.0325,0.014)</f>
        <v>1.4E-2</v>
      </c>
      <c r="F31" s="42" t="s">
        <v>86</v>
      </c>
      <c r="G31" s="43">
        <f xml:space="preserve"> 1/1000 * IF($G$25&gt;= 2*SQRT(($C$5*$C$44)/(2*$C$41*$C$18*PI()*$C$9*$C$9)), ($C$5*$C$44)/$C$21 * ( ($G$25/2) - SQRT( ($G$25/2)^2 - ($C$5*$C$44)/(2*$C$41*$C$18*PI()*$C$9*$C$9 ) ) ), 1/$C$21 * SQRT(($C$5*$C$44)^3/(2*$C$41*$C$18*PI()*$C$9*$C$9)) )</f>
        <v>206.45375286168769</v>
      </c>
      <c r="H31" s="42" t="s">
        <v>104</v>
      </c>
      <c r="J31" s="6" t="s">
        <v>60</v>
      </c>
      <c r="K31" s="6">
        <f>ROUND($C$13,2)</f>
        <v>600</v>
      </c>
      <c r="L31" s="6" t="s">
        <v>7</v>
      </c>
      <c r="U31" s="2">
        <v>27</v>
      </c>
      <c r="V31" s="2">
        <f t="shared" si="7"/>
        <v>2.0778022706508636E-2</v>
      </c>
      <c r="W31" s="2">
        <f t="shared" si="0"/>
        <v>6.3787570503404112E-9</v>
      </c>
      <c r="X31" s="2">
        <f t="shared" si="8"/>
        <v>2.0778030157089233E-2</v>
      </c>
      <c r="Y31" s="2">
        <f t="shared" si="1"/>
        <v>-1.0842004065370059E-9</v>
      </c>
      <c r="Z31" s="2">
        <f t="shared" si="3"/>
        <v>2.0778026431798935E-2</v>
      </c>
      <c r="AA31" s="2">
        <f t="shared" si="2"/>
        <v>2.6472783236364261E-9</v>
      </c>
      <c r="AB31" s="2">
        <f t="shared" si="4"/>
        <v>1.6886345271109199E-17</v>
      </c>
      <c r="AC31" s="2">
        <f t="shared" si="5"/>
        <v>-2.8701802347032166E-18</v>
      </c>
      <c r="AD31" s="2">
        <f t="shared" si="6"/>
        <v>7.4505805969238281E-9</v>
      </c>
      <c r="AF31" s="2">
        <v>27</v>
      </c>
      <c r="AG31" s="2">
        <f t="shared" si="13"/>
        <v>2199.8564004898071</v>
      </c>
      <c r="AH31" s="2">
        <v>-4.2744225083879428E-6</v>
      </c>
      <c r="AI31" s="2">
        <f t="shared" si="14"/>
        <v>2199.8564675450325</v>
      </c>
      <c r="AJ31" s="2">
        <v>2.9098012419126462E-5</v>
      </c>
      <c r="AK31" s="2">
        <f t="shared" si="9"/>
        <v>2199.8564340174198</v>
      </c>
      <c r="AL31" s="2">
        <v>1.2411794841682422E-5</v>
      </c>
      <c r="AM31" s="2">
        <f t="shared" si="10"/>
        <v>-5.3053255240780708E-11</v>
      </c>
      <c r="AN31" s="2">
        <f t="shared" si="11"/>
        <v>3.6115856044692488E-10</v>
      </c>
      <c r="AO31" s="2">
        <f t="shared" si="12"/>
        <v>6.7055225372314453E-5</v>
      </c>
    </row>
    <row r="32" spans="2:41" x14ac:dyDescent="0.2">
      <c r="B32" t="s">
        <v>261</v>
      </c>
      <c r="C32" s="1">
        <v>2.8540374719999999</v>
      </c>
      <c r="D32" t="s">
        <v>8</v>
      </c>
      <c r="J32" s="11" t="s">
        <v>55</v>
      </c>
      <c r="K32" s="6">
        <f>ROUND(K13,2)</f>
        <v>777.85</v>
      </c>
      <c r="L32" s="6" t="s">
        <v>7</v>
      </c>
      <c r="U32" s="2">
        <v>28</v>
      </c>
      <c r="V32" s="2">
        <f t="shared" si="7"/>
        <v>2.0778026431798935E-2</v>
      </c>
      <c r="W32" s="2">
        <f t="shared" si="0"/>
        <v>2.6472783236364261E-9</v>
      </c>
      <c r="X32" s="2">
        <f t="shared" si="8"/>
        <v>2.0778030157089233E-2</v>
      </c>
      <c r="Y32" s="2">
        <f t="shared" si="1"/>
        <v>-1.0842004065370059E-9</v>
      </c>
      <c r="Z32" s="2">
        <f t="shared" si="3"/>
        <v>2.0778028294444084E-2</v>
      </c>
      <c r="AA32" s="2">
        <f t="shared" si="2"/>
        <v>7.8153895854971012E-10</v>
      </c>
      <c r="AB32" s="2">
        <f t="shared" si="4"/>
        <v>2.0689511440460348E-18</v>
      </c>
      <c r="AC32" s="2">
        <f t="shared" si="5"/>
        <v>-8.4734485658410395E-19</v>
      </c>
      <c r="AD32" s="2">
        <f t="shared" si="6"/>
        <v>3.7252902984619141E-9</v>
      </c>
      <c r="AF32" s="2">
        <v>28</v>
      </c>
      <c r="AG32" s="2">
        <f t="shared" si="13"/>
        <v>2199.8564004898071</v>
      </c>
      <c r="AH32" s="2">
        <v>-4.2744225083879428E-6</v>
      </c>
      <c r="AI32" s="2">
        <f t="shared" si="14"/>
        <v>2199.8564340174198</v>
      </c>
      <c r="AJ32" s="2">
        <v>1.2411794841682422E-5</v>
      </c>
      <c r="AK32" s="2">
        <f t="shared" si="9"/>
        <v>2199.8564172536135</v>
      </c>
      <c r="AL32" s="2">
        <v>4.068684347657836E-6</v>
      </c>
      <c r="AM32" s="2">
        <f t="shared" si="10"/>
        <v>-1.7391275955154368E-11</v>
      </c>
      <c r="AN32" s="2">
        <f t="shared" si="11"/>
        <v>5.0499675398693539E-11</v>
      </c>
      <c r="AO32" s="2">
        <f t="shared" si="12"/>
        <v>3.3527612686157227E-5</v>
      </c>
    </row>
    <row r="33" spans="2:41" x14ac:dyDescent="0.2">
      <c r="B33" t="s">
        <v>262</v>
      </c>
      <c r="C33" s="1">
        <f>(0.750222528+0.849998808)/2</f>
        <v>0.80011066800000008</v>
      </c>
      <c r="D33"/>
      <c r="J33" s="19" t="s">
        <v>81</v>
      </c>
      <c r="K33" s="6">
        <f>ROUND(SUM(K14:K17),2)</f>
        <v>542.97</v>
      </c>
      <c r="L33" s="6" t="s">
        <v>7</v>
      </c>
      <c r="U33" s="2">
        <v>29</v>
      </c>
      <c r="V33" s="2">
        <f t="shared" si="7"/>
        <v>2.0778028294444084E-2</v>
      </c>
      <c r="W33" s="2">
        <f t="shared" si="0"/>
        <v>7.8153895854971012E-10</v>
      </c>
      <c r="X33" s="2">
        <f t="shared" si="8"/>
        <v>2.0778030157089233E-2</v>
      </c>
      <c r="Y33" s="2">
        <f t="shared" si="1"/>
        <v>-1.0842004065370059E-9</v>
      </c>
      <c r="Z33" s="2">
        <f t="shared" si="3"/>
        <v>2.0778029225766659E-2</v>
      </c>
      <c r="AA33" s="2">
        <f t="shared" si="2"/>
        <v>-1.5133072572837136E-10</v>
      </c>
      <c r="AB33" s="2">
        <f t="shared" si="4"/>
        <v>-1.1827085778232318E-19</v>
      </c>
      <c r="AC33" s="2">
        <f t="shared" si="5"/>
        <v>1.6407283435624037E-19</v>
      </c>
      <c r="AD33" s="2">
        <f t="shared" si="6"/>
        <v>1.862645149230957E-9</v>
      </c>
      <c r="AF33" s="2">
        <v>29</v>
      </c>
      <c r="AG33" s="2">
        <f t="shared" si="13"/>
        <v>2199.8564004898071</v>
      </c>
      <c r="AH33" s="2">
        <v>-4.2744225083879428E-6</v>
      </c>
      <c r="AI33" s="2">
        <f t="shared" si="14"/>
        <v>2199.8564172536135</v>
      </c>
      <c r="AJ33" s="2">
        <v>4.068684347657836E-6</v>
      </c>
      <c r="AK33" s="2">
        <f t="shared" si="9"/>
        <v>2199.8564088717103</v>
      </c>
      <c r="AL33" s="2">
        <v>-1.0286885299137793E-7</v>
      </c>
      <c r="AM33" s="2">
        <f t="shared" si="10"/>
        <v>4.3970494063839621E-13</v>
      </c>
      <c r="AN33" s="2">
        <f t="shared" si="11"/>
        <v>-4.1854089202753437E-13</v>
      </c>
      <c r="AO33" s="2">
        <f t="shared" si="12"/>
        <v>1.6763806343078613E-5</v>
      </c>
    </row>
    <row r="34" spans="2:41" x14ac:dyDescent="0.2">
      <c r="F34" s="9"/>
      <c r="J34" s="20" t="s">
        <v>72</v>
      </c>
      <c r="K34" s="6">
        <f>ROUND(SUM(K18:K22),2)</f>
        <v>173.21</v>
      </c>
      <c r="L34" s="6" t="s">
        <v>7</v>
      </c>
      <c r="U34" s="2">
        <v>30</v>
      </c>
      <c r="V34" s="2">
        <f t="shared" si="7"/>
        <v>2.0778028294444084E-2</v>
      </c>
      <c r="W34" s="2">
        <f t="shared" si="0"/>
        <v>7.8153895854971012E-10</v>
      </c>
      <c r="X34" s="2">
        <f t="shared" si="8"/>
        <v>2.0778029225766659E-2</v>
      </c>
      <c r="Y34" s="2">
        <f t="shared" si="1"/>
        <v>-1.5133072572837136E-10</v>
      </c>
      <c r="Z34" s="2">
        <f t="shared" si="3"/>
        <v>2.0778028760105371E-2</v>
      </c>
      <c r="AA34" s="2">
        <f t="shared" si="2"/>
        <v>3.1510411641066938E-10</v>
      </c>
      <c r="AB34" s="2">
        <f t="shared" si="4"/>
        <v>2.4626614297432117E-19</v>
      </c>
      <c r="AC34" s="2">
        <f t="shared" si="5"/>
        <v>-4.7684934616423809E-20</v>
      </c>
      <c r="AD34" s="2">
        <f>X34-V34</f>
        <v>9.3132257461547852E-10</v>
      </c>
      <c r="AF34" s="2">
        <v>30</v>
      </c>
      <c r="AG34" s="2">
        <f t="shared" si="13"/>
        <v>2199.8564088717103</v>
      </c>
      <c r="AH34" s="2">
        <v>-1.0286885299137793E-7</v>
      </c>
      <c r="AI34" s="2">
        <f t="shared" si="14"/>
        <v>2199.8564172536135</v>
      </c>
      <c r="AJ34" s="2">
        <v>4.068684347657836E-6</v>
      </c>
      <c r="AK34" s="2">
        <f t="shared" si="9"/>
        <v>2199.8564130626619</v>
      </c>
      <c r="AL34" s="2">
        <v>1.982908997888444E-6</v>
      </c>
      <c r="AM34" s="2">
        <f t="shared" si="10"/>
        <v>-2.0397957419906688E-13</v>
      </c>
      <c r="AN34" s="2">
        <f t="shared" si="11"/>
        <v>8.0678308025385971E-12</v>
      </c>
      <c r="AO34" s="2">
        <f t="shared" si="12"/>
        <v>8.3819031715393066E-6</v>
      </c>
    </row>
    <row r="35" spans="2:41" x14ac:dyDescent="0.2">
      <c r="B35" s="54" t="s">
        <v>2</v>
      </c>
      <c r="C35" s="54"/>
      <c r="D35" s="54"/>
      <c r="J35" s="15" t="s">
        <v>73</v>
      </c>
      <c r="K35" s="6">
        <f>ROUND(SUM(K23:K26),2)</f>
        <v>105.83</v>
      </c>
      <c r="L35" s="6" t="s">
        <v>7</v>
      </c>
      <c r="AF35" s="2">
        <v>31</v>
      </c>
      <c r="AG35" s="2">
        <f t="shared" si="13"/>
        <v>2199.8564088717103</v>
      </c>
      <c r="AH35" s="2">
        <v>-1.0286885299137793E-7</v>
      </c>
      <c r="AI35" s="2">
        <f t="shared" si="14"/>
        <v>2199.8564130626619</v>
      </c>
      <c r="AJ35" s="2">
        <v>1.982908997888444E-6</v>
      </c>
      <c r="AK35" s="2">
        <f t="shared" si="9"/>
        <v>2199.8564109671861</v>
      </c>
      <c r="AL35" s="2">
        <v>9.4001984507485759E-7</v>
      </c>
      <c r="AM35" s="2">
        <f t="shared" si="10"/>
        <v>-9.6698763251983387E-14</v>
      </c>
      <c r="AN35" s="2">
        <f t="shared" si="11"/>
        <v>1.8639738089926362E-12</v>
      </c>
      <c r="AO35" s="2">
        <f t="shared" si="12"/>
        <v>4.1909515857696533E-6</v>
      </c>
    </row>
    <row r="36" spans="2:41" x14ac:dyDescent="0.2">
      <c r="B36" s="6" t="s">
        <v>3</v>
      </c>
      <c r="C36" s="17">
        <v>250</v>
      </c>
      <c r="D36" s="6" t="s">
        <v>4</v>
      </c>
      <c r="J36" s="10" t="s">
        <v>62</v>
      </c>
      <c r="K36" s="10">
        <f>SUM(K31:K35)</f>
        <v>2199.8599999999997</v>
      </c>
      <c r="L36" s="6" t="s">
        <v>7</v>
      </c>
      <c r="AF36" s="2">
        <v>32</v>
      </c>
      <c r="AG36" s="2">
        <f t="shared" si="13"/>
        <v>2199.8564088717103</v>
      </c>
      <c r="AH36" s="2">
        <v>-1.0286885299137793E-7</v>
      </c>
      <c r="AI36" s="2">
        <f t="shared" si="14"/>
        <v>2199.8564109671861</v>
      </c>
      <c r="AJ36" s="2">
        <v>9.4001984507485759E-7</v>
      </c>
      <c r="AK36" s="2">
        <f t="shared" si="9"/>
        <v>2199.8564099194482</v>
      </c>
      <c r="AL36" s="2">
        <v>4.185753823549021E-7</v>
      </c>
      <c r="AM36" s="2">
        <f t="shared" si="10"/>
        <v>-4.3058369473276234E-14</v>
      </c>
      <c r="AN36" s="2">
        <f t="shared" si="11"/>
        <v>3.9346916607340435E-13</v>
      </c>
      <c r="AO36" s="2">
        <f t="shared" si="12"/>
        <v>2.0954757928848267E-6</v>
      </c>
    </row>
    <row r="37" spans="2:41" x14ac:dyDescent="0.2">
      <c r="B37" s="6" t="s">
        <v>5</v>
      </c>
      <c r="C37" s="17">
        <v>0.85</v>
      </c>
      <c r="AF37" s="2">
        <v>33</v>
      </c>
      <c r="AG37" s="2">
        <f t="shared" si="13"/>
        <v>2199.8564088717103</v>
      </c>
      <c r="AH37" s="2">
        <v>-1.0286885299137793E-7</v>
      </c>
      <c r="AI37" s="2">
        <f t="shared" si="14"/>
        <v>2199.8564099194482</v>
      </c>
      <c r="AJ37" s="2">
        <v>4.185753823549021E-7</v>
      </c>
      <c r="AK37" s="2">
        <f t="shared" si="9"/>
        <v>2199.8564093955792</v>
      </c>
      <c r="AL37" s="2">
        <v>1.578528099344112E-7</v>
      </c>
      <c r="AM37" s="2">
        <f t="shared" si="10"/>
        <v>-1.6238137499418868E-14</v>
      </c>
      <c r="AN37" s="2">
        <f t="shared" si="11"/>
        <v>6.6073300274091856E-14</v>
      </c>
      <c r="AO37" s="2">
        <f t="shared" si="12"/>
        <v>1.0477378964424133E-6</v>
      </c>
    </row>
    <row r="38" spans="2:41" x14ac:dyDescent="0.2">
      <c r="B38" s="6" t="s">
        <v>6</v>
      </c>
      <c r="C38" s="17">
        <v>0.8</v>
      </c>
      <c r="J38" s="54" t="s">
        <v>59</v>
      </c>
      <c r="K38" s="54"/>
      <c r="L38" s="54"/>
      <c r="AF38" s="2">
        <v>34</v>
      </c>
      <c r="AG38" s="2">
        <f t="shared" si="13"/>
        <v>2199.8564088717103</v>
      </c>
      <c r="AH38" s="2">
        <v>-1.0286885299137793E-7</v>
      </c>
      <c r="AI38" s="2">
        <f t="shared" si="14"/>
        <v>2199.8564093955792</v>
      </c>
      <c r="AJ38" s="2">
        <v>1.578528099344112E-7</v>
      </c>
      <c r="AK38" s="2">
        <f t="shared" si="9"/>
        <v>2199.8564091336448</v>
      </c>
      <c r="AL38" s="2">
        <v>2.7492205845192075E-8</v>
      </c>
      <c r="AM38" s="2">
        <f t="shared" si="10"/>
        <v>-2.8280916814977647E-15</v>
      </c>
      <c r="AN38" s="2">
        <f t="shared" si="11"/>
        <v>4.3397219439588131E-15</v>
      </c>
      <c r="AO38" s="2">
        <f t="shared" si="12"/>
        <v>5.2386894822120667E-7</v>
      </c>
    </row>
    <row r="39" spans="2:41" x14ac:dyDescent="0.2">
      <c r="J39" s="6" t="s">
        <v>60</v>
      </c>
      <c r="K39" s="6">
        <f>ROUND($C$13/$C$5 * 100, 2)</f>
        <v>27.27</v>
      </c>
      <c r="L39" s="6" t="s">
        <v>61</v>
      </c>
      <c r="AF39" s="2">
        <v>35</v>
      </c>
      <c r="AG39" s="2">
        <f t="shared" si="13"/>
        <v>2199.8564088717103</v>
      </c>
      <c r="AH39" s="2">
        <v>-1.0286885299137793E-7</v>
      </c>
      <c r="AI39" s="2">
        <f t="shared" si="14"/>
        <v>2199.8564091336448</v>
      </c>
      <c r="AJ39" s="2">
        <v>2.7492205845192075E-8</v>
      </c>
      <c r="AK39" s="2">
        <f t="shared" si="9"/>
        <v>2199.8564090026775</v>
      </c>
      <c r="AL39" s="2">
        <v>-3.7688550946768373E-8</v>
      </c>
      <c r="AM39" s="2">
        <f t="shared" si="10"/>
        <v>3.8769780068011735E-15</v>
      </c>
      <c r="AN39" s="2">
        <f t="shared" si="11"/>
        <v>-1.0361414006355648E-15</v>
      </c>
      <c r="AO39" s="2">
        <f t="shared" si="12"/>
        <v>2.6193447411060333E-7</v>
      </c>
    </row>
    <row r="40" spans="2:41" x14ac:dyDescent="0.2">
      <c r="B40" s="54" t="s">
        <v>272</v>
      </c>
      <c r="C40" s="55"/>
      <c r="D40" s="55"/>
      <c r="J40" s="11" t="s">
        <v>55</v>
      </c>
      <c r="K40" s="6">
        <f>ROUND(K13/$C$5 * 100, 2)</f>
        <v>35.36</v>
      </c>
      <c r="L40" s="6" t="s">
        <v>61</v>
      </c>
      <c r="AF40" s="2">
        <v>36</v>
      </c>
      <c r="AG40" s="2">
        <f t="shared" si="13"/>
        <v>2199.8564090026775</v>
      </c>
      <c r="AH40" s="2">
        <v>-3.7688550946768373E-8</v>
      </c>
      <c r="AI40" s="2">
        <f t="shared" si="14"/>
        <v>2199.8564091336448</v>
      </c>
      <c r="AJ40" s="2">
        <v>2.7492205845192075E-8</v>
      </c>
      <c r="AK40" s="2">
        <f t="shared" si="9"/>
        <v>2199.8564090681612</v>
      </c>
      <c r="AL40" s="2">
        <v>-5.0965809350600466E-9</v>
      </c>
      <c r="AM40" s="2">
        <f t="shared" si="10"/>
        <v>1.9208275022533896E-16</v>
      </c>
      <c r="AN40" s="2">
        <f t="shared" si="11"/>
        <v>-1.401162521733523E-16</v>
      </c>
      <c r="AO40" s="2">
        <f t="shared" si="12"/>
        <v>1.3096723705530167E-7</v>
      </c>
    </row>
    <row r="41" spans="2:41" x14ac:dyDescent="0.2">
      <c r="B41" s="6" t="s">
        <v>15</v>
      </c>
      <c r="C41" s="17">
        <v>1.0397562309141399</v>
      </c>
      <c r="D41" s="6" t="s">
        <v>16</v>
      </c>
      <c r="J41" s="19" t="s">
        <v>81</v>
      </c>
      <c r="K41" s="6">
        <f>ROUND(SUM(K14:K17)/$C$5 * 100, 2)</f>
        <v>24.68</v>
      </c>
      <c r="L41" s="6" t="s">
        <v>61</v>
      </c>
      <c r="AF41" s="2">
        <v>37</v>
      </c>
      <c r="AG41" s="2">
        <f t="shared" si="13"/>
        <v>2199.8564090681612</v>
      </c>
      <c r="AH41" s="2">
        <v>-5.0965809350600466E-9</v>
      </c>
      <c r="AI41" s="2">
        <f t="shared" si="14"/>
        <v>2199.8564091336448</v>
      </c>
      <c r="AJ41" s="2">
        <v>2.7492205845192075E-8</v>
      </c>
      <c r="AK41" s="2">
        <f t="shared" si="9"/>
        <v>2199.856409100903</v>
      </c>
      <c r="AL41" s="2">
        <v>1.119610715250019E-8</v>
      </c>
      <c r="AM41" s="2">
        <f t="shared" si="10"/>
        <v>-5.7061866260321893E-17</v>
      </c>
      <c r="AN41" s="2">
        <f t="shared" si="11"/>
        <v>3.0780568250136252E-16</v>
      </c>
      <c r="AO41" s="2">
        <f t="shared" si="12"/>
        <v>6.5483618527650833E-8</v>
      </c>
    </row>
    <row r="42" spans="2:41" x14ac:dyDescent="0.2">
      <c r="B42" s="6" t="s">
        <v>214</v>
      </c>
      <c r="C42" s="41">
        <v>1.7363179204150701E-5</v>
      </c>
      <c r="D42" s="6" t="s">
        <v>210</v>
      </c>
      <c r="J42" s="20" t="s">
        <v>72</v>
      </c>
      <c r="K42" s="6">
        <f>ROUND(SUM(K18:K22)/$C$5 * 100, 2)</f>
        <v>7.87</v>
      </c>
      <c r="L42" s="6" t="s">
        <v>61</v>
      </c>
      <c r="AF42" s="2">
        <v>38</v>
      </c>
      <c r="AG42" s="2">
        <f t="shared" si="13"/>
        <v>2199.8564090681612</v>
      </c>
      <c r="AH42" s="2">
        <v>-5.0965809350600466E-9</v>
      </c>
      <c r="AI42" s="2">
        <f t="shared" si="14"/>
        <v>2199.856409100903</v>
      </c>
      <c r="AJ42" s="2">
        <v>1.119610715250019E-8</v>
      </c>
      <c r="AK42" s="2">
        <f t="shared" si="9"/>
        <v>2199.8564090845321</v>
      </c>
      <c r="AL42" s="2">
        <v>3.0488536140182987E-9</v>
      </c>
      <c r="AM42" s="2">
        <f t="shared" si="10"/>
        <v>-1.5538729202994583E-17</v>
      </c>
      <c r="AN42" s="2">
        <f t="shared" si="11"/>
        <v>3.4135291754836327E-17</v>
      </c>
      <c r="AO42" s="2">
        <f t="shared" si="12"/>
        <v>3.2741809263825417E-8</v>
      </c>
    </row>
    <row r="43" spans="2:41" x14ac:dyDescent="0.2">
      <c r="B43" s="6" t="s">
        <v>132</v>
      </c>
      <c r="C43" s="17">
        <v>333.91694458017901</v>
      </c>
      <c r="D43" s="6" t="s">
        <v>10</v>
      </c>
      <c r="J43" s="15" t="s">
        <v>73</v>
      </c>
      <c r="K43" s="6">
        <f>ROUND(SUM(K23:K26)/$C$5*100, 2)</f>
        <v>4.8099999999999996</v>
      </c>
      <c r="L43" s="6" t="s">
        <v>61</v>
      </c>
      <c r="AF43" s="2">
        <v>39</v>
      </c>
      <c r="AG43" s="2">
        <f t="shared" si="13"/>
        <v>2199.8564090681612</v>
      </c>
      <c r="AH43" s="2">
        <v>-5.0965809350600466E-9</v>
      </c>
      <c r="AI43" s="2">
        <f t="shared" si="14"/>
        <v>2199.8564090845321</v>
      </c>
      <c r="AJ43" s="2">
        <v>3.0488536140182987E-9</v>
      </c>
      <c r="AK43" s="2">
        <f t="shared" si="9"/>
        <v>2199.8564090763466</v>
      </c>
      <c r="AL43" s="2">
        <v>-1.0250005288980901E-9</v>
      </c>
      <c r="AM43" s="2">
        <f t="shared" si="10"/>
        <v>5.2239981540084705E-18</v>
      </c>
      <c r="AN43" s="2">
        <f t="shared" si="11"/>
        <v>-3.1250765669016097E-18</v>
      </c>
      <c r="AO43" s="2">
        <f t="shared" si="12"/>
        <v>1.6370904631912708E-8</v>
      </c>
    </row>
    <row r="44" spans="2:41" x14ac:dyDescent="0.2">
      <c r="B44" s="6" t="s">
        <v>17</v>
      </c>
      <c r="C44" s="1">
        <v>9.80149119240094</v>
      </c>
      <c r="D44" s="6" t="s">
        <v>18</v>
      </c>
      <c r="J44" s="10" t="s">
        <v>62</v>
      </c>
      <c r="K44" s="10">
        <f>SUM(K39:K43)</f>
        <v>99.990000000000009</v>
      </c>
      <c r="L44" s="10" t="s">
        <v>61</v>
      </c>
      <c r="N44" s="6" t="s">
        <v>284</v>
      </c>
      <c r="O44" s="6">
        <v>3</v>
      </c>
      <c r="AF44" s="2">
        <v>40</v>
      </c>
      <c r="AG44" s="2">
        <f t="shared" si="13"/>
        <v>2199.8564090763466</v>
      </c>
      <c r="AH44" s="2">
        <v>-1.0250005288980901E-9</v>
      </c>
      <c r="AI44" s="2">
        <f t="shared" si="14"/>
        <v>2199.8564090845321</v>
      </c>
      <c r="AJ44" s="2">
        <v>3.0488536140182987E-9</v>
      </c>
      <c r="AK44" s="5">
        <f>(AG44+AI44)/2</f>
        <v>2199.8564090804393</v>
      </c>
      <c r="AL44" s="2">
        <v>1.0122676030732691E-9</v>
      </c>
      <c r="AM44" s="2">
        <f t="shared" si="10"/>
        <v>-1.0375748285365028E-18</v>
      </c>
      <c r="AN44" s="2">
        <f t="shared" si="11"/>
        <v>3.0862557399835773E-18</v>
      </c>
      <c r="AO44" s="2">
        <f t="shared" si="12"/>
        <v>8.1854523159563541E-9</v>
      </c>
    </row>
    <row r="45" spans="2:41" x14ac:dyDescent="0.2">
      <c r="N45" s="6" t="s">
        <v>285</v>
      </c>
      <c r="O45" s="6">
        <f>O44*C6</f>
        <v>1200</v>
      </c>
      <c r="P45" s="6" t="s">
        <v>134</v>
      </c>
    </row>
    <row r="46" spans="2:41" x14ac:dyDescent="0.2">
      <c r="B46" s="54" t="s">
        <v>273</v>
      </c>
      <c r="C46" s="55"/>
      <c r="D46" s="55"/>
      <c r="J46" s="54" t="s">
        <v>59</v>
      </c>
      <c r="K46" s="54"/>
      <c r="L46" s="54"/>
      <c r="N46" s="6" t="s">
        <v>283</v>
      </c>
      <c r="O46" s="6">
        <f>O45*2*PI()/60</f>
        <v>125.66370614359172</v>
      </c>
      <c r="P46" s="6" t="s">
        <v>30</v>
      </c>
    </row>
    <row r="47" spans="2:41" x14ac:dyDescent="0.2">
      <c r="B47" s="6" t="s">
        <v>15</v>
      </c>
      <c r="C47" s="17">
        <v>1.00854450666398</v>
      </c>
      <c r="D47" s="6" t="s">
        <v>16</v>
      </c>
      <c r="J47" s="6" t="s">
        <v>60</v>
      </c>
      <c r="K47" s="6">
        <f>ROUND($C$13/$C$5 * 100, 2)</f>
        <v>27.27</v>
      </c>
      <c r="L47" s="6" t="s">
        <v>61</v>
      </c>
      <c r="N47" s="6" t="s">
        <v>286</v>
      </c>
      <c r="O47" s="6">
        <f>G12*1000/O46</f>
        <v>1958.9496001663249</v>
      </c>
      <c r="P47" s="6" t="s">
        <v>179</v>
      </c>
    </row>
    <row r="48" spans="2:41" x14ac:dyDescent="0.2">
      <c r="B48" s="6" t="s">
        <v>214</v>
      </c>
      <c r="C48" s="41">
        <v>1.7265641515845801E-5</v>
      </c>
      <c r="D48" s="6" t="s">
        <v>210</v>
      </c>
      <c r="J48" s="11" t="s">
        <v>55</v>
      </c>
      <c r="K48" s="6">
        <f>ROUND(K13/$C$5 * 100, 2)</f>
        <v>35.36</v>
      </c>
      <c r="L48" s="6" t="s">
        <v>61</v>
      </c>
      <c r="N48" s="6" t="s">
        <v>287</v>
      </c>
      <c r="O48" s="6">
        <f>0.377*O47^0.6945</f>
        <v>72.887240143522988</v>
      </c>
    </row>
    <row r="49" spans="2:12" x14ac:dyDescent="0.2">
      <c r="B49" s="6" t="s">
        <v>132</v>
      </c>
      <c r="C49" s="17">
        <v>332.721752148093</v>
      </c>
      <c r="D49" s="6" t="s">
        <v>10</v>
      </c>
      <c r="J49" s="20" t="s">
        <v>277</v>
      </c>
      <c r="K49" s="6">
        <f>ROUND(SUM(K14:K26)/$C$5 * 100, 2)</f>
        <v>37.369999999999997</v>
      </c>
      <c r="L49" s="6" t="s">
        <v>61</v>
      </c>
    </row>
    <row r="50" spans="2:12" x14ac:dyDescent="0.2">
      <c r="B50" s="6" t="s">
        <v>17</v>
      </c>
      <c r="C50" s="1">
        <v>9.8005536647414697</v>
      </c>
      <c r="D50" s="6" t="s">
        <v>18</v>
      </c>
      <c r="J50" s="10" t="s">
        <v>62</v>
      </c>
      <c r="K50" s="10">
        <f>SUM(K47:K49)</f>
        <v>100</v>
      </c>
      <c r="L50" s="10" t="s">
        <v>61</v>
      </c>
    </row>
    <row r="52" spans="2:12" x14ac:dyDescent="0.2">
      <c r="B52" s="54" t="s">
        <v>74</v>
      </c>
      <c r="C52" s="54"/>
      <c r="D52" s="54"/>
    </row>
    <row r="53" spans="2:12" x14ac:dyDescent="0.2">
      <c r="B53" s="6" t="s">
        <v>264</v>
      </c>
      <c r="C53" s="17">
        <v>30</v>
      </c>
    </row>
    <row r="54" spans="2:12" x14ac:dyDescent="0.2">
      <c r="B54" s="6" t="s">
        <v>266</v>
      </c>
      <c r="C54" s="17">
        <v>0.8</v>
      </c>
    </row>
    <row r="55" spans="2:12" x14ac:dyDescent="0.2">
      <c r="B55" s="6" t="s">
        <v>267</v>
      </c>
      <c r="C55" s="17">
        <v>0.8</v>
      </c>
    </row>
    <row r="56" spans="2:12" x14ac:dyDescent="0.2">
      <c r="B56" s="6" t="s">
        <v>268</v>
      </c>
      <c r="C56" s="17">
        <v>0.8</v>
      </c>
    </row>
  </sheetData>
  <mergeCells count="22">
    <mergeCell ref="N17:P17"/>
    <mergeCell ref="B1:D1"/>
    <mergeCell ref="B3:D3"/>
    <mergeCell ref="F3:H3"/>
    <mergeCell ref="J3:L3"/>
    <mergeCell ref="N3:P3"/>
    <mergeCell ref="J7:L7"/>
    <mergeCell ref="B12:D12"/>
    <mergeCell ref="J11:L11"/>
    <mergeCell ref="F14:H14"/>
    <mergeCell ref="N13:P13"/>
    <mergeCell ref="B17:D17"/>
    <mergeCell ref="B46:D46"/>
    <mergeCell ref="J46:L46"/>
    <mergeCell ref="B52:D52"/>
    <mergeCell ref="B24:D24"/>
    <mergeCell ref="F24:H24"/>
    <mergeCell ref="B29:D29"/>
    <mergeCell ref="J30:L30"/>
    <mergeCell ref="B35:D35"/>
    <mergeCell ref="B40:D40"/>
    <mergeCell ref="J38:L38"/>
  </mergeCells>
  <conditionalFormatting sqref="K28">
    <cfRule type="containsText" dxfId="47" priority="1" operator="containsText" text="FALSE">
      <formula>NOT(ISERROR(SEARCH("FALSE",K28)))</formula>
    </cfRule>
    <cfRule type="containsText" dxfId="46" priority="2" operator="containsText" text="TRUE">
      <formula>NOT(ISERROR(SEARCH("TRUE",K28)))</formula>
    </cfRule>
    <cfRule type="cellIs" dxfId="45" priority="3" operator="equal">
      <formula>1</formula>
    </cfRule>
    <cfRule type="cellIs" dxfId="44" priority="4" operator="equal">
      <formula>TRUE</formula>
    </cfRule>
    <cfRule type="containsText" dxfId="43" priority="5" operator="containsText" text="YES">
      <formula>NOT(ISERROR(SEARCH("YES",K28)))</formula>
    </cfRule>
    <cfRule type="cellIs" dxfId="42" priority="6" operator="equal">
      <formula>"""YES"""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D4AB6-557E-EC41-AEF7-F524A5AEEAA8}">
  <dimension ref="B1:AS68"/>
  <sheetViews>
    <sheetView topLeftCell="D3" workbookViewId="0">
      <selection activeCell="K15" sqref="K15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0.83203125" style="6"/>
    <col min="4" max="4" width="7.1640625" style="6" customWidth="1"/>
    <col min="5" max="5" width="5.6640625" style="6" customWidth="1"/>
    <col min="6" max="6" width="20.66406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3.1640625" style="6" customWidth="1"/>
    <col min="12" max="12" width="4.83203125" style="6" customWidth="1"/>
    <col min="13" max="13" width="6" style="6" customWidth="1"/>
    <col min="14" max="14" width="16" style="6" customWidth="1"/>
    <col min="15" max="15" width="12.83203125" style="6" customWidth="1"/>
    <col min="16" max="16" width="6.1640625" style="6" customWidth="1"/>
    <col min="17" max="17" width="6" style="6" customWidth="1"/>
    <col min="18" max="18" width="15.33203125" style="6" customWidth="1"/>
    <col min="19" max="19" width="11.1640625" style="6" customWidth="1"/>
    <col min="20" max="20" width="6.33203125" style="6" customWidth="1"/>
    <col min="21" max="21" width="6" style="6" customWidth="1"/>
    <col min="22" max="24" width="3.83203125" style="6" customWidth="1"/>
    <col min="25" max="25" width="5.5" style="6" customWidth="1"/>
    <col min="26" max="26" width="8.83203125" style="6" customWidth="1"/>
    <col min="27" max="27" width="9.1640625" style="6" customWidth="1"/>
    <col min="28" max="28" width="6.6640625" style="6" customWidth="1"/>
    <col min="29" max="29" width="9.5" style="6" customWidth="1"/>
    <col min="30" max="30" width="14.6640625" style="6" customWidth="1"/>
    <col min="31" max="31" width="9" style="6" customWidth="1"/>
    <col min="32" max="32" width="10" style="6" customWidth="1"/>
    <col min="33" max="33" width="9.5" style="6" customWidth="1"/>
    <col min="34" max="34" width="13.6640625" style="6" customWidth="1"/>
    <col min="35" max="35" width="10.83203125" style="6"/>
    <col min="36" max="36" width="5.1640625" style="6" customWidth="1"/>
    <col min="37" max="37" width="11.83203125" style="6" bestFit="1" customWidth="1"/>
    <col min="38" max="38" width="16.5" style="6" bestFit="1" customWidth="1"/>
    <col min="39" max="39" width="11.83203125" style="6" bestFit="1" customWidth="1"/>
    <col min="40" max="40" width="14.1640625" style="6" bestFit="1" customWidth="1"/>
    <col min="41" max="41" width="18.33203125" style="6" customWidth="1"/>
    <col min="42" max="45" width="11.83203125" style="6" bestFit="1" customWidth="1"/>
    <col min="46" max="16384" width="10.83203125" style="6"/>
  </cols>
  <sheetData>
    <row r="1" spans="2:45" x14ac:dyDescent="0.2">
      <c r="B1" s="60" t="s">
        <v>0</v>
      </c>
      <c r="C1" s="60"/>
      <c r="D1" s="60"/>
    </row>
    <row r="2" spans="2:45" x14ac:dyDescent="0.2">
      <c r="Y2" s="16" t="s">
        <v>278</v>
      </c>
      <c r="AJ2" s="16" t="s">
        <v>79</v>
      </c>
    </row>
    <row r="3" spans="2:45" x14ac:dyDescent="0.2">
      <c r="B3" s="57" t="s">
        <v>127</v>
      </c>
      <c r="C3" s="58"/>
      <c r="D3" s="58"/>
      <c r="F3" s="57" t="s">
        <v>83</v>
      </c>
      <c r="G3" s="58"/>
      <c r="H3" s="58"/>
      <c r="J3" s="54" t="s">
        <v>101</v>
      </c>
      <c r="K3" s="54"/>
      <c r="L3" s="54"/>
      <c r="N3" s="54" t="s">
        <v>279</v>
      </c>
      <c r="O3" s="54"/>
      <c r="P3" s="54"/>
      <c r="R3" s="54" t="s">
        <v>95</v>
      </c>
      <c r="S3" s="54"/>
      <c r="T3" s="54"/>
      <c r="Y3" s="7" t="s">
        <v>44</v>
      </c>
      <c r="Z3" s="7" t="s">
        <v>45</v>
      </c>
      <c r="AA3" s="7" t="s">
        <v>46</v>
      </c>
      <c r="AB3" s="7" t="s">
        <v>47</v>
      </c>
      <c r="AC3" s="7" t="s">
        <v>48</v>
      </c>
      <c r="AD3" s="7" t="s">
        <v>49</v>
      </c>
      <c r="AE3" s="7" t="s">
        <v>50</v>
      </c>
      <c r="AF3" s="7" t="s">
        <v>51</v>
      </c>
      <c r="AG3" s="7" t="s">
        <v>52</v>
      </c>
      <c r="AH3" s="7" t="s">
        <v>53</v>
      </c>
      <c r="AJ3" s="7" t="s">
        <v>44</v>
      </c>
      <c r="AK3" s="7" t="s">
        <v>45</v>
      </c>
      <c r="AL3" s="7" t="s">
        <v>46</v>
      </c>
      <c r="AM3" s="7" t="s">
        <v>47</v>
      </c>
      <c r="AN3" s="7" t="s">
        <v>48</v>
      </c>
      <c r="AO3" s="7" t="s">
        <v>49</v>
      </c>
      <c r="AP3" s="7" t="s">
        <v>50</v>
      </c>
      <c r="AQ3" s="7" t="s">
        <v>51</v>
      </c>
      <c r="AR3" s="7" t="s">
        <v>52</v>
      </c>
      <c r="AS3" s="7" t="s">
        <v>53</v>
      </c>
    </row>
    <row r="4" spans="2:45" x14ac:dyDescent="0.2">
      <c r="B4" s="6" t="s">
        <v>39</v>
      </c>
      <c r="C4" s="22" t="s">
        <v>75</v>
      </c>
      <c r="F4" t="s">
        <v>87</v>
      </c>
      <c r="G4" s="1">
        <f>500*0.3048/60</f>
        <v>2.54</v>
      </c>
      <c r="H4" t="s">
        <v>10</v>
      </c>
      <c r="J4" t="s">
        <v>102</v>
      </c>
      <c r="K4" s="6">
        <f>(1+C22/100)*MAX(G14,G24,G33)</f>
        <v>412.89774995378889</v>
      </c>
      <c r="L4" s="6" t="s">
        <v>104</v>
      </c>
      <c r="N4" s="6" t="s">
        <v>25</v>
      </c>
      <c r="O4" s="6">
        <f xml:space="preserve"> 0.5 * $C$41 * $G$4^2</f>
        <v>3.3540456496828326</v>
      </c>
      <c r="P4" s="6" t="s">
        <v>26</v>
      </c>
      <c r="R4" s="6" t="s">
        <v>25</v>
      </c>
      <c r="S4" s="6">
        <f xml:space="preserve"> 0.5 * $C$47 * $C$8^2</f>
        <v>1260.6806333299751</v>
      </c>
      <c r="T4" s="6" t="s">
        <v>26</v>
      </c>
      <c r="Y4" s="2">
        <v>0</v>
      </c>
      <c r="Z4" s="53">
        <v>1.0000000000000001E-15</v>
      </c>
      <c r="AA4" s="37">
        <f xml:space="preserve"> $O$21 * TAN($O$18/180*PI()) + $O$22 / (2 * SQRT($O$21^2 + Z4^2)) - Z4</f>
        <v>1861958120634.5571</v>
      </c>
      <c r="AB4" s="3">
        <v>1</v>
      </c>
      <c r="AC4" s="37">
        <f xml:space="preserve"> $O$21 * TAN($O$18/180*PI()) + $O$22 / (2 * SQRT($O$21^2 + AB4^2)) - AB4</f>
        <v>-0.98297853274768254</v>
      </c>
      <c r="AD4" s="2">
        <f xml:space="preserve"> (Z4 + AB4)/2</f>
        <v>0.50000000000000056</v>
      </c>
      <c r="AE4" s="37">
        <f xml:space="preserve"> $O$21 * TAN($O$18/180*PI()) + $O$22 / (2 * SQRT($O$21^2 + AD4^2)) - AD4</f>
        <v>-0.48111657382486867</v>
      </c>
      <c r="AF4" s="2">
        <f>AA4*AE4</f>
        <v>-895818911605.0896</v>
      </c>
      <c r="AG4" s="2">
        <f>AC4*AE4</f>
        <v>0.4729272638189615</v>
      </c>
      <c r="AH4" s="2">
        <f>AB4-Z4</f>
        <v>0.999999999999999</v>
      </c>
      <c r="AJ4" s="2">
        <v>0</v>
      </c>
      <c r="AK4" s="2"/>
      <c r="AL4" s="2">
        <f>K27</f>
        <v>-1.9083472579950467E-9</v>
      </c>
      <c r="AM4" s="2"/>
      <c r="AN4" s="2">
        <f>K27</f>
        <v>-1.9083472579950467E-9</v>
      </c>
      <c r="AO4" s="2"/>
      <c r="AP4" s="2">
        <f>K27</f>
        <v>-1.9083472579950467E-9</v>
      </c>
      <c r="AQ4" s="2"/>
      <c r="AR4" s="2"/>
      <c r="AS4" s="2"/>
    </row>
    <row r="5" spans="2:45" x14ac:dyDescent="0.2">
      <c r="B5" s="10" t="s">
        <v>40</v>
      </c>
      <c r="C5" s="10">
        <f>AO44</f>
        <v>2229.8031102259301</v>
      </c>
      <c r="D5" s="10" t="s">
        <v>7</v>
      </c>
      <c r="F5" t="s">
        <v>90</v>
      </c>
      <c r="G5" s="1">
        <f>1000*0.3048</f>
        <v>304.8</v>
      </c>
      <c r="H5" t="s">
        <v>8</v>
      </c>
      <c r="J5" t="s">
        <v>103</v>
      </c>
      <c r="K5" s="6">
        <f>K4/$C$18</f>
        <v>103.22443748844722</v>
      </c>
      <c r="L5" s="6" t="s">
        <v>104</v>
      </c>
      <c r="N5" s="6" t="s">
        <v>119</v>
      </c>
      <c r="O5" s="6">
        <v>0</v>
      </c>
      <c r="P5" s="6" t="s">
        <v>120</v>
      </c>
      <c r="R5" s="6" t="s">
        <v>119</v>
      </c>
      <c r="S5" s="6">
        <f xml:space="preserve"> $C$18 * 0.85 * ($C$5/$C$18 *2.20462/1000)^(2/3) * 0.3048^2</f>
        <v>0.36241182087537166</v>
      </c>
      <c r="T5" s="6" t="s">
        <v>120</v>
      </c>
      <c r="Y5" s="2">
        <v>1</v>
      </c>
      <c r="Z5" s="2">
        <f>IF(AF4&gt;0, AD4, Z4)</f>
        <v>1.0000000000000001E-15</v>
      </c>
      <c r="AA5" s="37">
        <f t="shared" ref="AA5:AA34" si="0" xml:space="preserve"> $O$21 * TAN($O$18/180*PI()) + $O$22 / (2 * SQRT($O$21^2 + Z5^2)) - Z5</f>
        <v>1861958120634.5571</v>
      </c>
      <c r="AB5" s="2">
        <f>IF(AG4&gt;0, AD4, AB4)</f>
        <v>0.50000000000000056</v>
      </c>
      <c r="AC5" s="37">
        <f t="shared" ref="AC5:AC34" si="1" xml:space="preserve"> $O$21 * TAN($O$18/180*PI()) + $O$22 / (2 * SQRT($O$21^2 + AB5^2)) - AB5</f>
        <v>-0.48111657382486867</v>
      </c>
      <c r="AD5" s="2">
        <f t="shared" ref="AD5:AD33" si="2" xml:space="preserve"> (Z5 + AB5)/2</f>
        <v>0.25000000000000078</v>
      </c>
      <c r="AE5" s="37">
        <f t="shared" ref="AE5:AE33" si="3" xml:space="preserve"> $O$21 * TAN($O$18/180*PI()) + $O$22 / (2 * SQRT($O$21^2 + AD5^2)) - AD5</f>
        <v>-0.22739265597924008</v>
      </c>
      <c r="AF5" s="2">
        <f t="shared" ref="AF5:AF34" si="4">AA5*AE5</f>
        <v>-423395602373.20624</v>
      </c>
      <c r="AG5" s="2">
        <f t="shared" ref="AG5:AG34" si="5">AC5*AE5</f>
        <v>0.10940237555766902</v>
      </c>
      <c r="AH5" s="2">
        <f t="shared" ref="AH5:AH33" si="6">AB5-Z5</f>
        <v>0.49999999999999956</v>
      </c>
      <c r="AJ5" s="2">
        <v>1</v>
      </c>
      <c r="AK5" s="3">
        <v>500</v>
      </c>
      <c r="AL5" s="2">
        <f t="dataTable" ref="AL5:AL44" dt2D="0" dtr="0" r1="C5"/>
        <v>-1032.0759028538373</v>
      </c>
      <c r="AM5" s="3">
        <v>5000</v>
      </c>
      <c r="AN5" s="2">
        <f t="dataTable" ref="AN5:AN44" dt2D="0" dtr="0" r1="C5" ca="1"/>
        <v>1325.8608445902532</v>
      </c>
      <c r="AO5" s="2">
        <f>(AK5+AM5)/2</f>
        <v>2750</v>
      </c>
      <c r="AP5" s="2">
        <f t="dataTable" ref="AP5:AP44" dt2D="0" dtr="0" r1="C5" ca="1"/>
        <v>280.78259254498221</v>
      </c>
      <c r="AQ5" s="2">
        <f>AL5*AP5</f>
        <v>-289788.94770650362</v>
      </c>
      <c r="AR5" s="2">
        <f>AN5*AP5</f>
        <v>372278.64529793104</v>
      </c>
      <c r="AS5" s="2">
        <f>AM5-AK5</f>
        <v>4500</v>
      </c>
    </row>
    <row r="6" spans="2:45" x14ac:dyDescent="0.2">
      <c r="B6" s="6" t="s">
        <v>270</v>
      </c>
      <c r="C6" s="22">
        <v>400</v>
      </c>
      <c r="D6" s="6" t="s">
        <v>134</v>
      </c>
      <c r="F6" t="s">
        <v>91</v>
      </c>
      <c r="G6" s="8">
        <f>$G$5/$G$4</f>
        <v>120</v>
      </c>
      <c r="H6" s="6" t="s">
        <v>14</v>
      </c>
      <c r="N6" t="s">
        <v>121</v>
      </c>
      <c r="O6">
        <v>0</v>
      </c>
      <c r="R6" t="s">
        <v>121</v>
      </c>
      <c r="S6">
        <f xml:space="preserve"> S5 / (PI() * $C$9^2)</f>
        <v>7.2099540909062428E-3</v>
      </c>
      <c r="Y6" s="2">
        <v>2</v>
      </c>
      <c r="Z6" s="2">
        <f t="shared" ref="Z6:Z34" si="7">IF(AF5&gt;0, AD5, Z5)</f>
        <v>1.0000000000000001E-15</v>
      </c>
      <c r="AA6" s="37">
        <f t="shared" si="0"/>
        <v>1861958120634.5571</v>
      </c>
      <c r="AB6" s="2">
        <f t="shared" ref="AB6:AB34" si="8">IF(AG5&gt;0, AD5, AB5)</f>
        <v>0.25000000000000078</v>
      </c>
      <c r="AC6" s="37">
        <f t="shared" si="1"/>
        <v>-0.22739265597924008</v>
      </c>
      <c r="AD6" s="2">
        <f t="shared" si="2"/>
        <v>0.12500000000000089</v>
      </c>
      <c r="AE6" s="37">
        <f t="shared" si="3"/>
        <v>-9.4944820287982609E-2</v>
      </c>
      <c r="AF6" s="2">
        <f t="shared" si="4"/>
        <v>-176783279147.39786</v>
      </c>
      <c r="AG6" s="2">
        <f t="shared" si="5"/>
        <v>2.1589754856756002E-2</v>
      </c>
      <c r="AH6" s="2">
        <f t="shared" si="6"/>
        <v>0.24999999999999978</v>
      </c>
      <c r="AJ6" s="2">
        <v>2</v>
      </c>
      <c r="AK6" s="2">
        <f>IF(AQ5&gt;0, AO5, AK5)</f>
        <v>500</v>
      </c>
      <c r="AL6" s="2">
        <v>-1032.0759028538373</v>
      </c>
      <c r="AM6" s="2">
        <f>IF(AR5&gt;0, AO5, AM5)</f>
        <v>2750</v>
      </c>
      <c r="AN6" s="2">
        <v>280.78259254498221</v>
      </c>
      <c r="AO6" s="2">
        <f t="shared" ref="AO6:AO43" si="9">(AK6+AM6)/2</f>
        <v>1625</v>
      </c>
      <c r="AP6" s="2">
        <v>-341.35412373781105</v>
      </c>
      <c r="AQ6" s="2">
        <f t="shared" ref="AQ6:AQ44" si="10">AL6*AP6</f>
        <v>352303.36544958182</v>
      </c>
      <c r="AR6" s="2">
        <f t="shared" ref="AR6:AR44" si="11">AN6*AP6</f>
        <v>-95846.295839023238</v>
      </c>
      <c r="AS6" s="2">
        <f t="shared" ref="AS6:AS44" si="12">AM6-AK6</f>
        <v>2250</v>
      </c>
    </row>
    <row r="7" spans="2:45" x14ac:dyDescent="0.2">
      <c r="B7" s="6" t="s">
        <v>269</v>
      </c>
      <c r="C7" s="17">
        <v>450</v>
      </c>
      <c r="D7" s="6" t="s">
        <v>134</v>
      </c>
      <c r="F7" t="s">
        <v>130</v>
      </c>
      <c r="G7" s="8">
        <f>$C$6*2*PI()/60*$C$9</f>
        <v>167.55160819145564</v>
      </c>
      <c r="H7" s="6" t="s">
        <v>10</v>
      </c>
      <c r="J7" s="54" t="s">
        <v>23</v>
      </c>
      <c r="K7" s="54"/>
      <c r="L7" s="54"/>
      <c r="N7" t="s">
        <v>123</v>
      </c>
      <c r="O7" s="17">
        <v>0</v>
      </c>
      <c r="R7" t="s">
        <v>123</v>
      </c>
      <c r="S7" s="17">
        <f>0.01230085</f>
        <v>1.230085E-2</v>
      </c>
      <c r="Y7" s="2">
        <v>3</v>
      </c>
      <c r="Z7" s="2">
        <f t="shared" si="7"/>
        <v>1.0000000000000001E-15</v>
      </c>
      <c r="AA7" s="37">
        <f t="shared" si="0"/>
        <v>1861958120634.5571</v>
      </c>
      <c r="AB7" s="2">
        <f t="shared" si="8"/>
        <v>0.12500000000000089</v>
      </c>
      <c r="AC7" s="37">
        <f t="shared" si="1"/>
        <v>-9.4944820287982609E-2</v>
      </c>
      <c r="AD7" s="2">
        <f t="shared" si="2"/>
        <v>6.2500000000000944E-2</v>
      </c>
      <c r="AE7" s="37">
        <f t="shared" si="3"/>
        <v>-1.754914890546766E-2</v>
      </c>
      <c r="AF7" s="2">
        <f t="shared" si="4"/>
        <v>-32675780314.760559</v>
      </c>
      <c r="AG7" s="2">
        <f t="shared" si="5"/>
        <v>1.6662007890366737E-3</v>
      </c>
      <c r="AH7" s="2">
        <f t="shared" si="6"/>
        <v>0.12499999999999989</v>
      </c>
      <c r="AJ7" s="2">
        <v>3</v>
      </c>
      <c r="AK7" s="2">
        <f t="shared" ref="AK7:AK44" si="13">IF(AQ6&gt;0, AO6, AK6)</f>
        <v>1625</v>
      </c>
      <c r="AL7" s="2">
        <v>-341.35412373781105</v>
      </c>
      <c r="AM7" s="2">
        <f t="shared" ref="AM7:AM44" si="14">IF(AR6&gt;0, AO6, AM6)</f>
        <v>2750</v>
      </c>
      <c r="AN7" s="2">
        <v>280.78259254498221</v>
      </c>
      <c r="AO7" s="2">
        <f t="shared" si="9"/>
        <v>2187.5</v>
      </c>
      <c r="AP7" s="2">
        <v>-23.375322634256236</v>
      </c>
      <c r="AQ7" s="2">
        <f t="shared" si="10"/>
        <v>7979.262774905158</v>
      </c>
      <c r="AR7" s="2">
        <f t="shared" si="11"/>
        <v>-6563.3836908218691</v>
      </c>
      <c r="AS7" s="2">
        <f t="shared" si="12"/>
        <v>1125</v>
      </c>
    </row>
    <row r="8" spans="2:45" x14ac:dyDescent="0.2">
      <c r="B8" s="6" t="s">
        <v>9</v>
      </c>
      <c r="C8" s="17">
        <f>180*1000/3600</f>
        <v>50</v>
      </c>
      <c r="D8" s="6" t="s">
        <v>10</v>
      </c>
      <c r="F8" t="s">
        <v>133</v>
      </c>
      <c r="G8" s="6">
        <f>G7/C43</f>
        <v>0.50177629770214827</v>
      </c>
      <c r="H8" s="6" t="s">
        <v>131</v>
      </c>
      <c r="J8" s="6" t="s">
        <v>99</v>
      </c>
      <c r="K8" s="6">
        <f xml:space="preserve"> $C$15 * (G14*G6 + G24*G17 + G33*G29)/3600</f>
        <v>133.93432578592868</v>
      </c>
      <c r="L8" s="6" t="s">
        <v>105</v>
      </c>
      <c r="N8" s="6" t="s">
        <v>122</v>
      </c>
      <c r="O8" s="6">
        <f xml:space="preserve"> $O$7 + O6</f>
        <v>0</v>
      </c>
      <c r="R8" s="6" t="s">
        <v>122</v>
      </c>
      <c r="S8" s="6">
        <f xml:space="preserve"> $S$7 + S6</f>
        <v>1.9510804090906244E-2</v>
      </c>
      <c r="Y8" s="2">
        <v>4</v>
      </c>
      <c r="Z8" s="2">
        <f t="shared" si="7"/>
        <v>1.0000000000000001E-15</v>
      </c>
      <c r="AA8" s="37">
        <f t="shared" si="0"/>
        <v>1861958120634.5571</v>
      </c>
      <c r="AB8" s="2">
        <f t="shared" si="8"/>
        <v>6.2500000000000944E-2</v>
      </c>
      <c r="AC8" s="37">
        <f t="shared" si="1"/>
        <v>-1.754914890546766E-2</v>
      </c>
      <c r="AD8" s="2">
        <f t="shared" si="2"/>
        <v>3.1250000000000971E-2</v>
      </c>
      <c r="AE8" s="37">
        <f t="shared" si="3"/>
        <v>4.3492193859561629E-2</v>
      </c>
      <c r="AF8" s="2">
        <f t="shared" si="4"/>
        <v>80980643541.023193</v>
      </c>
      <c r="AG8" s="2">
        <f t="shared" si="5"/>
        <v>-7.6325098626691323E-4</v>
      </c>
      <c r="AH8" s="2">
        <f t="shared" si="6"/>
        <v>6.2499999999999944E-2</v>
      </c>
      <c r="AJ8" s="2">
        <v>4</v>
      </c>
      <c r="AK8" s="2">
        <f t="shared" si="13"/>
        <v>2187.5</v>
      </c>
      <c r="AL8" s="2">
        <v>-23.375322634256236</v>
      </c>
      <c r="AM8" s="2">
        <f t="shared" si="14"/>
        <v>2750</v>
      </c>
      <c r="AN8" s="2">
        <v>280.78259254498221</v>
      </c>
      <c r="AO8" s="2">
        <f t="shared" si="9"/>
        <v>2468.75</v>
      </c>
      <c r="AP8" s="2">
        <v>130.53061142658316</v>
      </c>
      <c r="AQ8" s="2">
        <f t="shared" si="10"/>
        <v>-3051.1951557431153</v>
      </c>
      <c r="AR8" s="2">
        <f t="shared" si="11"/>
        <v>36650.723482837697</v>
      </c>
      <c r="AS8" s="2">
        <f t="shared" si="12"/>
        <v>562.5</v>
      </c>
    </row>
    <row r="9" spans="2:45" x14ac:dyDescent="0.2">
      <c r="B9" s="6" t="s">
        <v>98</v>
      </c>
      <c r="C9" s="17">
        <v>4</v>
      </c>
      <c r="D9" s="6" t="s">
        <v>8</v>
      </c>
      <c r="F9" t="s">
        <v>21</v>
      </c>
      <c r="G9" s="6">
        <f xml:space="preserve"> $C$5 * $C$44 / $C$18</f>
        <v>5463.8488864169194</v>
      </c>
      <c r="H9" s="6" t="s">
        <v>22</v>
      </c>
      <c r="J9" s="6" t="s">
        <v>265</v>
      </c>
      <c r="K9" s="6">
        <f xml:space="preserve"> $C$15 * (G6 + G17 + G29)/3600</f>
        <v>0.62222222222222223</v>
      </c>
      <c r="L9" s="6" t="s">
        <v>106</v>
      </c>
      <c r="N9" s="6" t="s">
        <v>41</v>
      </c>
      <c r="O9" s="6">
        <f xml:space="preserve"> O4 *O8 * PI() * $C$9 * $C$9</f>
        <v>0</v>
      </c>
      <c r="P9" s="6" t="s">
        <v>22</v>
      </c>
      <c r="R9" s="6" t="s">
        <v>41</v>
      </c>
      <c r="S9" s="6">
        <f xml:space="preserve"> S4 *S8 * PI() * $C$9 * $C$9</f>
        <v>1236.3746864663131</v>
      </c>
      <c r="T9" s="6" t="s">
        <v>22</v>
      </c>
      <c r="Y9" s="2">
        <v>5</v>
      </c>
      <c r="Z9" s="2">
        <f t="shared" si="7"/>
        <v>3.1250000000000971E-2</v>
      </c>
      <c r="AA9" s="37">
        <f t="shared" si="0"/>
        <v>4.3492193859561629E-2</v>
      </c>
      <c r="AB9" s="2">
        <f t="shared" si="8"/>
        <v>6.2500000000000944E-2</v>
      </c>
      <c r="AC9" s="37">
        <f t="shared" si="1"/>
        <v>-1.754914890546766E-2</v>
      </c>
      <c r="AD9" s="2">
        <f t="shared" si="2"/>
        <v>4.6875000000000958E-2</v>
      </c>
      <c r="AE9" s="37">
        <f t="shared" si="3"/>
        <v>8.0062986828755359E-3</v>
      </c>
      <c r="AF9" s="2">
        <f t="shared" si="4"/>
        <v>3.4821149441317573E-4</v>
      </c>
      <c r="AG9" s="2">
        <f t="shared" si="5"/>
        <v>-1.4050372776743238E-4</v>
      </c>
      <c r="AH9" s="2">
        <f t="shared" si="6"/>
        <v>3.1249999999999972E-2</v>
      </c>
      <c r="AJ9" s="2">
        <v>5</v>
      </c>
      <c r="AK9" s="2">
        <f t="shared" si="13"/>
        <v>2187.5</v>
      </c>
      <c r="AL9" s="2">
        <v>-23.375322634256236</v>
      </c>
      <c r="AM9" s="2">
        <f t="shared" si="14"/>
        <v>2468.75</v>
      </c>
      <c r="AN9" s="2">
        <v>130.53061142658316</v>
      </c>
      <c r="AO9" s="2">
        <f t="shared" si="9"/>
        <v>2328.125</v>
      </c>
      <c r="AP9" s="2">
        <v>54.022712951845506</v>
      </c>
      <c r="AQ9" s="2">
        <f t="shared" si="10"/>
        <v>-1262.7983448272018</v>
      </c>
      <c r="AR9" s="2">
        <f t="shared" si="11"/>
        <v>7051.6177525271869</v>
      </c>
      <c r="AS9" s="2">
        <f t="shared" si="12"/>
        <v>281.25</v>
      </c>
    </row>
    <row r="10" spans="2:45" x14ac:dyDescent="0.2">
      <c r="B10" s="6" t="s">
        <v>224</v>
      </c>
      <c r="C10" s="17">
        <f>(0.071475+0.069425+0.067375+0.065325+0.063275+0.061225+0.059175+0.057125)/8</f>
        <v>6.4299999999999982E-2</v>
      </c>
      <c r="F10" t="s">
        <v>100</v>
      </c>
      <c r="G10" s="6">
        <f xml:space="preserve"> 1/1000 * (O24 + O19 * (O26 * O29 + $G$4 * SIN(O18/180*PI())))</f>
        <v>68.816291658964815</v>
      </c>
      <c r="H10" s="6" t="s">
        <v>104</v>
      </c>
      <c r="N10" s="6" t="s">
        <v>42</v>
      </c>
      <c r="O10" s="6">
        <f xml:space="preserve"> O9</f>
        <v>0</v>
      </c>
      <c r="P10" s="6" t="s">
        <v>22</v>
      </c>
      <c r="R10" s="6" t="s">
        <v>42</v>
      </c>
      <c r="S10" s="6">
        <f xml:space="preserve"> S9</f>
        <v>1236.3746864663131</v>
      </c>
      <c r="T10" s="6" t="s">
        <v>22</v>
      </c>
      <c r="Y10" s="2">
        <v>6</v>
      </c>
      <c r="Z10" s="2">
        <f t="shared" si="7"/>
        <v>4.6875000000000958E-2</v>
      </c>
      <c r="AA10" s="37">
        <f t="shared" si="0"/>
        <v>8.0062986828755359E-3</v>
      </c>
      <c r="AB10" s="2">
        <f t="shared" si="8"/>
        <v>6.2500000000000944E-2</v>
      </c>
      <c r="AC10" s="37">
        <f t="shared" si="1"/>
        <v>-1.754914890546766E-2</v>
      </c>
      <c r="AD10" s="2">
        <f t="shared" si="2"/>
        <v>5.4687500000000951E-2</v>
      </c>
      <c r="AE10" s="37">
        <f t="shared" si="3"/>
        <v>-5.4807427961777039E-3</v>
      </c>
      <c r="AF10" s="2">
        <f t="shared" si="4"/>
        <v>-4.3880463830217134E-5</v>
      </c>
      <c r="AG10" s="2">
        <f t="shared" si="5"/>
        <v>9.6182371442691717E-5</v>
      </c>
      <c r="AH10" s="2">
        <f t="shared" si="6"/>
        <v>1.5624999999999986E-2</v>
      </c>
      <c r="AJ10" s="2">
        <v>6</v>
      </c>
      <c r="AK10" s="2">
        <f t="shared" si="13"/>
        <v>2187.5</v>
      </c>
      <c r="AL10" s="2">
        <v>-23.375322634256236</v>
      </c>
      <c r="AM10" s="2">
        <f t="shared" si="14"/>
        <v>2328.125</v>
      </c>
      <c r="AN10" s="2">
        <v>54.022712951845506</v>
      </c>
      <c r="AO10" s="2">
        <f t="shared" si="9"/>
        <v>2257.8125</v>
      </c>
      <c r="AP10" s="2">
        <v>15.433575311426466</v>
      </c>
      <c r="AQ10" s="2">
        <f t="shared" si="10"/>
        <v>-360.7648023046853</v>
      </c>
      <c r="AR10" s="2">
        <f t="shared" si="11"/>
        <v>833.76360886988164</v>
      </c>
      <c r="AS10" s="2">
        <f t="shared" si="12"/>
        <v>140.625</v>
      </c>
    </row>
    <row r="11" spans="2:45" x14ac:dyDescent="0.2">
      <c r="F11" t="s">
        <v>274</v>
      </c>
      <c r="G11" s="6">
        <f xml:space="preserve"> (G9/$C$44*1000) / ($G$10*1000)</f>
        <v>8.1005640396762448</v>
      </c>
      <c r="H11" s="6" t="s">
        <v>275</v>
      </c>
      <c r="J11" s="57" t="s">
        <v>54</v>
      </c>
      <c r="K11" s="57"/>
      <c r="L11" s="57"/>
      <c r="N11" s="6" t="s">
        <v>118</v>
      </c>
      <c r="O11" s="6" t="s">
        <v>280</v>
      </c>
      <c r="R11" s="6" t="s">
        <v>118</v>
      </c>
      <c r="S11" s="6">
        <f>($S$8*PI()*$C$9^2)/(0.3048^2)/($C$5*2.20462/1000)^(2/3) + 0.85</f>
        <v>4.5013062310697114</v>
      </c>
      <c r="Y11" s="2">
        <v>7</v>
      </c>
      <c r="Z11" s="2">
        <f t="shared" si="7"/>
        <v>4.6875000000000958E-2</v>
      </c>
      <c r="AA11" s="37">
        <f t="shared" si="0"/>
        <v>8.0062986828755359E-3</v>
      </c>
      <c r="AB11" s="2">
        <f t="shared" si="8"/>
        <v>5.4687500000000951E-2</v>
      </c>
      <c r="AC11" s="37">
        <f t="shared" si="1"/>
        <v>-5.4807427961777039E-3</v>
      </c>
      <c r="AD11" s="2">
        <f t="shared" si="2"/>
        <v>5.0781250000000958E-2</v>
      </c>
      <c r="AE11" s="37">
        <f t="shared" si="3"/>
        <v>1.0445263480007155E-3</v>
      </c>
      <c r="AF11" s="2">
        <f t="shared" si="4"/>
        <v>8.3627899242269228E-6</v>
      </c>
      <c r="AG11" s="2">
        <f t="shared" si="5"/>
        <v>-5.724780257222727E-6</v>
      </c>
      <c r="AH11" s="2">
        <f t="shared" si="6"/>
        <v>7.8124999999999931E-3</v>
      </c>
      <c r="AJ11" s="2">
        <v>7</v>
      </c>
      <c r="AK11" s="2">
        <f t="shared" si="13"/>
        <v>2187.5</v>
      </c>
      <c r="AL11" s="2">
        <v>-23.375322634256236</v>
      </c>
      <c r="AM11" s="2">
        <f t="shared" si="14"/>
        <v>2257.8125</v>
      </c>
      <c r="AN11" s="2">
        <v>15.433575311426466</v>
      </c>
      <c r="AO11" s="2">
        <f t="shared" si="9"/>
        <v>2222.65625</v>
      </c>
      <c r="AP11" s="2">
        <v>-3.9435818340768947</v>
      </c>
      <c r="AQ11" s="2">
        <f t="shared" si="10"/>
        <v>92.182497706139358</v>
      </c>
      <c r="AR11" s="2">
        <f t="shared" si="11"/>
        <v>-60.863567232999067</v>
      </c>
      <c r="AS11" s="2">
        <f t="shared" si="12"/>
        <v>70.3125</v>
      </c>
    </row>
    <row r="12" spans="2:45" x14ac:dyDescent="0.2">
      <c r="B12" s="54" t="s">
        <v>12</v>
      </c>
      <c r="C12" s="54"/>
      <c r="D12" s="54"/>
      <c r="F12" t="s">
        <v>281</v>
      </c>
      <c r="G12" s="6">
        <f>G13/G14</f>
        <v>0.68366250962222175</v>
      </c>
      <c r="J12" s="10" t="s">
        <v>82</v>
      </c>
      <c r="K12" s="6">
        <f>C5</f>
        <v>2229.8031102259301</v>
      </c>
      <c r="L12" s="6" t="s">
        <v>7</v>
      </c>
      <c r="Y12" s="2">
        <v>8</v>
      </c>
      <c r="Z12" s="2">
        <f t="shared" si="7"/>
        <v>5.0781250000000958E-2</v>
      </c>
      <c r="AA12" s="37">
        <f t="shared" si="0"/>
        <v>1.0445263480007155E-3</v>
      </c>
      <c r="AB12" s="2">
        <f t="shared" si="8"/>
        <v>5.4687500000000951E-2</v>
      </c>
      <c r="AC12" s="37">
        <f t="shared" si="1"/>
        <v>-5.4807427961777039E-3</v>
      </c>
      <c r="AD12" s="2">
        <f t="shared" si="2"/>
        <v>5.2734375000000958E-2</v>
      </c>
      <c r="AE12" s="37">
        <f t="shared" si="3"/>
        <v>-2.2666085786103227E-3</v>
      </c>
      <c r="AF12" s="2">
        <f t="shared" si="4"/>
        <v>-2.3675323809629332E-6</v>
      </c>
      <c r="AG12" s="2">
        <f t="shared" si="5"/>
        <v>1.242269863897311E-5</v>
      </c>
      <c r="AH12" s="2">
        <f t="shared" si="6"/>
        <v>3.9062499999999931E-3</v>
      </c>
      <c r="AJ12" s="2">
        <v>8</v>
      </c>
      <c r="AK12" s="2">
        <f t="shared" si="13"/>
        <v>2222.65625</v>
      </c>
      <c r="AL12" s="2">
        <v>-3.9435818340768947</v>
      </c>
      <c r="AM12" s="2">
        <f t="shared" si="14"/>
        <v>2257.8125</v>
      </c>
      <c r="AN12" s="2">
        <v>15.433575311426466</v>
      </c>
      <c r="AO12" s="2">
        <f t="shared" si="9"/>
        <v>2240.234375</v>
      </c>
      <c r="AP12" s="2">
        <v>5.7518365150463069</v>
      </c>
      <c r="AQ12" s="2">
        <f t="shared" si="10"/>
        <v>-22.68283799331677</v>
      </c>
      <c r="AR12" s="2">
        <f t="shared" si="11"/>
        <v>88.771402033979925</v>
      </c>
      <c r="AS12" s="2">
        <f t="shared" si="12"/>
        <v>35.15625</v>
      </c>
    </row>
    <row r="13" spans="2:45" x14ac:dyDescent="0.2">
      <c r="B13" s="6" t="s">
        <v>71</v>
      </c>
      <c r="C13" s="6">
        <f>C25*100</f>
        <v>600</v>
      </c>
      <c r="D13" s="6" t="s">
        <v>7</v>
      </c>
      <c r="F13" t="s">
        <v>282</v>
      </c>
      <c r="G13" s="6">
        <f xml:space="preserve"> 1/1000 * (($C$5*$C$44) * ( ($G$4/2) + SQRT( ($G$4/2)^2 + ($C$5*$C$44) / (2*$C$41*PI()*$C$9^2 * $C$18) ) ) )</f>
        <v>188.1884746338506</v>
      </c>
      <c r="H13" s="6" t="s">
        <v>104</v>
      </c>
      <c r="J13" s="11" t="s">
        <v>55</v>
      </c>
      <c r="K13" s="6">
        <f xml:space="preserve"> K8 * 1000 / ($C$36 * $C$37 * $C$38)</f>
        <v>787.84897521134508</v>
      </c>
      <c r="L13" s="6" t="s">
        <v>7</v>
      </c>
      <c r="N13" s="57" t="s">
        <v>76</v>
      </c>
      <c r="O13" s="59"/>
      <c r="P13" s="59"/>
      <c r="R13" s="57" t="s">
        <v>76</v>
      </c>
      <c r="S13" s="59"/>
      <c r="T13" s="59"/>
      <c r="Y13" s="2">
        <v>9</v>
      </c>
      <c r="Z13" s="2">
        <f t="shared" si="7"/>
        <v>5.0781250000000958E-2</v>
      </c>
      <c r="AA13" s="37">
        <f t="shared" si="0"/>
        <v>1.0445263480007155E-3</v>
      </c>
      <c r="AB13" s="2">
        <f t="shared" si="8"/>
        <v>5.2734375000000958E-2</v>
      </c>
      <c r="AC13" s="37">
        <f t="shared" si="1"/>
        <v>-2.2666085786103227E-3</v>
      </c>
      <c r="AD13" s="2">
        <f t="shared" si="2"/>
        <v>5.1757812500000958E-2</v>
      </c>
      <c r="AE13" s="37">
        <f t="shared" si="3"/>
        <v>-6.2385252970679345E-4</v>
      </c>
      <c r="AF13" s="2">
        <f t="shared" si="4"/>
        <v>-6.5163040454564486E-7</v>
      </c>
      <c r="AG13" s="2">
        <f t="shared" si="5"/>
        <v>1.4140294956211692E-6</v>
      </c>
      <c r="AH13" s="2">
        <f t="shared" si="6"/>
        <v>1.953125E-3</v>
      </c>
      <c r="AJ13" s="2">
        <v>9</v>
      </c>
      <c r="AK13" s="2">
        <f t="shared" si="13"/>
        <v>2222.65625</v>
      </c>
      <c r="AL13" s="2">
        <v>-3.9435818340768947</v>
      </c>
      <c r="AM13" s="2">
        <f t="shared" si="14"/>
        <v>2240.234375</v>
      </c>
      <c r="AN13" s="2">
        <v>5.7518365150463069</v>
      </c>
      <c r="AO13" s="2">
        <f t="shared" si="9"/>
        <v>2231.4453125</v>
      </c>
      <c r="AP13" s="2">
        <v>0.90584412570024142</v>
      </c>
      <c r="AQ13" s="2">
        <f t="shared" si="10"/>
        <v>-3.572270438616739</v>
      </c>
      <c r="AR13" s="2">
        <f t="shared" si="11"/>
        <v>5.2102673191428455</v>
      </c>
      <c r="AS13" s="2">
        <f t="shared" si="12"/>
        <v>17.578125</v>
      </c>
    </row>
    <row r="14" spans="2:45" x14ac:dyDescent="0.2">
      <c r="B14" s="6" t="s">
        <v>13</v>
      </c>
      <c r="C14" s="17">
        <v>96000</v>
      </c>
      <c r="D14" s="6" t="s">
        <v>8</v>
      </c>
      <c r="F14" s="42" t="s">
        <v>85</v>
      </c>
      <c r="G14" s="43">
        <f xml:space="preserve"> $C$18 * G10</f>
        <v>275.26516663585926</v>
      </c>
      <c r="H14" s="43" t="s">
        <v>104</v>
      </c>
      <c r="J14" s="12" t="s">
        <v>135</v>
      </c>
      <c r="K14" s="6">
        <f xml:space="preserve"> $C$54 * $C$18 * (0.0095 * MAX(G9,S19,G30) - 1.9275)</f>
        <v>160.18271313013565</v>
      </c>
      <c r="L14" s="6" t="s">
        <v>7</v>
      </c>
      <c r="N14" s="6" t="s">
        <v>77</v>
      </c>
      <c r="O14" s="6">
        <f xml:space="preserve"> SQRT( ($C$5*$C$44)^2 + O10^2)</f>
        <v>21855.395545667678</v>
      </c>
      <c r="P14" s="6" t="s">
        <v>22</v>
      </c>
      <c r="R14" s="6" t="s">
        <v>77</v>
      </c>
      <c r="S14" s="6">
        <f xml:space="preserve"> SQRT( ($C$5*$C$50)^2 + S10^2)</f>
        <v>21888.251727649425</v>
      </c>
      <c r="T14" s="6" t="s">
        <v>22</v>
      </c>
      <c r="Y14" s="2">
        <v>10</v>
      </c>
      <c r="Z14" s="2">
        <f t="shared" si="7"/>
        <v>5.0781250000000958E-2</v>
      </c>
      <c r="AA14" s="37">
        <f t="shared" si="0"/>
        <v>1.0445263480007155E-3</v>
      </c>
      <c r="AB14" s="2">
        <f t="shared" si="8"/>
        <v>5.1757812500000958E-2</v>
      </c>
      <c r="AC14" s="37">
        <f t="shared" si="1"/>
        <v>-6.2385252970679345E-4</v>
      </c>
      <c r="AD14" s="2">
        <f t="shared" si="2"/>
        <v>5.1269531250000958E-2</v>
      </c>
      <c r="AE14" s="37">
        <f t="shared" si="3"/>
        <v>2.0704254544359063E-4</v>
      </c>
      <c r="AF14" s="2">
        <f t="shared" si="4"/>
        <v>2.162613938729659E-7</v>
      </c>
      <c r="AG14" s="2">
        <f t="shared" si="5"/>
        <v>-1.2916401573191776E-7</v>
      </c>
      <c r="AH14" s="2">
        <f t="shared" si="6"/>
        <v>9.765625E-4</v>
      </c>
      <c r="AJ14" s="2">
        <v>10</v>
      </c>
      <c r="AK14" s="2">
        <f t="shared" si="13"/>
        <v>2222.65625</v>
      </c>
      <c r="AL14" s="2">
        <v>-3.9435818340768947</v>
      </c>
      <c r="AM14" s="2">
        <f t="shared" si="14"/>
        <v>2231.4453125</v>
      </c>
      <c r="AN14" s="2">
        <v>0.90584412570024142</v>
      </c>
      <c r="AO14" s="2">
        <f t="shared" si="9"/>
        <v>2227.05078125</v>
      </c>
      <c r="AP14" s="2">
        <v>-1.5184471532675161</v>
      </c>
      <c r="AQ14" s="2">
        <f t="shared" si="10"/>
        <v>5.9881206096315509</v>
      </c>
      <c r="AR14" s="2">
        <f t="shared" si="11"/>
        <v>-1.3754764339736336</v>
      </c>
      <c r="AS14" s="2">
        <f t="shared" si="12"/>
        <v>8.7890625</v>
      </c>
    </row>
    <row r="15" spans="2:45" x14ac:dyDescent="0.2">
      <c r="B15" s="6" t="s">
        <v>263</v>
      </c>
      <c r="C15" s="17">
        <v>1</v>
      </c>
      <c r="J15" s="12" t="s">
        <v>136</v>
      </c>
      <c r="K15" s="6">
        <f xml:space="preserve"> $C$54 * $C$18 * ( 0.0037 * $C$19^0.28 * ($C$9*3.28084)^1.5 * ($G$7*3.28084)^0.43 * ( 0.01742 * $C$19^0.66 * ($C$10*$C$9*3.28084) * ($C$9*3.28084)^1.3 * ($G$7*3.28084)^0.67 + 0.5*(K14/$C$18)* 2.20462 * 9.80665*3.28084 )^0.55 ) * 0.453592</f>
        <v>290.05108224444137</v>
      </c>
      <c r="L15" s="6" t="s">
        <v>7</v>
      </c>
      <c r="N15" s="6" t="s">
        <v>78</v>
      </c>
      <c r="O15" s="6">
        <v>0</v>
      </c>
      <c r="R15" s="6" t="s">
        <v>78</v>
      </c>
      <c r="S15" s="6">
        <f>$C$5*$C$50/S14</f>
        <v>0.99840340450632636</v>
      </c>
      <c r="Y15" s="2">
        <v>11</v>
      </c>
      <c r="Z15" s="2">
        <f t="shared" si="7"/>
        <v>5.1269531250000958E-2</v>
      </c>
      <c r="AA15" s="37">
        <f t="shared" si="0"/>
        <v>2.0704254544359063E-4</v>
      </c>
      <c r="AB15" s="2">
        <f t="shared" si="8"/>
        <v>5.1757812500000958E-2</v>
      </c>
      <c r="AC15" s="37">
        <f t="shared" si="1"/>
        <v>-6.2385252970679345E-4</v>
      </c>
      <c r="AD15" s="2">
        <f t="shared" si="2"/>
        <v>5.1513671875000958E-2</v>
      </c>
      <c r="AE15" s="37">
        <f t="shared" si="3"/>
        <v>-2.0921687323385146E-4</v>
      </c>
      <c r="AF15" s="2">
        <f t="shared" si="4"/>
        <v>-4.3316793984085631E-8</v>
      </c>
      <c r="AG15" s="2">
        <f t="shared" si="5"/>
        <v>1.3052047562428375E-7</v>
      </c>
      <c r="AH15" s="2">
        <f t="shared" si="6"/>
        <v>4.8828125E-4</v>
      </c>
      <c r="AJ15" s="2">
        <v>11</v>
      </c>
      <c r="AK15" s="2">
        <f t="shared" si="13"/>
        <v>2227.05078125</v>
      </c>
      <c r="AL15" s="2">
        <v>-1.5184471532675161</v>
      </c>
      <c r="AM15" s="2">
        <f t="shared" si="14"/>
        <v>2231.4453125</v>
      </c>
      <c r="AN15" s="2">
        <v>0.90584412570024142</v>
      </c>
      <c r="AO15" s="2">
        <f t="shared" si="9"/>
        <v>2229.248046875</v>
      </c>
      <c r="AP15" s="2">
        <v>-0.30620288000181972</v>
      </c>
      <c r="AQ15" s="2">
        <f t="shared" si="10"/>
        <v>0.46495289146107799</v>
      </c>
      <c r="AR15" s="2">
        <f t="shared" si="11"/>
        <v>-0.27737208012214432</v>
      </c>
      <c r="AS15" s="2">
        <f t="shared" si="12"/>
        <v>4.39453125</v>
      </c>
    </row>
    <row r="16" spans="2:45" x14ac:dyDescent="0.2">
      <c r="F16" s="57" t="s">
        <v>89</v>
      </c>
      <c r="G16" s="58"/>
      <c r="H16" s="58"/>
      <c r="J16" s="13" t="s">
        <v>56</v>
      </c>
      <c r="K16" s="6">
        <f xml:space="preserve"> $C$54 * 0.2138 * K4</f>
        <v>70.622031152096056</v>
      </c>
      <c r="L16" s="6" t="s">
        <v>7</v>
      </c>
      <c r="Y16" s="2">
        <v>12</v>
      </c>
      <c r="Z16" s="2">
        <f t="shared" si="7"/>
        <v>5.1269531250000958E-2</v>
      </c>
      <c r="AA16" s="37">
        <f t="shared" si="0"/>
        <v>2.0704254544359063E-4</v>
      </c>
      <c r="AB16" s="2">
        <f t="shared" si="8"/>
        <v>5.1513671875000958E-2</v>
      </c>
      <c r="AC16" s="37">
        <f t="shared" si="1"/>
        <v>-2.0921687323385146E-4</v>
      </c>
      <c r="AD16" s="2">
        <f t="shared" si="2"/>
        <v>5.1391601562500958E-2</v>
      </c>
      <c r="AE16" s="37">
        <f t="shared" si="3"/>
        <v>-1.2915805146992976E-6</v>
      </c>
      <c r="AF16" s="2">
        <f t="shared" si="4"/>
        <v>-2.674121174086855E-10</v>
      </c>
      <c r="AG16" s="2">
        <f t="shared" si="5"/>
        <v>2.7022043681515557E-10</v>
      </c>
      <c r="AH16" s="2">
        <f t="shared" si="6"/>
        <v>2.44140625E-4</v>
      </c>
      <c r="AJ16" s="2">
        <v>12</v>
      </c>
      <c r="AK16" s="2">
        <f t="shared" si="13"/>
        <v>2229.248046875</v>
      </c>
      <c r="AL16" s="2">
        <v>-0.30620288000181972</v>
      </c>
      <c r="AM16" s="2">
        <f t="shared" si="14"/>
        <v>2231.4453125</v>
      </c>
      <c r="AN16" s="2">
        <v>0.90584412570024142</v>
      </c>
      <c r="AO16" s="2">
        <f t="shared" si="9"/>
        <v>2230.3466796875</v>
      </c>
      <c r="AP16" s="2">
        <v>0.29985021320226224</v>
      </c>
      <c r="AQ16" s="2">
        <f t="shared" si="10"/>
        <v>-9.1814998851692364E-2</v>
      </c>
      <c r="AR16" s="2">
        <f t="shared" si="11"/>
        <v>0.27161755421923423</v>
      </c>
      <c r="AS16" s="2">
        <f t="shared" si="12"/>
        <v>2.197265625</v>
      </c>
    </row>
    <row r="17" spans="2:45" x14ac:dyDescent="0.2">
      <c r="B17" s="56" t="s">
        <v>115</v>
      </c>
      <c r="C17" s="56"/>
      <c r="D17" s="56"/>
      <c r="F17" s="9" t="s">
        <v>92</v>
      </c>
      <c r="G17" s="6">
        <f xml:space="preserve"> $C$14/$C$8</f>
        <v>1920</v>
      </c>
      <c r="H17" s="6" t="s">
        <v>14</v>
      </c>
      <c r="J17" s="13" t="s">
        <v>80</v>
      </c>
      <c r="K17" s="6">
        <f xml:space="preserve"> $C$54 * 0.1149 * K4</f>
        <v>37.953561175752277</v>
      </c>
      <c r="L17" s="6" t="s">
        <v>7</v>
      </c>
      <c r="N17" s="57" t="s">
        <v>27</v>
      </c>
      <c r="O17" s="59"/>
      <c r="P17" s="59"/>
      <c r="R17" s="57" t="s">
        <v>27</v>
      </c>
      <c r="S17" s="59"/>
      <c r="T17" s="59"/>
      <c r="Y17" s="2">
        <v>13</v>
      </c>
      <c r="Z17" s="2">
        <f t="shared" si="7"/>
        <v>5.1269531250000958E-2</v>
      </c>
      <c r="AA17" s="37">
        <f t="shared" si="0"/>
        <v>2.0704254544359063E-4</v>
      </c>
      <c r="AB17" s="2">
        <f t="shared" si="8"/>
        <v>5.1391601562500958E-2</v>
      </c>
      <c r="AC17" s="37">
        <f t="shared" si="1"/>
        <v>-1.2915805146992976E-6</v>
      </c>
      <c r="AD17" s="2">
        <f t="shared" si="2"/>
        <v>5.1330566406250958E-2</v>
      </c>
      <c r="AE17" s="37">
        <f t="shared" si="3"/>
        <v>1.0282419601173598E-4</v>
      </c>
      <c r="AF17" s="2">
        <f t="shared" si="4"/>
        <v>2.1288983275460518E-8</v>
      </c>
      <c r="AG17" s="2">
        <f t="shared" si="5"/>
        <v>-1.3280572800837941E-10</v>
      </c>
      <c r="AH17" s="2">
        <f t="shared" si="6"/>
        <v>1.220703125E-4</v>
      </c>
      <c r="AJ17" s="2">
        <v>13</v>
      </c>
      <c r="AK17" s="2">
        <f t="shared" si="13"/>
        <v>2229.248046875</v>
      </c>
      <c r="AL17" s="2">
        <v>-0.30620288000181972</v>
      </c>
      <c r="AM17" s="2">
        <f t="shared" si="14"/>
        <v>2230.3466796875</v>
      </c>
      <c r="AN17" s="2">
        <v>0.29985021320226224</v>
      </c>
      <c r="AO17" s="2">
        <f t="shared" si="9"/>
        <v>2229.79736328125</v>
      </c>
      <c r="AP17" s="2">
        <v>-3.1645091030441108E-3</v>
      </c>
      <c r="AQ17" s="2">
        <f t="shared" si="10"/>
        <v>9.6898180114408201E-4</v>
      </c>
      <c r="AR17" s="2">
        <f t="shared" si="11"/>
        <v>-9.4887872922827629E-4</v>
      </c>
      <c r="AS17" s="2">
        <f t="shared" si="12"/>
        <v>1.0986328125</v>
      </c>
    </row>
    <row r="18" spans="2:45" x14ac:dyDescent="0.2">
      <c r="B18" s="6" t="s">
        <v>97</v>
      </c>
      <c r="C18" s="17">
        <v>4</v>
      </c>
      <c r="F18" t="s">
        <v>130</v>
      </c>
      <c r="G18" s="8">
        <f>S20*$C$9</f>
        <v>188.49555921538757</v>
      </c>
      <c r="H18" s="6" t="s">
        <v>10</v>
      </c>
      <c r="J18" s="14" t="s">
        <v>63</v>
      </c>
      <c r="K18" s="6">
        <f xml:space="preserve"> $C$55 * (14.86 * ($C$5*2.20462)^0.144 * ($C$26/(PI()*$C$27))^0.778 * ($C$26*3.28084)^0.383 * $C$25^0.455 * 0.453592)</f>
        <v>132.05791573612893</v>
      </c>
      <c r="L18" s="6" t="s">
        <v>7</v>
      </c>
      <c r="N18" s="6" t="s">
        <v>28</v>
      </c>
      <c r="O18" s="6">
        <f xml:space="preserve"> ACOS(O15)/PI()*180</f>
        <v>90</v>
      </c>
      <c r="P18" s="6" t="s">
        <v>43</v>
      </c>
      <c r="R18" s="6" t="s">
        <v>28</v>
      </c>
      <c r="S18" s="6">
        <f xml:space="preserve"> ACOS(S15)/PI()*180</f>
        <v>3.2381195557974976</v>
      </c>
      <c r="T18" s="6" t="s">
        <v>43</v>
      </c>
      <c r="Y18" s="2">
        <v>14</v>
      </c>
      <c r="Z18" s="2">
        <f t="shared" si="7"/>
        <v>5.1330566406250958E-2</v>
      </c>
      <c r="AA18" s="37">
        <f t="shared" si="0"/>
        <v>1.0282419601173598E-4</v>
      </c>
      <c r="AB18" s="2">
        <f t="shared" si="8"/>
        <v>5.1391601562500958E-2</v>
      </c>
      <c r="AC18" s="37">
        <f t="shared" si="1"/>
        <v>-1.2915805146992976E-6</v>
      </c>
      <c r="AD18" s="2">
        <f t="shared" si="2"/>
        <v>5.1361083984375958E-2</v>
      </c>
      <c r="AE18" s="37">
        <f t="shared" si="3"/>
        <v>5.0753508990267204E-5</v>
      </c>
      <c r="AF18" s="2">
        <f t="shared" si="4"/>
        <v>5.2186887566986396E-9</v>
      </c>
      <c r="AG18" s="2">
        <f t="shared" si="5"/>
        <v>-6.5552243264444748E-11</v>
      </c>
      <c r="AH18" s="2">
        <f t="shared" si="6"/>
        <v>6.103515625E-5</v>
      </c>
      <c r="AJ18" s="2">
        <v>14</v>
      </c>
      <c r="AK18" s="2">
        <f t="shared" si="13"/>
        <v>2229.79736328125</v>
      </c>
      <c r="AL18" s="2">
        <v>-3.1645091030441108E-3</v>
      </c>
      <c r="AM18" s="2">
        <f t="shared" si="14"/>
        <v>2230.3466796875</v>
      </c>
      <c r="AN18" s="2">
        <v>0.29985021320226224</v>
      </c>
      <c r="AO18" s="2">
        <f t="shared" si="9"/>
        <v>2230.072021484375</v>
      </c>
      <c r="AP18" s="2">
        <v>0.14833411915810757</v>
      </c>
      <c r="AQ18" s="2">
        <f t="shared" si="10"/>
        <v>-4.6940467036786125E-4</v>
      </c>
      <c r="AR18" s="2">
        <f t="shared" si="11"/>
        <v>4.4478017254728323E-2</v>
      </c>
      <c r="AS18" s="2">
        <f t="shared" si="12"/>
        <v>0.54931640625</v>
      </c>
    </row>
    <row r="19" spans="2:45" x14ac:dyDescent="0.2">
      <c r="B19" t="s">
        <v>114</v>
      </c>
      <c r="C19" s="1">
        <v>3</v>
      </c>
      <c r="D19"/>
      <c r="F19" s="6" t="s">
        <v>133</v>
      </c>
      <c r="G19" s="6">
        <f>G18/$C$49</f>
        <v>0.56652610777154422</v>
      </c>
      <c r="H19" s="6" t="s">
        <v>131</v>
      </c>
      <c r="J19" s="14" t="s">
        <v>64</v>
      </c>
      <c r="K19" s="6">
        <f xml:space="preserve"> $C$55 * C31 * $C$5</f>
        <v>24.97379483453042</v>
      </c>
      <c r="L19" s="6" t="s">
        <v>7</v>
      </c>
      <c r="N19" s="6" t="s">
        <v>21</v>
      </c>
      <c r="O19" s="6">
        <f xml:space="preserve"> O14 / $C$18</f>
        <v>5463.8488864169194</v>
      </c>
      <c r="P19" s="6" t="s">
        <v>22</v>
      </c>
      <c r="R19" s="6" t="s">
        <v>21</v>
      </c>
      <c r="S19" s="6">
        <f xml:space="preserve"> S14 / $C$18</f>
        <v>5472.0629319123564</v>
      </c>
      <c r="T19" s="6" t="s">
        <v>22</v>
      </c>
      <c r="Y19" s="2">
        <v>15</v>
      </c>
      <c r="Z19" s="2">
        <f t="shared" si="7"/>
        <v>5.1361083984375958E-2</v>
      </c>
      <c r="AA19" s="37">
        <f t="shared" si="0"/>
        <v>5.0753508990267204E-5</v>
      </c>
      <c r="AB19" s="2">
        <f t="shared" si="8"/>
        <v>5.1391601562500958E-2</v>
      </c>
      <c r="AC19" s="37">
        <f t="shared" si="1"/>
        <v>-1.2915805146992976E-6</v>
      </c>
      <c r="AD19" s="2">
        <f t="shared" si="2"/>
        <v>5.1376342773438458E-2</v>
      </c>
      <c r="AE19" s="37">
        <f t="shared" si="3"/>
        <v>2.4727767399146394E-5</v>
      </c>
      <c r="AF19" s="2">
        <f t="shared" si="4"/>
        <v>1.2550209650018129E-9</v>
      </c>
      <c r="AG19" s="2">
        <f t="shared" si="5"/>
        <v>-3.1937902544754009E-11</v>
      </c>
      <c r="AH19" s="2">
        <f t="shared" si="6"/>
        <v>3.0517578125E-5</v>
      </c>
      <c r="AJ19" s="2">
        <v>15</v>
      </c>
      <c r="AK19" s="2">
        <f t="shared" si="13"/>
        <v>2229.79736328125</v>
      </c>
      <c r="AL19" s="2">
        <v>-3.1645091030441108E-3</v>
      </c>
      <c r="AM19" s="2">
        <f t="shared" si="14"/>
        <v>2230.072021484375</v>
      </c>
      <c r="AN19" s="2">
        <v>0.14833411915810757</v>
      </c>
      <c r="AO19" s="2">
        <f t="shared" si="9"/>
        <v>2229.9346923828125</v>
      </c>
      <c r="AP19" s="2">
        <v>7.2583386384621917E-2</v>
      </c>
      <c r="AQ19" s="2">
        <f t="shared" si="10"/>
        <v>-2.2969078694390403E-4</v>
      </c>
      <c r="AR19" s="2">
        <f t="shared" si="11"/>
        <v>1.0766592684875471E-2</v>
      </c>
      <c r="AS19" s="2">
        <f t="shared" si="12"/>
        <v>0.274658203125</v>
      </c>
    </row>
    <row r="20" spans="2:45" x14ac:dyDescent="0.2">
      <c r="B20" s="6" t="s">
        <v>128</v>
      </c>
      <c r="C20" s="6">
        <f>$C$19*$C$10/PI()</f>
        <v>6.1401977044853208E-2</v>
      </c>
      <c r="F20" s="9" t="s">
        <v>21</v>
      </c>
      <c r="G20" s="6">
        <f>S19</f>
        <v>5472.0629319123564</v>
      </c>
      <c r="H20" s="6" t="s">
        <v>22</v>
      </c>
      <c r="J20" s="14" t="s">
        <v>65</v>
      </c>
      <c r="K20" s="6">
        <f xml:space="preserve"> $C$55 * 0</f>
        <v>0</v>
      </c>
      <c r="L20" s="6" t="s">
        <v>7</v>
      </c>
      <c r="N20" s="6" t="s">
        <v>29</v>
      </c>
      <c r="O20" s="6">
        <f>$C$6*2*PI()/60</f>
        <v>41.887902047863911</v>
      </c>
      <c r="P20" s="6" t="s">
        <v>30</v>
      </c>
      <c r="R20" s="6" t="s">
        <v>29</v>
      </c>
      <c r="S20" s="6">
        <f>$C$7*2*PI()/60</f>
        <v>47.123889803846893</v>
      </c>
      <c r="T20" s="6" t="s">
        <v>30</v>
      </c>
      <c r="Y20" s="2">
        <v>16</v>
      </c>
      <c r="Z20" s="2">
        <f t="shared" si="7"/>
        <v>5.1376342773438458E-2</v>
      </c>
      <c r="AA20" s="37">
        <f t="shared" si="0"/>
        <v>2.4727767399146394E-5</v>
      </c>
      <c r="AB20" s="2">
        <f t="shared" si="8"/>
        <v>5.1391601562500958E-2</v>
      </c>
      <c r="AC20" s="37">
        <f t="shared" si="1"/>
        <v>-1.2915805146992976E-6</v>
      </c>
      <c r="AD20" s="2">
        <f t="shared" si="2"/>
        <v>5.1383972167969708E-2</v>
      </c>
      <c r="AE20" s="37">
        <f t="shared" si="3"/>
        <v>1.1717294588556304E-5</v>
      </c>
      <c r="AF20" s="2">
        <f t="shared" si="4"/>
        <v>2.8974253513309703E-10</v>
      </c>
      <c r="AG20" s="2">
        <f t="shared" si="5"/>
        <v>-1.5133829375570847E-11</v>
      </c>
      <c r="AH20" s="2">
        <f t="shared" si="6"/>
        <v>1.52587890625E-5</v>
      </c>
      <c r="AJ20" s="2">
        <v>16</v>
      </c>
      <c r="AK20" s="2">
        <f t="shared" si="13"/>
        <v>2229.79736328125</v>
      </c>
      <c r="AL20" s="2">
        <v>-3.1645091030441108E-3</v>
      </c>
      <c r="AM20" s="2">
        <f t="shared" si="14"/>
        <v>2229.9346923828125</v>
      </c>
      <c r="AN20" s="2">
        <v>7.2583386384621917E-2</v>
      </c>
      <c r="AO20" s="2">
        <f t="shared" si="9"/>
        <v>2229.8660278320312</v>
      </c>
      <c r="AP20" s="2">
        <v>3.4702475183848946E-2</v>
      </c>
      <c r="AQ20" s="2">
        <f t="shared" si="10"/>
        <v>-1.0981629861745235E-4</v>
      </c>
      <c r="AR20" s="2">
        <f t="shared" si="11"/>
        <v>2.5188231647720618E-3</v>
      </c>
      <c r="AS20" s="2">
        <f t="shared" si="12"/>
        <v>0.1373291015625</v>
      </c>
    </row>
    <row r="21" spans="2:45" x14ac:dyDescent="0.2">
      <c r="B21" s="6" t="s">
        <v>129</v>
      </c>
      <c r="C21" s="17">
        <v>0.75</v>
      </c>
      <c r="F21" s="9" t="s">
        <v>100</v>
      </c>
      <c r="G21" s="6">
        <f xml:space="preserve"> 1/1000 * (S24 + S19 * (S26 * S29 + $C$8 * SIN(S18/180*PI())))</f>
        <v>52.994140790271679</v>
      </c>
      <c r="H21" s="6" t="s">
        <v>104</v>
      </c>
      <c r="J21" s="14" t="s">
        <v>66</v>
      </c>
      <c r="K21" s="6">
        <f xml:space="preserve"> $C$55 * 0</f>
        <v>0</v>
      </c>
      <c r="L21" s="6" t="s">
        <v>7</v>
      </c>
      <c r="N21" s="6" t="s">
        <v>31</v>
      </c>
      <c r="O21" s="6">
        <f xml:space="preserve"> $G$4 * COS(O18/180*PI()) / (O20 * $C$9)</f>
        <v>9.2825216761867626E-19</v>
      </c>
      <c r="R21" s="6" t="s">
        <v>31</v>
      </c>
      <c r="S21" s="6">
        <f xml:space="preserve"> $C$8 * COS(S18/180*PI()) / (S20 * $C$9)</f>
        <v>0.26483472837826494</v>
      </c>
      <c r="Y21" s="2">
        <v>17</v>
      </c>
      <c r="Z21" s="2">
        <f t="shared" si="7"/>
        <v>5.1383972167969708E-2</v>
      </c>
      <c r="AA21" s="37">
        <f t="shared" si="0"/>
        <v>1.1717294588556304E-5</v>
      </c>
      <c r="AB21" s="2">
        <f t="shared" si="8"/>
        <v>5.1391601562500958E-2</v>
      </c>
      <c r="AC21" s="37">
        <f t="shared" si="1"/>
        <v>-1.2915805146992976E-6</v>
      </c>
      <c r="AD21" s="2">
        <f t="shared" si="2"/>
        <v>5.1387786865235333E-2</v>
      </c>
      <c r="AE21" s="37">
        <f t="shared" si="3"/>
        <v>5.2126573679908694E-6</v>
      </c>
      <c r="AF21" s="2">
        <f t="shared" si="4"/>
        <v>6.1078241969957566E-11</v>
      </c>
      <c r="AG21" s="2">
        <f t="shared" si="5"/>
        <v>-6.7325666863007331E-12</v>
      </c>
      <c r="AH21" s="2">
        <f t="shared" si="6"/>
        <v>7.62939453125E-6</v>
      </c>
      <c r="AJ21" s="2">
        <v>17</v>
      </c>
      <c r="AK21" s="2">
        <f t="shared" si="13"/>
        <v>2229.79736328125</v>
      </c>
      <c r="AL21" s="2">
        <v>-3.1645091030441108E-3</v>
      </c>
      <c r="AM21" s="2">
        <f t="shared" si="14"/>
        <v>2229.8660278320312</v>
      </c>
      <c r="AN21" s="2">
        <v>3.4702475183848946E-2</v>
      </c>
      <c r="AO21" s="2">
        <f t="shared" si="9"/>
        <v>2229.8316955566406</v>
      </c>
      <c r="AP21" s="2">
        <v>1.5774615157624794E-2</v>
      </c>
      <c r="AQ21" s="2">
        <f t="shared" si="10"/>
        <v>-4.9918913263321269E-5</v>
      </c>
      <c r="AR21" s="2">
        <f t="shared" si="11"/>
        <v>5.4741819104224185E-4</v>
      </c>
      <c r="AS21" s="2">
        <f t="shared" si="12"/>
        <v>6.866455078125E-2</v>
      </c>
    </row>
    <row r="22" spans="2:45" x14ac:dyDescent="0.2">
      <c r="B22" s="6" t="s">
        <v>288</v>
      </c>
      <c r="C22" s="17">
        <v>50</v>
      </c>
      <c r="D22" s="6" t="s">
        <v>61</v>
      </c>
      <c r="F22" t="s">
        <v>274</v>
      </c>
      <c r="G22" s="6">
        <f xml:space="preserve"> (G20/$C$50*1000) / ($G$21*1000)</f>
        <v>10.535923706081137</v>
      </c>
      <c r="H22" s="6" t="s">
        <v>275</v>
      </c>
      <c r="J22" s="14" t="s">
        <v>117</v>
      </c>
      <c r="K22" s="6">
        <f>$C$55*(0.14*$G$14*1000/745.7)*0.453592</f>
        <v>18.752990044314846</v>
      </c>
      <c r="L22" s="6" t="s">
        <v>7</v>
      </c>
      <c r="N22" s="6" t="s">
        <v>32</v>
      </c>
      <c r="O22" s="6">
        <f xml:space="preserve"> O19 / ($C$41 * PI() * $C$9^2 * O20^2 * $C$9^2)</f>
        <v>3.7239178456288384E-3</v>
      </c>
      <c r="R22" s="6" t="s">
        <v>32</v>
      </c>
      <c r="S22" s="6">
        <f xml:space="preserve"> S19 / ($C$47 * PI() * $C$9^2 * S20^2 * $C$9^2)</f>
        <v>3.0379730273685946E-3</v>
      </c>
      <c r="Y22" s="2">
        <v>18</v>
      </c>
      <c r="Z22" s="2">
        <f t="shared" si="7"/>
        <v>5.1387786865235333E-2</v>
      </c>
      <c r="AA22" s="37">
        <f t="shared" si="0"/>
        <v>5.2126573679908694E-6</v>
      </c>
      <c r="AB22" s="2">
        <f t="shared" si="8"/>
        <v>5.1391601562500958E-2</v>
      </c>
      <c r="AC22" s="37">
        <f t="shared" si="1"/>
        <v>-1.2915805146992976E-6</v>
      </c>
      <c r="AD22" s="2">
        <f t="shared" si="2"/>
        <v>5.1389694213868145E-2</v>
      </c>
      <c r="AE22" s="37">
        <f t="shared" si="3"/>
        <v>1.9604885149668294E-6</v>
      </c>
      <c r="AF22" s="2">
        <f t="shared" si="4"/>
        <v>1.021935490240332E-11</v>
      </c>
      <c r="AG22" s="2">
        <f t="shared" si="5"/>
        <v>-2.5321287652229192E-12</v>
      </c>
      <c r="AH22" s="2">
        <f t="shared" si="6"/>
        <v>3.814697265625E-6</v>
      </c>
      <c r="AJ22" s="2">
        <v>18</v>
      </c>
      <c r="AK22" s="2">
        <f t="shared" si="13"/>
        <v>2229.79736328125</v>
      </c>
      <c r="AL22" s="2">
        <v>-3.1645091030441108E-3</v>
      </c>
      <c r="AM22" s="2">
        <f t="shared" si="14"/>
        <v>2229.8316955566406</v>
      </c>
      <c r="AN22" s="2">
        <v>1.5774615157624794E-2</v>
      </c>
      <c r="AO22" s="2">
        <f t="shared" si="9"/>
        <v>2229.8145294189453</v>
      </c>
      <c r="AP22" s="2">
        <v>6.3050510373159341E-3</v>
      </c>
      <c r="AQ22" s="2">
        <f t="shared" si="10"/>
        <v>-1.9952391402743988E-5</v>
      </c>
      <c r="AR22" s="2">
        <f t="shared" si="11"/>
        <v>9.9459753662841863E-5</v>
      </c>
      <c r="AS22" s="2">
        <f t="shared" si="12"/>
        <v>3.4332275390625E-2</v>
      </c>
    </row>
    <row r="23" spans="2:45" x14ac:dyDescent="0.2">
      <c r="F23" s="9" t="s">
        <v>276</v>
      </c>
      <c r="G23" s="6">
        <f>S22/ ($C$19*$C$10/PI())</f>
        <v>4.9476794943416912E-2</v>
      </c>
      <c r="J23" s="15" t="s">
        <v>67</v>
      </c>
      <c r="K23" s="6">
        <f xml:space="preserve"> $C$56 * (0.0268 * $C$5)</f>
        <v>47.806978683243948</v>
      </c>
      <c r="L23" s="6" t="s">
        <v>7</v>
      </c>
      <c r="N23" s="6" t="s">
        <v>1</v>
      </c>
      <c r="O23" s="17">
        <v>8.8999999999999999E-3</v>
      </c>
      <c r="R23" s="6" t="s">
        <v>1</v>
      </c>
      <c r="S23" s="17">
        <v>8.8999999999999999E-3</v>
      </c>
      <c r="Y23" s="2">
        <v>19</v>
      </c>
      <c r="Z23" s="2">
        <f t="shared" si="7"/>
        <v>5.1389694213868145E-2</v>
      </c>
      <c r="AA23" s="37">
        <f t="shared" si="0"/>
        <v>1.9604885149668294E-6</v>
      </c>
      <c r="AB23" s="2">
        <f t="shared" si="8"/>
        <v>5.1391601562500958E-2</v>
      </c>
      <c r="AC23" s="37">
        <f t="shared" si="1"/>
        <v>-1.2915805146992976E-6</v>
      </c>
      <c r="AD23" s="2">
        <f t="shared" si="2"/>
        <v>5.1390647888184551E-2</v>
      </c>
      <c r="AE23" s="37">
        <f t="shared" si="3"/>
        <v>3.3444152290618145E-7</v>
      </c>
      <c r="AF23" s="2">
        <f t="shared" si="4"/>
        <v>6.5566876458558452E-13</v>
      </c>
      <c r="AG23" s="2">
        <f t="shared" si="5"/>
        <v>-4.3195815429198277E-13</v>
      </c>
      <c r="AH23" s="2">
        <f t="shared" si="6"/>
        <v>1.9073486328125E-6</v>
      </c>
      <c r="AJ23" s="2">
        <v>19</v>
      </c>
      <c r="AK23" s="2">
        <f t="shared" si="13"/>
        <v>2229.79736328125</v>
      </c>
      <c r="AL23" s="2">
        <v>-3.1645091030441108E-3</v>
      </c>
      <c r="AM23" s="2">
        <f t="shared" si="14"/>
        <v>2229.8145294189453</v>
      </c>
      <c r="AN23" s="2">
        <v>6.3050510373159341E-3</v>
      </c>
      <c r="AO23" s="2">
        <f t="shared" si="9"/>
        <v>2229.8059463500977</v>
      </c>
      <c r="AP23" s="2">
        <v>1.5702704693012492E-3</v>
      </c>
      <c r="AQ23" s="2">
        <f t="shared" si="10"/>
        <v>-4.9691351943451515E-6</v>
      </c>
      <c r="AR23" s="2">
        <f t="shared" si="11"/>
        <v>9.9006354513344201E-6</v>
      </c>
      <c r="AS23" s="2">
        <f t="shared" si="12"/>
        <v>1.71661376953125E-2</v>
      </c>
    </row>
    <row r="24" spans="2:45" x14ac:dyDescent="0.2">
      <c r="B24" s="56" t="s">
        <v>107</v>
      </c>
      <c r="C24" s="56"/>
      <c r="D24" s="56"/>
      <c r="F24" s="44" t="s">
        <v>225</v>
      </c>
      <c r="G24" s="43">
        <f>$C$18 * G21</f>
        <v>211.97656316108672</v>
      </c>
      <c r="H24" s="43" t="s">
        <v>104</v>
      </c>
      <c r="J24" s="15" t="s">
        <v>68</v>
      </c>
      <c r="K24" s="6">
        <f xml:space="preserve"> $C$56 * (11.5 * ($C$5*2.20462/1000)^0.4 * 0.453592)</f>
        <v>7.8902963953547918</v>
      </c>
      <c r="L24" s="6" t="s">
        <v>7</v>
      </c>
      <c r="N24" s="6" t="s">
        <v>33</v>
      </c>
      <c r="O24" s="6">
        <f xml:space="preserve"> ($C$20 * O23 / 8) * (1 + 4.65 *O21^ 2) * ( PI() * $C$41 * O20^3 *$C$9^ 5)</f>
        <v>16793.04931981819</v>
      </c>
      <c r="P24" s="6" t="s">
        <v>20</v>
      </c>
      <c r="R24" s="6" t="s">
        <v>33</v>
      </c>
      <c r="S24" s="6">
        <f xml:space="preserve"> ($C$20 * S23 / 8) * (1 + 4.65 *S21^ 2) * ( PI() * $C$47 * S20^3 *$C$9^ 5)</f>
        <v>30756.699959131514</v>
      </c>
      <c r="T24" s="6" t="s">
        <v>20</v>
      </c>
      <c r="Y24" s="2">
        <v>20</v>
      </c>
      <c r="Z24" s="2">
        <f t="shared" si="7"/>
        <v>5.1390647888184551E-2</v>
      </c>
      <c r="AA24" s="37">
        <f t="shared" si="0"/>
        <v>3.3444152290618145E-7</v>
      </c>
      <c r="AB24" s="2">
        <f t="shared" si="8"/>
        <v>5.1391601562500958E-2</v>
      </c>
      <c r="AC24" s="37">
        <f t="shared" si="1"/>
        <v>-1.2915805146992976E-6</v>
      </c>
      <c r="AD24" s="2">
        <f t="shared" si="2"/>
        <v>5.1391124725342754E-2</v>
      </c>
      <c r="AE24" s="37">
        <f t="shared" si="3"/>
        <v>-4.7857261511324856E-7</v>
      </c>
      <c r="AF24" s="2">
        <f t="shared" si="4"/>
        <v>-1.6005455421966867E-13</v>
      </c>
      <c r="AG24" s="2">
        <f t="shared" si="5"/>
        <v>6.1811506454895836E-13</v>
      </c>
      <c r="AH24" s="2">
        <f t="shared" si="6"/>
        <v>9.5367431640625E-7</v>
      </c>
      <c r="AJ24" s="2">
        <v>20</v>
      </c>
      <c r="AK24" s="2">
        <f t="shared" si="13"/>
        <v>2229.79736328125</v>
      </c>
      <c r="AL24" s="2">
        <v>-3.1645091030441108E-3</v>
      </c>
      <c r="AM24" s="2">
        <f t="shared" si="14"/>
        <v>2229.8059463500977</v>
      </c>
      <c r="AN24" s="2">
        <v>1.5702704693012492E-3</v>
      </c>
      <c r="AO24" s="2">
        <f t="shared" si="9"/>
        <v>2229.8016548156738</v>
      </c>
      <c r="AP24" s="2">
        <v>-8.0405098037772404E-4</v>
      </c>
      <c r="AQ24" s="2">
        <f t="shared" si="10"/>
        <v>2.5444266467168495E-6</v>
      </c>
      <c r="AR24" s="2">
        <f t="shared" si="11"/>
        <v>-1.2625775102998583E-6</v>
      </c>
      <c r="AS24" s="2">
        <f t="shared" si="12"/>
        <v>8.58306884765625E-3</v>
      </c>
    </row>
    <row r="25" spans="2:45" x14ac:dyDescent="0.2">
      <c r="B25" t="s">
        <v>108</v>
      </c>
      <c r="C25" s="1">
        <v>6</v>
      </c>
      <c r="D25"/>
      <c r="J25" s="15" t="s">
        <v>69</v>
      </c>
      <c r="K25" s="6">
        <f xml:space="preserve"> $C$56 * (8 * ($C$5/1000))</f>
        <v>14.270739905445954</v>
      </c>
      <c r="L25" s="6" t="s">
        <v>7</v>
      </c>
      <c r="N25" s="6" t="s">
        <v>34</v>
      </c>
      <c r="O25" s="18">
        <f>AD34</f>
        <v>5.1390843931586508E-2</v>
      </c>
      <c r="R25" s="6" t="s">
        <v>34</v>
      </c>
      <c r="S25" s="18">
        <f>AD68</f>
        <v>2.0701474044471979E-2</v>
      </c>
      <c r="Y25" s="2">
        <v>21</v>
      </c>
      <c r="Z25" s="2">
        <f t="shared" si="7"/>
        <v>5.1390647888184551E-2</v>
      </c>
      <c r="AA25" s="37">
        <f t="shared" si="0"/>
        <v>3.3444152290618145E-7</v>
      </c>
      <c r="AB25" s="2">
        <f t="shared" si="8"/>
        <v>5.1391124725342754E-2</v>
      </c>
      <c r="AC25" s="37">
        <f t="shared" si="1"/>
        <v>-4.7857261511324856E-7</v>
      </c>
      <c r="AD25" s="2">
        <f t="shared" si="2"/>
        <v>5.1390886306763653E-2</v>
      </c>
      <c r="AE25" s="37">
        <f t="shared" si="3"/>
        <v>-7.2066325920716601E-8</v>
      </c>
      <c r="AF25" s="2">
        <f t="shared" si="4"/>
        <v>-2.4101971791177681E-14</v>
      </c>
      <c r="AG25" s="2">
        <f t="shared" si="5"/>
        <v>3.4488970057481034E-14</v>
      </c>
      <c r="AH25" s="2">
        <f t="shared" si="6"/>
        <v>4.76837158203125E-7</v>
      </c>
      <c r="AJ25" s="2">
        <v>21</v>
      </c>
      <c r="AK25" s="2">
        <f t="shared" si="13"/>
        <v>2229.8016548156738</v>
      </c>
      <c r="AL25" s="2">
        <v>-8.0405098037772404E-4</v>
      </c>
      <c r="AM25" s="2">
        <f t="shared" si="14"/>
        <v>2229.8059463500977</v>
      </c>
      <c r="AN25" s="2">
        <v>1.5702704693012492E-3</v>
      </c>
      <c r="AO25" s="2">
        <f t="shared" si="9"/>
        <v>2229.8038005828857</v>
      </c>
      <c r="AP25" s="2">
        <v>3.8310970990096394E-4</v>
      </c>
      <c r="AQ25" s="2">
        <f t="shared" si="10"/>
        <v>-3.0803973783809553E-7</v>
      </c>
      <c r="AR25" s="2">
        <f t="shared" si="11"/>
        <v>6.0158586396005208E-7</v>
      </c>
      <c r="AS25" s="2">
        <f t="shared" si="12"/>
        <v>4.291534423828125E-3</v>
      </c>
    </row>
    <row r="26" spans="2:45" x14ac:dyDescent="0.2">
      <c r="B26" t="s">
        <v>109</v>
      </c>
      <c r="C26" s="1">
        <v>6.4008000000000003</v>
      </c>
      <c r="D26" t="s">
        <v>8</v>
      </c>
      <c r="F26" s="57" t="s">
        <v>84</v>
      </c>
      <c r="G26" s="58"/>
      <c r="H26" s="58"/>
      <c r="J26" s="15" t="s">
        <v>70</v>
      </c>
      <c r="K26" s="6">
        <f xml:space="preserve"> $C$56 * (13 * ($C$5*2.20462/1000)^1.3 * 0.453592)</f>
        <v>37.392031715048951</v>
      </c>
      <c r="L26" s="6" t="s">
        <v>7</v>
      </c>
      <c r="N26" s="6" t="s">
        <v>35</v>
      </c>
      <c r="O26" s="6">
        <f xml:space="preserve"> O20 * $C$9 * O25 - $G$4 * SIN(O18/180*PI())</f>
        <v>6.0706185470534288</v>
      </c>
      <c r="P26" s="6" t="s">
        <v>10</v>
      </c>
      <c r="R26" s="6" t="s">
        <v>35</v>
      </c>
      <c r="S26" s="6">
        <f xml:space="preserve"> S20 * $C$9 * S25 - $C$8 * SIN(S18/180*PI())</f>
        <v>1.0778475781010188</v>
      </c>
      <c r="T26" s="6" t="s">
        <v>10</v>
      </c>
      <c r="Y26" s="2">
        <v>22</v>
      </c>
      <c r="Z26" s="2">
        <f t="shared" si="7"/>
        <v>5.1390647888184551E-2</v>
      </c>
      <c r="AA26" s="37">
        <f t="shared" si="0"/>
        <v>3.3444152290618145E-7</v>
      </c>
      <c r="AB26" s="2">
        <f t="shared" si="8"/>
        <v>5.1390886306763653E-2</v>
      </c>
      <c r="AC26" s="37">
        <f t="shared" si="1"/>
        <v>-7.2066325920716601E-8</v>
      </c>
      <c r="AD26" s="2">
        <f t="shared" si="2"/>
        <v>5.1390767097474102E-2</v>
      </c>
      <c r="AE26" s="37">
        <f t="shared" si="3"/>
        <v>1.311874035375693E-7</v>
      </c>
      <c r="AF26" s="2">
        <f t="shared" si="4"/>
        <v>4.3874515025212457E-14</v>
      </c>
      <c r="AG26" s="2">
        <f t="shared" si="5"/>
        <v>-9.4541941800310392E-15</v>
      </c>
      <c r="AH26" s="2">
        <f t="shared" si="6"/>
        <v>2.384185791015625E-7</v>
      </c>
      <c r="AJ26" s="2">
        <v>22</v>
      </c>
      <c r="AK26" s="2">
        <f t="shared" si="13"/>
        <v>2229.8016548156738</v>
      </c>
      <c r="AL26" s="2">
        <v>-8.0405098037772404E-4</v>
      </c>
      <c r="AM26" s="2">
        <f t="shared" si="14"/>
        <v>2229.8038005828857</v>
      </c>
      <c r="AN26" s="2">
        <v>3.8310970990096394E-4</v>
      </c>
      <c r="AO26" s="2">
        <f t="shared" si="9"/>
        <v>2229.8027276992798</v>
      </c>
      <c r="AP26" s="2">
        <v>-2.1047064478807442E-4</v>
      </c>
      <c r="AQ26" s="2">
        <f t="shared" si="10"/>
        <v>1.6922912828258295E-7</v>
      </c>
      <c r="AR26" s="2">
        <f t="shared" si="11"/>
        <v>-8.0633347667428021E-8</v>
      </c>
      <c r="AS26" s="2">
        <f t="shared" si="12"/>
        <v>2.1457672119140625E-3</v>
      </c>
    </row>
    <row r="27" spans="2:45" x14ac:dyDescent="0.2">
      <c r="B27" t="s">
        <v>110</v>
      </c>
      <c r="C27" s="1">
        <v>2.0560284000000002</v>
      </c>
      <c r="D27" t="s">
        <v>8</v>
      </c>
      <c r="F27" t="s">
        <v>88</v>
      </c>
      <c r="G27" s="1">
        <f>300*0.3048/60</f>
        <v>1.524</v>
      </c>
      <c r="H27" t="s">
        <v>10</v>
      </c>
      <c r="J27" s="10" t="s">
        <v>57</v>
      </c>
      <c r="K27" s="10">
        <f>$C$5 - $C$13 - SUM(K13:K26)</f>
        <v>-1.9083472579950467E-9</v>
      </c>
      <c r="L27" s="10" t="s">
        <v>7</v>
      </c>
      <c r="N27" s="6" t="s">
        <v>36</v>
      </c>
      <c r="O27" s="6">
        <f xml:space="preserve"> 1/$C$21 - O24 * SQRT( (2*$C$41*PI()*$C$9^2) / O19^3 )</f>
        <v>0.90822733260052002</v>
      </c>
      <c r="R27" s="6" t="s">
        <v>36</v>
      </c>
      <c r="S27" s="6">
        <f xml:space="preserve"> 1/$C$21 - S24 * SQRT( (2*$C$47*PI()*$C$9^2) / S19^3 )</f>
        <v>0.56824677756376496</v>
      </c>
      <c r="Y27" s="2">
        <v>23</v>
      </c>
      <c r="Z27" s="2">
        <f t="shared" si="7"/>
        <v>5.1390767097474102E-2</v>
      </c>
      <c r="AA27" s="37">
        <f t="shared" si="0"/>
        <v>1.311874035375693E-7</v>
      </c>
      <c r="AB27" s="2">
        <f t="shared" si="8"/>
        <v>5.1390886306763653E-2</v>
      </c>
      <c r="AC27" s="37">
        <f t="shared" si="1"/>
        <v>-7.2066325920716601E-8</v>
      </c>
      <c r="AD27" s="2">
        <f t="shared" si="2"/>
        <v>5.1390826702118877E-2</v>
      </c>
      <c r="AE27" s="37">
        <f t="shared" si="3"/>
        <v>2.956049006963557E-8</v>
      </c>
      <c r="AF27" s="2">
        <f t="shared" si="4"/>
        <v>3.877963939533592E-15</v>
      </c>
      <c r="AG27" s="2">
        <f t="shared" si="5"/>
        <v>-2.1303159117344636E-15</v>
      </c>
      <c r="AH27" s="2">
        <f t="shared" si="6"/>
        <v>1.1920928955078125E-7</v>
      </c>
      <c r="AJ27" s="2">
        <v>23</v>
      </c>
      <c r="AK27" s="2">
        <f t="shared" si="13"/>
        <v>2229.8027276992798</v>
      </c>
      <c r="AL27" s="2">
        <v>-2.1047064478807442E-4</v>
      </c>
      <c r="AM27" s="2">
        <f t="shared" si="14"/>
        <v>2229.8038005828857</v>
      </c>
      <c r="AN27" s="2">
        <v>3.8310970990096394E-4</v>
      </c>
      <c r="AO27" s="2">
        <f t="shared" si="9"/>
        <v>2229.8032641410828</v>
      </c>
      <c r="AP27" s="2">
        <v>9.1959452447554213E-5</v>
      </c>
      <c r="AQ27" s="2">
        <f t="shared" si="10"/>
        <v>-1.9354765250995005E-8</v>
      </c>
      <c r="AR27" s="2">
        <f t="shared" si="11"/>
        <v>3.5230559149833982E-8</v>
      </c>
      <c r="AS27" s="2">
        <f t="shared" si="12"/>
        <v>1.0728836059570312E-3</v>
      </c>
    </row>
    <row r="28" spans="2:45" x14ac:dyDescent="0.2">
      <c r="F28" t="s">
        <v>94</v>
      </c>
      <c r="G28" s="1">
        <f>1000*0.3048</f>
        <v>304.8</v>
      </c>
      <c r="H28" t="s">
        <v>8</v>
      </c>
      <c r="J28" s="6" t="s">
        <v>58</v>
      </c>
      <c r="K28" s="4" t="str">
        <f>IF(ABS(K27)&lt;1, "TRUE", "FALSE")</f>
        <v>TRUE</v>
      </c>
      <c r="N28" s="6" t="s">
        <v>37</v>
      </c>
      <c r="O28" s="17">
        <v>1.1499999999999999</v>
      </c>
      <c r="R28" s="6" t="s">
        <v>37</v>
      </c>
      <c r="S28" s="17">
        <v>1.1499999999999999</v>
      </c>
      <c r="Y28" s="2">
        <v>24</v>
      </c>
      <c r="Z28" s="2">
        <f t="shared" si="7"/>
        <v>5.1390826702118877E-2</v>
      </c>
      <c r="AA28" s="37">
        <f t="shared" si="0"/>
        <v>2.956049006963557E-8</v>
      </c>
      <c r="AB28" s="2">
        <f t="shared" si="8"/>
        <v>5.1390886306763653E-2</v>
      </c>
      <c r="AC28" s="37">
        <f t="shared" si="1"/>
        <v>-7.2066325920716601E-8</v>
      </c>
      <c r="AD28" s="2">
        <f t="shared" si="2"/>
        <v>5.1390856504441265E-2</v>
      </c>
      <c r="AE28" s="37">
        <f t="shared" si="3"/>
        <v>-2.1252930110238211E-8</v>
      </c>
      <c r="AF28" s="2">
        <f t="shared" si="4"/>
        <v>-6.282470294743554E-16</v>
      </c>
      <c r="AG28" s="2">
        <f t="shared" si="5"/>
        <v>1.5316205880946383E-15</v>
      </c>
      <c r="AH28" s="2">
        <f t="shared" si="6"/>
        <v>5.9604644775390625E-8</v>
      </c>
      <c r="AJ28" s="2">
        <v>24</v>
      </c>
      <c r="AK28" s="2">
        <f t="shared" si="13"/>
        <v>2229.8027276992798</v>
      </c>
      <c r="AL28" s="2">
        <v>-2.1047064478807442E-4</v>
      </c>
      <c r="AM28" s="2">
        <f t="shared" si="14"/>
        <v>2229.8032641410828</v>
      </c>
      <c r="AN28" s="2">
        <v>9.1959452447554213E-5</v>
      </c>
      <c r="AO28" s="2">
        <f t="shared" si="9"/>
        <v>2229.8029959201813</v>
      </c>
      <c r="AP28" s="2">
        <v>-5.9255597534502158E-5</v>
      </c>
      <c r="AQ28" s="2">
        <f t="shared" si="10"/>
        <v>1.2471563820389303E-8</v>
      </c>
      <c r="AR28" s="2">
        <f t="shared" si="11"/>
        <v>-5.4491123037254618E-9</v>
      </c>
      <c r="AS28" s="2">
        <f t="shared" si="12"/>
        <v>5.3644180297851562E-4</v>
      </c>
    </row>
    <row r="29" spans="2:45" x14ac:dyDescent="0.2">
      <c r="B29" s="56" t="s">
        <v>111</v>
      </c>
      <c r="C29" s="56"/>
      <c r="D29" s="56"/>
      <c r="F29" t="s">
        <v>93</v>
      </c>
      <c r="G29" s="8">
        <f>$G$28/$G$27</f>
        <v>200</v>
      </c>
      <c r="H29" t="s">
        <v>14</v>
      </c>
      <c r="N29" s="6" t="s">
        <v>38</v>
      </c>
      <c r="O29" s="6">
        <f xml:space="preserve"> 1/$C$53 * LN( EXP($C$53 * O27) + EXP($C$53 * O28) )</f>
        <v>1.1500235889716273</v>
      </c>
      <c r="R29" s="6" t="s">
        <v>38</v>
      </c>
      <c r="S29" s="6">
        <f xml:space="preserve"> 1/$C$53 * LN( EXP($C$53 * S27) + EXP($C$53 * S28) )</f>
        <v>1.1500000008776319</v>
      </c>
      <c r="Y29" s="2">
        <v>25</v>
      </c>
      <c r="Z29" s="2">
        <f t="shared" si="7"/>
        <v>5.1390826702118877E-2</v>
      </c>
      <c r="AA29" s="37">
        <f t="shared" si="0"/>
        <v>2.956049006963557E-8</v>
      </c>
      <c r="AB29" s="2">
        <f t="shared" si="8"/>
        <v>5.1390856504441265E-2</v>
      </c>
      <c r="AC29" s="37">
        <f t="shared" si="1"/>
        <v>-2.1252930110238211E-8</v>
      </c>
      <c r="AD29" s="2">
        <f t="shared" si="2"/>
        <v>5.1390841603280071E-2</v>
      </c>
      <c r="AE29" s="37">
        <f t="shared" si="3"/>
        <v>4.1537769335242558E-9</v>
      </c>
      <c r="AF29" s="2">
        <f t="shared" si="4"/>
        <v>1.2278768179492506E-16</v>
      </c>
      <c r="AG29" s="2">
        <f t="shared" si="5"/>
        <v>-8.8279930861710597E-17</v>
      </c>
      <c r="AH29" s="2">
        <f t="shared" si="6"/>
        <v>2.9802322387695312E-8</v>
      </c>
      <c r="AJ29" s="2">
        <v>25</v>
      </c>
      <c r="AK29" s="2">
        <f t="shared" si="13"/>
        <v>2229.8029959201813</v>
      </c>
      <c r="AL29" s="2">
        <v>-5.9255597534502158E-5</v>
      </c>
      <c r="AM29" s="2">
        <f t="shared" si="14"/>
        <v>2229.8032641410828</v>
      </c>
      <c r="AN29" s="2">
        <v>9.1959452447554213E-5</v>
      </c>
      <c r="AO29" s="2">
        <f t="shared" si="9"/>
        <v>2229.803130030632</v>
      </c>
      <c r="AP29" s="2">
        <v>1.0712006996982382E-5</v>
      </c>
      <c r="AQ29" s="2">
        <f t="shared" si="10"/>
        <v>-6.3474637539995908E-10</v>
      </c>
      <c r="AR29" s="2">
        <f t="shared" si="11"/>
        <v>9.8507029805686928E-10</v>
      </c>
      <c r="AS29" s="2">
        <f t="shared" si="12"/>
        <v>2.6822090148925781E-4</v>
      </c>
    </row>
    <row r="30" spans="2:45" x14ac:dyDescent="0.2">
      <c r="B30" s="6" t="s">
        <v>124</v>
      </c>
      <c r="C30" s="21" t="s">
        <v>260</v>
      </c>
      <c r="F30" t="s">
        <v>21</v>
      </c>
      <c r="G30" s="6">
        <f xml:space="preserve"> $C$5 * $C$44 / $C$18</f>
        <v>5463.8488864169194</v>
      </c>
      <c r="H30" t="s">
        <v>22</v>
      </c>
      <c r="J30" s="54" t="s">
        <v>116</v>
      </c>
      <c r="K30" s="54"/>
      <c r="L30" s="54"/>
      <c r="Y30" s="2">
        <v>26</v>
      </c>
      <c r="Z30" s="2">
        <f t="shared" si="7"/>
        <v>5.1390841603280071E-2</v>
      </c>
      <c r="AA30" s="37">
        <f t="shared" si="0"/>
        <v>4.1537769335242558E-9</v>
      </c>
      <c r="AB30" s="2">
        <f t="shared" si="8"/>
        <v>5.1390856504441265E-2</v>
      </c>
      <c r="AC30" s="37">
        <f t="shared" si="1"/>
        <v>-2.1252930110238211E-8</v>
      </c>
      <c r="AD30" s="2">
        <f t="shared" si="2"/>
        <v>5.1390849053860668E-2</v>
      </c>
      <c r="AE30" s="37">
        <f t="shared" si="3"/>
        <v>-8.549577344696413E-9</v>
      </c>
      <c r="AF30" s="2">
        <f t="shared" si="4"/>
        <v>-3.5513037165781518E-17</v>
      </c>
      <c r="AG30" s="2">
        <f t="shared" si="5"/>
        <v>1.8170356977890884E-16</v>
      </c>
      <c r="AH30" s="2">
        <f t="shared" si="6"/>
        <v>1.4901161193847656E-8</v>
      </c>
      <c r="AJ30" s="2">
        <v>26</v>
      </c>
      <c r="AK30" s="2">
        <f t="shared" si="13"/>
        <v>2229.8029959201813</v>
      </c>
      <c r="AL30" s="2">
        <v>-5.9255597534502158E-5</v>
      </c>
      <c r="AM30" s="2">
        <f t="shared" si="14"/>
        <v>2229.803130030632</v>
      </c>
      <c r="AN30" s="2">
        <v>1.0712006996982382E-5</v>
      </c>
      <c r="AO30" s="2">
        <f t="shared" si="9"/>
        <v>2229.8030629754066</v>
      </c>
      <c r="AP30" s="2">
        <v>-2.5563417466401006E-5</v>
      </c>
      <c r="AQ30" s="2">
        <f t="shared" si="10"/>
        <v>1.514775576995521E-9</v>
      </c>
      <c r="AR30" s="2">
        <f t="shared" si="11"/>
        <v>-2.7383550676686921E-10</v>
      </c>
      <c r="AS30" s="2">
        <f t="shared" si="12"/>
        <v>1.3411045074462891E-4</v>
      </c>
    </row>
    <row r="31" spans="2:45" x14ac:dyDescent="0.2">
      <c r="B31" s="6" t="s">
        <v>126</v>
      </c>
      <c r="C31" s="6">
        <f>IF(C30="wheeled",0.0325,0.014)</f>
        <v>1.4E-2</v>
      </c>
      <c r="F31" t="s">
        <v>100</v>
      </c>
      <c r="G31" s="6">
        <f>G33/$C$18</f>
        <v>52.67093945469199</v>
      </c>
      <c r="H31" t="s">
        <v>20</v>
      </c>
      <c r="J31" s="6" t="s">
        <v>60</v>
      </c>
      <c r="K31" s="6">
        <f>ROUND($C$13,2)</f>
        <v>600</v>
      </c>
      <c r="L31" s="6" t="s">
        <v>7</v>
      </c>
      <c r="Y31" s="2">
        <v>27</v>
      </c>
      <c r="Z31" s="2">
        <f t="shared" si="7"/>
        <v>5.1390841603280071E-2</v>
      </c>
      <c r="AA31" s="37">
        <f t="shared" si="0"/>
        <v>4.1537769335242558E-9</v>
      </c>
      <c r="AB31" s="2">
        <f t="shared" si="8"/>
        <v>5.1390849053860668E-2</v>
      </c>
      <c r="AC31" s="37">
        <f t="shared" si="1"/>
        <v>-8.549577344696413E-9</v>
      </c>
      <c r="AD31" s="2">
        <f t="shared" si="2"/>
        <v>5.139084532857037E-2</v>
      </c>
      <c r="AE31" s="37">
        <f t="shared" si="3"/>
        <v>-2.1979003964056609E-9</v>
      </c>
      <c r="AF31" s="2">
        <f t="shared" si="4"/>
        <v>-9.1295879687736521E-18</v>
      </c>
      <c r="AG31" s="2">
        <f t="shared" si="5"/>
        <v>1.8791119435009103E-17</v>
      </c>
      <c r="AH31" s="2">
        <f t="shared" si="6"/>
        <v>7.4505805969238281E-9</v>
      </c>
      <c r="AJ31" s="2">
        <v>27</v>
      </c>
      <c r="AK31" s="2">
        <f t="shared" si="13"/>
        <v>2229.8030629754066</v>
      </c>
      <c r="AL31" s="2">
        <v>-2.5563417466401006E-5</v>
      </c>
      <c r="AM31" s="2">
        <f t="shared" si="14"/>
        <v>2229.803130030632</v>
      </c>
      <c r="AN31" s="2">
        <v>1.0712006996982382E-5</v>
      </c>
      <c r="AO31" s="2">
        <f t="shared" si="9"/>
        <v>2229.8030965030193</v>
      </c>
      <c r="AP31" s="2">
        <v>-7.4257056894566631E-6</v>
      </c>
      <c r="AQ31" s="2">
        <f t="shared" si="10"/>
        <v>1.8982641452220979E-10</v>
      </c>
      <c r="AR31" s="2">
        <f t="shared" si="11"/>
        <v>-7.9544211302991656E-11</v>
      </c>
      <c r="AS31" s="2">
        <f t="shared" si="12"/>
        <v>6.7055225372314453E-5</v>
      </c>
    </row>
    <row r="32" spans="2:45" x14ac:dyDescent="0.2">
      <c r="B32" t="s">
        <v>261</v>
      </c>
      <c r="C32" s="1">
        <v>2.8540374719999999</v>
      </c>
      <c r="D32" t="s">
        <v>8</v>
      </c>
      <c r="F32" t="s">
        <v>274</v>
      </c>
      <c r="G32" s="6">
        <f xml:space="preserve"> (G30/$C$44*1000) / (G31*1000)</f>
        <v>10.583649794893192</v>
      </c>
      <c r="H32" s="6" t="s">
        <v>275</v>
      </c>
      <c r="J32" s="11" t="s">
        <v>55</v>
      </c>
      <c r="K32" s="6">
        <f>ROUND(K13,2)</f>
        <v>787.85</v>
      </c>
      <c r="L32" s="6" t="s">
        <v>7</v>
      </c>
      <c r="Y32" s="2">
        <v>28</v>
      </c>
      <c r="Z32" s="2">
        <f t="shared" si="7"/>
        <v>5.1390841603280071E-2</v>
      </c>
      <c r="AA32" s="37">
        <f t="shared" si="0"/>
        <v>4.1537769335242558E-9</v>
      </c>
      <c r="AB32" s="2">
        <f t="shared" si="8"/>
        <v>5.139084532857037E-2</v>
      </c>
      <c r="AC32" s="37">
        <f t="shared" si="1"/>
        <v>-2.1979003964056609E-9</v>
      </c>
      <c r="AD32" s="2">
        <f t="shared" si="2"/>
        <v>5.1390843465925221E-2</v>
      </c>
      <c r="AE32" s="37">
        <f t="shared" si="3"/>
        <v>9.7793822345648707E-10</v>
      </c>
      <c r="AF32" s="2">
        <f t="shared" si="4"/>
        <v>4.0621372350052457E-18</v>
      </c>
      <c r="AG32" s="2">
        <f t="shared" si="5"/>
        <v>-2.1494108089952606E-18</v>
      </c>
      <c r="AH32" s="2">
        <f t="shared" si="6"/>
        <v>3.7252902984619141E-9</v>
      </c>
      <c r="AJ32" s="2">
        <v>28</v>
      </c>
      <c r="AK32" s="2">
        <f t="shared" si="13"/>
        <v>2229.8030965030193</v>
      </c>
      <c r="AL32" s="2">
        <v>-7.4257056894566631E-6</v>
      </c>
      <c r="AM32" s="2">
        <f t="shared" si="14"/>
        <v>2229.803130030632</v>
      </c>
      <c r="AN32" s="2">
        <v>1.0712006996982382E-5</v>
      </c>
      <c r="AO32" s="2">
        <f t="shared" si="9"/>
        <v>2229.8031132668257</v>
      </c>
      <c r="AP32" s="2">
        <v>1.6431492895208066E-6</v>
      </c>
      <c r="AQ32" s="2">
        <f t="shared" si="10"/>
        <v>-1.2201543027821328E-11</v>
      </c>
      <c r="AR32" s="2">
        <f t="shared" si="11"/>
        <v>1.760142668643351E-11</v>
      </c>
      <c r="AS32" s="2">
        <f t="shared" si="12"/>
        <v>3.3527612686157227E-5</v>
      </c>
    </row>
    <row r="33" spans="2:45" x14ac:dyDescent="0.2">
      <c r="B33" t="s">
        <v>262</v>
      </c>
      <c r="C33" s="1">
        <f>(0.750222528+0.849998808)/2</f>
        <v>0.80011066800000008</v>
      </c>
      <c r="D33"/>
      <c r="F33" s="42" t="s">
        <v>86</v>
      </c>
      <c r="G33" s="43">
        <f xml:space="preserve"> 1/1000 * IF($G$27&gt;= 2*SQRT(($C$5*$C$44)/(2*$C$41*$C$18*PI()*$C$9*$C$9)), ($C$5*$C$44)/$C$21 * ( ($G$27/2) - SQRT( ($G$27/2)^2 - ($C$5*$C$44)/(2*$C$41*$C$18*PI()*$C$9*$C$9 ) ) ), 1/$C$21 * SQRT(($C$5*$C$44)^3/(2*$C$41*$C$18*PI()*$C$9*$C$9)) )</f>
        <v>210.68375781876796</v>
      </c>
      <c r="H33" s="42" t="s">
        <v>104</v>
      </c>
      <c r="J33" s="19" t="s">
        <v>81</v>
      </c>
      <c r="K33" s="6">
        <f>ROUND(SUM(K14:K17),2)</f>
        <v>558.80999999999995</v>
      </c>
      <c r="L33" s="6" t="s">
        <v>7</v>
      </c>
      <c r="Y33" s="2">
        <v>29</v>
      </c>
      <c r="Z33" s="2">
        <f t="shared" si="7"/>
        <v>5.1390843465925221E-2</v>
      </c>
      <c r="AA33" s="37">
        <f t="shared" si="0"/>
        <v>9.7793822345648707E-10</v>
      </c>
      <c r="AB33" s="2">
        <f t="shared" si="8"/>
        <v>5.139084532857037E-2</v>
      </c>
      <c r="AC33" s="37">
        <f t="shared" si="1"/>
        <v>-2.1979003964056609E-9</v>
      </c>
      <c r="AD33" s="2">
        <f t="shared" si="2"/>
        <v>5.1390844397247795E-2</v>
      </c>
      <c r="AE33" s="37">
        <f t="shared" si="3"/>
        <v>-6.0998110035237474E-10</v>
      </c>
      <c r="AF33" s="2">
        <f t="shared" si="4"/>
        <v>-5.9652383362063456E-19</v>
      </c>
      <c r="AG33" s="2">
        <f t="shared" si="5"/>
        <v>1.3406777022644456E-18</v>
      </c>
      <c r="AH33" s="2">
        <f t="shared" si="6"/>
        <v>1.862645149230957E-9</v>
      </c>
      <c r="AJ33" s="2">
        <v>29</v>
      </c>
      <c r="AK33" s="2">
        <f t="shared" si="13"/>
        <v>2229.8030965030193</v>
      </c>
      <c r="AL33" s="2">
        <v>-7.4257056894566631E-6</v>
      </c>
      <c r="AM33" s="2">
        <f t="shared" si="14"/>
        <v>2229.8031132668257</v>
      </c>
      <c r="AN33" s="2">
        <v>1.6431492895208066E-6</v>
      </c>
      <c r="AO33" s="2">
        <f t="shared" si="9"/>
        <v>2229.8031048849225</v>
      </c>
      <c r="AP33" s="2">
        <v>-2.8912784273416037E-6</v>
      </c>
      <c r="AQ33" s="2">
        <f t="shared" si="10"/>
        <v>2.146978266771386E-11</v>
      </c>
      <c r="AR33" s="2">
        <f t="shared" si="11"/>
        <v>-4.7508020936931912E-12</v>
      </c>
      <c r="AS33" s="2">
        <f t="shared" si="12"/>
        <v>1.6763806343078613E-5</v>
      </c>
    </row>
    <row r="34" spans="2:45" x14ac:dyDescent="0.2">
      <c r="J34" s="20" t="s">
        <v>72</v>
      </c>
      <c r="K34" s="6">
        <f>ROUND(SUM(K18:K22),2)</f>
        <v>175.78</v>
      </c>
      <c r="L34" s="6" t="s">
        <v>7</v>
      </c>
      <c r="Y34" s="2">
        <v>30</v>
      </c>
      <c r="Z34" s="2">
        <f t="shared" si="7"/>
        <v>5.1390843465925221E-2</v>
      </c>
      <c r="AA34" s="37">
        <f t="shared" si="0"/>
        <v>9.7793822345648707E-10</v>
      </c>
      <c r="AB34" s="2">
        <f t="shared" si="8"/>
        <v>5.1390844397247795E-2</v>
      </c>
      <c r="AC34" s="37">
        <f t="shared" si="1"/>
        <v>-6.0998110035237474E-10</v>
      </c>
      <c r="AD34" s="5">
        <f xml:space="preserve"> (Z34 + AB34)/2</f>
        <v>5.1390843931586508E-2</v>
      </c>
      <c r="AE34" s="37">
        <f xml:space="preserve"> $O$21 * TAN($O$18/180*PI()) + $O$22 / (2 * SQRT($O$21^2 + AD34^2)) - AD34</f>
        <v>1.8397856155205616E-10</v>
      </c>
      <c r="AF34" s="2">
        <f t="shared" si="4"/>
        <v>1.7991966763829776E-19</v>
      </c>
      <c r="AG34" s="2">
        <f t="shared" si="5"/>
        <v>-1.1222344541677032E-19</v>
      </c>
      <c r="AH34" s="2">
        <f>AB34-Z34</f>
        <v>9.3132257461547852E-10</v>
      </c>
      <c r="AJ34" s="2">
        <v>30</v>
      </c>
      <c r="AK34" s="2">
        <f t="shared" si="13"/>
        <v>2229.8031048849225</v>
      </c>
      <c r="AL34" s="2">
        <v>-2.8912784273416037E-6</v>
      </c>
      <c r="AM34" s="2">
        <f t="shared" si="14"/>
        <v>2229.8031132668257</v>
      </c>
      <c r="AN34" s="2">
        <v>1.6431492895208066E-6</v>
      </c>
      <c r="AO34" s="2">
        <f t="shared" si="9"/>
        <v>2229.8031090758741</v>
      </c>
      <c r="AP34" s="2">
        <v>-6.2406434153672308E-7</v>
      </c>
      <c r="AQ34" s="2">
        <f t="shared" si="10"/>
        <v>1.8043437679582701E-12</v>
      </c>
      <c r="AR34" s="2">
        <f t="shared" si="11"/>
        <v>-1.0254308794113365E-12</v>
      </c>
      <c r="AS34" s="2">
        <f t="shared" si="12"/>
        <v>8.3819031715393066E-6</v>
      </c>
    </row>
    <row r="35" spans="2:45" x14ac:dyDescent="0.2">
      <c r="B35" s="54" t="s">
        <v>2</v>
      </c>
      <c r="C35" s="54"/>
      <c r="D35" s="54"/>
      <c r="J35" s="15" t="s">
        <v>73</v>
      </c>
      <c r="K35" s="6">
        <f>ROUND(SUM(K23:K26),2)</f>
        <v>107.36</v>
      </c>
      <c r="L35" s="6" t="s">
        <v>7</v>
      </c>
      <c r="AJ35" s="2">
        <v>31</v>
      </c>
      <c r="AK35" s="2">
        <f t="shared" si="13"/>
        <v>2229.8031090758741</v>
      </c>
      <c r="AL35" s="2">
        <v>-6.2406434153672308E-7</v>
      </c>
      <c r="AM35" s="2">
        <f t="shared" si="14"/>
        <v>2229.8031132668257</v>
      </c>
      <c r="AN35" s="2">
        <v>1.6431492895208066E-6</v>
      </c>
      <c r="AO35" s="2">
        <f t="shared" si="9"/>
        <v>2229.8031111713499</v>
      </c>
      <c r="AP35" s="2">
        <v>5.0954304242623039E-7</v>
      </c>
      <c r="AQ35" s="2">
        <f t="shared" si="10"/>
        <v>-3.1798764325634402E-13</v>
      </c>
      <c r="AR35" s="2">
        <f t="shared" si="11"/>
        <v>8.3725528814293069E-13</v>
      </c>
      <c r="AS35" s="2">
        <f t="shared" si="12"/>
        <v>4.1909515857696533E-6</v>
      </c>
    </row>
    <row r="36" spans="2:45" x14ac:dyDescent="0.2">
      <c r="B36" s="6" t="s">
        <v>3</v>
      </c>
      <c r="C36" s="17">
        <v>250</v>
      </c>
      <c r="D36" s="6" t="s">
        <v>4</v>
      </c>
      <c r="F36" s="9"/>
      <c r="J36" s="10" t="s">
        <v>62</v>
      </c>
      <c r="K36" s="10">
        <f>SUM(K31:K35)</f>
        <v>2229.8000000000002</v>
      </c>
      <c r="L36" s="6" t="s">
        <v>7</v>
      </c>
      <c r="Y36" s="16" t="s">
        <v>96</v>
      </c>
      <c r="AJ36" s="2">
        <v>32</v>
      </c>
      <c r="AK36" s="2">
        <f t="shared" si="13"/>
        <v>2229.8031090758741</v>
      </c>
      <c r="AL36" s="2">
        <v>-6.2406434153672308E-7</v>
      </c>
      <c r="AM36" s="2">
        <f t="shared" si="14"/>
        <v>2229.8031111713499</v>
      </c>
      <c r="AN36" s="2">
        <v>5.0954304242623039E-7</v>
      </c>
      <c r="AO36" s="2">
        <f t="shared" si="9"/>
        <v>2229.803110123612</v>
      </c>
      <c r="AP36" s="2">
        <v>-5.7259967434220016E-8</v>
      </c>
      <c r="AQ36" s="2">
        <f t="shared" si="10"/>
        <v>3.5733903873250721E-14</v>
      </c>
      <c r="AR36" s="2">
        <f t="shared" si="11"/>
        <v>-2.917641801565934E-14</v>
      </c>
      <c r="AS36" s="2">
        <f t="shared" si="12"/>
        <v>2.0954757928848267E-6</v>
      </c>
    </row>
    <row r="37" spans="2:45" x14ac:dyDescent="0.2">
      <c r="B37" s="6" t="s">
        <v>5</v>
      </c>
      <c r="C37" s="17">
        <v>0.85</v>
      </c>
      <c r="Y37" s="7" t="s">
        <v>44</v>
      </c>
      <c r="Z37" s="7" t="s">
        <v>45</v>
      </c>
      <c r="AA37" s="7" t="s">
        <v>46</v>
      </c>
      <c r="AB37" s="7" t="s">
        <v>47</v>
      </c>
      <c r="AC37" s="7" t="s">
        <v>48</v>
      </c>
      <c r="AD37" s="7" t="s">
        <v>49</v>
      </c>
      <c r="AE37" s="7" t="s">
        <v>50</v>
      </c>
      <c r="AF37" s="7" t="s">
        <v>51</v>
      </c>
      <c r="AG37" s="7" t="s">
        <v>52</v>
      </c>
      <c r="AH37" s="7" t="s">
        <v>53</v>
      </c>
      <c r="AJ37" s="2">
        <v>33</v>
      </c>
      <c r="AK37" s="2">
        <f t="shared" si="13"/>
        <v>2229.803110123612</v>
      </c>
      <c r="AL37" s="2">
        <v>-5.7259967434220016E-8</v>
      </c>
      <c r="AM37" s="2">
        <f t="shared" si="14"/>
        <v>2229.8031111713499</v>
      </c>
      <c r="AN37" s="2">
        <v>5.0954304242623039E-7</v>
      </c>
      <c r="AO37" s="2">
        <f t="shared" si="9"/>
        <v>2229.8031106474809</v>
      </c>
      <c r="AP37" s="2">
        <v>2.2614199224335607E-7</v>
      </c>
      <c r="AQ37" s="2">
        <f t="shared" si="10"/>
        <v>-1.2948883111364204E-14</v>
      </c>
      <c r="AR37" s="2">
        <f t="shared" si="11"/>
        <v>1.1522907874800865E-13</v>
      </c>
      <c r="AS37" s="2">
        <f t="shared" si="12"/>
        <v>1.0477378964424133E-6</v>
      </c>
    </row>
    <row r="38" spans="2:45" x14ac:dyDescent="0.2">
      <c r="B38" s="6" t="s">
        <v>6</v>
      </c>
      <c r="C38" s="17">
        <v>0.8</v>
      </c>
      <c r="J38" s="54" t="s">
        <v>59</v>
      </c>
      <c r="K38" s="54"/>
      <c r="L38" s="54"/>
      <c r="Y38" s="2">
        <v>0</v>
      </c>
      <c r="Z38" s="3">
        <v>0</v>
      </c>
      <c r="AA38" s="2">
        <f t="shared" ref="AA38:AA68" si="15" xml:space="preserve"> $S$21 * TAN($S$18/180*PI()) + $S$22 / (2 * SQRT($S$21^2 + Z38^2)) - Z38</f>
        <v>2.0718916728542754E-2</v>
      </c>
      <c r="AB38" s="3">
        <v>1</v>
      </c>
      <c r="AC38" s="2">
        <f t="shared" ref="AC38:AC68" si="16" xml:space="preserve"> $S$21 * TAN($S$18/180*PI()) + $S$22 / (2 * SQRT($S$21^2 + AB38^2)) - AB38</f>
        <v>-0.98354831956201216</v>
      </c>
      <c r="AD38" s="2">
        <f xml:space="preserve"> (Z38 + AB38)/2</f>
        <v>0.5</v>
      </c>
      <c r="AE38" s="2">
        <f t="shared" ref="AE38:AE68" si="17" xml:space="preserve"> $S$21 * TAN($S$18/180*PI()) + $S$22 / (2 * SQRT($S$21^2 + AD38^2)) - AD38</f>
        <v>-0.48233204722930839</v>
      </c>
      <c r="AF38" s="2">
        <f>AA38*AE38</f>
        <v>-9.9933975220515923E-3</v>
      </c>
      <c r="AG38" s="2">
        <f>AC38*AE38</f>
        <v>0.47439687452329138</v>
      </c>
      <c r="AH38" s="2">
        <f>AB38-Z38</f>
        <v>1</v>
      </c>
      <c r="AJ38" s="2">
        <v>34</v>
      </c>
      <c r="AK38" s="2">
        <f t="shared" si="13"/>
        <v>2229.803110123612</v>
      </c>
      <c r="AL38" s="2">
        <v>-5.7259967434220016E-8</v>
      </c>
      <c r="AM38" s="2">
        <f t="shared" si="14"/>
        <v>2229.8031106474809</v>
      </c>
      <c r="AN38" s="2">
        <v>2.2614199224335607E-7</v>
      </c>
      <c r="AO38" s="2">
        <f t="shared" si="9"/>
        <v>2229.8031103855465</v>
      </c>
      <c r="AP38" s="2">
        <v>8.4440898717730306E-8</v>
      </c>
      <c r="AQ38" s="2">
        <f t="shared" si="10"/>
        <v>-4.835083110693508E-15</v>
      </c>
      <c r="AR38" s="2">
        <f t="shared" si="11"/>
        <v>1.9095633062846983E-14</v>
      </c>
      <c r="AS38" s="2">
        <f t="shared" si="12"/>
        <v>5.2386894822120667E-7</v>
      </c>
    </row>
    <row r="39" spans="2:45" x14ac:dyDescent="0.2">
      <c r="J39" s="6" t="s">
        <v>60</v>
      </c>
      <c r="K39" s="6">
        <f>ROUND($C$13/$C$5 * 100, 2)</f>
        <v>26.91</v>
      </c>
      <c r="L39" s="6" t="s">
        <v>61</v>
      </c>
      <c r="Y39" s="2">
        <v>1</v>
      </c>
      <c r="Z39" s="2">
        <f>IF(AF38&gt;0, AD38, Z38)</f>
        <v>0</v>
      </c>
      <c r="AA39" s="2">
        <f t="shared" si="15"/>
        <v>2.0718916728542754E-2</v>
      </c>
      <c r="AB39" s="2">
        <f>IF(AG38&gt;0, AD38, AB38)</f>
        <v>0.5</v>
      </c>
      <c r="AC39" s="2">
        <f t="shared" si="16"/>
        <v>-0.48233204722930839</v>
      </c>
      <c r="AD39" s="2">
        <f t="shared" ref="AD39:AD68" si="18" xml:space="preserve"> (Z39 + AB39)/2</f>
        <v>0.25</v>
      </c>
      <c r="AE39" s="2">
        <f t="shared" si="17"/>
        <v>-0.23084587056328795</v>
      </c>
      <c r="AF39" s="2">
        <f t="shared" ref="AF39:AF68" si="19">AA39*AE39</f>
        <v>-4.7828763693287223E-3</v>
      </c>
      <c r="AG39" s="2">
        <f t="shared" ref="AG39:AG68" si="20">AC39*AE39</f>
        <v>0.11134436134322262</v>
      </c>
      <c r="AH39" s="2">
        <f t="shared" ref="AH39:AH67" si="21">AB39-Z39</f>
        <v>0.5</v>
      </c>
      <c r="AJ39" s="2">
        <v>35</v>
      </c>
      <c r="AK39" s="2">
        <f t="shared" si="13"/>
        <v>2229.803110123612</v>
      </c>
      <c r="AL39" s="2">
        <v>-5.7259967434220016E-8</v>
      </c>
      <c r="AM39" s="2">
        <f t="shared" si="14"/>
        <v>2229.8031103855465</v>
      </c>
      <c r="AN39" s="2">
        <v>8.4440898717730306E-8</v>
      </c>
      <c r="AO39" s="2">
        <f t="shared" si="9"/>
        <v>2229.8031102545792</v>
      </c>
      <c r="AP39" s="2">
        <v>1.359012458124198E-8</v>
      </c>
      <c r="AQ39" s="2">
        <f t="shared" si="10"/>
        <v>-7.7817009094890872E-16</v>
      </c>
      <c r="AR39" s="2">
        <f t="shared" si="11"/>
        <v>1.147562333325991E-15</v>
      </c>
      <c r="AS39" s="2">
        <f t="shared" si="12"/>
        <v>2.6193447411060333E-7</v>
      </c>
    </row>
    <row r="40" spans="2:45" x14ac:dyDescent="0.2">
      <c r="B40" s="54" t="s">
        <v>272</v>
      </c>
      <c r="C40" s="55"/>
      <c r="D40" s="55"/>
      <c r="J40" s="11" t="s">
        <v>55</v>
      </c>
      <c r="K40" s="6">
        <f>ROUND(K13/$C$5 * 100, 2)</f>
        <v>35.33</v>
      </c>
      <c r="L40" s="6" t="s">
        <v>61</v>
      </c>
      <c r="Y40" s="2">
        <v>2</v>
      </c>
      <c r="Z40" s="2">
        <f t="shared" ref="Z40:Z68" si="22">IF(AF39&gt;0, AD39, Z39)</f>
        <v>0</v>
      </c>
      <c r="AA40" s="2">
        <f t="shared" si="15"/>
        <v>2.0718916728542754E-2</v>
      </c>
      <c r="AB40" s="2">
        <f t="shared" ref="AB40:AB68" si="23">IF(AG39&gt;0, AD39, AB39)</f>
        <v>0.25</v>
      </c>
      <c r="AC40" s="2">
        <f t="shared" si="16"/>
        <v>-0.23084587056328795</v>
      </c>
      <c r="AD40" s="2">
        <f t="shared" si="18"/>
        <v>0.125</v>
      </c>
      <c r="AE40" s="2">
        <f t="shared" si="17"/>
        <v>-0.10482981486695153</v>
      </c>
      <c r="AF40" s="2">
        <f t="shared" si="19"/>
        <v>-2.171960204896922E-3</v>
      </c>
      <c r="AG40" s="2">
        <f t="shared" si="20"/>
        <v>2.4199529873949733E-2</v>
      </c>
      <c r="AH40" s="2">
        <f t="shared" si="21"/>
        <v>0.25</v>
      </c>
      <c r="AJ40" s="2">
        <v>36</v>
      </c>
      <c r="AK40" s="2">
        <f t="shared" si="13"/>
        <v>2229.803110123612</v>
      </c>
      <c r="AL40" s="2">
        <v>-5.7259967434220016E-8</v>
      </c>
      <c r="AM40" s="2">
        <f t="shared" si="14"/>
        <v>2229.8031102545792</v>
      </c>
      <c r="AN40" s="2">
        <v>1.359012458124198E-8</v>
      </c>
      <c r="AO40" s="2">
        <f t="shared" si="9"/>
        <v>2229.8031101890956</v>
      </c>
      <c r="AP40" s="2">
        <v>-2.1835603547515348E-8</v>
      </c>
      <c r="AQ40" s="2">
        <f t="shared" si="10"/>
        <v>1.2503059480372679E-15</v>
      </c>
      <c r="AR40" s="2">
        <f t="shared" si="11"/>
        <v>-2.9674857251734291E-16</v>
      </c>
      <c r="AS40" s="2">
        <f t="shared" si="12"/>
        <v>1.3096723705530167E-7</v>
      </c>
    </row>
    <row r="41" spans="2:45" x14ac:dyDescent="0.2">
      <c r="B41" s="6" t="s">
        <v>15</v>
      </c>
      <c r="C41" s="17">
        <v>1.0397562309141399</v>
      </c>
      <c r="D41" s="6" t="s">
        <v>16</v>
      </c>
      <c r="J41" s="19" t="s">
        <v>81</v>
      </c>
      <c r="K41" s="6">
        <f>ROUND(SUM(K14:K17)/$C$5 * 100, 2)</f>
        <v>25.06</v>
      </c>
      <c r="L41" s="6" t="s">
        <v>61</v>
      </c>
      <c r="Y41" s="2">
        <v>3</v>
      </c>
      <c r="Z41" s="2">
        <f t="shared" si="22"/>
        <v>0</v>
      </c>
      <c r="AA41" s="2">
        <f t="shared" si="15"/>
        <v>2.0718916728542754E-2</v>
      </c>
      <c r="AB41" s="2">
        <f t="shared" si="23"/>
        <v>0.125</v>
      </c>
      <c r="AC41" s="2">
        <f t="shared" si="16"/>
        <v>-0.10482981486695153</v>
      </c>
      <c r="AD41" s="2">
        <f t="shared" si="18"/>
        <v>6.25E-2</v>
      </c>
      <c r="AE41" s="2">
        <f t="shared" si="17"/>
        <v>-4.1934426879844007E-2</v>
      </c>
      <c r="AF41" s="2">
        <f t="shared" si="19"/>
        <v>-8.6883589858265293E-4</v>
      </c>
      <c r="AG41" s="2">
        <f t="shared" si="20"/>
        <v>4.3959782063657631E-3</v>
      </c>
      <c r="AH41" s="2">
        <f t="shared" si="21"/>
        <v>0.125</v>
      </c>
      <c r="AJ41" s="2">
        <v>37</v>
      </c>
      <c r="AK41" s="2">
        <f t="shared" si="13"/>
        <v>2229.8031101890956</v>
      </c>
      <c r="AL41" s="2">
        <v>-2.1835603547515348E-8</v>
      </c>
      <c r="AM41" s="2">
        <f t="shared" si="14"/>
        <v>2229.8031102545792</v>
      </c>
      <c r="AN41" s="2">
        <v>1.359012458124198E-8</v>
      </c>
      <c r="AO41" s="2">
        <f t="shared" si="9"/>
        <v>2229.8031102218374</v>
      </c>
      <c r="AP41" s="2">
        <v>-4.1227394831366837E-9</v>
      </c>
      <c r="AQ41" s="2">
        <f t="shared" si="10"/>
        <v>9.0022504883460961E-17</v>
      </c>
      <c r="AR41" s="2">
        <f t="shared" si="11"/>
        <v>-5.6028543191832701E-17</v>
      </c>
      <c r="AS41" s="2">
        <f t="shared" si="12"/>
        <v>6.5483618527650833E-8</v>
      </c>
    </row>
    <row r="42" spans="2:45" x14ac:dyDescent="0.2">
      <c r="B42" s="6" t="s">
        <v>214</v>
      </c>
      <c r="C42" s="41">
        <v>1.7363179204150701E-5</v>
      </c>
      <c r="D42" s="6" t="s">
        <v>210</v>
      </c>
      <c r="J42" s="20" t="s">
        <v>72</v>
      </c>
      <c r="K42" s="6">
        <f>ROUND(SUM(K18:K22)/$C$5 * 100, 2)</f>
        <v>7.88</v>
      </c>
      <c r="L42" s="6" t="s">
        <v>61</v>
      </c>
      <c r="Y42" s="2">
        <v>4</v>
      </c>
      <c r="Z42" s="2">
        <f t="shared" si="22"/>
        <v>0</v>
      </c>
      <c r="AA42" s="2">
        <f t="shared" si="15"/>
        <v>2.0718916728542754E-2</v>
      </c>
      <c r="AB42" s="2">
        <f t="shared" si="23"/>
        <v>6.25E-2</v>
      </c>
      <c r="AC42" s="2">
        <f t="shared" si="16"/>
        <v>-4.1934426879844007E-2</v>
      </c>
      <c r="AD42" s="2">
        <f t="shared" si="18"/>
        <v>3.125E-2</v>
      </c>
      <c r="AE42" s="2">
        <f t="shared" si="17"/>
        <v>-1.057060106222231E-2</v>
      </c>
      <c r="AF42" s="2">
        <f t="shared" si="19"/>
        <v>-2.1901140317882962E-4</v>
      </c>
      <c r="AG42" s="2">
        <f t="shared" si="20"/>
        <v>4.4327209731976285E-4</v>
      </c>
      <c r="AH42" s="2">
        <f t="shared" si="21"/>
        <v>6.25E-2</v>
      </c>
      <c r="AJ42" s="2">
        <v>38</v>
      </c>
      <c r="AK42" s="2">
        <f t="shared" si="13"/>
        <v>2229.8031102218374</v>
      </c>
      <c r="AL42" s="2">
        <v>-4.1227394831366837E-9</v>
      </c>
      <c r="AM42" s="2">
        <f t="shared" si="14"/>
        <v>2229.8031102545792</v>
      </c>
      <c r="AN42" s="2">
        <v>1.359012458124198E-8</v>
      </c>
      <c r="AO42" s="2">
        <f t="shared" si="9"/>
        <v>2229.8031102382083</v>
      </c>
      <c r="AP42" s="2">
        <v>4.733465175377205E-9</v>
      </c>
      <c r="AQ42" s="2">
        <f t="shared" si="10"/>
        <v>-1.951484377058011E-17</v>
      </c>
      <c r="AR42" s="2">
        <f t="shared" si="11"/>
        <v>6.4328381434346635E-17</v>
      </c>
      <c r="AS42" s="2">
        <f t="shared" si="12"/>
        <v>3.2741809263825417E-8</v>
      </c>
    </row>
    <row r="43" spans="2:45" x14ac:dyDescent="0.2">
      <c r="B43" s="6" t="s">
        <v>132</v>
      </c>
      <c r="C43" s="17">
        <v>333.91694458017901</v>
      </c>
      <c r="D43" s="6" t="s">
        <v>10</v>
      </c>
      <c r="J43" s="15" t="s">
        <v>73</v>
      </c>
      <c r="K43" s="6">
        <f>ROUND(SUM(K23:K26)/$C$5*100, 2)</f>
        <v>4.8099999999999996</v>
      </c>
      <c r="L43" s="6" t="s">
        <v>61</v>
      </c>
      <c r="Y43" s="2">
        <v>5</v>
      </c>
      <c r="Z43" s="2">
        <f t="shared" si="22"/>
        <v>0</v>
      </c>
      <c r="AA43" s="2">
        <f t="shared" si="15"/>
        <v>2.0718916728542754E-2</v>
      </c>
      <c r="AB43" s="2">
        <f t="shared" si="23"/>
        <v>3.125E-2</v>
      </c>
      <c r="AC43" s="2">
        <f t="shared" si="16"/>
        <v>-1.057060106222231E-2</v>
      </c>
      <c r="AD43" s="2">
        <f t="shared" si="18"/>
        <v>1.5625E-2</v>
      </c>
      <c r="AE43" s="2">
        <f t="shared" si="17"/>
        <v>5.0839602175519819E-3</v>
      </c>
      <c r="AF43" s="2">
        <f t="shared" si="19"/>
        <v>1.0533414839868362E-4</v>
      </c>
      <c r="AG43" s="2">
        <f t="shared" si="20"/>
        <v>-5.3740515275950946E-5</v>
      </c>
      <c r="AH43" s="2">
        <f t="shared" si="21"/>
        <v>3.125E-2</v>
      </c>
      <c r="AJ43" s="2">
        <v>39</v>
      </c>
      <c r="AK43" s="2">
        <f t="shared" si="13"/>
        <v>2229.8031102218374</v>
      </c>
      <c r="AL43" s="2">
        <v>-4.1227394831366837E-9</v>
      </c>
      <c r="AM43" s="2">
        <f t="shared" si="14"/>
        <v>2229.8031102382083</v>
      </c>
      <c r="AN43" s="2">
        <v>4.733465175377205E-9</v>
      </c>
      <c r="AO43" s="2">
        <f t="shared" si="9"/>
        <v>2229.8031102300229</v>
      </c>
      <c r="AP43" s="2">
        <v>3.0627234082203358E-10</v>
      </c>
      <c r="AQ43" s="2">
        <f t="shared" si="10"/>
        <v>-1.262681072099693E-18</v>
      </c>
      <c r="AR43" s="2">
        <f t="shared" si="11"/>
        <v>1.4497294594623543E-18</v>
      </c>
      <c r="AS43" s="2">
        <f t="shared" si="12"/>
        <v>1.6370904631912708E-8</v>
      </c>
    </row>
    <row r="44" spans="2:45" x14ac:dyDescent="0.2">
      <c r="B44" s="6" t="s">
        <v>17</v>
      </c>
      <c r="C44" s="1">
        <v>9.80149119240094</v>
      </c>
      <c r="D44" s="6" t="s">
        <v>18</v>
      </c>
      <c r="J44" s="10" t="s">
        <v>62</v>
      </c>
      <c r="K44" s="10">
        <f>SUM(K39:K43)</f>
        <v>99.99</v>
      </c>
      <c r="L44" s="10" t="s">
        <v>61</v>
      </c>
      <c r="Y44" s="2">
        <v>6</v>
      </c>
      <c r="Z44" s="2">
        <f t="shared" si="22"/>
        <v>1.5625E-2</v>
      </c>
      <c r="AA44" s="2">
        <f t="shared" si="15"/>
        <v>5.0839602175519819E-3</v>
      </c>
      <c r="AB44" s="2">
        <f t="shared" si="23"/>
        <v>3.125E-2</v>
      </c>
      <c r="AC44" s="2">
        <f t="shared" si="16"/>
        <v>-1.057060106222231E-2</v>
      </c>
      <c r="AD44" s="2">
        <f t="shared" si="18"/>
        <v>2.34375E-2</v>
      </c>
      <c r="AE44" s="2">
        <f t="shared" si="17"/>
        <v>-2.7409128103540355E-3</v>
      </c>
      <c r="AF44" s="2">
        <f t="shared" si="19"/>
        <v>-1.3934691687618517E-5</v>
      </c>
      <c r="AG44" s="2">
        <f t="shared" si="20"/>
        <v>2.8973095864587104E-5</v>
      </c>
      <c r="AH44" s="2">
        <f t="shared" si="21"/>
        <v>1.5625E-2</v>
      </c>
      <c r="AJ44" s="2">
        <v>40</v>
      </c>
      <c r="AK44" s="2">
        <f t="shared" si="13"/>
        <v>2229.8031102218374</v>
      </c>
      <c r="AL44" s="2">
        <v>-4.1227394831366837E-9</v>
      </c>
      <c r="AM44" s="2">
        <f t="shared" si="14"/>
        <v>2229.8031102300229</v>
      </c>
      <c r="AN44" s="2">
        <v>3.0627234082203358E-10</v>
      </c>
      <c r="AO44" s="5">
        <f>(AK44+AM44)/2</f>
        <v>2229.8031102259301</v>
      </c>
      <c r="AP44" s="2">
        <v>-1.9083472579950467E-9</v>
      </c>
      <c r="AQ44" s="2">
        <f t="shared" si="10"/>
        <v>7.8676185880718063E-18</v>
      </c>
      <c r="AR44" s="2">
        <f t="shared" si="11"/>
        <v>-5.8447398180745219E-19</v>
      </c>
      <c r="AS44" s="2">
        <f t="shared" si="12"/>
        <v>8.1854523159563541E-9</v>
      </c>
    </row>
    <row r="45" spans="2:45" x14ac:dyDescent="0.2">
      <c r="Y45" s="2">
        <v>7</v>
      </c>
      <c r="Z45" s="2">
        <f t="shared" si="22"/>
        <v>1.5625E-2</v>
      </c>
      <c r="AA45" s="2">
        <f t="shared" si="15"/>
        <v>5.0839602175519819E-3</v>
      </c>
      <c r="AB45" s="2">
        <f t="shared" si="23"/>
        <v>2.34375E-2</v>
      </c>
      <c r="AC45" s="2">
        <f t="shared" si="16"/>
        <v>-2.7409128103540355E-3</v>
      </c>
      <c r="AD45" s="2">
        <f t="shared" si="18"/>
        <v>1.953125E-2</v>
      </c>
      <c r="AE45" s="2">
        <f t="shared" si="17"/>
        <v>1.1721324160209115E-3</v>
      </c>
      <c r="AF45" s="2">
        <f t="shared" si="19"/>
        <v>5.9590745727534035E-6</v>
      </c>
      <c r="AG45" s="2">
        <f t="shared" si="20"/>
        <v>-3.212712754502942E-6</v>
      </c>
      <c r="AH45" s="2">
        <f t="shared" si="21"/>
        <v>7.8125E-3</v>
      </c>
    </row>
    <row r="46" spans="2:45" x14ac:dyDescent="0.2">
      <c r="B46" s="54" t="s">
        <v>273</v>
      </c>
      <c r="C46" s="55"/>
      <c r="D46" s="55"/>
      <c r="J46" s="54" t="s">
        <v>59</v>
      </c>
      <c r="K46" s="54"/>
      <c r="L46" s="54"/>
      <c r="Y46" s="2">
        <v>8</v>
      </c>
      <c r="Z46" s="2">
        <f t="shared" si="22"/>
        <v>1.953125E-2</v>
      </c>
      <c r="AA46" s="2">
        <f t="shared" si="15"/>
        <v>1.1721324160209115E-3</v>
      </c>
      <c r="AB46" s="2">
        <f t="shared" si="23"/>
        <v>2.34375E-2</v>
      </c>
      <c r="AC46" s="2">
        <f t="shared" si="16"/>
        <v>-2.7409128103540355E-3</v>
      </c>
      <c r="AD46" s="2">
        <f t="shared" si="18"/>
        <v>2.1484375E-2</v>
      </c>
      <c r="AE46" s="2">
        <f t="shared" si="17"/>
        <v>-7.8423878305808326E-4</v>
      </c>
      <c r="AF46" s="2">
        <f t="shared" si="19"/>
        <v>-9.1923169952317056E-7</v>
      </c>
      <c r="AG46" s="2">
        <f t="shared" si="20"/>
        <v>2.1495301268603599E-6</v>
      </c>
      <c r="AH46" s="2">
        <f t="shared" si="21"/>
        <v>3.90625E-3</v>
      </c>
    </row>
    <row r="47" spans="2:45" x14ac:dyDescent="0.2">
      <c r="B47" s="6" t="s">
        <v>15</v>
      </c>
      <c r="C47" s="17">
        <v>1.00854450666398</v>
      </c>
      <c r="D47" s="6" t="s">
        <v>16</v>
      </c>
      <c r="J47" s="6" t="s">
        <v>60</v>
      </c>
      <c r="K47" s="6">
        <f>ROUND($C$13/$C$5 * 100, 2)</f>
        <v>26.91</v>
      </c>
      <c r="L47" s="6" t="s">
        <v>61</v>
      </c>
      <c r="Y47" s="2">
        <v>9</v>
      </c>
      <c r="Z47" s="2">
        <f t="shared" si="22"/>
        <v>1.953125E-2</v>
      </c>
      <c r="AA47" s="2">
        <f t="shared" si="15"/>
        <v>1.1721324160209115E-3</v>
      </c>
      <c r="AB47" s="2">
        <f t="shared" si="23"/>
        <v>2.1484375E-2</v>
      </c>
      <c r="AC47" s="2">
        <f t="shared" si="16"/>
        <v>-7.8423878305808326E-4</v>
      </c>
      <c r="AD47" s="2">
        <f t="shared" si="18"/>
        <v>2.05078125E-2</v>
      </c>
      <c r="AE47" s="2">
        <f t="shared" si="17"/>
        <v>1.9398477105176878E-4</v>
      </c>
      <c r="AF47" s="2">
        <f t="shared" si="19"/>
        <v>2.2737583836417311E-7</v>
      </c>
      <c r="AG47" s="2">
        <f t="shared" si="20"/>
        <v>-1.5213038078144004E-7</v>
      </c>
      <c r="AH47" s="2">
        <f t="shared" si="21"/>
        <v>1.953125E-3</v>
      </c>
    </row>
    <row r="48" spans="2:45" x14ac:dyDescent="0.2">
      <c r="B48" s="6" t="s">
        <v>214</v>
      </c>
      <c r="C48" s="41">
        <v>1.7265641515845801E-5</v>
      </c>
      <c r="D48" s="6" t="s">
        <v>210</v>
      </c>
      <c r="J48" s="11" t="s">
        <v>55</v>
      </c>
      <c r="K48" s="6">
        <f>ROUND(K13/$C$5 * 100, 2)</f>
        <v>35.33</v>
      </c>
      <c r="L48" s="6" t="s">
        <v>61</v>
      </c>
      <c r="Y48" s="2">
        <v>10</v>
      </c>
      <c r="Z48" s="2">
        <f t="shared" si="22"/>
        <v>2.05078125E-2</v>
      </c>
      <c r="AA48" s="2">
        <f t="shared" si="15"/>
        <v>1.9398477105176878E-4</v>
      </c>
      <c r="AB48" s="2">
        <f t="shared" si="23"/>
        <v>2.1484375E-2</v>
      </c>
      <c r="AC48" s="2">
        <f t="shared" si="16"/>
        <v>-7.8423878305808326E-4</v>
      </c>
      <c r="AD48" s="2">
        <f t="shared" si="18"/>
        <v>2.099609375E-2</v>
      </c>
      <c r="AE48" s="2">
        <f t="shared" si="17"/>
        <v>-2.9511752964725413E-4</v>
      </c>
      <c r="AF48" s="2">
        <f t="shared" si="19"/>
        <v>-5.7248306421986179E-8</v>
      </c>
      <c r="AG48" s="2">
        <f t="shared" si="20"/>
        <v>2.3144261230967039E-7</v>
      </c>
      <c r="AH48" s="2">
        <f t="shared" si="21"/>
        <v>9.765625E-4</v>
      </c>
    </row>
    <row r="49" spans="2:34" x14ac:dyDescent="0.2">
      <c r="B49" s="6" t="s">
        <v>132</v>
      </c>
      <c r="C49" s="17">
        <v>332.721752148093</v>
      </c>
      <c r="D49" s="6" t="s">
        <v>10</v>
      </c>
      <c r="J49" s="20" t="s">
        <v>277</v>
      </c>
      <c r="K49" s="6">
        <f>ROUND(SUM(K14:K26)/$C$5 * 100, 2)</f>
        <v>37.76</v>
      </c>
      <c r="L49" s="6" t="s">
        <v>61</v>
      </c>
      <c r="Y49" s="2">
        <v>11</v>
      </c>
      <c r="Z49" s="2">
        <f t="shared" si="22"/>
        <v>2.05078125E-2</v>
      </c>
      <c r="AA49" s="2">
        <f t="shared" si="15"/>
        <v>1.9398477105176878E-4</v>
      </c>
      <c r="AB49" s="2">
        <f t="shared" si="23"/>
        <v>2.099609375E-2</v>
      </c>
      <c r="AC49" s="2">
        <f t="shared" si="16"/>
        <v>-2.9511752964725413E-4</v>
      </c>
      <c r="AD49" s="2">
        <f t="shared" si="18"/>
        <v>2.0751953125E-2</v>
      </c>
      <c r="AE49" s="2">
        <f t="shared" si="17"/>
        <v>-5.0564008651360348E-5</v>
      </c>
      <c r="AF49" s="2">
        <f t="shared" si="19"/>
        <v>-9.8086476416937928E-9</v>
      </c>
      <c r="AG49" s="2">
        <f t="shared" si="20"/>
        <v>1.4922325322251852E-8</v>
      </c>
      <c r="AH49" s="2">
        <f t="shared" si="21"/>
        <v>4.8828125E-4</v>
      </c>
    </row>
    <row r="50" spans="2:34" x14ac:dyDescent="0.2">
      <c r="B50" s="6" t="s">
        <v>17</v>
      </c>
      <c r="C50" s="1">
        <v>9.8005536647414697</v>
      </c>
      <c r="D50" s="6" t="s">
        <v>18</v>
      </c>
      <c r="J50" s="10" t="s">
        <v>62</v>
      </c>
      <c r="K50" s="10">
        <f>SUM(K47:K49)</f>
        <v>100</v>
      </c>
      <c r="L50" s="10" t="s">
        <v>61</v>
      </c>
      <c r="Y50" s="2">
        <v>12</v>
      </c>
      <c r="Z50" s="2">
        <f t="shared" si="22"/>
        <v>2.05078125E-2</v>
      </c>
      <c r="AA50" s="2">
        <f t="shared" si="15"/>
        <v>1.9398477105176878E-4</v>
      </c>
      <c r="AB50" s="2">
        <f t="shared" si="23"/>
        <v>2.0751953125E-2</v>
      </c>
      <c r="AC50" s="2">
        <f t="shared" si="16"/>
        <v>-5.0564008651360348E-5</v>
      </c>
      <c r="AD50" s="2">
        <f t="shared" si="18"/>
        <v>2.06298828125E-2</v>
      </c>
      <c r="AE50" s="2">
        <f t="shared" si="17"/>
        <v>7.1710974054589594E-5</v>
      </c>
      <c r="AF50" s="2">
        <f t="shared" si="19"/>
        <v>1.3910836883878894E-8</v>
      </c>
      <c r="AG50" s="2">
        <f t="shared" si="20"/>
        <v>-3.6259943124937458E-9</v>
      </c>
      <c r="AH50" s="2">
        <f t="shared" si="21"/>
        <v>2.44140625E-4</v>
      </c>
    </row>
    <row r="51" spans="2:34" x14ac:dyDescent="0.2">
      <c r="Y51" s="2">
        <v>13</v>
      </c>
      <c r="Z51" s="2">
        <f t="shared" si="22"/>
        <v>2.06298828125E-2</v>
      </c>
      <c r="AA51" s="2">
        <f t="shared" si="15"/>
        <v>7.1710974054589594E-5</v>
      </c>
      <c r="AB51" s="2">
        <f t="shared" si="23"/>
        <v>2.0751953125E-2</v>
      </c>
      <c r="AC51" s="2">
        <f t="shared" si="16"/>
        <v>-5.0564008651360348E-5</v>
      </c>
      <c r="AD51" s="2">
        <f t="shared" si="18"/>
        <v>2.069091796875E-2</v>
      </c>
      <c r="AE51" s="2">
        <f t="shared" si="17"/>
        <v>1.0573630891196756E-5</v>
      </c>
      <c r="AF51" s="2">
        <f t="shared" si="19"/>
        <v>7.5824537050141755E-10</v>
      </c>
      <c r="AG51" s="2">
        <f t="shared" si="20"/>
        <v>-5.3464516385876381E-10</v>
      </c>
      <c r="AH51" s="2">
        <f t="shared" si="21"/>
        <v>1.220703125E-4</v>
      </c>
    </row>
    <row r="52" spans="2:34" x14ac:dyDescent="0.2">
      <c r="B52" s="54" t="s">
        <v>74</v>
      </c>
      <c r="C52" s="54"/>
      <c r="D52" s="54"/>
      <c r="Y52" s="2">
        <v>14</v>
      </c>
      <c r="Z52" s="2">
        <f t="shared" si="22"/>
        <v>2.069091796875E-2</v>
      </c>
      <c r="AA52" s="2">
        <f t="shared" si="15"/>
        <v>1.0573630891196756E-5</v>
      </c>
      <c r="AB52" s="2">
        <f t="shared" si="23"/>
        <v>2.0751953125E-2</v>
      </c>
      <c r="AC52" s="2">
        <f t="shared" si="16"/>
        <v>-5.0564008651360348E-5</v>
      </c>
      <c r="AD52" s="2">
        <f t="shared" si="18"/>
        <v>2.0721435546875E-2</v>
      </c>
      <c r="AE52" s="2">
        <f t="shared" si="17"/>
        <v>-1.9995151835695141E-5</v>
      </c>
      <c r="AF52" s="2">
        <f t="shared" si="19"/>
        <v>-2.1142135512407566E-10</v>
      </c>
      <c r="AG52" s="2">
        <f t="shared" si="20"/>
        <v>1.0110350304053529E-9</v>
      </c>
      <c r="AH52" s="2">
        <f t="shared" si="21"/>
        <v>6.103515625E-5</v>
      </c>
    </row>
    <row r="53" spans="2:34" x14ac:dyDescent="0.2">
      <c r="B53" s="6" t="s">
        <v>264</v>
      </c>
      <c r="C53" s="17">
        <v>30</v>
      </c>
      <c r="Y53" s="2">
        <v>15</v>
      </c>
      <c r="Z53" s="2">
        <f t="shared" si="22"/>
        <v>2.069091796875E-2</v>
      </c>
      <c r="AA53" s="2">
        <f t="shared" si="15"/>
        <v>1.0573630891196756E-5</v>
      </c>
      <c r="AB53" s="2">
        <f t="shared" si="23"/>
        <v>2.0721435546875E-2</v>
      </c>
      <c r="AC53" s="2">
        <f t="shared" si="16"/>
        <v>-1.9995151835695141E-5</v>
      </c>
      <c r="AD53" s="2">
        <f t="shared" si="18"/>
        <v>2.07061767578125E-2</v>
      </c>
      <c r="AE53" s="2">
        <f t="shared" si="17"/>
        <v>-4.7107512107756599E-6</v>
      </c>
      <c r="AF53" s="2">
        <f t="shared" si="19"/>
        <v>-4.980974452300004E-11</v>
      </c>
      <c r="AG53" s="2">
        <f t="shared" si="20"/>
        <v>9.4192185719644045E-11</v>
      </c>
      <c r="AH53" s="2">
        <f t="shared" si="21"/>
        <v>3.0517578125E-5</v>
      </c>
    </row>
    <row r="54" spans="2:34" x14ac:dyDescent="0.2">
      <c r="B54" s="6" t="s">
        <v>266</v>
      </c>
      <c r="C54" s="17">
        <v>0.8</v>
      </c>
      <c r="Y54" s="2">
        <v>16</v>
      </c>
      <c r="Z54" s="2">
        <f t="shared" si="22"/>
        <v>2.069091796875E-2</v>
      </c>
      <c r="AA54" s="2">
        <f t="shared" si="15"/>
        <v>1.0573630891196756E-5</v>
      </c>
      <c r="AB54" s="2">
        <f t="shared" si="23"/>
        <v>2.07061767578125E-2</v>
      </c>
      <c r="AC54" s="2">
        <f t="shared" si="16"/>
        <v>-4.7107512107756599E-6</v>
      </c>
      <c r="AD54" s="2">
        <f t="shared" si="18"/>
        <v>2.069854736328125E-2</v>
      </c>
      <c r="AE54" s="2">
        <f t="shared" si="17"/>
        <v>2.9314421556257686E-6</v>
      </c>
      <c r="AF54" s="2">
        <f t="shared" si="19"/>
        <v>3.0995987332481034E-11</v>
      </c>
      <c r="AG54" s="2">
        <f t="shared" si="20"/>
        <v>-1.3809294683932901E-11</v>
      </c>
      <c r="AH54" s="2">
        <f t="shared" si="21"/>
        <v>1.52587890625E-5</v>
      </c>
    </row>
    <row r="55" spans="2:34" x14ac:dyDescent="0.2">
      <c r="B55" s="6" t="s">
        <v>267</v>
      </c>
      <c r="C55" s="17">
        <v>0.8</v>
      </c>
      <c r="Y55" s="2">
        <v>17</v>
      </c>
      <c r="Z55" s="2">
        <f t="shared" si="22"/>
        <v>2.069854736328125E-2</v>
      </c>
      <c r="AA55" s="2">
        <f t="shared" si="15"/>
        <v>2.9314421556257686E-6</v>
      </c>
      <c r="AB55" s="2">
        <f t="shared" si="23"/>
        <v>2.07061767578125E-2</v>
      </c>
      <c r="AC55" s="2">
        <f t="shared" si="16"/>
        <v>-4.7107512107756599E-6</v>
      </c>
      <c r="AD55" s="2">
        <f t="shared" si="18"/>
        <v>2.0702362060546875E-2</v>
      </c>
      <c r="AE55" s="2">
        <f t="shared" si="17"/>
        <v>-8.8965394872547732E-7</v>
      </c>
      <c r="AF55" s="2">
        <f t="shared" si="19"/>
        <v>-2.6079690892127903E-12</v>
      </c>
      <c r="AG55" s="2">
        <f t="shared" si="20"/>
        <v>4.1909384161298889E-12</v>
      </c>
      <c r="AH55" s="2">
        <f t="shared" si="21"/>
        <v>7.62939453125E-6</v>
      </c>
    </row>
    <row r="56" spans="2:34" x14ac:dyDescent="0.2">
      <c r="B56" s="6" t="s">
        <v>268</v>
      </c>
      <c r="C56" s="17">
        <v>0.8</v>
      </c>
      <c r="Y56" s="2">
        <v>18</v>
      </c>
      <c r="Z56" s="2">
        <f t="shared" si="22"/>
        <v>2.069854736328125E-2</v>
      </c>
      <c r="AA56" s="2">
        <f t="shared" si="15"/>
        <v>2.9314421556257686E-6</v>
      </c>
      <c r="AB56" s="2">
        <f t="shared" si="23"/>
        <v>2.0702362060546875E-2</v>
      </c>
      <c r="AC56" s="2">
        <f t="shared" si="16"/>
        <v>-8.8965394872547732E-7</v>
      </c>
      <c r="AD56" s="2">
        <f t="shared" si="18"/>
        <v>2.0700454711914062E-2</v>
      </c>
      <c r="AE56" s="2">
        <f t="shared" si="17"/>
        <v>1.0208942481625127E-6</v>
      </c>
      <c r="AF56" s="2">
        <f t="shared" si="19"/>
        <v>2.9926924354994645E-12</v>
      </c>
      <c r="AG56" s="2">
        <f t="shared" si="20"/>
        <v>-9.0824259910890682E-13</v>
      </c>
      <c r="AH56" s="2">
        <f t="shared" si="21"/>
        <v>3.814697265625E-6</v>
      </c>
    </row>
    <row r="57" spans="2:34" x14ac:dyDescent="0.2">
      <c r="Y57" s="2">
        <v>19</v>
      </c>
      <c r="Z57" s="2">
        <f t="shared" si="22"/>
        <v>2.0700454711914062E-2</v>
      </c>
      <c r="AA57" s="2">
        <f t="shared" si="15"/>
        <v>1.0208942481625127E-6</v>
      </c>
      <c r="AB57" s="2">
        <f t="shared" si="23"/>
        <v>2.0702362060546875E-2</v>
      </c>
      <c r="AC57" s="2">
        <f t="shared" si="16"/>
        <v>-8.8965394872547732E-7</v>
      </c>
      <c r="AD57" s="2">
        <f t="shared" si="18"/>
        <v>2.0701408386230469E-2</v>
      </c>
      <c r="AE57" s="2">
        <f t="shared" si="17"/>
        <v>6.5620185896175798E-8</v>
      </c>
      <c r="AF57" s="2">
        <f t="shared" si="19"/>
        <v>6.6991270344760714E-14</v>
      </c>
      <c r="AG57" s="2">
        <f t="shared" si="20"/>
        <v>-5.8379257498632668E-14</v>
      </c>
      <c r="AH57" s="2">
        <f t="shared" si="21"/>
        <v>1.9073486328125E-6</v>
      </c>
    </row>
    <row r="58" spans="2:34" x14ac:dyDescent="0.2">
      <c r="Y58" s="2">
        <v>20</v>
      </c>
      <c r="Z58" s="2">
        <f t="shared" si="22"/>
        <v>2.0701408386230469E-2</v>
      </c>
      <c r="AA58" s="2">
        <f t="shared" si="15"/>
        <v>6.5620185896175798E-8</v>
      </c>
      <c r="AB58" s="2">
        <f t="shared" si="23"/>
        <v>2.0702362060546875E-2</v>
      </c>
      <c r="AC58" s="2">
        <f t="shared" si="16"/>
        <v>-8.8965394872547732E-7</v>
      </c>
      <c r="AD58" s="2">
        <f t="shared" si="18"/>
        <v>2.0701885223388672E-2</v>
      </c>
      <c r="AE58" s="2">
        <f t="shared" si="17"/>
        <v>-4.1201687236980256E-7</v>
      </c>
      <c r="AF58" s="2">
        <f t="shared" si="19"/>
        <v>-2.7036623757267382E-14</v>
      </c>
      <c r="AG58" s="2">
        <f t="shared" si="20"/>
        <v>3.6655243744531584E-13</v>
      </c>
      <c r="AH58" s="2">
        <f t="shared" si="21"/>
        <v>9.5367431640625E-7</v>
      </c>
    </row>
    <row r="59" spans="2:34" x14ac:dyDescent="0.2">
      <c r="Y59" s="2">
        <v>21</v>
      </c>
      <c r="Z59" s="2">
        <f t="shared" si="22"/>
        <v>2.0701408386230469E-2</v>
      </c>
      <c r="AA59" s="2">
        <f t="shared" si="15"/>
        <v>6.5620185896175798E-8</v>
      </c>
      <c r="AB59" s="2">
        <f t="shared" si="23"/>
        <v>2.0701885223388672E-2</v>
      </c>
      <c r="AC59" s="2">
        <f t="shared" si="16"/>
        <v>-4.1201687236980256E-7</v>
      </c>
      <c r="AD59" s="2">
        <f t="shared" si="18"/>
        <v>2.070164680480957E-2</v>
      </c>
      <c r="AE59" s="2">
        <f t="shared" si="17"/>
        <v>-1.7319834097473397E-7</v>
      </c>
      <c r="AF59" s="2">
        <f t="shared" si="19"/>
        <v>-1.1365307331671284E-14</v>
      </c>
      <c r="AG59" s="2">
        <f t="shared" si="20"/>
        <v>7.1360638748048508E-14</v>
      </c>
      <c r="AH59" s="2">
        <f t="shared" si="21"/>
        <v>4.76837158203125E-7</v>
      </c>
    </row>
    <row r="60" spans="2:34" x14ac:dyDescent="0.2">
      <c r="Y60" s="2">
        <v>22</v>
      </c>
      <c r="Z60" s="2">
        <f t="shared" si="22"/>
        <v>2.0701408386230469E-2</v>
      </c>
      <c r="AA60" s="2">
        <f t="shared" si="15"/>
        <v>6.5620185896175798E-8</v>
      </c>
      <c r="AB60" s="2">
        <f t="shared" si="23"/>
        <v>2.070164680480957E-2</v>
      </c>
      <c r="AC60" s="2">
        <f t="shared" si="16"/>
        <v>-1.7319834097473397E-7</v>
      </c>
      <c r="AD60" s="2">
        <f t="shared" si="18"/>
        <v>2.070152759552002E-2</v>
      </c>
      <c r="AE60" s="2">
        <f t="shared" si="17"/>
        <v>-5.3789076977228678E-8</v>
      </c>
      <c r="AF60" s="2">
        <f t="shared" si="19"/>
        <v>-3.5296492304294557E-15</v>
      </c>
      <c r="AG60" s="2">
        <f t="shared" si="20"/>
        <v>9.3161788950182645E-15</v>
      </c>
      <c r="AH60" s="2">
        <f t="shared" si="21"/>
        <v>2.384185791015625E-7</v>
      </c>
    </row>
    <row r="61" spans="2:34" x14ac:dyDescent="0.2">
      <c r="Y61" s="2">
        <v>23</v>
      </c>
      <c r="Z61" s="2">
        <f t="shared" si="22"/>
        <v>2.0701408386230469E-2</v>
      </c>
      <c r="AA61" s="2">
        <f t="shared" si="15"/>
        <v>6.5620185896175798E-8</v>
      </c>
      <c r="AB61" s="2">
        <f t="shared" si="23"/>
        <v>2.070152759552002E-2</v>
      </c>
      <c r="AC61" s="2">
        <f t="shared" si="16"/>
        <v>-5.3789076977228678E-8</v>
      </c>
      <c r="AD61" s="2">
        <f t="shared" si="18"/>
        <v>2.0701467990875244E-2</v>
      </c>
      <c r="AE61" s="2">
        <f t="shared" si="17"/>
        <v>5.9155546017208849E-9</v>
      </c>
      <c r="AF61" s="2">
        <f t="shared" si="19"/>
        <v>3.8817979264390264E-16</v>
      </c>
      <c r="AG61" s="2">
        <f t="shared" si="20"/>
        <v>-3.1819222183496402E-16</v>
      </c>
      <c r="AH61" s="2">
        <f t="shared" si="21"/>
        <v>1.1920928955078125E-7</v>
      </c>
    </row>
    <row r="62" spans="2:34" x14ac:dyDescent="0.2">
      <c r="Y62" s="2">
        <v>24</v>
      </c>
      <c r="Z62" s="2">
        <f t="shared" si="22"/>
        <v>2.0701467990875244E-2</v>
      </c>
      <c r="AA62" s="2">
        <f t="shared" si="15"/>
        <v>5.9155546017208849E-9</v>
      </c>
      <c r="AB62" s="2">
        <f t="shared" si="23"/>
        <v>2.070152759552002E-2</v>
      </c>
      <c r="AC62" s="2">
        <f t="shared" si="16"/>
        <v>-5.3789076977228678E-8</v>
      </c>
      <c r="AD62" s="2">
        <f t="shared" si="18"/>
        <v>2.0701497793197632E-2</v>
      </c>
      <c r="AE62" s="2">
        <f t="shared" si="17"/>
        <v>-2.393676114958998E-8</v>
      </c>
      <c r="AF62" s="2">
        <f t="shared" si="19"/>
        <v>-1.415992175687507E-16</v>
      </c>
      <c r="AG62" s="2">
        <f t="shared" si="20"/>
        <v>1.2875362880608323E-15</v>
      </c>
      <c r="AH62" s="2">
        <f t="shared" si="21"/>
        <v>5.9604644775390625E-8</v>
      </c>
    </row>
    <row r="63" spans="2:34" x14ac:dyDescent="0.2">
      <c r="Y63" s="2">
        <v>25</v>
      </c>
      <c r="Z63" s="2">
        <f t="shared" si="22"/>
        <v>2.0701467990875244E-2</v>
      </c>
      <c r="AA63" s="2">
        <f t="shared" si="15"/>
        <v>5.9155546017208849E-9</v>
      </c>
      <c r="AB63" s="2">
        <f t="shared" si="23"/>
        <v>2.0701497793197632E-2</v>
      </c>
      <c r="AC63" s="2">
        <f t="shared" si="16"/>
        <v>-2.393676114958998E-8</v>
      </c>
      <c r="AD63" s="2">
        <f t="shared" si="18"/>
        <v>2.0701482892036438E-2</v>
      </c>
      <c r="AE63" s="2">
        <f t="shared" si="17"/>
        <v>-9.0106032669956537E-9</v>
      </c>
      <c r="AF63" s="2">
        <f t="shared" si="19"/>
        <v>-5.3302715620357377E-17</v>
      </c>
      <c r="AG63" s="2">
        <f t="shared" si="20"/>
        <v>2.1568465821579011E-16</v>
      </c>
      <c r="AH63" s="2">
        <f t="shared" si="21"/>
        <v>2.9802322387695312E-8</v>
      </c>
    </row>
    <row r="64" spans="2:34" x14ac:dyDescent="0.2">
      <c r="Y64" s="2">
        <v>26</v>
      </c>
      <c r="Z64" s="2">
        <f t="shared" si="22"/>
        <v>2.0701467990875244E-2</v>
      </c>
      <c r="AA64" s="2">
        <f t="shared" si="15"/>
        <v>5.9155546017208849E-9</v>
      </c>
      <c r="AB64" s="2">
        <f t="shared" si="23"/>
        <v>2.0701482892036438E-2</v>
      </c>
      <c r="AC64" s="2">
        <f t="shared" si="16"/>
        <v>-9.0106032669956537E-9</v>
      </c>
      <c r="AD64" s="2">
        <f t="shared" si="18"/>
        <v>2.0701475441455841E-2</v>
      </c>
      <c r="AE64" s="2">
        <f t="shared" si="17"/>
        <v>-1.5475243309026609E-9</v>
      </c>
      <c r="AF64" s="2">
        <f t="shared" si="19"/>
        <v>-9.1544646769462693E-18</v>
      </c>
      <c r="AG64" s="2">
        <f t="shared" si="20"/>
        <v>1.3944127791786781E-17</v>
      </c>
      <c r="AH64" s="2">
        <f t="shared" si="21"/>
        <v>1.4901161193847656E-8</v>
      </c>
    </row>
    <row r="65" spans="25:34" x14ac:dyDescent="0.2">
      <c r="Y65" s="2">
        <v>27</v>
      </c>
      <c r="Z65" s="2">
        <f t="shared" si="22"/>
        <v>2.0701467990875244E-2</v>
      </c>
      <c r="AA65" s="2">
        <f t="shared" si="15"/>
        <v>5.9155546017208849E-9</v>
      </c>
      <c r="AB65" s="2">
        <f t="shared" si="23"/>
        <v>2.0701475441455841E-2</v>
      </c>
      <c r="AC65" s="2">
        <f t="shared" si="16"/>
        <v>-1.5475243309026609E-9</v>
      </c>
      <c r="AD65" s="2">
        <f t="shared" si="18"/>
        <v>2.0701471716165543E-2</v>
      </c>
      <c r="AE65" s="2">
        <f t="shared" si="17"/>
        <v>2.184015135409112E-9</v>
      </c>
      <c r="AF65" s="2">
        <f t="shared" si="19"/>
        <v>1.2919660784497434E-17</v>
      </c>
      <c r="AG65" s="2">
        <f t="shared" si="20"/>
        <v>-3.3798165611052704E-18</v>
      </c>
      <c r="AH65" s="2">
        <f t="shared" si="21"/>
        <v>7.4505805969238281E-9</v>
      </c>
    </row>
    <row r="66" spans="25:34" x14ac:dyDescent="0.2">
      <c r="Y66" s="2">
        <v>28</v>
      </c>
      <c r="Z66" s="2">
        <f t="shared" si="22"/>
        <v>2.0701471716165543E-2</v>
      </c>
      <c r="AA66" s="2">
        <f t="shared" si="15"/>
        <v>2.184015135409112E-9</v>
      </c>
      <c r="AB66" s="2">
        <f t="shared" si="23"/>
        <v>2.0701475441455841E-2</v>
      </c>
      <c r="AC66" s="2">
        <f t="shared" si="16"/>
        <v>-1.5475243309026609E-9</v>
      </c>
      <c r="AD66" s="2">
        <f t="shared" si="18"/>
        <v>2.0701473578810692E-2</v>
      </c>
      <c r="AE66" s="2">
        <f t="shared" si="17"/>
        <v>3.1824540225322551E-10</v>
      </c>
      <c r="AF66" s="2">
        <f t="shared" si="19"/>
        <v>6.9505277529540561E-19</v>
      </c>
      <c r="AG66" s="2">
        <f t="shared" si="20"/>
        <v>-4.9249250318477099E-19</v>
      </c>
      <c r="AH66" s="2">
        <f t="shared" si="21"/>
        <v>3.7252902984619141E-9</v>
      </c>
    </row>
    <row r="67" spans="25:34" x14ac:dyDescent="0.2">
      <c r="Y67" s="2">
        <v>29</v>
      </c>
      <c r="Z67" s="2">
        <f t="shared" si="22"/>
        <v>2.0701473578810692E-2</v>
      </c>
      <c r="AA67" s="2">
        <f t="shared" si="15"/>
        <v>3.1824540225322551E-10</v>
      </c>
      <c r="AB67" s="2">
        <f t="shared" si="23"/>
        <v>2.0701475441455841E-2</v>
      </c>
      <c r="AC67" s="2">
        <f t="shared" si="16"/>
        <v>-1.5475243309026609E-9</v>
      </c>
      <c r="AD67" s="2">
        <f t="shared" si="18"/>
        <v>2.0701474510133266E-2</v>
      </c>
      <c r="AE67" s="2">
        <f t="shared" si="17"/>
        <v>-6.1463946432471772E-10</v>
      </c>
      <c r="AF67" s="2">
        <f t="shared" si="19"/>
        <v>-1.9560618356472684E-19</v>
      </c>
      <c r="AG67" s="2">
        <f t="shared" si="20"/>
        <v>9.5116952577547874E-19</v>
      </c>
      <c r="AH67" s="2">
        <f t="shared" si="21"/>
        <v>1.862645149230957E-9</v>
      </c>
    </row>
    <row r="68" spans="25:34" x14ac:dyDescent="0.2">
      <c r="Y68" s="2">
        <v>30</v>
      </c>
      <c r="Z68" s="2">
        <f t="shared" si="22"/>
        <v>2.0701473578810692E-2</v>
      </c>
      <c r="AA68" s="2">
        <f t="shared" si="15"/>
        <v>3.1824540225322551E-10</v>
      </c>
      <c r="AB68" s="2">
        <f t="shared" si="23"/>
        <v>2.0701474510133266E-2</v>
      </c>
      <c r="AC68" s="2">
        <f t="shared" si="16"/>
        <v>-6.1463946432471772E-10</v>
      </c>
      <c r="AD68" s="5">
        <f t="shared" si="18"/>
        <v>2.0701474044471979E-2</v>
      </c>
      <c r="AE68" s="2">
        <f t="shared" si="17"/>
        <v>-1.4819703103574611E-10</v>
      </c>
      <c r="AF68" s="2">
        <f t="shared" si="19"/>
        <v>-4.7163023754704765E-20</v>
      </c>
      <c r="AG68" s="2">
        <f t="shared" si="20"/>
        <v>9.1087743770324555E-20</v>
      </c>
      <c r="AH68" s="2">
        <f>AB68-Z68</f>
        <v>9.3132257461547852E-10</v>
      </c>
    </row>
  </sheetData>
  <mergeCells count="25">
    <mergeCell ref="R13:T13"/>
    <mergeCell ref="B17:D17"/>
    <mergeCell ref="R17:T17"/>
    <mergeCell ref="B1:D1"/>
    <mergeCell ref="B3:D3"/>
    <mergeCell ref="F3:H3"/>
    <mergeCell ref="J3:L3"/>
    <mergeCell ref="R3:T3"/>
    <mergeCell ref="J7:L7"/>
    <mergeCell ref="B46:D46"/>
    <mergeCell ref="J46:L46"/>
    <mergeCell ref="B52:D52"/>
    <mergeCell ref="N3:P3"/>
    <mergeCell ref="N17:P17"/>
    <mergeCell ref="N13:P13"/>
    <mergeCell ref="B24:D24"/>
    <mergeCell ref="F26:H26"/>
    <mergeCell ref="B29:D29"/>
    <mergeCell ref="J30:L30"/>
    <mergeCell ref="B35:D35"/>
    <mergeCell ref="B40:D40"/>
    <mergeCell ref="J38:L38"/>
    <mergeCell ref="B12:D12"/>
    <mergeCell ref="J11:L11"/>
    <mergeCell ref="F16:H16"/>
  </mergeCells>
  <conditionalFormatting sqref="K28">
    <cfRule type="containsText" dxfId="41" priority="1" operator="containsText" text="FALSE">
      <formula>NOT(ISERROR(SEARCH("FALSE",K28)))</formula>
    </cfRule>
    <cfRule type="containsText" dxfId="40" priority="2" operator="containsText" text="TRUE">
      <formula>NOT(ISERROR(SEARCH("TRUE",K28)))</formula>
    </cfRule>
    <cfRule type="cellIs" dxfId="39" priority="3" operator="equal">
      <formula>1</formula>
    </cfRule>
    <cfRule type="cellIs" dxfId="38" priority="4" operator="equal">
      <formula>TRUE</formula>
    </cfRule>
    <cfRule type="containsText" dxfId="37" priority="5" operator="containsText" text="YES">
      <formula>NOT(ISERROR(SEARCH("YES",K28)))</formula>
    </cfRule>
    <cfRule type="cellIs" dxfId="36" priority="6" operator="equal">
      <formula>"""YES"""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1B753-A267-5243-ABFD-E2825908B8D2}">
  <dimension ref="B1:CI136"/>
  <sheetViews>
    <sheetView workbookViewId="0">
      <selection activeCell="E2" sqref="E2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0.83203125" style="6"/>
    <col min="4" max="4" width="7.1640625" style="6" customWidth="1"/>
    <col min="5" max="5" width="5.6640625" style="6" customWidth="1"/>
    <col min="6" max="6" width="20.66406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3.1640625" style="6" customWidth="1"/>
    <col min="12" max="12" width="4.83203125" style="6" customWidth="1"/>
    <col min="13" max="13" width="6" style="6" customWidth="1"/>
    <col min="14" max="14" width="15.33203125" style="6" customWidth="1"/>
    <col min="15" max="15" width="11.1640625" style="6" customWidth="1"/>
    <col min="16" max="16" width="6.33203125" style="6" customWidth="1"/>
    <col min="17" max="17" width="6" style="6" customWidth="1"/>
    <col min="18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7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2" width="5.1640625" style="6" customWidth="1"/>
    <col min="33" max="33" width="11.83203125" style="6" bestFit="1" customWidth="1"/>
    <col min="34" max="34" width="16.5" style="6" bestFit="1" customWidth="1"/>
    <col min="35" max="35" width="11.83203125" style="6" bestFit="1" customWidth="1"/>
    <col min="36" max="36" width="14.1640625" style="6" bestFit="1" customWidth="1"/>
    <col min="37" max="37" width="18.33203125" style="6" customWidth="1"/>
    <col min="38" max="41" width="11.83203125" style="6" bestFit="1" customWidth="1"/>
    <col min="42" max="43" width="10.83203125" style="6"/>
    <col min="44" max="44" width="11.33203125" style="6" bestFit="1" customWidth="1"/>
    <col min="45" max="45" width="10.83203125" style="6"/>
    <col min="46" max="46" width="3.5" style="6" customWidth="1"/>
    <col min="47" max="47" width="12.33203125" style="6" customWidth="1"/>
    <col min="48" max="48" width="13" style="6" bestFit="1" customWidth="1"/>
    <col min="49" max="49" width="12" style="6" customWidth="1"/>
    <col min="50" max="50" width="14.1640625" style="6" bestFit="1" customWidth="1"/>
    <col min="51" max="51" width="13.6640625" style="6" bestFit="1" customWidth="1"/>
    <col min="52" max="53" width="14.1640625" style="6" bestFit="1" customWidth="1"/>
    <col min="54" max="54" width="13.6640625" style="6" bestFit="1" customWidth="1"/>
    <col min="55" max="55" width="14.1640625" style="6" bestFit="1" customWidth="1"/>
    <col min="56" max="56" width="13.6640625" style="6" bestFit="1" customWidth="1"/>
    <col min="57" max="57" width="10.83203125" style="6"/>
    <col min="58" max="58" width="3.33203125" style="6" customWidth="1"/>
    <col min="59" max="59" width="10.83203125" style="6"/>
    <col min="60" max="60" width="14.5" style="6" bestFit="1" customWidth="1"/>
    <col min="61" max="61" width="10.83203125" style="6"/>
    <col min="62" max="62" width="3.33203125" style="6" customWidth="1"/>
    <col min="63" max="63" width="10.83203125" style="6"/>
    <col min="64" max="64" width="13.5" style="6" bestFit="1" customWidth="1"/>
    <col min="65" max="65" width="10.83203125" style="6"/>
    <col min="66" max="66" width="3" style="6" customWidth="1"/>
    <col min="67" max="68" width="11" style="6" bestFit="1" customWidth="1"/>
    <col min="69" max="69" width="14.5" style="6" bestFit="1" customWidth="1"/>
    <col min="70" max="70" width="11" style="6" bestFit="1" customWidth="1"/>
    <col min="71" max="71" width="14.5" style="6" bestFit="1" customWidth="1"/>
    <col min="72" max="72" width="11" style="6" bestFit="1" customWidth="1"/>
    <col min="73" max="73" width="14.5" style="6" bestFit="1" customWidth="1"/>
    <col min="74" max="76" width="11" style="6" bestFit="1" customWidth="1"/>
    <col min="77" max="77" width="2.83203125" style="6" customWidth="1"/>
    <col min="78" max="79" width="11" style="6" bestFit="1" customWidth="1"/>
    <col min="80" max="80" width="14.5" style="6" bestFit="1" customWidth="1"/>
    <col min="81" max="81" width="11" style="6" bestFit="1" customWidth="1"/>
    <col min="82" max="16384" width="10.83203125" style="6"/>
  </cols>
  <sheetData>
    <row r="1" spans="2:87" x14ac:dyDescent="0.2">
      <c r="B1" s="60" t="s">
        <v>0</v>
      </c>
      <c r="C1" s="60"/>
      <c r="D1" s="60"/>
    </row>
    <row r="2" spans="2:87" x14ac:dyDescent="0.2">
      <c r="U2" s="16" t="s">
        <v>96</v>
      </c>
      <c r="AF2" s="16" t="s">
        <v>79</v>
      </c>
      <c r="AQ2" s="61" t="s">
        <v>137</v>
      </c>
      <c r="AR2" s="61"/>
      <c r="AS2" s="61"/>
      <c r="AT2"/>
      <c r="AU2" s="61" t="s">
        <v>138</v>
      </c>
      <c r="AV2" s="61"/>
      <c r="AW2" s="61"/>
      <c r="AX2"/>
      <c r="AY2" s="61" t="s">
        <v>139</v>
      </c>
      <c r="AZ2" s="61"/>
      <c r="BA2" s="61"/>
      <c r="BB2" s="61"/>
      <c r="BC2" s="61"/>
      <c r="BD2" s="61"/>
      <c r="BE2" s="61"/>
      <c r="BF2"/>
      <c r="BG2" s="61" t="s">
        <v>140</v>
      </c>
      <c r="BH2" s="61"/>
      <c r="BI2" s="61"/>
      <c r="BJ2" s="61"/>
      <c r="BK2" s="61"/>
      <c r="BL2" s="61"/>
      <c r="BM2" s="61"/>
      <c r="BN2"/>
      <c r="BO2" s="61" t="s">
        <v>141</v>
      </c>
      <c r="BP2" s="61"/>
      <c r="BQ2" s="61"/>
      <c r="BR2" s="61"/>
      <c r="BS2" s="61"/>
      <c r="BT2" s="61"/>
      <c r="BU2" s="61"/>
      <c r="BV2" s="61"/>
      <c r="BW2" s="61"/>
      <c r="BX2" s="61"/>
      <c r="BY2"/>
      <c r="BZ2" s="61" t="s">
        <v>142</v>
      </c>
      <c r="CA2" s="61"/>
      <c r="CB2" s="61"/>
      <c r="CC2" s="61"/>
      <c r="CD2" s="61"/>
      <c r="CE2" s="61"/>
      <c r="CF2" s="61"/>
      <c r="CG2" s="61"/>
      <c r="CH2" s="61"/>
      <c r="CI2" s="61"/>
    </row>
    <row r="3" spans="2:87" x14ac:dyDescent="0.2">
      <c r="B3" s="57" t="s">
        <v>127</v>
      </c>
      <c r="C3" s="58"/>
      <c r="D3" s="58"/>
      <c r="F3" s="57" t="s">
        <v>83</v>
      </c>
      <c r="G3" s="58"/>
      <c r="H3" s="58"/>
      <c r="J3" s="54" t="s">
        <v>101</v>
      </c>
      <c r="K3" s="54"/>
      <c r="L3" s="54"/>
      <c r="N3" s="54" t="s">
        <v>95</v>
      </c>
      <c r="O3" s="54"/>
      <c r="P3" s="54"/>
      <c r="U3" s="7" t="s">
        <v>44</v>
      </c>
      <c r="V3" s="7" t="s">
        <v>45</v>
      </c>
      <c r="W3" s="7" t="s">
        <v>46</v>
      </c>
      <c r="X3" s="7" t="s">
        <v>47</v>
      </c>
      <c r="Y3" s="7" t="s">
        <v>48</v>
      </c>
      <c r="Z3" s="7" t="s">
        <v>49</v>
      </c>
      <c r="AA3" s="7" t="s">
        <v>50</v>
      </c>
      <c r="AB3" s="7" t="s">
        <v>51</v>
      </c>
      <c r="AC3" s="7" t="s">
        <v>52</v>
      </c>
      <c r="AD3" s="7" t="s">
        <v>53</v>
      </c>
      <c r="AF3" s="7" t="s">
        <v>44</v>
      </c>
      <c r="AG3" s="7" t="s">
        <v>45</v>
      </c>
      <c r="AH3" s="7" t="s">
        <v>46</v>
      </c>
      <c r="AI3" s="7" t="s">
        <v>47</v>
      </c>
      <c r="AJ3" s="7" t="s">
        <v>48</v>
      </c>
      <c r="AK3" s="7" t="s">
        <v>49</v>
      </c>
      <c r="AL3" s="7" t="s">
        <v>50</v>
      </c>
      <c r="AM3" s="7" t="s">
        <v>51</v>
      </c>
      <c r="AN3" s="7" t="s">
        <v>52</v>
      </c>
      <c r="AO3" s="7" t="s">
        <v>53</v>
      </c>
      <c r="AQ3" s="2" t="s">
        <v>144</v>
      </c>
      <c r="AR3" s="2">
        <f>$G$4</f>
        <v>2.54</v>
      </c>
      <c r="AS3" s="26" t="s">
        <v>10</v>
      </c>
      <c r="AT3"/>
      <c r="AU3" s="2" t="s">
        <v>145</v>
      </c>
      <c r="AV3" s="2">
        <f>0.5*AR9</f>
        <v>4</v>
      </c>
      <c r="AW3" s="26" t="s">
        <v>8</v>
      </c>
      <c r="AX3"/>
      <c r="AY3" s="63" t="s">
        <v>146</v>
      </c>
      <c r="AZ3" s="63"/>
      <c r="BA3" s="63"/>
      <c r="BB3"/>
      <c r="BC3" s="63" t="s">
        <v>147</v>
      </c>
      <c r="BD3" s="63"/>
      <c r="BE3" s="63"/>
      <c r="BF3"/>
      <c r="BG3" s="63" t="s">
        <v>146</v>
      </c>
      <c r="BH3" s="63"/>
      <c r="BI3" s="63"/>
      <c r="BJ3" s="2"/>
      <c r="BK3" s="63" t="s">
        <v>147</v>
      </c>
      <c r="BL3" s="63"/>
      <c r="BM3" s="63"/>
      <c r="BN3"/>
      <c r="BO3" s="7" t="s">
        <v>44</v>
      </c>
      <c r="BP3" s="7" t="s">
        <v>45</v>
      </c>
      <c r="BQ3" s="7" t="s">
        <v>46</v>
      </c>
      <c r="BR3" s="7" t="s">
        <v>47</v>
      </c>
      <c r="BS3" s="7" t="s">
        <v>48</v>
      </c>
      <c r="BT3" s="7" t="s">
        <v>49</v>
      </c>
      <c r="BU3" s="7" t="s">
        <v>50</v>
      </c>
      <c r="BV3" s="7" t="s">
        <v>51</v>
      </c>
      <c r="BW3" s="7" t="s">
        <v>52</v>
      </c>
      <c r="BX3" s="7" t="s">
        <v>53</v>
      </c>
      <c r="BY3"/>
      <c r="BZ3" s="7" t="s">
        <v>44</v>
      </c>
      <c r="CA3" s="7" t="s">
        <v>45</v>
      </c>
      <c r="CB3" s="7" t="s">
        <v>46</v>
      </c>
      <c r="CC3" s="7" t="s">
        <v>47</v>
      </c>
      <c r="CD3" s="7" t="s">
        <v>48</v>
      </c>
      <c r="CE3" s="7" t="s">
        <v>49</v>
      </c>
      <c r="CF3" s="7" t="s">
        <v>50</v>
      </c>
      <c r="CG3" s="7" t="s">
        <v>51</v>
      </c>
      <c r="CH3" s="7" t="s">
        <v>52</v>
      </c>
      <c r="CI3" s="7" t="s">
        <v>53</v>
      </c>
    </row>
    <row r="4" spans="2:87" x14ac:dyDescent="0.2">
      <c r="B4" s="6" t="s">
        <v>39</v>
      </c>
      <c r="C4" s="22" t="s">
        <v>75</v>
      </c>
      <c r="F4" t="s">
        <v>87</v>
      </c>
      <c r="G4" s="1">
        <f>500*0.3048/60</f>
        <v>2.54</v>
      </c>
      <c r="H4" t="s">
        <v>10</v>
      </c>
      <c r="J4" t="s">
        <v>102</v>
      </c>
      <c r="K4" s="6">
        <f>(1+$C$22/100)*MAX(G13,G20,G27)</f>
        <v>406.08400038899686</v>
      </c>
      <c r="L4" s="6" t="s">
        <v>104</v>
      </c>
      <c r="N4" s="6" t="s">
        <v>25</v>
      </c>
      <c r="O4" s="6">
        <f xml:space="preserve"> 0.5 * $C$47 * $C$8^2</f>
        <v>1260.6806333299751</v>
      </c>
      <c r="P4" s="6" t="s">
        <v>26</v>
      </c>
      <c r="U4" s="2">
        <v>0</v>
      </c>
      <c r="V4" s="3">
        <v>0</v>
      </c>
      <c r="W4" s="2">
        <f t="shared" ref="W4:W34" si="0" xml:space="preserve"> $O$21 * TAN($O$18/180*PI()) + $O$22 / (2 * SQRT($O$21^2 + V4^2)) - V4</f>
        <v>2.0852458859112747E-2</v>
      </c>
      <c r="X4" s="3">
        <v>1</v>
      </c>
      <c r="Y4" s="2">
        <f t="shared" ref="Y4:Y34" si="1" xml:space="preserve"> $O$21 * TAN($O$18/180*PI()) + $O$22 / (2 * SQRT($O$21^2 + X4^2)) - X4</f>
        <v>-0.98331704534842546</v>
      </c>
      <c r="Z4" s="2">
        <f xml:space="preserve"> (V4 + X4)/2</f>
        <v>0.5</v>
      </c>
      <c r="AA4" s="2">
        <f t="shared" ref="AA4:AA34" si="2" xml:space="preserve"> $O$21 * TAN($O$18/180*PI()) + $O$22 / (2 * SQRT($O$21^2 + Z4^2)) - Z4</f>
        <v>-0.48212869142847059</v>
      </c>
      <c r="AB4" s="2">
        <f>W4*AA4</f>
        <v>-1.0053568702810047E-2</v>
      </c>
      <c r="AC4" s="2">
        <f>Y4*AA4</f>
        <v>0.47408536033314647</v>
      </c>
      <c r="AD4" s="2">
        <f>X4-V4</f>
        <v>1</v>
      </c>
      <c r="AF4" s="2">
        <v>0</v>
      </c>
      <c r="AG4" s="2"/>
      <c r="AH4" s="2">
        <f>K27</f>
        <v>-3.8036669820940006E-5</v>
      </c>
      <c r="AI4" s="2"/>
      <c r="AJ4" s="2">
        <f>K27</f>
        <v>-3.8036669820940006E-5</v>
      </c>
      <c r="AK4" s="2"/>
      <c r="AL4" s="2">
        <f>K27</f>
        <v>-3.8036669820940006E-5</v>
      </c>
      <c r="AM4" s="2"/>
      <c r="AN4" s="2"/>
      <c r="AO4" s="2"/>
      <c r="AQ4" s="2" t="s">
        <v>151</v>
      </c>
      <c r="AR4" s="2">
        <f>$C$6</f>
        <v>312.05159444511003</v>
      </c>
      <c r="AS4" s="26" t="s">
        <v>134</v>
      </c>
      <c r="AT4"/>
      <c r="AU4" s="2" t="s">
        <v>152</v>
      </c>
      <c r="AV4" s="2">
        <f>PI()*AV3^2</f>
        <v>50.26548245743669</v>
      </c>
      <c r="AW4" s="26" t="s">
        <v>11</v>
      </c>
      <c r="AX4"/>
      <c r="AY4" s="2" t="s">
        <v>153</v>
      </c>
      <c r="AZ4" s="2">
        <f>2*($AR$19 - $AR$10)</f>
        <v>0.43999999999999995</v>
      </c>
      <c r="BA4" s="26" t="s">
        <v>8</v>
      </c>
      <c r="BB4"/>
      <c r="BC4" s="2" t="s">
        <v>153</v>
      </c>
      <c r="BD4" s="2">
        <f>$AR$20-$AR$19</f>
        <v>0.43999999999999995</v>
      </c>
      <c r="BE4" s="26" t="s">
        <v>8</v>
      </c>
      <c r="BF4"/>
      <c r="BG4" s="28" t="s">
        <v>154</v>
      </c>
      <c r="BH4" s="29">
        <f>BT34</f>
        <v>0.23326313713864383</v>
      </c>
      <c r="BI4" s="5" t="s">
        <v>155</v>
      </c>
      <c r="BJ4" s="2"/>
      <c r="BK4" s="28" t="s">
        <v>154</v>
      </c>
      <c r="BL4" s="29">
        <f>CE34</f>
        <v>0.183074482410579</v>
      </c>
      <c r="BM4" s="5" t="s">
        <v>155</v>
      </c>
      <c r="BN4"/>
      <c r="BO4" s="30">
        <v>0</v>
      </c>
      <c r="BP4" s="30"/>
      <c r="BQ4" s="30">
        <f>$BH$20</f>
        <v>-1.1740984989794256E-9</v>
      </c>
      <c r="BR4" s="30"/>
      <c r="BS4" s="30">
        <f>$BH$20</f>
        <v>-1.1740984989794256E-9</v>
      </c>
      <c r="BT4" s="30"/>
      <c r="BU4" s="30">
        <f>$BH$20</f>
        <v>-1.1740984989794256E-9</v>
      </c>
      <c r="BV4" s="30"/>
      <c r="BW4" s="30"/>
      <c r="BX4" s="30"/>
      <c r="BY4"/>
      <c r="BZ4" s="30">
        <v>0</v>
      </c>
      <c r="CA4" s="30"/>
      <c r="CB4" s="30">
        <f>$BL$20</f>
        <v>-4.4581511121633E-9</v>
      </c>
      <c r="CC4" s="30"/>
      <c r="CD4" s="30">
        <f>$BL$20</f>
        <v>-4.4581511121633E-9</v>
      </c>
      <c r="CE4" s="30"/>
      <c r="CF4" s="30">
        <f>$BL$20</f>
        <v>-4.4581511121633E-9</v>
      </c>
      <c r="CG4" s="30"/>
      <c r="CH4" s="30"/>
      <c r="CI4" s="30"/>
    </row>
    <row r="5" spans="2:87" x14ac:dyDescent="0.2">
      <c r="B5" s="10" t="s">
        <v>40</v>
      </c>
      <c r="C5" s="10">
        <v>2178.44527556</v>
      </c>
      <c r="D5" s="10" t="s">
        <v>7</v>
      </c>
      <c r="F5" t="s">
        <v>90</v>
      </c>
      <c r="G5" s="1">
        <f>1000*0.3048</f>
        <v>304.8</v>
      </c>
      <c r="H5" t="s">
        <v>8</v>
      </c>
      <c r="J5" t="s">
        <v>103</v>
      </c>
      <c r="K5" s="6">
        <f>K4/$C$18</f>
        <v>101.52100009724921</v>
      </c>
      <c r="L5" s="6" t="s">
        <v>104</v>
      </c>
      <c r="N5" s="6" t="s">
        <v>119</v>
      </c>
      <c r="O5" s="6">
        <f xml:space="preserve"> $C$18 * 0.85 * ($C$5/$C$18 *2.20462/1000)^(2/3) * 0.3048^2</f>
        <v>0.35682541521878786</v>
      </c>
      <c r="P5" s="6" t="s">
        <v>120</v>
      </c>
      <c r="U5" s="2">
        <v>1</v>
      </c>
      <c r="V5" s="2">
        <f>IF(AB4&gt;0, Z4, V4)</f>
        <v>0</v>
      </c>
      <c r="W5" s="2">
        <f t="shared" si="0"/>
        <v>2.0852458859112747E-2</v>
      </c>
      <c r="X5" s="2">
        <f>IF(AC4&gt;0, Z4, X4)</f>
        <v>0.5</v>
      </c>
      <c r="Y5" s="2">
        <f t="shared" si="1"/>
        <v>-0.48212869142847059</v>
      </c>
      <c r="Z5" s="2">
        <f t="shared" ref="Z5:Z34" si="3" xml:space="preserve"> (V5 + X5)/2</f>
        <v>0.25</v>
      </c>
      <c r="AA5" s="2">
        <f t="shared" si="2"/>
        <v>-0.23067657186970189</v>
      </c>
      <c r="AB5" s="2">
        <f t="shared" ref="AB5:AB34" si="4">W5*AA5</f>
        <v>-4.8101737246741237E-3</v>
      </c>
      <c r="AC5" s="2">
        <f t="shared" ref="AC5:AC34" si="5">Y5*AA5</f>
        <v>0.11121579373874492</v>
      </c>
      <c r="AD5" s="2">
        <f t="shared" ref="AD5:AD33" si="6">X5-V5</f>
        <v>0.5</v>
      </c>
      <c r="AF5" s="2">
        <v>1</v>
      </c>
      <c r="AG5" s="3">
        <v>500</v>
      </c>
      <c r="AH5" s="2">
        <f t="dataTable" ref="AH5:AH44" dt2D="0" dtr="0" r1="C5"/>
        <v>-1103.6069742355703</v>
      </c>
      <c r="AI5" s="3">
        <v>5000</v>
      </c>
      <c r="AJ5" s="2">
        <f t="dataTable" ref="AJ5:AJ44" dt2D="0" dtr="0" r1="C5" ca="1"/>
        <v>1524.7265116552871</v>
      </c>
      <c r="AK5" s="2">
        <f>(AG5+AI5)/2</f>
        <v>2750</v>
      </c>
      <c r="AL5" s="2">
        <f t="dataTable" ref="AL5:AL44" dt2D="0" dtr="0" r1="C5" ca="1"/>
        <v>358.64014329850511</v>
      </c>
      <c r="AM5" s="2">
        <f>AH5*AL5</f>
        <v>-395797.76338507456</v>
      </c>
      <c r="AN5" s="2">
        <f>AJ5*AL5</f>
        <v>546828.13463108195</v>
      </c>
      <c r="AO5" s="2">
        <f>AI5-AG5</f>
        <v>4500</v>
      </c>
      <c r="AQ5" s="2" t="s">
        <v>157</v>
      </c>
      <c r="AR5" s="3">
        <v>9.7325357969380892</v>
      </c>
      <c r="AS5" s="26" t="s">
        <v>43</v>
      </c>
      <c r="AT5"/>
      <c r="AU5" s="2" t="s">
        <v>29</v>
      </c>
      <c r="AV5" s="2">
        <f>AR4*2*PI()/60</f>
        <v>32.677966554991301</v>
      </c>
      <c r="AW5" s="26" t="s">
        <v>30</v>
      </c>
      <c r="AX5"/>
      <c r="AY5" s="2" t="s">
        <v>158</v>
      </c>
      <c r="AZ5" s="2">
        <f>(1+$BH$18)*$AR$3</f>
        <v>5.2488067571803434</v>
      </c>
      <c r="BA5" s="26" t="s">
        <v>10</v>
      </c>
      <c r="BB5"/>
      <c r="BC5" s="2" t="s">
        <v>158</v>
      </c>
      <c r="BD5" s="2">
        <f>(1+$BL$18)*$AR$3</f>
        <v>6.7316316575529607</v>
      </c>
      <c r="BE5" s="26" t="s">
        <v>10</v>
      </c>
      <c r="BF5"/>
      <c r="BG5" s="2" t="s">
        <v>159</v>
      </c>
      <c r="BH5" s="2">
        <f>($AR$35+$AR$5)/180*PI()</f>
        <v>0.29029251261238864</v>
      </c>
      <c r="BI5" s="2" t="s">
        <v>155</v>
      </c>
      <c r="BJ5" s="2"/>
      <c r="BK5" s="2" t="s">
        <v>159</v>
      </c>
      <c r="BL5" s="2">
        <f>($AR$36+$AR$5)/180*PI()</f>
        <v>0.26725416648606348</v>
      </c>
      <c r="BM5" s="2" t="s">
        <v>155</v>
      </c>
      <c r="BN5"/>
      <c r="BO5" s="2">
        <v>1</v>
      </c>
      <c r="BP5" s="3">
        <f>0.01*PI()</f>
        <v>3.1415926535897934E-2</v>
      </c>
      <c r="BQ5" s="2">
        <f t="dataTable" ref="BQ5:BQ34" dt2D="0" dtr="0" r1="BH4" ca="1"/>
        <v>-2.497676519921709</v>
      </c>
      <c r="BR5" s="3">
        <f>0.9*PI()</f>
        <v>2.8274333882308138</v>
      </c>
      <c r="BS5" s="2">
        <f t="dataTable" ref="BS5:BS34" dt2D="0" dtr="0" r1="BH4" ca="1"/>
        <v>0.55598724107479525</v>
      </c>
      <c r="BT5" s="2">
        <f t="shared" ref="BT5:BT34" si="7">(BP5+BR5)/2</f>
        <v>1.4294246573833558</v>
      </c>
      <c r="BU5" s="2">
        <f t="dataTable" ref="BU5:BU34" dt2D="0" dtr="0" r1="BH4" ca="1"/>
        <v>1.0826581514508085</v>
      </c>
      <c r="BV5" s="2">
        <f t="shared" ref="BV5:BV34" si="8">BQ5*BU5</f>
        <v>-2.7041298439805259</v>
      </c>
      <c r="BW5" s="2">
        <f t="shared" ref="BW5:BW34" si="9">BS5*BU5</f>
        <v>0.60194411865227282</v>
      </c>
      <c r="BX5" s="2">
        <f t="shared" ref="BX5:BX34" si="10">BR5-BP5</f>
        <v>2.7960174616949161</v>
      </c>
      <c r="BY5"/>
      <c r="BZ5" s="2">
        <v>1</v>
      </c>
      <c r="CA5" s="3">
        <f>0.01*PI()</f>
        <v>3.1415926535897934E-2</v>
      </c>
      <c r="CB5" s="2">
        <f t="dataTable" ref="CB5:CB34" dt2D="0" dtr="0" r1="BL4" ca="1"/>
        <v>-1.4323388603432758</v>
      </c>
      <c r="CC5" s="3">
        <f>0.9*PI()</f>
        <v>2.8274333882308138</v>
      </c>
      <c r="CD5" s="2">
        <f t="dataTable" ref="CD5:CD34" dt2D="0" dtr="0" r1="BL4" ca="1"/>
        <v>0.44821526752300378</v>
      </c>
      <c r="CE5" s="2">
        <f t="shared" ref="CE5:CE34" si="11">(CA5+CC5)/2</f>
        <v>1.4294246573833558</v>
      </c>
      <c r="CF5" s="2">
        <f t="dataTable" ref="CF5:CF34" dt2D="0" dtr="0" r1="BL4" ca="1"/>
        <v>1.0321100669141845</v>
      </c>
      <c r="CG5" s="2">
        <f t="shared" ref="CG5:CG34" si="12">CB5*CF5</f>
        <v>-1.4783313569926853</v>
      </c>
      <c r="CH5" s="2">
        <f t="shared" ref="CH5:CH34" si="13">CD5*CF5</f>
        <v>0.46260748975512656</v>
      </c>
      <c r="CI5" s="2">
        <f t="shared" ref="CI5:CI34" si="14">CC5-CA5</f>
        <v>2.7960174616949161</v>
      </c>
    </row>
    <row r="6" spans="2:87" x14ac:dyDescent="0.2">
      <c r="B6" s="10" t="s">
        <v>270</v>
      </c>
      <c r="C6" s="10">
        <v>312.05159444511003</v>
      </c>
      <c r="D6" s="10" t="s">
        <v>134</v>
      </c>
      <c r="F6" t="s">
        <v>91</v>
      </c>
      <c r="G6" s="8">
        <f>$G$5/$G$4</f>
        <v>120</v>
      </c>
      <c r="H6" s="6" t="s">
        <v>14</v>
      </c>
      <c r="N6" t="s">
        <v>121</v>
      </c>
      <c r="O6">
        <f xml:space="preserve"> O5 / (PI() * $C$9^2)</f>
        <v>7.0988160816110131E-3</v>
      </c>
      <c r="U6" s="2">
        <v>2</v>
      </c>
      <c r="V6" s="2">
        <f t="shared" ref="V6:V34" si="15">IF(AB5&gt;0, Z5, V5)</f>
        <v>0</v>
      </c>
      <c r="W6" s="2">
        <f t="shared" si="0"/>
        <v>2.0852458859112747E-2</v>
      </c>
      <c r="X6" s="2">
        <f t="shared" ref="X6:X34" si="16">IF(AC5&gt;0, Z5, X5)</f>
        <v>0.25</v>
      </c>
      <c r="Y6" s="2">
        <f t="shared" si="1"/>
        <v>-0.23067657186970189</v>
      </c>
      <c r="Z6" s="2">
        <f t="shared" si="3"/>
        <v>0.125</v>
      </c>
      <c r="AA6" s="2">
        <f t="shared" si="2"/>
        <v>-0.1046837480851734</v>
      </c>
      <c r="AB6" s="2">
        <f t="shared" si="4"/>
        <v>-2.1829135501638011E-3</v>
      </c>
      <c r="AC6" s="2">
        <f t="shared" si="5"/>
        <v>2.414808813875927E-2</v>
      </c>
      <c r="AD6" s="2">
        <f t="shared" si="6"/>
        <v>0.25</v>
      </c>
      <c r="AF6" s="2">
        <v>2</v>
      </c>
      <c r="AG6" s="2">
        <f>IF(AM5&gt;0, AK5, AG5)</f>
        <v>500</v>
      </c>
      <c r="AH6" s="2">
        <v>-1103.6069742355703</v>
      </c>
      <c r="AI6" s="2">
        <f>IF(AN5&gt;0, AK5, AI5)</f>
        <v>2750</v>
      </c>
      <c r="AJ6" s="2">
        <v>358.64014329850511</v>
      </c>
      <c r="AK6" s="2">
        <f t="shared" ref="AK6:AK43" si="17">(AG6+AI6)/2</f>
        <v>1625</v>
      </c>
      <c r="AL6" s="2">
        <v>-362.3550614588471</v>
      </c>
      <c r="AM6" s="2">
        <f t="shared" ref="AM6:AM44" si="18">AH6*AL6</f>
        <v>399897.5729755424</v>
      </c>
      <c r="AN6" s="2">
        <f t="shared" ref="AN6:AN44" si="19">AJ6*AL6</f>
        <v>-129955.07116653955</v>
      </c>
      <c r="AO6" s="2">
        <f t="shared" ref="AO6:AO44" si="20">AI6-AG6</f>
        <v>2250</v>
      </c>
      <c r="AQ6" s="2"/>
      <c r="AR6" s="2"/>
      <c r="AS6" s="26"/>
      <c r="AT6"/>
      <c r="AU6" s="2" t="s">
        <v>161</v>
      </c>
      <c r="AV6" s="33">
        <f>$AR$4/60</f>
        <v>5.2008599074185007</v>
      </c>
      <c r="AW6" s="26" t="s">
        <v>162</v>
      </c>
      <c r="AX6"/>
      <c r="AY6" s="2" t="s">
        <v>163</v>
      </c>
      <c r="AZ6" s="2">
        <f>(1-$BH$19)*$AV$5*$AR$19</f>
        <v>22.092049438383143</v>
      </c>
      <c r="BA6" s="26" t="s">
        <v>10</v>
      </c>
      <c r="BB6"/>
      <c r="BC6" s="2" t="s">
        <v>163</v>
      </c>
      <c r="BD6" s="2">
        <f>(1-$BL$19)*$AV$5*$AR$20</f>
        <v>36.358186958887174</v>
      </c>
      <c r="BE6" s="26" t="s">
        <v>10</v>
      </c>
      <c r="BF6"/>
      <c r="BG6" s="2" t="s">
        <v>28</v>
      </c>
      <c r="BH6" s="2">
        <f>BH5-BH4</f>
        <v>5.7029375473744814E-2</v>
      </c>
      <c r="BI6" s="2" t="s">
        <v>155</v>
      </c>
      <c r="BJ6" s="2"/>
      <c r="BK6" s="2" t="s">
        <v>28</v>
      </c>
      <c r="BL6" s="2">
        <f>BL5-BL4</f>
        <v>8.4179684075484484E-2</v>
      </c>
      <c r="BM6" s="2" t="s">
        <v>155</v>
      </c>
      <c r="BN6"/>
      <c r="BO6" s="2">
        <v>2</v>
      </c>
      <c r="BP6" s="2">
        <f t="shared" ref="BP6:BP34" si="21">IF(BV5&gt;0,BT5,BP5)</f>
        <v>3.1415926535897934E-2</v>
      </c>
      <c r="BQ6" s="2">
        <v>-2.497676519921709</v>
      </c>
      <c r="BR6" s="2">
        <f t="shared" ref="BR6:BR34" si="22">IF(BW5&gt;0,BT5,BR5)</f>
        <v>1.4294246573833558</v>
      </c>
      <c r="BS6" s="2">
        <v>1.0826581514508085</v>
      </c>
      <c r="BT6" s="2">
        <f t="shared" si="7"/>
        <v>0.73042029195962688</v>
      </c>
      <c r="BU6" s="2">
        <v>0.67882214722148149</v>
      </c>
      <c r="BV6" s="2">
        <f t="shared" si="8"/>
        <v>-1.6954781383179318</v>
      </c>
      <c r="BW6" s="2">
        <f t="shared" si="9"/>
        <v>0.7349323310746777</v>
      </c>
      <c r="BX6" s="2">
        <f t="shared" si="10"/>
        <v>1.3980087308474578</v>
      </c>
      <c r="BY6"/>
      <c r="BZ6" s="2">
        <v>2</v>
      </c>
      <c r="CA6" s="2">
        <f t="shared" ref="CA6:CA34" si="23">IF(CG5&gt;0,CE5,CA5)</f>
        <v>3.1415926535897934E-2</v>
      </c>
      <c r="CB6" s="2">
        <v>-1.4323388603432758</v>
      </c>
      <c r="CC6" s="2">
        <f t="shared" ref="CC6:CC34" si="24">IF(CH5&gt;0,CE5,CC5)</f>
        <v>1.4294246573833558</v>
      </c>
      <c r="CD6" s="2">
        <v>1.0321100669141845</v>
      </c>
      <c r="CE6" s="2">
        <f t="shared" si="11"/>
        <v>0.73042029195962688</v>
      </c>
      <c r="CF6" s="2">
        <v>0.66190912504164712</v>
      </c>
      <c r="CG6" s="2">
        <f t="shared" si="12"/>
        <v>-0.94807816181296767</v>
      </c>
      <c r="CH6" s="2">
        <f t="shared" si="13"/>
        <v>0.68316307133784371</v>
      </c>
      <c r="CI6" s="2">
        <f t="shared" si="14"/>
        <v>1.3980087308474578</v>
      </c>
    </row>
    <row r="7" spans="2:87" x14ac:dyDescent="0.2">
      <c r="B7" s="6" t="s">
        <v>269</v>
      </c>
      <c r="C7" s="17">
        <v>450</v>
      </c>
      <c r="D7" s="6" t="s">
        <v>134</v>
      </c>
      <c r="F7" t="s">
        <v>130</v>
      </c>
      <c r="G7" s="8">
        <f>$C$6*2*PI()*$C$9/60</f>
        <v>130.7118662199652</v>
      </c>
      <c r="H7" s="6" t="s">
        <v>10</v>
      </c>
      <c r="J7" s="54" t="s">
        <v>23</v>
      </c>
      <c r="K7" s="54"/>
      <c r="L7" s="54"/>
      <c r="N7" t="s">
        <v>123</v>
      </c>
      <c r="O7" s="17">
        <v>1.230085E-2</v>
      </c>
      <c r="U7" s="2">
        <v>3</v>
      </c>
      <c r="V7" s="2">
        <f t="shared" si="15"/>
        <v>0</v>
      </c>
      <c r="W7" s="2">
        <f t="shared" si="0"/>
        <v>2.0852458859112747E-2</v>
      </c>
      <c r="X7" s="2">
        <f t="shared" si="16"/>
        <v>0.125</v>
      </c>
      <c r="Y7" s="2">
        <f t="shared" si="1"/>
        <v>-0.1046837480851734</v>
      </c>
      <c r="Z7" s="2">
        <f t="shared" si="3"/>
        <v>6.25E-2</v>
      </c>
      <c r="AA7" s="2">
        <f t="shared" si="2"/>
        <v>-4.1797386420464579E-2</v>
      </c>
      <c r="AB7" s="2">
        <f t="shared" si="4"/>
        <v>-8.7157828075117548E-4</v>
      </c>
      <c r="AC7" s="2">
        <f t="shared" si="5"/>
        <v>4.3755070706585613E-3</v>
      </c>
      <c r="AD7" s="2">
        <f t="shared" si="6"/>
        <v>0.125</v>
      </c>
      <c r="AF7" s="2">
        <v>3</v>
      </c>
      <c r="AG7" s="2">
        <f t="shared" ref="AG7:AG44" si="25">IF(AM6&gt;0, AK6, AG6)</f>
        <v>1625</v>
      </c>
      <c r="AH7" s="2">
        <v>-362.3550614588471</v>
      </c>
      <c r="AI7" s="2">
        <f t="shared" ref="AI7:AI44" si="26">IF(AN6&gt;0, AK6, AI6)</f>
        <v>2750</v>
      </c>
      <c r="AJ7" s="2">
        <v>358.64014329850511</v>
      </c>
      <c r="AK7" s="2">
        <f t="shared" si="17"/>
        <v>2187.5</v>
      </c>
      <c r="AL7" s="2">
        <v>5.8661077849030789</v>
      </c>
      <c r="AM7" s="2">
        <f t="shared" si="18"/>
        <v>-2125.6138469227767</v>
      </c>
      <c r="AN7" s="2">
        <f t="shared" si="19"/>
        <v>2103.8217365821165</v>
      </c>
      <c r="AO7" s="2">
        <f t="shared" si="20"/>
        <v>1125</v>
      </c>
      <c r="AQ7" s="61" t="s">
        <v>165</v>
      </c>
      <c r="AR7" s="61"/>
      <c r="AS7" s="61"/>
      <c r="AT7"/>
      <c r="AU7" s="2" t="s">
        <v>166</v>
      </c>
      <c r="AV7" s="33">
        <f>$AR$3/(AV6*AR9)</f>
        <v>6.1047597061231806E-2</v>
      </c>
      <c r="AW7"/>
      <c r="AX7"/>
      <c r="AY7" s="2" t="s">
        <v>167</v>
      </c>
      <c r="AZ7" s="2">
        <f>SQRT(AZ5^2 + AZ6^2)</f>
        <v>22.707016993920337</v>
      </c>
      <c r="BA7" s="26" t="s">
        <v>10</v>
      </c>
      <c r="BB7"/>
      <c r="BC7" s="2" t="s">
        <v>167</v>
      </c>
      <c r="BD7" s="2">
        <f>SQRT(BD5^2 + BD6^2)</f>
        <v>36.976108823270771</v>
      </c>
      <c r="BE7" s="26" t="s">
        <v>10</v>
      </c>
      <c r="BF7"/>
      <c r="BG7" s="2" t="s">
        <v>168</v>
      </c>
      <c r="BH7" s="2">
        <f>BH6/PI()*180</f>
        <v>3.2675425229124677</v>
      </c>
      <c r="BI7" s="2" t="s">
        <v>43</v>
      </c>
      <c r="BJ7" s="2"/>
      <c r="BK7" s="2" t="s">
        <v>168</v>
      </c>
      <c r="BL7" s="2">
        <f>BL6/PI()*180</f>
        <v>4.8231406182698864</v>
      </c>
      <c r="BM7" s="2" t="s">
        <v>43</v>
      </c>
      <c r="BN7"/>
      <c r="BO7" s="2">
        <v>3</v>
      </c>
      <c r="BP7" s="2">
        <f t="shared" si="21"/>
        <v>3.1415926535897934E-2</v>
      </c>
      <c r="BQ7" s="2">
        <v>-2.497676519921709</v>
      </c>
      <c r="BR7" s="2">
        <f t="shared" si="22"/>
        <v>0.73042029195962688</v>
      </c>
      <c r="BS7" s="2">
        <v>0.67882214722148149</v>
      </c>
      <c r="BT7" s="2">
        <f t="shared" si="7"/>
        <v>0.38091810924776243</v>
      </c>
      <c r="BU7" s="2">
        <v>0.34350601453903784</v>
      </c>
      <c r="BV7" s="2">
        <f t="shared" si="8"/>
        <v>-0.85796690696604005</v>
      </c>
      <c r="BW7" s="2">
        <f t="shared" si="9"/>
        <v>0.2331794903728831</v>
      </c>
      <c r="BX7" s="2">
        <f t="shared" si="10"/>
        <v>0.6990043654237289</v>
      </c>
      <c r="BY7"/>
      <c r="BZ7" s="2">
        <v>3</v>
      </c>
      <c r="CA7" s="2">
        <f t="shared" si="23"/>
        <v>3.1415926535897934E-2</v>
      </c>
      <c r="CB7" s="2">
        <v>-1.4323388603432758</v>
      </c>
      <c r="CC7" s="2">
        <f t="shared" si="24"/>
        <v>0.73042029195962688</v>
      </c>
      <c r="CD7" s="2">
        <v>0.66190912504164712</v>
      </c>
      <c r="CE7" s="2">
        <f t="shared" si="11"/>
        <v>0.38091810924776243</v>
      </c>
      <c r="CF7" s="2">
        <v>0.35902578897620324</v>
      </c>
      <c r="CG7" s="2">
        <f t="shared" si="12"/>
        <v>-0.51424658941602042</v>
      </c>
      <c r="CH7" s="2">
        <f t="shared" si="13"/>
        <v>0.23764244584862573</v>
      </c>
      <c r="CI7" s="2">
        <f t="shared" si="14"/>
        <v>0.6990043654237289</v>
      </c>
    </row>
    <row r="8" spans="2:87" x14ac:dyDescent="0.2">
      <c r="B8" s="6" t="s">
        <v>9</v>
      </c>
      <c r="C8" s="17">
        <v>50</v>
      </c>
      <c r="D8" s="6" t="s">
        <v>10</v>
      </c>
      <c r="F8" s="6" t="s">
        <v>133</v>
      </c>
      <c r="G8" s="6">
        <f>G7/$C$43</f>
        <v>0.39145023438179882</v>
      </c>
      <c r="H8" s="6" t="s">
        <v>131</v>
      </c>
      <c r="J8" s="6" t="s">
        <v>99</v>
      </c>
      <c r="K8" s="6">
        <f xml:space="preserve"> $C$15 * (G13*G6 + G20*G16 + G27*G25)/3600</f>
        <v>132.53415945700681</v>
      </c>
      <c r="L8" s="6" t="s">
        <v>105</v>
      </c>
      <c r="N8" s="6" t="s">
        <v>122</v>
      </c>
      <c r="O8" s="6">
        <f xml:space="preserve"> $O$7 + O6</f>
        <v>1.9399666081611013E-2</v>
      </c>
      <c r="U8" s="2">
        <v>4</v>
      </c>
      <c r="V8" s="2">
        <f t="shared" si="15"/>
        <v>0</v>
      </c>
      <c r="W8" s="2">
        <f t="shared" si="0"/>
        <v>2.0852458859112747E-2</v>
      </c>
      <c r="X8" s="2">
        <f t="shared" si="16"/>
        <v>6.25E-2</v>
      </c>
      <c r="Y8" s="2">
        <f t="shared" si="1"/>
        <v>-4.1797386420464579E-2</v>
      </c>
      <c r="Z8" s="2">
        <f t="shared" si="3"/>
        <v>3.125E-2</v>
      </c>
      <c r="AA8" s="2">
        <f t="shared" si="2"/>
        <v>-1.0436157516095904E-2</v>
      </c>
      <c r="AB8" s="2">
        <f t="shared" si="4"/>
        <v>-2.1761954525161012E-4</v>
      </c>
      <c r="AC8" s="2">
        <f t="shared" si="5"/>
        <v>4.3620410844509626E-4</v>
      </c>
      <c r="AD8" s="2">
        <f t="shared" si="6"/>
        <v>6.25E-2</v>
      </c>
      <c r="AF8" s="2">
        <v>4</v>
      </c>
      <c r="AG8" s="2">
        <f t="shared" si="25"/>
        <v>1625</v>
      </c>
      <c r="AH8" s="2">
        <v>-362.3550614588471</v>
      </c>
      <c r="AI8" s="2">
        <f t="shared" si="26"/>
        <v>2187.5</v>
      </c>
      <c r="AJ8" s="2">
        <v>5.8661077849030789</v>
      </c>
      <c r="AK8" s="2">
        <f t="shared" si="17"/>
        <v>1906.25</v>
      </c>
      <c r="AL8" s="2">
        <v>-177.33149714987462</v>
      </c>
      <c r="AM8" s="2">
        <f t="shared" si="18"/>
        <v>64256.965548332191</v>
      </c>
      <c r="AN8" s="2">
        <f t="shared" si="19"/>
        <v>-1040.2456759393976</v>
      </c>
      <c r="AO8" s="2">
        <f t="shared" si="20"/>
        <v>562.5</v>
      </c>
      <c r="AQ8" s="2" t="s">
        <v>169</v>
      </c>
      <c r="AR8" s="2">
        <f>$C$19</f>
        <v>3</v>
      </c>
      <c r="AS8" s="26"/>
      <c r="AT8"/>
      <c r="AU8"/>
      <c r="AV8"/>
      <c r="AW8"/>
      <c r="AX8"/>
      <c r="AY8" s="2" t="s">
        <v>170</v>
      </c>
      <c r="AZ8" s="37">
        <f>$AR$45*AZ7*$AR$27/$AR$46</f>
        <v>388755.48032976902</v>
      </c>
      <c r="BA8" s="26"/>
      <c r="BB8"/>
      <c r="BC8" s="2" t="s">
        <v>170</v>
      </c>
      <c r="BD8" s="37">
        <f>$AR$45*BD7*$AR$28/$AR$46</f>
        <v>614892.74664654117</v>
      </c>
      <c r="BE8" s="26"/>
      <c r="BF8"/>
      <c r="BG8" s="2" t="s">
        <v>171</v>
      </c>
      <c r="BH8" s="2">
        <f xml:space="preserve"> $AR$8*$AR$27 / (2*PI()*$AR$19)</f>
        <v>0.19501027812845517</v>
      </c>
      <c r="BI8" s="2"/>
      <c r="BJ8" s="2"/>
      <c r="BK8" s="2" t="s">
        <v>171</v>
      </c>
      <c r="BL8" s="2">
        <f xml:space="preserve"> $AR$8*$AR$28 / (2*PI()*$AR$20)</f>
        <v>0.11630875709636668</v>
      </c>
      <c r="BM8" s="2"/>
      <c r="BN8"/>
      <c r="BO8" s="2">
        <v>4</v>
      </c>
      <c r="BP8" s="2">
        <f t="shared" si="21"/>
        <v>3.1415926535897934E-2</v>
      </c>
      <c r="BQ8" s="2">
        <v>-2.497676519921709</v>
      </c>
      <c r="BR8" s="2">
        <f t="shared" si="22"/>
        <v>0.38091810924776243</v>
      </c>
      <c r="BS8" s="2">
        <v>0.34350601453903784</v>
      </c>
      <c r="BT8" s="2">
        <f t="shared" si="7"/>
        <v>0.20616701789183017</v>
      </c>
      <c r="BU8" s="2">
        <v>-8.7235822349604072E-2</v>
      </c>
      <c r="BV8" s="2">
        <f t="shared" si="8"/>
        <v>0.21788686517866754</v>
      </c>
      <c r="BW8" s="2">
        <f t="shared" si="9"/>
        <v>-2.9966029660348018E-2</v>
      </c>
      <c r="BX8" s="2">
        <f t="shared" si="10"/>
        <v>0.34950218271186451</v>
      </c>
      <c r="BY8"/>
      <c r="BZ8" s="2">
        <v>4</v>
      </c>
      <c r="CA8" s="2">
        <f t="shared" si="23"/>
        <v>3.1415926535897934E-2</v>
      </c>
      <c r="CB8" s="2">
        <v>-1.4323388603432758</v>
      </c>
      <c r="CC8" s="2">
        <f t="shared" si="24"/>
        <v>0.38091810924776243</v>
      </c>
      <c r="CD8" s="2">
        <v>0.35902578897620324</v>
      </c>
      <c r="CE8" s="2">
        <f t="shared" si="11"/>
        <v>0.20616701789183017</v>
      </c>
      <c r="CF8" s="2">
        <v>5.7804947877653501E-2</v>
      </c>
      <c r="CG8" s="2">
        <f t="shared" si="12"/>
        <v>-8.2796273165280682E-2</v>
      </c>
      <c r="CH8" s="2">
        <f t="shared" si="13"/>
        <v>2.0753467018502853E-2</v>
      </c>
      <c r="CI8" s="2">
        <f t="shared" si="14"/>
        <v>0.34950218271186451</v>
      </c>
    </row>
    <row r="9" spans="2:87" x14ac:dyDescent="0.2">
      <c r="B9" s="6" t="s">
        <v>98</v>
      </c>
      <c r="C9" s="17">
        <v>4</v>
      </c>
      <c r="D9" s="6" t="s">
        <v>8</v>
      </c>
      <c r="F9" t="s">
        <v>21</v>
      </c>
      <c r="G9" s="6">
        <f xml:space="preserve"> $C$5 * $C$44 / $C$18</f>
        <v>5338.0030453821946</v>
      </c>
      <c r="H9" s="6" t="s">
        <v>22</v>
      </c>
      <c r="J9" s="6" t="s">
        <v>265</v>
      </c>
      <c r="K9" s="6">
        <f xml:space="preserve"> $C$15 * (G6 + G16 + G25)/60</f>
        <v>37.333333333333336</v>
      </c>
      <c r="L9" s="6" t="s">
        <v>106</v>
      </c>
      <c r="N9" s="6" t="s">
        <v>41</v>
      </c>
      <c r="O9" s="6">
        <f xml:space="preserve"> O4 *O8 * PI() * $C$9 * $C$9</f>
        <v>1229.3320130451327</v>
      </c>
      <c r="P9" s="6" t="s">
        <v>22</v>
      </c>
      <c r="U9" s="2">
        <v>5</v>
      </c>
      <c r="V9" s="2">
        <f t="shared" si="15"/>
        <v>0</v>
      </c>
      <c r="W9" s="2">
        <f t="shared" si="0"/>
        <v>2.0852458859112747E-2</v>
      </c>
      <c r="X9" s="2">
        <f t="shared" si="16"/>
        <v>3.125E-2</v>
      </c>
      <c r="Y9" s="2">
        <f t="shared" si="1"/>
        <v>-1.0436157516095904E-2</v>
      </c>
      <c r="Z9" s="2">
        <f t="shared" si="3"/>
        <v>1.5625E-2</v>
      </c>
      <c r="AA9" s="2">
        <f t="shared" si="2"/>
        <v>5.2177294512854994E-3</v>
      </c>
      <c r="AB9" s="2">
        <f t="shared" si="4"/>
        <v>1.0880248872091181E-4</v>
      </c>
      <c r="AC9" s="2">
        <f t="shared" si="5"/>
        <v>-5.4453046429988118E-5</v>
      </c>
      <c r="AD9" s="2">
        <f t="shared" si="6"/>
        <v>3.125E-2</v>
      </c>
      <c r="AF9" s="2">
        <v>5</v>
      </c>
      <c r="AG9" s="2">
        <f t="shared" si="25"/>
        <v>1906.25</v>
      </c>
      <c r="AH9" s="2">
        <v>-177.33149714987462</v>
      </c>
      <c r="AI9" s="2">
        <f t="shared" si="26"/>
        <v>2187.5</v>
      </c>
      <c r="AJ9" s="2">
        <v>5.8661077849030789</v>
      </c>
      <c r="AK9" s="2">
        <f t="shared" si="17"/>
        <v>2046.875</v>
      </c>
      <c r="AL9" s="2">
        <v>-85.482833377132465</v>
      </c>
      <c r="AM9" s="2">
        <f t="shared" si="18"/>
        <v>15158.798823380173</v>
      </c>
      <c r="AN9" s="2">
        <f t="shared" si="19"/>
        <v>-501.45151434916949</v>
      </c>
      <c r="AO9" s="2">
        <f t="shared" si="20"/>
        <v>281.25</v>
      </c>
      <c r="AQ9" s="2" t="s">
        <v>172</v>
      </c>
      <c r="AR9" s="2">
        <f>2*$C$9</f>
        <v>8</v>
      </c>
      <c r="AS9" s="26" t="s">
        <v>8</v>
      </c>
      <c r="AT9"/>
      <c r="AU9" s="61" t="s">
        <v>173</v>
      </c>
      <c r="AV9" s="61"/>
      <c r="AW9" s="61"/>
      <c r="AX9"/>
      <c r="AY9" s="2" t="s">
        <v>174</v>
      </c>
      <c r="AZ9" s="33">
        <f xml:space="preserve"> $BH$8 * PI() * $AR$45 * AZ7^2 *$BH$14 * $AR$19 * AZ4</f>
        <v>52.465297903299088</v>
      </c>
      <c r="BA9" s="26" t="s">
        <v>22</v>
      </c>
      <c r="BB9"/>
      <c r="BC9" s="2" t="s">
        <v>174</v>
      </c>
      <c r="BD9" s="33">
        <f xml:space="preserve"> $BL$8 * PI() * $AR$45 * BD7^2 * $BL$14 * $AR$20 * BD4</f>
        <v>183.92959634445432</v>
      </c>
      <c r="BE9" s="26" t="s">
        <v>22</v>
      </c>
      <c r="BF9"/>
      <c r="BG9" s="2" t="s">
        <v>175</v>
      </c>
      <c r="BH9" s="2">
        <f>IF(-$AR$8*($AV$3-$AR$19)/(2*$AR$19*SIN(BH4))&gt;500, 1, 2*ACOS(MIN(1, EXP(-$AR$8*($AV$3-$AR$19)/(2*$AR$19*SIN(BH4)))))/PI() )</f>
        <v>0.99999999999996703</v>
      </c>
      <c r="BI9" s="2"/>
      <c r="BJ9" s="2"/>
      <c r="BK9" s="2" t="s">
        <v>175</v>
      </c>
      <c r="BL9" s="2">
        <f>IF(-$AR$8*($AV$3-$AR$20)/(2*$AR$20*SIN(BL4))&gt;500, 1, 2*ACOS(MIN(1, EXP(-$AR$8*($AV$3-$AR$20)/(2*$AR$20*SIN(BL4)))))/PI() )</f>
        <v>0.99999999932896133</v>
      </c>
      <c r="BM9" s="2"/>
      <c r="BN9"/>
      <c r="BO9" s="2">
        <v>5</v>
      </c>
      <c r="BP9" s="2">
        <f t="shared" si="21"/>
        <v>0.20616701789183017</v>
      </c>
      <c r="BQ9" s="2">
        <v>-8.7235822349604072E-2</v>
      </c>
      <c r="BR9" s="2">
        <f t="shared" si="22"/>
        <v>0.38091810924776243</v>
      </c>
      <c r="BS9" s="2">
        <v>0.34350601453903784</v>
      </c>
      <c r="BT9" s="2">
        <f t="shared" si="7"/>
        <v>0.2935425635697963</v>
      </c>
      <c r="BU9" s="2">
        <v>0.16057379137868957</v>
      </c>
      <c r="BV9" s="2">
        <f t="shared" si="8"/>
        <v>-1.4007786738713749E-2</v>
      </c>
      <c r="BW9" s="2">
        <f t="shared" si="9"/>
        <v>5.5158063115916568E-2</v>
      </c>
      <c r="BX9" s="2">
        <f t="shared" si="10"/>
        <v>0.17475109135593225</v>
      </c>
      <c r="BY9"/>
      <c r="BZ9" s="2">
        <v>5</v>
      </c>
      <c r="CA9" s="2">
        <f t="shared" si="23"/>
        <v>3.1415926535897934E-2</v>
      </c>
      <c r="CB9" s="2">
        <v>-1.4323388603432758</v>
      </c>
      <c r="CC9" s="2">
        <f t="shared" si="24"/>
        <v>0.20616701789183017</v>
      </c>
      <c r="CD9" s="2">
        <v>5.7804947877653501E-2</v>
      </c>
      <c r="CE9" s="2">
        <f t="shared" si="11"/>
        <v>0.11879147221386405</v>
      </c>
      <c r="CF9" s="2">
        <v>-0.2247789711303757</v>
      </c>
      <c r="CG9" s="2">
        <f t="shared" si="12"/>
        <v>0.32195965533801646</v>
      </c>
      <c r="CH9" s="2">
        <f t="shared" si="13"/>
        <v>-1.2993336710183949E-2</v>
      </c>
      <c r="CI9" s="2">
        <f t="shared" si="14"/>
        <v>0.17475109135593225</v>
      </c>
    </row>
    <row r="10" spans="2:87" x14ac:dyDescent="0.2">
      <c r="B10" s="6" t="s">
        <v>224</v>
      </c>
      <c r="C10" s="17">
        <f>(0.071475+0.069425+0.067375+0.065325+0.063275+0.061225+0.059175+0.057125)/8</f>
        <v>6.4299999999999982E-2</v>
      </c>
      <c r="F10" s="6" t="s">
        <v>215</v>
      </c>
      <c r="G10" s="6">
        <f>AV10</f>
        <v>5337.6855368571214</v>
      </c>
      <c r="H10" s="6" t="s">
        <v>22</v>
      </c>
      <c r="N10" s="6" t="s">
        <v>42</v>
      </c>
      <c r="O10" s="6">
        <f xml:space="preserve"> O9</f>
        <v>1229.3320130451327</v>
      </c>
      <c r="P10" s="6" t="s">
        <v>22</v>
      </c>
      <c r="U10" s="2">
        <v>6</v>
      </c>
      <c r="V10" s="2">
        <f t="shared" si="15"/>
        <v>1.5625E-2</v>
      </c>
      <c r="W10" s="2">
        <f t="shared" si="0"/>
        <v>5.2177294512854994E-3</v>
      </c>
      <c r="X10" s="2">
        <f t="shared" si="16"/>
        <v>3.125E-2</v>
      </c>
      <c r="Y10" s="2">
        <f t="shared" si="1"/>
        <v>-1.0436157516095904E-2</v>
      </c>
      <c r="Z10" s="2">
        <f t="shared" si="3"/>
        <v>2.34375E-2</v>
      </c>
      <c r="AA10" s="2">
        <f t="shared" si="2"/>
        <v>-2.6068613458328019E-3</v>
      </c>
      <c r="AB10" s="2">
        <f t="shared" si="4"/>
        <v>-1.3601897219569564E-5</v>
      </c>
      <c r="AC10" s="2">
        <f t="shared" si="5"/>
        <v>2.7205615627732878E-5</v>
      </c>
      <c r="AD10" s="2">
        <f t="shared" si="6"/>
        <v>1.5625E-2</v>
      </c>
      <c r="AF10" s="2">
        <v>6</v>
      </c>
      <c r="AG10" s="2">
        <f t="shared" si="25"/>
        <v>2046.875</v>
      </c>
      <c r="AH10" s="2">
        <v>-85.482833377132465</v>
      </c>
      <c r="AI10" s="2">
        <f t="shared" si="26"/>
        <v>2187.5</v>
      </c>
      <c r="AJ10" s="2">
        <v>5.8661077849030789</v>
      </c>
      <c r="AK10" s="2">
        <f t="shared" si="17"/>
        <v>2117.1875</v>
      </c>
      <c r="AL10" s="2">
        <v>-39.743659298287866</v>
      </c>
      <c r="AM10" s="2">
        <f t="shared" si="18"/>
        <v>3397.4006055930631</v>
      </c>
      <c r="AN10" s="2">
        <f t="shared" si="19"/>
        <v>-233.14058921022209</v>
      </c>
      <c r="AO10" s="2">
        <f t="shared" si="20"/>
        <v>140.625</v>
      </c>
      <c r="AQ10" s="2" t="s">
        <v>176</v>
      </c>
      <c r="AR10" s="3">
        <f>0.12*($AR$9/2)</f>
        <v>0.48</v>
      </c>
      <c r="AS10" s="26" t="s">
        <v>8</v>
      </c>
      <c r="AT10"/>
      <c r="AU10" s="4" t="s">
        <v>177</v>
      </c>
      <c r="AV10" s="38">
        <f>AZ9+BD9+AZ18+BD18+AZ27+BD27+AZ36+BD36</f>
        <v>5337.6855368571214</v>
      </c>
      <c r="AW10" s="26" t="s">
        <v>22</v>
      </c>
      <c r="AX10"/>
      <c r="AY10" s="2" t="s">
        <v>178</v>
      </c>
      <c r="AZ10" s="33">
        <f xml:space="preserve"> $BH$8 * PI() * $AR$45 * AZ7^2 * $BH$15 * $AR$19^2 * AZ4</f>
        <v>10.609418430847995</v>
      </c>
      <c r="BA10" s="26" t="s">
        <v>179</v>
      </c>
      <c r="BB10"/>
      <c r="BC10" s="2" t="s">
        <v>178</v>
      </c>
      <c r="BD10" s="33">
        <f xml:space="preserve"> $BL$8 * PI() * $AR$45 * BD7^2 * $BL$15 * $AR$20^2 * BD4</f>
        <v>44.755699989265047</v>
      </c>
      <c r="BE10" s="26" t="s">
        <v>179</v>
      </c>
      <c r="BF10"/>
      <c r="BG10" s="2" t="s">
        <v>180</v>
      </c>
      <c r="BH10" s="2">
        <f>IF(-$AR$8*($AR$19-$AR$10)/(2*$AR$19*SIN(BH4))&gt;500, 1, 2*ACOS(MIN(1, EXP(-$AR$8*($AR$19-$AR$10)/(2*$AR$19*SIN(BH4)))))/PI() )</f>
        <v>0.91694108344119807</v>
      </c>
      <c r="BI10" s="2"/>
      <c r="BJ10" s="2"/>
      <c r="BK10" s="2" t="s">
        <v>180</v>
      </c>
      <c r="BL10" s="2">
        <f>IF(-$AR$8*($AR$20-$AR$10)/(2*$AR$20*SIN(BL4))&gt;500, 1, 2*ACOS(MIN(1, EXP(-$AR$8*($AR$20-$AR$10)/(2*$AR$20*SIN(BL4)))))/PI() )</f>
        <v>0.99460191975989776</v>
      </c>
      <c r="BM10" s="2"/>
      <c r="BN10"/>
      <c r="BO10" s="2">
        <v>6</v>
      </c>
      <c r="BP10" s="2">
        <f t="shared" si="21"/>
        <v>0.20616701789183017</v>
      </c>
      <c r="BQ10" s="2">
        <v>-8.7235822349604072E-2</v>
      </c>
      <c r="BR10" s="2">
        <f t="shared" si="22"/>
        <v>0.2935425635697963</v>
      </c>
      <c r="BS10" s="2">
        <v>0.16057379137868957</v>
      </c>
      <c r="BT10" s="2">
        <f t="shared" si="7"/>
        <v>0.24985479073081324</v>
      </c>
      <c r="BU10" s="2">
        <v>4.8110593626890255E-2</v>
      </c>
      <c r="BV10" s="2">
        <f t="shared" si="8"/>
        <v>-4.1969671987693918E-3</v>
      </c>
      <c r="BW10" s="2">
        <f t="shared" si="9"/>
        <v>7.725300424149188E-3</v>
      </c>
      <c r="BX10" s="2">
        <f t="shared" si="10"/>
        <v>8.7375545677966127E-2</v>
      </c>
      <c r="BY10"/>
      <c r="BZ10" s="2">
        <v>6</v>
      </c>
      <c r="CA10" s="2">
        <f t="shared" si="23"/>
        <v>0.11879147221386405</v>
      </c>
      <c r="CB10" s="2">
        <v>-0.2247789711303757</v>
      </c>
      <c r="CC10" s="2">
        <f t="shared" si="24"/>
        <v>0.20616701789183017</v>
      </c>
      <c r="CD10" s="2">
        <v>5.7804947877653501E-2</v>
      </c>
      <c r="CE10" s="2">
        <f t="shared" si="11"/>
        <v>0.16247924505284711</v>
      </c>
      <c r="CF10" s="2">
        <v>-5.9236936411692899E-2</v>
      </c>
      <c r="CG10" s="2">
        <f t="shared" si="12"/>
        <v>1.3315217619535819E-2</v>
      </c>
      <c r="CH10" s="2">
        <f t="shared" si="13"/>
        <v>-3.4241880217097827E-3</v>
      </c>
      <c r="CI10" s="2">
        <f t="shared" si="14"/>
        <v>8.7375545677966127E-2</v>
      </c>
    </row>
    <row r="11" spans="2:87" x14ac:dyDescent="0.2">
      <c r="F11" s="6" t="s">
        <v>216</v>
      </c>
      <c r="G11" s="6">
        <f>G9-G10</f>
        <v>0.31750852507320815</v>
      </c>
      <c r="H11" s="6" t="s">
        <v>22</v>
      </c>
      <c r="J11" s="57" t="s">
        <v>54</v>
      </c>
      <c r="K11" s="57"/>
      <c r="L11" s="57"/>
      <c r="N11" s="6" t="s">
        <v>118</v>
      </c>
      <c r="O11" s="6">
        <f>($O$8*PI()*$C$9^2)/(0.3048^2)/($C$5*2.20462/1000)^(2/3) + 0.85</f>
        <v>4.53734624097679</v>
      </c>
      <c r="U11" s="2">
        <v>7</v>
      </c>
      <c r="V11" s="2">
        <f t="shared" si="15"/>
        <v>1.5625E-2</v>
      </c>
      <c r="W11" s="2">
        <f t="shared" si="0"/>
        <v>5.2177294512854994E-3</v>
      </c>
      <c r="X11" s="2">
        <f t="shared" si="16"/>
        <v>2.34375E-2</v>
      </c>
      <c r="Y11" s="2">
        <f t="shared" si="1"/>
        <v>-2.6068613458328019E-3</v>
      </c>
      <c r="Z11" s="2">
        <f t="shared" si="3"/>
        <v>1.953125E-2</v>
      </c>
      <c r="AA11" s="2">
        <f t="shared" si="2"/>
        <v>1.306028879215021E-3</v>
      </c>
      <c r="AB11" s="2">
        <f t="shared" si="4"/>
        <v>6.8145053473096072E-6</v>
      </c>
      <c r="AC11" s="2">
        <f t="shared" si="5"/>
        <v>-3.4046362017669755E-6</v>
      </c>
      <c r="AD11" s="2">
        <f t="shared" si="6"/>
        <v>7.8125E-3</v>
      </c>
      <c r="AF11" s="2">
        <v>7</v>
      </c>
      <c r="AG11" s="2">
        <f t="shared" si="25"/>
        <v>2117.1875</v>
      </c>
      <c r="AH11" s="2">
        <v>-39.743659298287866</v>
      </c>
      <c r="AI11" s="2">
        <f t="shared" si="26"/>
        <v>2187.5</v>
      </c>
      <c r="AJ11" s="2">
        <v>5.8661077849030789</v>
      </c>
      <c r="AK11" s="2">
        <f t="shared" si="17"/>
        <v>2152.34375</v>
      </c>
      <c r="AL11" s="2">
        <v>-16.92234635834302</v>
      </c>
      <c r="AM11" s="2">
        <f t="shared" si="18"/>
        <v>672.55596819360744</v>
      </c>
      <c r="AN11" s="2">
        <f t="shared" si="19"/>
        <v>-99.26830771150226</v>
      </c>
      <c r="AO11" s="2">
        <f t="shared" si="20"/>
        <v>70.3125</v>
      </c>
      <c r="AQ11" s="67" t="s">
        <v>181</v>
      </c>
      <c r="AR11" s="3" t="s">
        <v>219</v>
      </c>
      <c r="AS11" s="26"/>
      <c r="AT11"/>
      <c r="AU11" s="4" t="s">
        <v>182</v>
      </c>
      <c r="AV11" s="38">
        <f>AZ10+BD10+AZ19+BD19+AZ28+BD28+AZ37+BD37</f>
        <v>2071.140706310619</v>
      </c>
      <c r="AW11" s="26" t="s">
        <v>179</v>
      </c>
      <c r="AX11"/>
      <c r="AY11"/>
      <c r="AZ11" s="33"/>
      <c r="BA11"/>
      <c r="BB11"/>
      <c r="BC11"/>
      <c r="BD11"/>
      <c r="BE11"/>
      <c r="BF11"/>
      <c r="BG11" s="2" t="s">
        <v>183</v>
      </c>
      <c r="BH11" s="2">
        <f>IF(BH4=0,1,BH9*BH10)</f>
        <v>0.91694108344116787</v>
      </c>
      <c r="BI11" s="2"/>
      <c r="BJ11" s="2"/>
      <c r="BK11" s="2" t="s">
        <v>183</v>
      </c>
      <c r="BL11" s="2">
        <f>IF(BL4=0,1,BL9*BL10)</f>
        <v>0.99460191909248141</v>
      </c>
      <c r="BM11" s="2"/>
      <c r="BN11"/>
      <c r="BO11" s="2">
        <v>7</v>
      </c>
      <c r="BP11" s="2">
        <f t="shared" si="21"/>
        <v>0.20616701789183017</v>
      </c>
      <c r="BQ11" s="2">
        <v>-8.7235822349604072E-2</v>
      </c>
      <c r="BR11" s="2">
        <f t="shared" si="22"/>
        <v>0.24985479073081324</v>
      </c>
      <c r="BS11" s="2">
        <v>4.8110593626890255E-2</v>
      </c>
      <c r="BT11" s="2">
        <f t="shared" si="7"/>
        <v>0.2280109043113217</v>
      </c>
      <c r="BU11" s="2">
        <v>-1.5998505322900564E-2</v>
      </c>
      <c r="BV11" s="2">
        <f t="shared" si="8"/>
        <v>1.3956427682077486E-3</v>
      </c>
      <c r="BW11" s="2">
        <f t="shared" si="9"/>
        <v>-7.6969758822770966E-4</v>
      </c>
      <c r="BX11" s="2">
        <f t="shared" si="10"/>
        <v>4.3687772838983063E-2</v>
      </c>
      <c r="BY11"/>
      <c r="BZ11" s="2">
        <v>7</v>
      </c>
      <c r="CA11" s="2">
        <f t="shared" si="23"/>
        <v>0.16247924505284711</v>
      </c>
      <c r="CB11" s="2">
        <v>-5.9236936411692899E-2</v>
      </c>
      <c r="CC11" s="2">
        <f t="shared" si="24"/>
        <v>0.20616701789183017</v>
      </c>
      <c r="CD11" s="2">
        <v>5.7804947877653501E-2</v>
      </c>
      <c r="CE11" s="2">
        <f t="shared" si="11"/>
        <v>0.18432313147233864</v>
      </c>
      <c r="CF11" s="2">
        <v>3.3331491077011333E-3</v>
      </c>
      <c r="CG11" s="2">
        <f t="shared" si="12"/>
        <v>-1.9744554174358297E-4</v>
      </c>
      <c r="CH11" s="2">
        <f t="shared" si="13"/>
        <v>1.926725104391113E-4</v>
      </c>
      <c r="CI11" s="2">
        <f t="shared" si="14"/>
        <v>4.3687772838983063E-2</v>
      </c>
    </row>
    <row r="12" spans="2:87" x14ac:dyDescent="0.2">
      <c r="B12" s="54" t="s">
        <v>12</v>
      </c>
      <c r="C12" s="54"/>
      <c r="D12" s="54"/>
      <c r="F12" s="6" t="s">
        <v>217</v>
      </c>
      <c r="G12" s="4" t="str">
        <f>IF(ABS(G11)&lt;1, "TRUE", "FALSE")</f>
        <v>TRUE</v>
      </c>
      <c r="J12" s="10" t="s">
        <v>82</v>
      </c>
      <c r="K12" s="6">
        <f>C5</f>
        <v>2178.44527556</v>
      </c>
      <c r="L12" s="6" t="s">
        <v>7</v>
      </c>
      <c r="U12" s="2">
        <v>8</v>
      </c>
      <c r="V12" s="2">
        <f t="shared" si="15"/>
        <v>1.953125E-2</v>
      </c>
      <c r="W12" s="2">
        <f t="shared" si="0"/>
        <v>1.306028879215021E-3</v>
      </c>
      <c r="X12" s="2">
        <f t="shared" si="16"/>
        <v>2.34375E-2</v>
      </c>
      <c r="Y12" s="2">
        <f t="shared" si="1"/>
        <v>-2.6068613458328019E-3</v>
      </c>
      <c r="Z12" s="2">
        <f t="shared" si="3"/>
        <v>2.1484375E-2</v>
      </c>
      <c r="AA12" s="2">
        <f t="shared" si="2"/>
        <v>-6.5026827334079343E-4</v>
      </c>
      <c r="AB12" s="2">
        <f t="shared" si="4"/>
        <v>-8.492691442203633E-7</v>
      </c>
      <c r="AC12" s="2">
        <f t="shared" si="5"/>
        <v>1.6951592261935529E-6</v>
      </c>
      <c r="AD12" s="2">
        <f t="shared" si="6"/>
        <v>3.90625E-3</v>
      </c>
      <c r="AF12" s="2">
        <v>8</v>
      </c>
      <c r="AG12" s="2">
        <f t="shared" si="25"/>
        <v>2152.34375</v>
      </c>
      <c r="AH12" s="2">
        <v>-16.92234635834302</v>
      </c>
      <c r="AI12" s="2">
        <f t="shared" si="26"/>
        <v>2187.5</v>
      </c>
      <c r="AJ12" s="2">
        <v>5.8661077849030789</v>
      </c>
      <c r="AK12" s="2">
        <f t="shared" si="17"/>
        <v>2169.921875</v>
      </c>
      <c r="AL12" s="2">
        <v>-5.523977724429642</v>
      </c>
      <c r="AM12" s="2">
        <f t="shared" si="18"/>
        <v>93.47866432856992</v>
      </c>
      <c r="AN12" s="2">
        <f t="shared" si="19"/>
        <v>-32.404248732907917</v>
      </c>
      <c r="AO12" s="2">
        <f t="shared" si="20"/>
        <v>35.15625</v>
      </c>
      <c r="AQ12" s="67"/>
      <c r="AR12" s="3" t="s">
        <v>219</v>
      </c>
      <c r="AS12" s="26"/>
      <c r="AT12"/>
      <c r="AU12" s="4" t="s">
        <v>184</v>
      </c>
      <c r="AV12" s="38">
        <f>AV11*AV5/1000</f>
        <v>67.680666731499471</v>
      </c>
      <c r="AW12" s="26" t="s">
        <v>104</v>
      </c>
      <c r="AX12"/>
      <c r="AY12" s="63" t="s">
        <v>185</v>
      </c>
      <c r="AZ12" s="63"/>
      <c r="BA12" s="63"/>
      <c r="BB12"/>
      <c r="BC12" s="63" t="s">
        <v>186</v>
      </c>
      <c r="BD12" s="63"/>
      <c r="BE12" s="63"/>
      <c r="BF12"/>
      <c r="BG12" s="2" t="s">
        <v>187</v>
      </c>
      <c r="BH12" s="2">
        <f>IF(BH7&lt;$AZ$49, $AV$50*BH7^6 + $AW$50*BH7^5 + $AX$50*BH7^4 + $AV$51*BH7^3 + $AW$51*BH7^2 + $AX$51*BH7 + $AV$52, IF(BH7&gt;$BA$49, $BB$50*BH7^6 + $BC$50*BH7^5 + $BD$50*BH7^4 + $BB$51*BH7^3 + $BC$51*BH7^2 + $BD$51*BH7 + $BB$52, $AY$50*BH7^6 + $AZ$50*BH7^5 + $BA$50*BH7^4 + $AY$51*BH7^3 + $AZ$51*BH7^2 + $BA$51*BH7 + $AY$52) )</f>
        <v>0.53922210526179093</v>
      </c>
      <c r="BI12" s="2"/>
      <c r="BJ12" s="2"/>
      <c r="BK12" s="2" t="s">
        <v>187</v>
      </c>
      <c r="BL12" s="2">
        <f>IF(BL7&lt;$AZ$49, $AV$50*BL7^6 + $AW$50*BL7^5 + $AX$50*BL7^4 + $AV$51*BL7^3 + $AW$51*BL7^2 + $AX$51*BL7 + $AV$52, IF(BL7&gt;$BA$49, $BB$50*BL7^6 + $BC$50*BL7^5 + $BD$50*BL7^4 + $BB$51*BL7^3 + $BC$51*BL7^2 + $BD$51*BL7 + $BB$52, $AY$50*BL7^6 + $AZ$50*BL7^5 + $BA$50*BL7^4 + $AY$51*BL7^3 + $AZ$51*BL7^2 + $BA$51*BL7 + $AY$52) )</f>
        <v>0.72155834943636599</v>
      </c>
      <c r="BM12" s="2"/>
      <c r="BN12"/>
      <c r="BO12" s="2">
        <v>8</v>
      </c>
      <c r="BP12" s="2">
        <f t="shared" si="21"/>
        <v>0.2280109043113217</v>
      </c>
      <c r="BQ12" s="2">
        <v>-1.5998505322900564E-2</v>
      </c>
      <c r="BR12" s="2">
        <f t="shared" si="22"/>
        <v>0.24985479073081324</v>
      </c>
      <c r="BS12" s="2">
        <v>4.8110593626890255E-2</v>
      </c>
      <c r="BT12" s="2">
        <f t="shared" si="7"/>
        <v>0.23893284752106747</v>
      </c>
      <c r="BU12" s="2">
        <v>1.6838732842921172E-2</v>
      </c>
      <c r="BV12" s="2">
        <f t="shared" si="8"/>
        <v>-2.693945570183749E-4</v>
      </c>
      <c r="BW12" s="2">
        <f t="shared" si="9"/>
        <v>8.1012143299755103E-4</v>
      </c>
      <c r="BX12" s="2">
        <f t="shared" si="10"/>
        <v>2.1843886419491532E-2</v>
      </c>
      <c r="BY12"/>
      <c r="BZ12" s="2">
        <v>8</v>
      </c>
      <c r="CA12" s="2">
        <f t="shared" si="23"/>
        <v>0.16247924505284711</v>
      </c>
      <c r="CB12" s="2">
        <v>-5.9236936411692899E-2</v>
      </c>
      <c r="CC12" s="2">
        <f t="shared" si="24"/>
        <v>0.18432313147233864</v>
      </c>
      <c r="CD12" s="2">
        <v>3.3331491077011333E-3</v>
      </c>
      <c r="CE12" s="2">
        <f t="shared" si="11"/>
        <v>0.17340118826259288</v>
      </c>
      <c r="CF12" s="2">
        <v>-2.6764388304763305E-2</v>
      </c>
      <c r="CG12" s="2">
        <f t="shared" si="12"/>
        <v>1.585440368107121E-3</v>
      </c>
      <c r="CH12" s="2">
        <f t="shared" si="13"/>
        <v>-8.9209696996188459E-5</v>
      </c>
      <c r="CI12" s="2">
        <f t="shared" si="14"/>
        <v>2.1843886419491532E-2</v>
      </c>
    </row>
    <row r="13" spans="2:87" x14ac:dyDescent="0.2">
      <c r="B13" s="6" t="s">
        <v>71</v>
      </c>
      <c r="C13" s="6">
        <f>C25*100</f>
        <v>600</v>
      </c>
      <c r="D13" s="6" t="s">
        <v>7</v>
      </c>
      <c r="F13" s="42" t="s">
        <v>85</v>
      </c>
      <c r="G13" s="43">
        <f>$C$18 * AV12</f>
        <v>270.72266692599788</v>
      </c>
      <c r="H13" s="43" t="s">
        <v>104</v>
      </c>
      <c r="J13" s="11" t="s">
        <v>55</v>
      </c>
      <c r="K13" s="6">
        <f xml:space="preserve"> K8 * 1000 / ($C$36 * $C$37 * $C$38)</f>
        <v>779.61270268827536</v>
      </c>
      <c r="L13" s="6" t="s">
        <v>7</v>
      </c>
      <c r="N13" s="57" t="s">
        <v>76</v>
      </c>
      <c r="O13" s="59"/>
      <c r="P13" s="59"/>
      <c r="U13" s="2">
        <v>9</v>
      </c>
      <c r="V13" s="2">
        <f t="shared" si="15"/>
        <v>1.953125E-2</v>
      </c>
      <c r="W13" s="2">
        <f t="shared" si="0"/>
        <v>1.306028879215021E-3</v>
      </c>
      <c r="X13" s="2">
        <f t="shared" si="16"/>
        <v>2.1484375E-2</v>
      </c>
      <c r="Y13" s="2">
        <f t="shared" si="1"/>
        <v>-6.5026827334079343E-4</v>
      </c>
      <c r="Z13" s="2">
        <f t="shared" si="3"/>
        <v>2.05078125E-2</v>
      </c>
      <c r="AA13" s="2">
        <f t="shared" si="2"/>
        <v>3.2791739167863099E-4</v>
      </c>
      <c r="AB13" s="2">
        <f t="shared" si="4"/>
        <v>4.2826958352915549E-7</v>
      </c>
      <c r="AC13" s="2">
        <f t="shared" si="5"/>
        <v>-2.1323427608528003E-7</v>
      </c>
      <c r="AD13" s="2">
        <f t="shared" si="6"/>
        <v>1.953125E-3</v>
      </c>
      <c r="AF13" s="2">
        <v>9</v>
      </c>
      <c r="AG13" s="2">
        <f t="shared" si="25"/>
        <v>2169.921875</v>
      </c>
      <c r="AH13" s="2">
        <v>-5.523977724429642</v>
      </c>
      <c r="AI13" s="2">
        <f t="shared" si="26"/>
        <v>2187.5</v>
      </c>
      <c r="AJ13" s="2">
        <v>5.8661077849030789</v>
      </c>
      <c r="AK13" s="2">
        <f t="shared" si="17"/>
        <v>2178.7109375</v>
      </c>
      <c r="AL13" s="2">
        <v>0.17211434718683449</v>
      </c>
      <c r="AM13" s="2">
        <f t="shared" si="18"/>
        <v>-0.95075581991482339</v>
      </c>
      <c r="AN13" s="2">
        <f t="shared" si="19"/>
        <v>1.0096413119262011</v>
      </c>
      <c r="AO13" s="2">
        <f t="shared" si="20"/>
        <v>17.578125</v>
      </c>
      <c r="AQ13" s="67"/>
      <c r="AR13" s="3" t="s">
        <v>219</v>
      </c>
      <c r="AS13" s="26"/>
      <c r="AT13"/>
      <c r="AU13"/>
      <c r="AV13"/>
      <c r="AW13"/>
      <c r="AX13"/>
      <c r="AY13" s="2" t="s">
        <v>153</v>
      </c>
      <c r="AZ13" s="2">
        <f>$AR$21-$AR$20</f>
        <v>0.44000000000000017</v>
      </c>
      <c r="BA13" s="26" t="s">
        <v>8</v>
      </c>
      <c r="BB13"/>
      <c r="BC13" s="2" t="s">
        <v>153</v>
      </c>
      <c r="BD13" s="2">
        <f>$AR$22-$AR$21</f>
        <v>0.43999999999999995</v>
      </c>
      <c r="BE13" s="26" t="s">
        <v>8</v>
      </c>
      <c r="BF13"/>
      <c r="BG13" s="2" t="s">
        <v>188</v>
      </c>
      <c r="BH13" s="2">
        <f>IF(BH7&lt;$AZ$49, $AV$53*BH7^6 + $AW$53*BH7^5 + $AX$53*BH7^4 + $AV$54*BH7^3 + $AW$54*BH7^2 + $AX$54*BH7 + $AV$55, IF(BH7&gt;$BA$49, $BB$53*BH7^6 + $BC$53*BH7^5 + $BD$53*BH7^4 + $BB$54*BH7^3 + $BC$54*BH7^2 + $BD$54*BH7 + $BB$55, $AY$53*BH7^6 + $AZ$53*BH7^5 + $BA$53*BH7^4 + $AY$54*BH7^3 + $AZ$54*BH7^2 + $BA$54*BH7 + $AY$55) )</f>
        <v>2.5882704311639949E-2</v>
      </c>
      <c r="BI13" s="2"/>
      <c r="BJ13" s="2"/>
      <c r="BK13" s="2" t="s">
        <v>188</v>
      </c>
      <c r="BL13" s="2">
        <f>IF(BL7&lt;$AZ$49, $AV$53*BL7^6 + $AW$53*BL7^5 + $AX$53*BL7^4 + $AV$54*BL7^3 + $AW$54*BL7^2 + $AX$54*BL7 + $AV$55, IF(BL7&gt;$BA$49, $BB$53*BL7^6 + $BC$53*BL7^5 + $BD$53*BL7^4 + $BB$54*BL7^3 + $BC$54*BL7^2 + $BD$54*BL7 + $BB$55, $AY$53*BL7^6 + $AZ$53*BL7^5 + $BA$53*BL7^4 + $AY$54*BL7^3 + $AZ$54*BL7^2 + $BA$54*BL7 + $AY$55) )</f>
        <v>1.9643995686479631E-2</v>
      </c>
      <c r="BM13" s="2"/>
      <c r="BN13"/>
      <c r="BO13" s="2">
        <v>9</v>
      </c>
      <c r="BP13" s="2">
        <f t="shared" si="21"/>
        <v>0.2280109043113217</v>
      </c>
      <c r="BQ13" s="2">
        <v>-1.5998505322900564E-2</v>
      </c>
      <c r="BR13" s="2">
        <f t="shared" si="22"/>
        <v>0.23893284752106747</v>
      </c>
      <c r="BS13" s="2">
        <v>1.6838732842921172E-2</v>
      </c>
      <c r="BT13" s="2">
        <f t="shared" si="7"/>
        <v>0.23347187591619459</v>
      </c>
      <c r="BU13" s="2">
        <v>6.2772044406378402E-4</v>
      </c>
      <c r="BV13" s="2">
        <f t="shared" si="8"/>
        <v>-1.0042588865647955E-5</v>
      </c>
      <c r="BW13" s="2">
        <f t="shared" si="9"/>
        <v>1.0570016857629903E-5</v>
      </c>
      <c r="BX13" s="2">
        <f t="shared" si="10"/>
        <v>1.0921943209745766E-2</v>
      </c>
      <c r="BY13"/>
      <c r="BZ13" s="2">
        <v>9</v>
      </c>
      <c r="CA13" s="2">
        <f t="shared" si="23"/>
        <v>0.17340118826259288</v>
      </c>
      <c r="CB13" s="2">
        <v>-2.6764388304763305E-2</v>
      </c>
      <c r="CC13" s="2">
        <f t="shared" si="24"/>
        <v>0.18432313147233864</v>
      </c>
      <c r="CD13" s="2">
        <v>3.3331491077011333E-3</v>
      </c>
      <c r="CE13" s="2">
        <f t="shared" si="11"/>
        <v>0.17886215986746576</v>
      </c>
      <c r="CF13" s="2">
        <v>-1.144384574666131E-2</v>
      </c>
      <c r="CG13" s="2">
        <f t="shared" si="12"/>
        <v>3.0628753126345725E-4</v>
      </c>
      <c r="CH13" s="2">
        <f t="shared" si="13"/>
        <v>-3.8144044239153552E-5</v>
      </c>
      <c r="CI13" s="2">
        <f t="shared" si="14"/>
        <v>1.0921943209745766E-2</v>
      </c>
    </row>
    <row r="14" spans="2:87" x14ac:dyDescent="0.2">
      <c r="B14" s="6" t="s">
        <v>13</v>
      </c>
      <c r="C14" s="17">
        <v>96000</v>
      </c>
      <c r="D14" s="6" t="s">
        <v>8</v>
      </c>
      <c r="J14" s="12" t="s">
        <v>135</v>
      </c>
      <c r="K14" s="6">
        <f xml:space="preserve"> $C$54 * $C$18 * (0.0095 * MAX(G9,O19,G26) - 1.9275)</f>
        <v>156.36053104331123</v>
      </c>
      <c r="L14" s="6" t="s">
        <v>7</v>
      </c>
      <c r="N14" s="6" t="s">
        <v>77</v>
      </c>
      <c r="O14" s="6">
        <f xml:space="preserve"> SQRT( ($C$5*$C$50)^2 + O10^2)</f>
        <v>21385.333032014634</v>
      </c>
      <c r="P14" s="6" t="s">
        <v>22</v>
      </c>
      <c r="U14" s="2">
        <v>10</v>
      </c>
      <c r="V14" s="2">
        <f t="shared" si="15"/>
        <v>2.05078125E-2</v>
      </c>
      <c r="W14" s="2">
        <f t="shared" si="0"/>
        <v>3.2791739167863099E-4</v>
      </c>
      <c r="X14" s="2">
        <f t="shared" si="16"/>
        <v>2.1484375E-2</v>
      </c>
      <c r="Y14" s="2">
        <f t="shared" si="1"/>
        <v>-6.5026827334079343E-4</v>
      </c>
      <c r="Z14" s="2">
        <f t="shared" si="3"/>
        <v>2.099609375E-2</v>
      </c>
      <c r="AA14" s="2">
        <f t="shared" si="2"/>
        <v>-1.611661806534756E-4</v>
      </c>
      <c r="AB14" s="2">
        <f t="shared" si="4"/>
        <v>-5.2849193586694755E-8</v>
      </c>
      <c r="AC14" s="2">
        <f t="shared" si="5"/>
        <v>1.0480125401446597E-7</v>
      </c>
      <c r="AD14" s="2">
        <f t="shared" si="6"/>
        <v>9.765625E-4</v>
      </c>
      <c r="AF14" s="2">
        <v>10</v>
      </c>
      <c r="AG14" s="2">
        <f t="shared" si="25"/>
        <v>2169.921875</v>
      </c>
      <c r="AH14" s="2">
        <v>-5.523977724429642</v>
      </c>
      <c r="AI14" s="2">
        <f t="shared" si="26"/>
        <v>2178.7109375</v>
      </c>
      <c r="AJ14" s="2">
        <v>0.17211434718683449</v>
      </c>
      <c r="AK14" s="2">
        <f t="shared" si="17"/>
        <v>2174.31640625</v>
      </c>
      <c r="AL14" s="2">
        <v>-2.6756803661653521</v>
      </c>
      <c r="AM14" s="2">
        <f t="shared" si="18"/>
        <v>14.780398740391153</v>
      </c>
      <c r="AN14" s="2">
        <f t="shared" si="19"/>
        <v>-0.46052297950317983</v>
      </c>
      <c r="AO14" s="2">
        <f t="shared" si="20"/>
        <v>8.7890625</v>
      </c>
      <c r="AQ14" s="67"/>
      <c r="AR14" s="3" t="s">
        <v>219</v>
      </c>
      <c r="AS14" s="26"/>
      <c r="AT14"/>
      <c r="AU14" s="61" t="s">
        <v>189</v>
      </c>
      <c r="AV14" s="61"/>
      <c r="AW14" s="61"/>
      <c r="AX14"/>
      <c r="AY14" s="2" t="s">
        <v>158</v>
      </c>
      <c r="AZ14" s="2">
        <f>(1+$BH$37)*$AR$3</f>
        <v>7.7812568086301628</v>
      </c>
      <c r="BA14" s="26" t="s">
        <v>10</v>
      </c>
      <c r="BB14"/>
      <c r="BC14" s="2" t="s">
        <v>158</v>
      </c>
      <c r="BD14" s="2">
        <f>(1+$BL$37)*$AR$3</f>
        <v>8.4947300672074864</v>
      </c>
      <c r="BE14" s="26" t="s">
        <v>10</v>
      </c>
      <c r="BF14"/>
      <c r="BG14" s="2" t="s">
        <v>190</v>
      </c>
      <c r="BH14" s="2">
        <f xml:space="preserve"> BH12*COS(BH4) - BH13*SIN(BH4)</f>
        <v>0.51863563169091187</v>
      </c>
      <c r="BI14" s="2"/>
      <c r="BJ14" s="2"/>
      <c r="BK14" s="2" t="s">
        <v>190</v>
      </c>
      <c r="BL14" s="2">
        <f xml:space="preserve"> BL12*COS(BL4) - BL13*SIN(BL4)</f>
        <v>0.7059238552329844</v>
      </c>
      <c r="BM14" s="2"/>
      <c r="BN14"/>
      <c r="BO14" s="2">
        <v>10</v>
      </c>
      <c r="BP14" s="2">
        <f t="shared" si="21"/>
        <v>0.2280109043113217</v>
      </c>
      <c r="BQ14" s="2">
        <v>-1.5998505322900564E-2</v>
      </c>
      <c r="BR14" s="2">
        <f t="shared" si="22"/>
        <v>0.23347187591619459</v>
      </c>
      <c r="BS14" s="2">
        <v>6.2772044406378402E-4</v>
      </c>
      <c r="BT14" s="2">
        <f t="shared" si="7"/>
        <v>0.23074139011375816</v>
      </c>
      <c r="BU14" s="2">
        <v>-7.6318736141832572E-3</v>
      </c>
      <c r="BV14" s="2">
        <f t="shared" si="8"/>
        <v>1.2209857064021521E-4</v>
      </c>
      <c r="BW14" s="2">
        <f t="shared" si="9"/>
        <v>-4.7906830941337901E-6</v>
      </c>
      <c r="BX14" s="2">
        <f t="shared" si="10"/>
        <v>5.4609716048728829E-3</v>
      </c>
      <c r="BY14"/>
      <c r="BZ14" s="2">
        <v>10</v>
      </c>
      <c r="CA14" s="2">
        <f t="shared" si="23"/>
        <v>0.17886215986746576</v>
      </c>
      <c r="CB14" s="2">
        <v>-1.144384574666131E-2</v>
      </c>
      <c r="CC14" s="2">
        <f t="shared" si="24"/>
        <v>0.18432313147233864</v>
      </c>
      <c r="CD14" s="2">
        <v>3.3331491077011333E-3</v>
      </c>
      <c r="CE14" s="2">
        <f t="shared" si="11"/>
        <v>0.18159264566990219</v>
      </c>
      <c r="CF14" s="2">
        <v>-3.9902257266451885E-3</v>
      </c>
      <c r="CG14" s="2">
        <f t="shared" si="12"/>
        <v>4.5663527710087074E-5</v>
      </c>
      <c r="CH14" s="2">
        <f t="shared" si="13"/>
        <v>-1.3300017320293516E-5</v>
      </c>
      <c r="CI14" s="2">
        <f t="shared" si="14"/>
        <v>5.4609716048728829E-3</v>
      </c>
    </row>
    <row r="15" spans="2:87" x14ac:dyDescent="0.2">
      <c r="B15" s="6" t="s">
        <v>263</v>
      </c>
      <c r="C15" s="17">
        <v>1</v>
      </c>
      <c r="F15" s="57" t="s">
        <v>89</v>
      </c>
      <c r="G15" s="58"/>
      <c r="H15" s="58"/>
      <c r="J15" s="12" t="s">
        <v>136</v>
      </c>
      <c r="K15" s="6">
        <f xml:space="preserve"> $C$54 * C18 * 0.0037 * C19^0.28 * (C9*3.28084)^1.5 * (G7*3.28084)^0.43 * (0.01742 * C19^0.66 * (C10*C9)*3.28084 * (C9*3.28084)^1.3 * (G7*3.28084)^0.67 + 9.80665*3.28084 * 0.5*(K14/C18)*2.20462)^0.55 * 0.453592</f>
        <v>256.48924564845782</v>
      </c>
      <c r="L15" s="6" t="s">
        <v>7</v>
      </c>
      <c r="N15" s="6" t="s">
        <v>78</v>
      </c>
      <c r="O15" s="6">
        <f>$C$5*$C$50/O14</f>
        <v>0.99834638052475522</v>
      </c>
      <c r="U15" s="2">
        <v>11</v>
      </c>
      <c r="V15" s="2">
        <f t="shared" si="15"/>
        <v>2.05078125E-2</v>
      </c>
      <c r="W15" s="2">
        <f t="shared" si="0"/>
        <v>3.2791739167863099E-4</v>
      </c>
      <c r="X15" s="2">
        <f t="shared" si="16"/>
        <v>2.099609375E-2</v>
      </c>
      <c r="Y15" s="2">
        <f t="shared" si="1"/>
        <v>-1.611661806534756E-4</v>
      </c>
      <c r="Z15" s="2">
        <f t="shared" si="3"/>
        <v>2.0751953125E-2</v>
      </c>
      <c r="AA15" s="2">
        <f t="shared" si="2"/>
        <v>8.3377922079033717E-5</v>
      </c>
      <c r="AB15" s="2">
        <f t="shared" si="4"/>
        <v>2.7341070731740873E-8</v>
      </c>
      <c r="AC15" s="2">
        <f t="shared" si="5"/>
        <v>-1.3437701252300959E-8</v>
      </c>
      <c r="AD15" s="2">
        <f t="shared" si="6"/>
        <v>4.8828125E-4</v>
      </c>
      <c r="AF15" s="2">
        <v>11</v>
      </c>
      <c r="AG15" s="2">
        <f t="shared" si="25"/>
        <v>2174.31640625</v>
      </c>
      <c r="AH15" s="2">
        <v>-2.6756803661653521</v>
      </c>
      <c r="AI15" s="2">
        <f t="shared" si="26"/>
        <v>2178.7109375</v>
      </c>
      <c r="AJ15" s="2">
        <v>0.17211434718683449</v>
      </c>
      <c r="AK15" s="2">
        <f t="shared" si="17"/>
        <v>2176.513671875</v>
      </c>
      <c r="AL15" s="2">
        <v>-1.251723036049043</v>
      </c>
      <c r="AM15" s="2">
        <f t="shared" si="18"/>
        <v>3.3492107514333096</v>
      </c>
      <c r="AN15" s="2">
        <f t="shared" si="19"/>
        <v>-0.21543949320830352</v>
      </c>
      <c r="AO15" s="2">
        <f t="shared" si="20"/>
        <v>4.39453125</v>
      </c>
      <c r="AQ15" s="67"/>
      <c r="AR15" s="3" t="s">
        <v>219</v>
      </c>
      <c r="AS15" s="26"/>
      <c r="AT15"/>
      <c r="AU15" s="2" t="s">
        <v>191</v>
      </c>
      <c r="AV15" s="2">
        <f>AV10*(AR3/2 + SQRT( (AR3/2)^2 + AV10/(2*AR45*PI()*AV3^2) ) )/1000</f>
        <v>45.519463100189817</v>
      </c>
      <c r="AW15" s="26" t="s">
        <v>104</v>
      </c>
      <c r="AX15"/>
      <c r="AY15" s="2" t="s">
        <v>163</v>
      </c>
      <c r="AZ15" s="2">
        <f>(1-$BH$38)*$AV$5*$AR$21</f>
        <v>50.698514201972579</v>
      </c>
      <c r="BA15" s="26" t="s">
        <v>10</v>
      </c>
      <c r="BB15"/>
      <c r="BC15" s="2" t="s">
        <v>163</v>
      </c>
      <c r="BD15" s="2">
        <f>(1-$BL$38)*$AV$5*$AR$22</f>
        <v>65.086360590930965</v>
      </c>
      <c r="BE15" s="26" t="s">
        <v>10</v>
      </c>
      <c r="BF15"/>
      <c r="BG15" s="2" t="s">
        <v>192</v>
      </c>
      <c r="BH15" s="2">
        <f xml:space="preserve"> BH12*SIN(BH4) + BH13*COS(BH4)</f>
        <v>0.14982481345227988</v>
      </c>
      <c r="BI15" s="2"/>
      <c r="BJ15" s="2"/>
      <c r="BK15" s="2" t="s">
        <v>192</v>
      </c>
      <c r="BL15" s="2">
        <f xml:space="preserve"> BL12*SIN(BL4) + BL13*COS(BL4)</f>
        <v>0.15067796395247612</v>
      </c>
      <c r="BM15" s="2"/>
      <c r="BN15"/>
      <c r="BO15" s="2">
        <v>11</v>
      </c>
      <c r="BP15" s="2">
        <f t="shared" si="21"/>
        <v>0.23074139011375816</v>
      </c>
      <c r="BQ15" s="2">
        <v>-7.6318736141832572E-3</v>
      </c>
      <c r="BR15" s="2">
        <f t="shared" si="22"/>
        <v>0.23347187591619459</v>
      </c>
      <c r="BS15" s="2">
        <v>6.2772044406378402E-4</v>
      </c>
      <c r="BT15" s="2">
        <f t="shared" si="7"/>
        <v>0.23210663301497636</v>
      </c>
      <c r="BU15" s="2">
        <v>-3.4889050566220825E-3</v>
      </c>
      <c r="BV15" s="2">
        <f t="shared" si="8"/>
        <v>2.6626882444024613E-5</v>
      </c>
      <c r="BW15" s="2">
        <f t="shared" si="9"/>
        <v>-2.1900570314391951E-6</v>
      </c>
      <c r="BX15" s="2">
        <f t="shared" si="10"/>
        <v>2.7304858024364276E-3</v>
      </c>
      <c r="BY15"/>
      <c r="BZ15" s="2">
        <v>11</v>
      </c>
      <c r="CA15" s="2">
        <f t="shared" si="23"/>
        <v>0.18159264566990219</v>
      </c>
      <c r="CB15" s="2">
        <v>-3.9902257266451885E-3</v>
      </c>
      <c r="CC15" s="2">
        <f t="shared" si="24"/>
        <v>0.18432313147233864</v>
      </c>
      <c r="CD15" s="2">
        <v>3.3331491077011333E-3</v>
      </c>
      <c r="CE15" s="2">
        <f t="shared" si="11"/>
        <v>0.18295788857112041</v>
      </c>
      <c r="CF15" s="2">
        <v>-3.1259262821853318E-4</v>
      </c>
      <c r="CG15" s="2">
        <f t="shared" si="12"/>
        <v>1.2473151470772258E-6</v>
      </c>
      <c r="CH15" s="2">
        <f t="shared" si="13"/>
        <v>-1.0419178398205559E-6</v>
      </c>
      <c r="CI15" s="2">
        <f t="shared" si="14"/>
        <v>2.7304858024364553E-3</v>
      </c>
    </row>
    <row r="16" spans="2:87" x14ac:dyDescent="0.2">
      <c r="F16" s="9" t="s">
        <v>92</v>
      </c>
      <c r="G16" s="6">
        <f xml:space="preserve"> $C$14/$C$8</f>
        <v>1920</v>
      </c>
      <c r="H16" s="6" t="s">
        <v>14</v>
      </c>
      <c r="J16" s="13" t="s">
        <v>56</v>
      </c>
      <c r="K16" s="6">
        <f xml:space="preserve"> $C$54 * 0.2138 * K4</f>
        <v>69.456607426534021</v>
      </c>
      <c r="L16" s="6" t="s">
        <v>7</v>
      </c>
      <c r="O16" s="6">
        <f>O18/180*PI()</f>
        <v>5.7516526654749038E-2</v>
      </c>
      <c r="U16" s="2">
        <v>12</v>
      </c>
      <c r="V16" s="2">
        <f t="shared" si="15"/>
        <v>2.0751953125E-2</v>
      </c>
      <c r="W16" s="2">
        <f t="shared" si="0"/>
        <v>8.3377922079033717E-5</v>
      </c>
      <c r="X16" s="2">
        <f t="shared" si="16"/>
        <v>2.099609375E-2</v>
      </c>
      <c r="Y16" s="2">
        <f t="shared" si="1"/>
        <v>-1.611661806534756E-4</v>
      </c>
      <c r="Z16" s="2">
        <f t="shared" si="3"/>
        <v>2.08740234375E-2</v>
      </c>
      <c r="AA16" s="2">
        <f t="shared" si="2"/>
        <v>-3.8893550334546945E-5</v>
      </c>
      <c r="AB16" s="2">
        <f t="shared" si="4"/>
        <v>-3.2428634091708311E-9</v>
      </c>
      <c r="AC16" s="2">
        <f t="shared" si="5"/>
        <v>6.2683249594726396E-9</v>
      </c>
      <c r="AD16" s="2">
        <f t="shared" si="6"/>
        <v>2.44140625E-4</v>
      </c>
      <c r="AF16" s="2">
        <v>12</v>
      </c>
      <c r="AG16" s="2">
        <f t="shared" si="25"/>
        <v>2176.513671875</v>
      </c>
      <c r="AH16" s="2">
        <v>-1.251723036049043</v>
      </c>
      <c r="AI16" s="2">
        <f t="shared" si="26"/>
        <v>2178.7109375</v>
      </c>
      <c r="AJ16" s="2">
        <v>0.17211434718683449</v>
      </c>
      <c r="AK16" s="2">
        <f t="shared" si="17"/>
        <v>2177.6123046875</v>
      </c>
      <c r="AL16" s="2">
        <v>-0.5397943638893139</v>
      </c>
      <c r="AM16" s="2">
        <f t="shared" si="18"/>
        <v>0.67567304000969386</v>
      </c>
      <c r="AN16" s="2">
        <f t="shared" si="19"/>
        <v>-9.2906354555941845E-2</v>
      </c>
      <c r="AO16" s="2">
        <f t="shared" si="20"/>
        <v>2.197265625</v>
      </c>
      <c r="AQ16" s="67"/>
      <c r="AR16" s="3" t="s">
        <v>219</v>
      </c>
      <c r="AS16" s="26"/>
      <c r="AT16"/>
      <c r="AU16" s="2" t="s">
        <v>193</v>
      </c>
      <c r="AV16" s="2">
        <f>AV15/AV12</f>
        <v>0.67256227366632104</v>
      </c>
      <c r="AW16" s="26"/>
      <c r="AX16"/>
      <c r="AY16" s="2" t="s">
        <v>167</v>
      </c>
      <c r="AZ16" s="2">
        <f>SQRT(AZ14^2 + AZ15^2)</f>
        <v>51.292175814732879</v>
      </c>
      <c r="BA16" s="26" t="s">
        <v>10</v>
      </c>
      <c r="BB16"/>
      <c r="BC16" s="2" t="s">
        <v>167</v>
      </c>
      <c r="BD16" s="2">
        <f>SQRT(BD14^2 + BD15^2)</f>
        <v>65.638363583253735</v>
      </c>
      <c r="BE16" s="26" t="s">
        <v>10</v>
      </c>
      <c r="BF16"/>
      <c r="BG16" s="2" t="s">
        <v>38</v>
      </c>
      <c r="BH16" s="2">
        <f xml:space="preserve"> 4*BH11*SIN(BH4)*SIN(BH4) / (BH8*BH14)</f>
        <v>1.937682244503828</v>
      </c>
      <c r="BI16" s="2"/>
      <c r="BJ16" s="2"/>
      <c r="BK16" s="2" t="s">
        <v>38</v>
      </c>
      <c r="BL16" s="2">
        <f xml:space="preserve"> 4*BL11*SIN(BL4)*SIN(BL4) / (BL8*BL14)</f>
        <v>1.6059692758124722</v>
      </c>
      <c r="BM16" s="2"/>
      <c r="BN16"/>
      <c r="BO16" s="2">
        <v>12</v>
      </c>
      <c r="BP16" s="2">
        <f t="shared" si="21"/>
        <v>0.23210663301497636</v>
      </c>
      <c r="BQ16" s="2">
        <v>-3.4889050566220825E-3</v>
      </c>
      <c r="BR16" s="2">
        <f t="shared" si="22"/>
        <v>0.23347187591619459</v>
      </c>
      <c r="BS16" s="2">
        <v>6.2772044406378402E-4</v>
      </c>
      <c r="BT16" s="2">
        <f t="shared" si="7"/>
        <v>0.23278925446558546</v>
      </c>
      <c r="BU16" s="2">
        <v>-1.4273249041945185E-3</v>
      </c>
      <c r="BV16" s="2">
        <f t="shared" si="8"/>
        <v>4.9798010756868852E-6</v>
      </c>
      <c r="BW16" s="2">
        <f t="shared" si="9"/>
        <v>-8.9596102268428111E-7</v>
      </c>
      <c r="BX16" s="2">
        <f t="shared" si="10"/>
        <v>1.3652429012182277E-3</v>
      </c>
      <c r="BY16"/>
      <c r="BZ16" s="2">
        <v>12</v>
      </c>
      <c r="CA16" s="2">
        <f t="shared" si="23"/>
        <v>0.18295788857112041</v>
      </c>
      <c r="CB16" s="2">
        <v>-3.1259262821853318E-4</v>
      </c>
      <c r="CC16" s="2">
        <f t="shared" si="24"/>
        <v>0.18432313147233864</v>
      </c>
      <c r="CD16" s="2">
        <v>3.3331491077011333E-3</v>
      </c>
      <c r="CE16" s="2">
        <f t="shared" si="11"/>
        <v>0.18364051002172954</v>
      </c>
      <c r="CF16" s="2">
        <v>1.5142238318670842E-3</v>
      </c>
      <c r="CG16" s="2">
        <f t="shared" si="12"/>
        <v>-4.7333520731447015E-7</v>
      </c>
      <c r="CH16" s="2">
        <f t="shared" si="13"/>
        <v>5.0471338140475621E-6</v>
      </c>
      <c r="CI16" s="2">
        <f t="shared" si="14"/>
        <v>1.3652429012182277E-3</v>
      </c>
    </row>
    <row r="17" spans="2:87" x14ac:dyDescent="0.2">
      <c r="B17" s="56" t="s">
        <v>115</v>
      </c>
      <c r="C17" s="56"/>
      <c r="D17" s="56"/>
      <c r="F17" t="s">
        <v>130</v>
      </c>
      <c r="G17" s="8">
        <f>O20*$C$9</f>
        <v>188.49555921538757</v>
      </c>
      <c r="H17" s="6" t="s">
        <v>10</v>
      </c>
      <c r="J17" s="13" t="s">
        <v>80</v>
      </c>
      <c r="K17" s="6">
        <f xml:space="preserve"> $C$54 * 0.1149 * K4</f>
        <v>37.327241315756595</v>
      </c>
      <c r="L17" s="6" t="s">
        <v>7</v>
      </c>
      <c r="N17" s="57" t="s">
        <v>27</v>
      </c>
      <c r="O17" s="59"/>
      <c r="P17" s="59"/>
      <c r="U17" s="2">
        <v>13</v>
      </c>
      <c r="V17" s="2">
        <f t="shared" si="15"/>
        <v>2.0751953125E-2</v>
      </c>
      <c r="W17" s="2">
        <f t="shared" si="0"/>
        <v>8.3377922079033717E-5</v>
      </c>
      <c r="X17" s="2">
        <f t="shared" si="16"/>
        <v>2.08740234375E-2</v>
      </c>
      <c r="Y17" s="2">
        <f t="shared" si="1"/>
        <v>-3.8893550334546945E-5</v>
      </c>
      <c r="Z17" s="2">
        <f t="shared" si="3"/>
        <v>2.081298828125E-2</v>
      </c>
      <c r="AA17" s="2">
        <f t="shared" si="2"/>
        <v>2.2242330634112545E-5</v>
      </c>
      <c r="AB17" s="2">
        <f t="shared" si="4"/>
        <v>1.8545193104671403E-9</v>
      </c>
      <c r="AC17" s="2">
        <f t="shared" si="5"/>
        <v>-8.6508320607549174E-10</v>
      </c>
      <c r="AD17" s="2">
        <f t="shared" si="6"/>
        <v>1.220703125E-4</v>
      </c>
      <c r="AF17" s="2">
        <v>13</v>
      </c>
      <c r="AG17" s="2">
        <f t="shared" si="25"/>
        <v>2177.6123046875</v>
      </c>
      <c r="AH17" s="2">
        <v>-0.5397943638893139</v>
      </c>
      <c r="AI17" s="2">
        <f t="shared" si="26"/>
        <v>2178.7109375</v>
      </c>
      <c r="AJ17" s="2">
        <v>0.17211434718683449</v>
      </c>
      <c r="AK17" s="2">
        <f t="shared" si="17"/>
        <v>2178.16162109375</v>
      </c>
      <c r="AL17" s="2">
        <v>-0.18383919896814405</v>
      </c>
      <c r="AM17" s="2">
        <f t="shared" si="18"/>
        <v>9.9235363464930323E-2</v>
      </c>
      <c r="AN17" s="2">
        <f t="shared" si="19"/>
        <v>-3.1641363717752689E-2</v>
      </c>
      <c r="AO17" s="2">
        <f t="shared" si="20"/>
        <v>1.0986328125</v>
      </c>
      <c r="AQ17" s="67"/>
      <c r="AR17" s="3" t="s">
        <v>219</v>
      </c>
      <c r="AS17" s="26"/>
      <c r="AT17"/>
      <c r="AU17" s="2" t="s">
        <v>190</v>
      </c>
      <c r="AV17" s="2">
        <f>AV10/($AR$45*AV6^2*AR9^4)</f>
        <v>4.6335216170857438E-2</v>
      </c>
      <c r="AW17" s="2"/>
      <c r="AX17"/>
      <c r="AY17" s="2" t="s">
        <v>170</v>
      </c>
      <c r="AZ17" s="37">
        <f>$AR$45*AZ16*$AR$29/$AR$46</f>
        <v>827774.75193034671</v>
      </c>
      <c r="BA17" s="26"/>
      <c r="BB17"/>
      <c r="BC17" s="2" t="s">
        <v>170</v>
      </c>
      <c r="BD17" s="37">
        <f>$AR$45*BD16*$AR$30/$AR$46</f>
        <v>1027068.5692409009</v>
      </c>
      <c r="BE17" s="26"/>
      <c r="BF17"/>
      <c r="BG17" s="2" t="s">
        <v>194</v>
      </c>
      <c r="BH17" s="2">
        <f xml:space="preserve"> 4*BH11*SIN(BH4)*COS(BH4) / (BH8*BH15)</f>
        <v>28.231671495686804</v>
      </c>
      <c r="BI17" s="2"/>
      <c r="BJ17" s="2"/>
      <c r="BK17" s="2" t="s">
        <v>194</v>
      </c>
      <c r="BL17" s="2">
        <f xml:space="preserve"> 4*BL11*SIN(BL4)*COS(BL4) / (BL8*BL15)</f>
        <v>40.637525035597569</v>
      </c>
      <c r="BM17" s="2"/>
      <c r="BN17"/>
      <c r="BO17" s="2">
        <v>13</v>
      </c>
      <c r="BP17" s="2">
        <f t="shared" si="21"/>
        <v>0.23278925446558546</v>
      </c>
      <c r="BQ17" s="2">
        <v>-1.4273249041945185E-3</v>
      </c>
      <c r="BR17" s="2">
        <f t="shared" si="22"/>
        <v>0.23347187591619459</v>
      </c>
      <c r="BS17" s="2">
        <v>6.2772044406378402E-4</v>
      </c>
      <c r="BT17" s="2">
        <f t="shared" si="7"/>
        <v>0.23313056519089004</v>
      </c>
      <c r="BU17" s="2">
        <v>-3.989885314213959E-4</v>
      </c>
      <c r="BV17" s="2">
        <f t="shared" si="8"/>
        <v>5.6948626738575549E-7</v>
      </c>
      <c r="BW17" s="2">
        <f t="shared" si="9"/>
        <v>-2.5045325812019565E-7</v>
      </c>
      <c r="BX17" s="2">
        <f t="shared" si="10"/>
        <v>6.8262145060912771E-4</v>
      </c>
      <c r="BY17"/>
      <c r="BZ17" s="2">
        <v>13</v>
      </c>
      <c r="CA17" s="2">
        <f t="shared" si="23"/>
        <v>0.18295788857112041</v>
      </c>
      <c r="CB17" s="2">
        <v>-3.1259262821853318E-4</v>
      </c>
      <c r="CC17" s="2">
        <f t="shared" si="24"/>
        <v>0.18364051002172954</v>
      </c>
      <c r="CD17" s="2">
        <v>1.5142238318670842E-3</v>
      </c>
      <c r="CE17" s="2">
        <f t="shared" si="11"/>
        <v>0.18329919929642496</v>
      </c>
      <c r="CF17" s="2">
        <v>6.018070579278112E-4</v>
      </c>
      <c r="CG17" s="2">
        <f t="shared" si="12"/>
        <v>-1.8812044991811755E-7</v>
      </c>
      <c r="CH17" s="2">
        <f t="shared" si="13"/>
        <v>9.1127058930010663E-7</v>
      </c>
      <c r="CI17" s="2">
        <f t="shared" si="14"/>
        <v>6.8262145060912771E-4</v>
      </c>
    </row>
    <row r="18" spans="2:87" x14ac:dyDescent="0.2">
      <c r="B18" s="6" t="s">
        <v>97</v>
      </c>
      <c r="C18" s="17">
        <v>4</v>
      </c>
      <c r="F18" s="6" t="s">
        <v>133</v>
      </c>
      <c r="G18" s="6">
        <f>G17/$C$49</f>
        <v>0.56652610777154422</v>
      </c>
      <c r="H18" s="6" t="s">
        <v>131</v>
      </c>
      <c r="J18" s="14" t="s">
        <v>63</v>
      </c>
      <c r="K18" s="6">
        <f xml:space="preserve"> $C$55 * (14.86 * ($C$5*2.20462)^0.144 * ($C$26/(PI()*$C$27))^0.778 * ($C$26*3.28084)^0.383 * $C$25^0.455 * 0.453592)</f>
        <v>131.61554254686564</v>
      </c>
      <c r="L18" s="6" t="s">
        <v>7</v>
      </c>
      <c r="N18" s="6" t="s">
        <v>28</v>
      </c>
      <c r="O18" s="6">
        <f xml:space="preserve"> ACOS(O15)/PI()*180</f>
        <v>3.2954542295688234</v>
      </c>
      <c r="P18" s="6" t="s">
        <v>43</v>
      </c>
      <c r="U18" s="2">
        <v>14</v>
      </c>
      <c r="V18" s="2">
        <f t="shared" si="15"/>
        <v>2.081298828125E-2</v>
      </c>
      <c r="W18" s="2">
        <f t="shared" si="0"/>
        <v>2.2242330634112545E-5</v>
      </c>
      <c r="X18" s="2">
        <f t="shared" si="16"/>
        <v>2.08740234375E-2</v>
      </c>
      <c r="Y18" s="2">
        <f t="shared" si="1"/>
        <v>-3.8893550334546945E-5</v>
      </c>
      <c r="Z18" s="2">
        <f t="shared" si="3"/>
        <v>2.0843505859375E-2</v>
      </c>
      <c r="AA18" s="2">
        <f t="shared" si="2"/>
        <v>-8.3255736627076138E-6</v>
      </c>
      <c r="AB18" s="2">
        <f t="shared" si="4"/>
        <v>-1.8518016212460215E-10</v>
      </c>
      <c r="AC18" s="2">
        <f t="shared" si="5"/>
        <v>3.2381111831449694E-10</v>
      </c>
      <c r="AD18" s="2">
        <f t="shared" si="6"/>
        <v>6.103515625E-5</v>
      </c>
      <c r="AF18" s="2">
        <v>14</v>
      </c>
      <c r="AG18" s="2">
        <f t="shared" si="25"/>
        <v>2178.16162109375</v>
      </c>
      <c r="AH18" s="2">
        <v>-0.18383919896814405</v>
      </c>
      <c r="AI18" s="2">
        <f t="shared" si="26"/>
        <v>2178.7109375</v>
      </c>
      <c r="AJ18" s="2">
        <v>0.17211434718683449</v>
      </c>
      <c r="AK18" s="2">
        <f t="shared" si="17"/>
        <v>2178.436279296875</v>
      </c>
      <c r="AL18" s="2">
        <v>-5.8639158810365188E-3</v>
      </c>
      <c r="AM18" s="2">
        <f t="shared" si="18"/>
        <v>1.0780175983863324E-3</v>
      </c>
      <c r="AN18" s="2">
        <f t="shared" si="19"/>
        <v>-1.0092640538231119E-3</v>
      </c>
      <c r="AO18" s="2">
        <f t="shared" si="20"/>
        <v>0.54931640625</v>
      </c>
      <c r="AQ18" s="67"/>
      <c r="AR18" s="3" t="s">
        <v>219</v>
      </c>
      <c r="AT18"/>
      <c r="AU18" s="2" t="s">
        <v>192</v>
      </c>
      <c r="AV18" s="2">
        <f>AV11/($AR$45*AV6^2*AR9^5)</f>
        <v>2.2473868047421307E-3</v>
      </c>
      <c r="AW18" s="26"/>
      <c r="AX18"/>
      <c r="AY18" s="2" t="s">
        <v>174</v>
      </c>
      <c r="AZ18" s="33">
        <f xml:space="preserve"> $BH$27 * PI() * $AR$45 * AZ16^2 *$BH$33 * $AR$21 * AZ13</f>
        <v>370.2141154741596</v>
      </c>
      <c r="BA18" s="26" t="s">
        <v>22</v>
      </c>
      <c r="BB18"/>
      <c r="BC18" s="2" t="s">
        <v>174</v>
      </c>
      <c r="BD18" s="33">
        <f xml:space="preserve"> $BL$27 * PI() * $AR$45 * BD16^2 * $BL$33 * $AR$22 * BD13</f>
        <v>587.37263938438832</v>
      </c>
      <c r="BE18" s="26" t="s">
        <v>22</v>
      </c>
      <c r="BF18"/>
      <c r="BG18" s="2" t="s">
        <v>45</v>
      </c>
      <c r="BH18" s="2">
        <f>1/(BH16-1)</f>
        <v>1.0664593532206075</v>
      </c>
      <c r="BI18" s="2"/>
      <c r="BJ18" s="2"/>
      <c r="BK18" s="2" t="s">
        <v>45</v>
      </c>
      <c r="BL18" s="2">
        <f>1/(BL16-1)</f>
        <v>1.6502486840759687</v>
      </c>
      <c r="BM18" s="2"/>
      <c r="BN18"/>
      <c r="BO18" s="2">
        <v>14</v>
      </c>
      <c r="BP18" s="2">
        <f t="shared" si="21"/>
        <v>0.23313056519089004</v>
      </c>
      <c r="BQ18" s="2">
        <v>-3.989885314213959E-4</v>
      </c>
      <c r="BR18" s="2">
        <f t="shared" si="22"/>
        <v>0.23347187591619459</v>
      </c>
      <c r="BS18" s="2">
        <v>6.2772044406378402E-4</v>
      </c>
      <c r="BT18" s="2">
        <f t="shared" si="7"/>
        <v>0.2333012205535423</v>
      </c>
      <c r="BU18" s="2">
        <v>1.1456898904463331E-4</v>
      </c>
      <c r="BV18" s="2">
        <f t="shared" si="8"/>
        <v>-4.5711712685352238E-8</v>
      </c>
      <c r="BW18" s="2">
        <f t="shared" si="9"/>
        <v>7.1917296679036029E-8</v>
      </c>
      <c r="BX18" s="2">
        <f t="shared" si="10"/>
        <v>3.4131072530454998E-4</v>
      </c>
      <c r="BY18"/>
      <c r="BZ18" s="2">
        <v>14</v>
      </c>
      <c r="CA18" s="2">
        <f t="shared" si="23"/>
        <v>0.18295788857112041</v>
      </c>
      <c r="CB18" s="2">
        <v>-3.1259262821853318E-4</v>
      </c>
      <c r="CC18" s="2">
        <f t="shared" si="24"/>
        <v>0.18329919929642496</v>
      </c>
      <c r="CD18" s="2">
        <v>6.018070579278112E-4</v>
      </c>
      <c r="CE18" s="2">
        <f t="shared" si="11"/>
        <v>0.1831285439337727</v>
      </c>
      <c r="CF18" s="2">
        <v>1.4485571508411621E-4</v>
      </c>
      <c r="CG18" s="2">
        <f t="shared" si="12"/>
        <v>-4.5280828690618909E-8</v>
      </c>
      <c r="CH18" s="2">
        <f t="shared" si="13"/>
        <v>8.7175191718801241E-8</v>
      </c>
      <c r="CI18" s="2">
        <f t="shared" si="14"/>
        <v>3.4131072530454998E-4</v>
      </c>
    </row>
    <row r="19" spans="2:87" x14ac:dyDescent="0.2">
      <c r="B19" t="s">
        <v>114</v>
      </c>
      <c r="C19" s="1">
        <v>3</v>
      </c>
      <c r="D19"/>
      <c r="F19" s="9" t="s">
        <v>100</v>
      </c>
      <c r="G19" s="6">
        <f xml:space="preserve"> 1/1000 * (O24 + O19 * (O26 * O29 + $C$8 * SIN(O18/180*PI())))</f>
        <v>52.597246954906907</v>
      </c>
      <c r="H19" s="6" t="s">
        <v>104</v>
      </c>
      <c r="J19" s="14" t="s">
        <v>64</v>
      </c>
      <c r="K19" s="6">
        <f xml:space="preserve"> $C$55 * C31 * $C$5</f>
        <v>24.398587086272006</v>
      </c>
      <c r="L19" s="6" t="s">
        <v>7</v>
      </c>
      <c r="N19" s="6" t="s">
        <v>21</v>
      </c>
      <c r="O19" s="6">
        <f xml:space="preserve"> O14 / $C$18</f>
        <v>5346.3332580036586</v>
      </c>
      <c r="P19" s="6" t="s">
        <v>22</v>
      </c>
      <c r="U19" s="2">
        <v>15</v>
      </c>
      <c r="V19" s="2">
        <f t="shared" si="15"/>
        <v>2.081298828125E-2</v>
      </c>
      <c r="W19" s="2">
        <f t="shared" si="0"/>
        <v>2.2242330634112545E-5</v>
      </c>
      <c r="X19" s="2">
        <f t="shared" si="16"/>
        <v>2.0843505859375E-2</v>
      </c>
      <c r="Y19" s="2">
        <f t="shared" si="1"/>
        <v>-8.3255736627076138E-6</v>
      </c>
      <c r="Z19" s="2">
        <f t="shared" si="3"/>
        <v>2.08282470703125E-2</v>
      </c>
      <c r="AA19" s="2">
        <f t="shared" si="2"/>
        <v>6.9583875329480571E-6</v>
      </c>
      <c r="AB19" s="2">
        <f t="shared" si="4"/>
        <v>1.5477075618811739E-10</v>
      </c>
      <c r="AC19" s="2">
        <f t="shared" si="5"/>
        <v>-5.7932567979225356E-11</v>
      </c>
      <c r="AD19" s="2">
        <f t="shared" si="6"/>
        <v>3.0517578125E-5</v>
      </c>
      <c r="AF19" s="2">
        <v>15</v>
      </c>
      <c r="AG19" s="2">
        <f t="shared" si="25"/>
        <v>2178.436279296875</v>
      </c>
      <c r="AH19" s="2">
        <v>-5.8639158810365188E-3</v>
      </c>
      <c r="AI19" s="2">
        <f t="shared" si="26"/>
        <v>2178.7109375</v>
      </c>
      <c r="AJ19" s="2">
        <v>0.17211434718683449</v>
      </c>
      <c r="AK19" s="2">
        <f t="shared" si="17"/>
        <v>2178.5736083984375</v>
      </c>
      <c r="AL19" s="2">
        <v>8.3124843166388018E-2</v>
      </c>
      <c r="AM19" s="2">
        <f t="shared" si="18"/>
        <v>-4.8743708795205267E-4</v>
      </c>
      <c r="AN19" s="2">
        <f t="shared" si="19"/>
        <v>1.4306978116590874E-2</v>
      </c>
      <c r="AO19" s="2">
        <f t="shared" si="20"/>
        <v>0.274658203125</v>
      </c>
      <c r="AQ19" s="67" t="s">
        <v>195</v>
      </c>
      <c r="AR19" s="3">
        <f>0.175*($AR$9/2)</f>
        <v>0.7</v>
      </c>
      <c r="AS19" s="26" t="s">
        <v>8</v>
      </c>
      <c r="AT19"/>
      <c r="AU19" s="2" t="s">
        <v>196</v>
      </c>
      <c r="AV19" s="2">
        <f>2*PI()*AV18</f>
        <v>1.4120747751105034E-2</v>
      </c>
      <c r="AW19" s="26"/>
      <c r="AX19"/>
      <c r="AY19" s="2" t="s">
        <v>178</v>
      </c>
      <c r="AZ19" s="33">
        <f xml:space="preserve"> $BH$27 * PI() * $AR$45 * AZ16^2 * $BH$34 * $AR$21^2 * AZ13</f>
        <v>104.08880366724834</v>
      </c>
      <c r="BA19" s="26" t="s">
        <v>179</v>
      </c>
      <c r="BB19"/>
      <c r="BC19" s="2" t="s">
        <v>178</v>
      </c>
      <c r="BD19" s="33">
        <f xml:space="preserve"> $BL$27 * PI() * $AR$45 * BD16^2 * $BL$34 * $AR$22^2 * BD13</f>
        <v>183.93599589777489</v>
      </c>
      <c r="BE19" s="26" t="s">
        <v>179</v>
      </c>
      <c r="BF19"/>
      <c r="BG19" s="2" t="s">
        <v>197</v>
      </c>
      <c r="BH19" s="2">
        <f>1/(BH17+1)</f>
        <v>3.4209470373514295E-2</v>
      </c>
      <c r="BI19" s="2"/>
      <c r="BJ19" s="2"/>
      <c r="BK19" s="2" t="s">
        <v>197</v>
      </c>
      <c r="BL19" s="2">
        <f>1/(BL17+1)</f>
        <v>2.4016797327532327E-2</v>
      </c>
      <c r="BM19" s="2"/>
      <c r="BN19"/>
      <c r="BO19" s="2">
        <v>15</v>
      </c>
      <c r="BP19" s="2">
        <f t="shared" si="21"/>
        <v>0.23313056519089004</v>
      </c>
      <c r="BQ19" s="2">
        <v>-3.989885314213959E-4</v>
      </c>
      <c r="BR19" s="2">
        <f t="shared" si="22"/>
        <v>0.2333012205535423</v>
      </c>
      <c r="BS19" s="2">
        <v>1.1456898904463331E-4</v>
      </c>
      <c r="BT19" s="2">
        <f t="shared" si="7"/>
        <v>0.23321589287221617</v>
      </c>
      <c r="BU19" s="2">
        <v>-1.4215896410631201E-4</v>
      </c>
      <c r="BV19" s="2">
        <f t="shared" si="8"/>
        <v>5.6719796317164362E-8</v>
      </c>
      <c r="BW19" s="2">
        <f t="shared" si="9"/>
        <v>-1.6287008801292481E-8</v>
      </c>
      <c r="BX19" s="2">
        <f t="shared" si="10"/>
        <v>1.7065536265226111E-4</v>
      </c>
      <c r="BY19"/>
      <c r="BZ19" s="2">
        <v>15</v>
      </c>
      <c r="CA19" s="2">
        <f t="shared" si="23"/>
        <v>0.18295788857112041</v>
      </c>
      <c r="CB19" s="2">
        <v>-3.1259262821853318E-4</v>
      </c>
      <c r="CC19" s="2">
        <f t="shared" si="24"/>
        <v>0.1831285439337727</v>
      </c>
      <c r="CD19" s="2">
        <v>1.4485571508411621E-4</v>
      </c>
      <c r="CE19" s="2">
        <f t="shared" si="11"/>
        <v>0.18304321625244657</v>
      </c>
      <c r="CF19" s="2">
        <v>-8.3806251736165405E-5</v>
      </c>
      <c r="CG19" s="2">
        <f t="shared" si="12"/>
        <v>2.6197216491351953E-8</v>
      </c>
      <c r="CH19" s="2">
        <f t="shared" si="13"/>
        <v>-1.2139814523761695E-8</v>
      </c>
      <c r="CI19" s="2">
        <f t="shared" si="14"/>
        <v>1.7065536265228887E-4</v>
      </c>
    </row>
    <row r="20" spans="2:87" x14ac:dyDescent="0.2">
      <c r="B20" s="6" t="s">
        <v>128</v>
      </c>
      <c r="C20" s="6">
        <f>$C$19*$C$10/PI()</f>
        <v>6.1401977044853208E-2</v>
      </c>
      <c r="F20" s="44" t="s">
        <v>225</v>
      </c>
      <c r="G20" s="43">
        <f>$C$18 * G19</f>
        <v>210.38898781962763</v>
      </c>
      <c r="H20" s="43" t="s">
        <v>104</v>
      </c>
      <c r="J20" s="14" t="s">
        <v>65</v>
      </c>
      <c r="K20" s="6">
        <f xml:space="preserve"> $C$55 * 0</f>
        <v>0</v>
      </c>
      <c r="L20" s="6" t="s">
        <v>7</v>
      </c>
      <c r="N20" s="6" t="s">
        <v>29</v>
      </c>
      <c r="O20" s="6">
        <f>$C$7*2*PI()/60</f>
        <v>47.123889803846893</v>
      </c>
      <c r="P20" s="6" t="s">
        <v>30</v>
      </c>
      <c r="U20" s="2">
        <v>16</v>
      </c>
      <c r="V20" s="2">
        <f t="shared" si="15"/>
        <v>2.08282470703125E-2</v>
      </c>
      <c r="W20" s="2">
        <f t="shared" si="0"/>
        <v>6.9583875329480571E-6</v>
      </c>
      <c r="X20" s="2">
        <f t="shared" si="16"/>
        <v>2.0843505859375E-2</v>
      </c>
      <c r="Y20" s="2">
        <f t="shared" si="1"/>
        <v>-8.3255736627076138E-6</v>
      </c>
      <c r="Z20" s="2">
        <f t="shared" si="3"/>
        <v>2.083587646484375E-2</v>
      </c>
      <c r="AA20" s="2">
        <f t="shared" si="2"/>
        <v>-6.8359080311261589E-7</v>
      </c>
      <c r="AB20" s="2">
        <f t="shared" si="4"/>
        <v>-4.7566897220167766E-12</v>
      </c>
      <c r="AC20" s="2">
        <f t="shared" si="5"/>
        <v>5.6912855864635406E-12</v>
      </c>
      <c r="AD20" s="2">
        <f t="shared" si="6"/>
        <v>1.52587890625E-5</v>
      </c>
      <c r="AF20" s="2">
        <v>16</v>
      </c>
      <c r="AG20" s="2">
        <f t="shared" si="25"/>
        <v>2178.436279296875</v>
      </c>
      <c r="AH20" s="2">
        <v>-5.8639158810365188E-3</v>
      </c>
      <c r="AI20" s="2">
        <f t="shared" si="26"/>
        <v>2178.5736083984375</v>
      </c>
      <c r="AJ20" s="2">
        <v>8.3124843166388018E-2</v>
      </c>
      <c r="AK20" s="2">
        <f t="shared" si="17"/>
        <v>2178.5049438476562</v>
      </c>
      <c r="AL20" s="2">
        <v>3.8623598054755348E-2</v>
      </c>
      <c r="AM20" s="2">
        <f t="shared" si="18"/>
        <v>-2.2648553001605108E-4</v>
      </c>
      <c r="AN20" s="2">
        <f t="shared" si="19"/>
        <v>3.2105805308231478E-3</v>
      </c>
      <c r="AO20" s="2">
        <f t="shared" si="20"/>
        <v>0.1373291015625</v>
      </c>
      <c r="AQ20" s="67"/>
      <c r="AR20" s="3">
        <f>0.285*($AR$9/2)</f>
        <v>1.1399999999999999</v>
      </c>
      <c r="AS20" s="26" t="s">
        <v>8</v>
      </c>
      <c r="AT20"/>
      <c r="AU20" s="2" t="s">
        <v>198</v>
      </c>
      <c r="AV20" s="2">
        <f>AV17/AV19*AV7</f>
        <v>0.20031896726731188</v>
      </c>
      <c r="AW20" s="39"/>
      <c r="AX20"/>
      <c r="AY20"/>
      <c r="AZ20"/>
      <c r="BA20"/>
      <c r="BB20"/>
      <c r="BC20"/>
      <c r="BD20"/>
      <c r="BE20"/>
      <c r="BF20"/>
      <c r="BG20" s="7" t="s">
        <v>199</v>
      </c>
      <c r="BH20" s="40">
        <f>SIN(BH4)/(1+BH18) - $AR$3*COS(BH4)/($AV$5*$AR$19*(1-BH19))</f>
        <v>-1.1740984989794256E-9</v>
      </c>
      <c r="BI20" s="40"/>
      <c r="BJ20" s="2"/>
      <c r="BK20" s="7" t="s">
        <v>199</v>
      </c>
      <c r="BL20" s="40">
        <f>SIN(BL4)/(1+BL18) - $AR$3*COS(BL4)/($AV$5*$AR$20*(1-BL19))</f>
        <v>-4.4581511121633E-9</v>
      </c>
      <c r="BM20" s="40"/>
      <c r="BN20"/>
      <c r="BO20" s="2">
        <v>16</v>
      </c>
      <c r="BP20" s="2">
        <f t="shared" si="21"/>
        <v>0.23321589287221617</v>
      </c>
      <c r="BQ20" s="2">
        <v>-1.4215896410631201E-4</v>
      </c>
      <c r="BR20" s="2">
        <f t="shared" si="22"/>
        <v>0.2333012205535423</v>
      </c>
      <c r="BS20" s="2">
        <v>1.1456898904463331E-4</v>
      </c>
      <c r="BT20" s="2">
        <f t="shared" si="7"/>
        <v>0.23325855671287923</v>
      </c>
      <c r="BU20" s="2">
        <v>-1.3782291878677855E-5</v>
      </c>
      <c r="BV20" s="2">
        <f t="shared" si="8"/>
        <v>1.9592763364836806E-9</v>
      </c>
      <c r="BW20" s="2">
        <f t="shared" si="9"/>
        <v>-1.5790232472581816E-9</v>
      </c>
      <c r="BX20" s="2">
        <f t="shared" si="10"/>
        <v>8.5327681326130556E-5</v>
      </c>
      <c r="BY20"/>
      <c r="BZ20" s="2">
        <v>16</v>
      </c>
      <c r="CA20" s="2">
        <f t="shared" si="23"/>
        <v>0.18304321625244657</v>
      </c>
      <c r="CB20" s="2">
        <v>-8.3806251736165405E-5</v>
      </c>
      <c r="CC20" s="2">
        <f t="shared" si="24"/>
        <v>0.1831285439337727</v>
      </c>
      <c r="CD20" s="2">
        <v>1.4485571508411621E-4</v>
      </c>
      <c r="CE20" s="2">
        <f t="shared" si="11"/>
        <v>0.18308588009310964</v>
      </c>
      <c r="CF20" s="2">
        <v>3.0540272898907372E-5</v>
      </c>
      <c r="CG20" s="2">
        <f t="shared" si="12"/>
        <v>-2.5594657986570214E-9</v>
      </c>
      <c r="CH20" s="2">
        <f t="shared" si="13"/>
        <v>4.4239330696352823E-9</v>
      </c>
      <c r="CI20" s="2">
        <f t="shared" si="14"/>
        <v>8.5327681326130556E-5</v>
      </c>
    </row>
    <row r="21" spans="2:87" x14ac:dyDescent="0.2">
      <c r="B21" s="6" t="s">
        <v>129</v>
      </c>
      <c r="C21" s="17">
        <v>0.75</v>
      </c>
      <c r="J21" s="14" t="s">
        <v>66</v>
      </c>
      <c r="K21" s="6">
        <f xml:space="preserve"> $C$55 * 0</f>
        <v>0</v>
      </c>
      <c r="L21" s="6" t="s">
        <v>7</v>
      </c>
      <c r="N21" s="6" t="s">
        <v>31</v>
      </c>
      <c r="O21" s="6">
        <f xml:space="preserve"> $C$8 * COS(O18/180*PI()) / (O20 * $C$9)</f>
        <v>0.2648196022973619</v>
      </c>
      <c r="U21" s="2">
        <v>17</v>
      </c>
      <c r="V21" s="2">
        <f t="shared" si="15"/>
        <v>2.08282470703125E-2</v>
      </c>
      <c r="W21" s="2">
        <f t="shared" si="0"/>
        <v>6.9583875329480571E-6</v>
      </c>
      <c r="X21" s="2">
        <f t="shared" si="16"/>
        <v>2.083587646484375E-2</v>
      </c>
      <c r="Y21" s="2">
        <f t="shared" si="1"/>
        <v>-6.8359080311261589E-7</v>
      </c>
      <c r="Z21" s="2">
        <f t="shared" si="3"/>
        <v>2.0832061767578125E-2</v>
      </c>
      <c r="AA21" s="2">
        <f t="shared" si="2"/>
        <v>3.1373989303647154E-6</v>
      </c>
      <c r="AB21" s="2">
        <f t="shared" si="4"/>
        <v>2.1831237602934405E-11</v>
      </c>
      <c r="AC21" s="2">
        <f t="shared" si="5"/>
        <v>-2.1446970544926779E-12</v>
      </c>
      <c r="AD21" s="2">
        <f t="shared" si="6"/>
        <v>7.62939453125E-6</v>
      </c>
      <c r="AF21" s="2">
        <v>17</v>
      </c>
      <c r="AG21" s="2">
        <f t="shared" si="25"/>
        <v>2178.436279296875</v>
      </c>
      <c r="AH21" s="2">
        <v>-5.8639158810365188E-3</v>
      </c>
      <c r="AI21" s="2">
        <f t="shared" si="26"/>
        <v>2178.5049438476562</v>
      </c>
      <c r="AJ21" s="2">
        <v>3.8623598054755348E-2</v>
      </c>
      <c r="AK21" s="2">
        <f t="shared" si="17"/>
        <v>2178.4706115722656</v>
      </c>
      <c r="AL21" s="2">
        <v>1.6379817859387913E-2</v>
      </c>
      <c r="AM21" s="2">
        <f t="shared" si="18"/>
        <v>-9.6049874074150381E-5</v>
      </c>
      <c r="AN21" s="2">
        <f t="shared" si="19"/>
        <v>6.3264750121110188E-4</v>
      </c>
      <c r="AO21" s="2">
        <f t="shared" si="20"/>
        <v>6.866455078125E-2</v>
      </c>
      <c r="AQ21" s="67"/>
      <c r="AR21" s="3">
        <f>0.395*($AR$9/2)</f>
        <v>1.58</v>
      </c>
      <c r="AS21" s="26" t="s">
        <v>8</v>
      </c>
      <c r="AT21"/>
      <c r="AU21"/>
      <c r="AV21"/>
      <c r="AW21" s="39"/>
      <c r="AX21"/>
      <c r="AY21" s="63" t="s">
        <v>200</v>
      </c>
      <c r="AZ21" s="63"/>
      <c r="BA21" s="63"/>
      <c r="BB21"/>
      <c r="BC21" s="63" t="s">
        <v>201</v>
      </c>
      <c r="BD21" s="63"/>
      <c r="BE21" s="63"/>
      <c r="BF21"/>
      <c r="BG21" s="2"/>
      <c r="BH21" s="2"/>
      <c r="BI21" s="2"/>
      <c r="BJ21" s="2"/>
      <c r="BK21" s="2"/>
      <c r="BL21" s="2"/>
      <c r="BM21" s="2"/>
      <c r="BN21"/>
      <c r="BO21" s="2">
        <v>17</v>
      </c>
      <c r="BP21" s="2">
        <f t="shared" si="21"/>
        <v>0.23325855671287923</v>
      </c>
      <c r="BQ21" s="2">
        <v>-1.3782291878677855E-5</v>
      </c>
      <c r="BR21" s="2">
        <f t="shared" si="22"/>
        <v>0.2333012205535423</v>
      </c>
      <c r="BS21" s="2">
        <v>1.1456898904463331E-4</v>
      </c>
      <c r="BT21" s="2">
        <f t="shared" si="7"/>
        <v>0.23327988863321075</v>
      </c>
      <c r="BU21" s="2">
        <v>5.0396521731693733E-5</v>
      </c>
      <c r="BV21" s="2">
        <f t="shared" si="8"/>
        <v>-6.9457957217633457E-10</v>
      </c>
      <c r="BW21" s="2">
        <f t="shared" si="9"/>
        <v>5.7738785461660438E-9</v>
      </c>
      <c r="BX21" s="2">
        <f t="shared" si="10"/>
        <v>4.2663840663065278E-5</v>
      </c>
      <c r="BY21"/>
      <c r="BZ21" s="2">
        <v>17</v>
      </c>
      <c r="CA21" s="2">
        <f t="shared" si="23"/>
        <v>0.18304321625244657</v>
      </c>
      <c r="CB21" s="2">
        <v>-8.3806251736165405E-5</v>
      </c>
      <c r="CC21" s="2">
        <f t="shared" si="24"/>
        <v>0.18308588009310964</v>
      </c>
      <c r="CD21" s="2">
        <v>3.0540272898907372E-5</v>
      </c>
      <c r="CE21" s="2">
        <f t="shared" si="11"/>
        <v>0.18306454817277812</v>
      </c>
      <c r="CF21" s="2">
        <v>-2.6629102865174947E-5</v>
      </c>
      <c r="CG21" s="2">
        <f t="shared" si="12"/>
        <v>2.231685298227095E-9</v>
      </c>
      <c r="CH21" s="2">
        <f t="shared" si="13"/>
        <v>-8.1326006855551915E-10</v>
      </c>
      <c r="CI21" s="2">
        <f t="shared" si="14"/>
        <v>4.2663840663065278E-5</v>
      </c>
    </row>
    <row r="22" spans="2:87" x14ac:dyDescent="0.2">
      <c r="B22" s="6" t="s">
        <v>288</v>
      </c>
      <c r="C22" s="17">
        <v>50</v>
      </c>
      <c r="D22" s="6" t="s">
        <v>61</v>
      </c>
      <c r="F22" s="57" t="s">
        <v>84</v>
      </c>
      <c r="G22" s="58"/>
      <c r="H22" s="58"/>
      <c r="J22" s="14" t="s">
        <v>117</v>
      </c>
      <c r="K22" s="6">
        <f>$C$55*(0.14*$G$13*1000/745.7)*0.453592</f>
        <v>18.443523165971961</v>
      </c>
      <c r="L22" s="6" t="s">
        <v>7</v>
      </c>
      <c r="N22" s="6" t="s">
        <v>32</v>
      </c>
      <c r="O22" s="6">
        <f xml:space="preserve"> O19 / ($C$47 * PI() * $C$9^2 * O20^2 * $C$9^2)</f>
        <v>2.9681705848844425E-3</v>
      </c>
      <c r="U22" s="2">
        <v>18</v>
      </c>
      <c r="V22" s="2">
        <f t="shared" si="15"/>
        <v>2.0832061767578125E-2</v>
      </c>
      <c r="W22" s="2">
        <f t="shared" si="0"/>
        <v>3.1373989303647154E-6</v>
      </c>
      <c r="X22" s="2">
        <f t="shared" si="16"/>
        <v>2.083587646484375E-2</v>
      </c>
      <c r="Y22" s="2">
        <f t="shared" si="1"/>
        <v>-6.8359080311261589E-7</v>
      </c>
      <c r="Z22" s="2">
        <f t="shared" si="3"/>
        <v>2.0833969116210938E-2</v>
      </c>
      <c r="AA22" s="2">
        <f t="shared" si="2"/>
        <v>1.2269042049851964E-6</v>
      </c>
      <c r="AB22" s="2">
        <f t="shared" si="4"/>
        <v>3.8492879403805269E-12</v>
      </c>
      <c r="AC22" s="2">
        <f t="shared" si="5"/>
        <v>-8.3870043082807589E-13</v>
      </c>
      <c r="AD22" s="2">
        <f t="shared" si="6"/>
        <v>3.814697265625E-6</v>
      </c>
      <c r="AF22" s="2">
        <v>18</v>
      </c>
      <c r="AG22" s="2">
        <f t="shared" si="25"/>
        <v>2178.436279296875</v>
      </c>
      <c r="AH22" s="2">
        <v>-5.8639158810365188E-3</v>
      </c>
      <c r="AI22" s="2">
        <f t="shared" si="26"/>
        <v>2178.4706115722656</v>
      </c>
      <c r="AJ22" s="2">
        <v>1.6379817859387913E-2</v>
      </c>
      <c r="AK22" s="2">
        <f t="shared" si="17"/>
        <v>2178.4534454345703</v>
      </c>
      <c r="AL22" s="2">
        <v>5.2579451817109657E-3</v>
      </c>
      <c r="AM22" s="2">
        <f t="shared" si="18"/>
        <v>-3.0832148252654374E-5</v>
      </c>
      <c r="AN22" s="2">
        <f t="shared" si="19"/>
        <v>8.6124184391071901E-5</v>
      </c>
      <c r="AO22" s="2">
        <f t="shared" si="20"/>
        <v>3.4332275390625E-2</v>
      </c>
      <c r="AQ22" s="67"/>
      <c r="AR22" s="3">
        <f>0.505*($AR$9/2)</f>
        <v>2.02</v>
      </c>
      <c r="AS22" s="26" t="s">
        <v>8</v>
      </c>
      <c r="AT22"/>
      <c r="AU22" s="61" t="s">
        <v>202</v>
      </c>
      <c r="AV22" s="61"/>
      <c r="AW22" s="61"/>
      <c r="AX22"/>
      <c r="AY22" s="2" t="s">
        <v>153</v>
      </c>
      <c r="AZ22" s="2">
        <f>$AR$23-$AR$22</f>
        <v>0.43999999999999995</v>
      </c>
      <c r="BA22" s="26" t="s">
        <v>8</v>
      </c>
      <c r="BB22"/>
      <c r="BC22" s="2" t="s">
        <v>153</v>
      </c>
      <c r="BD22" s="2">
        <f>$AR$24-$AR$23</f>
        <v>0.43999999999999995</v>
      </c>
      <c r="BE22" s="26" t="s">
        <v>8</v>
      </c>
      <c r="BF22"/>
      <c r="BG22" s="63" t="s">
        <v>185</v>
      </c>
      <c r="BH22" s="63"/>
      <c r="BI22" s="63"/>
      <c r="BJ22" s="2"/>
      <c r="BK22" s="63" t="s">
        <v>186</v>
      </c>
      <c r="BL22" s="63"/>
      <c r="BM22" s="63"/>
      <c r="BN22"/>
      <c r="BO22" s="2">
        <v>18</v>
      </c>
      <c r="BP22" s="2">
        <f t="shared" si="21"/>
        <v>0.23325855671287923</v>
      </c>
      <c r="BQ22" s="2">
        <v>-1.3782291878677855E-5</v>
      </c>
      <c r="BR22" s="2">
        <f t="shared" si="22"/>
        <v>0.23327988863321075</v>
      </c>
      <c r="BS22" s="2">
        <v>5.0396521731693733E-5</v>
      </c>
      <c r="BT22" s="2">
        <f t="shared" si="7"/>
        <v>0.23326922267304501</v>
      </c>
      <c r="BU22" s="2">
        <v>1.8307908309284082E-5</v>
      </c>
      <c r="BV22" s="2">
        <f t="shared" si="8"/>
        <v>-2.5232493600662481E-10</v>
      </c>
      <c r="BW22" s="2">
        <f t="shared" si="9"/>
        <v>9.2265489897069152E-10</v>
      </c>
      <c r="BX22" s="2">
        <f t="shared" si="10"/>
        <v>2.1331920331518761E-5</v>
      </c>
      <c r="BY22"/>
      <c r="BZ22" s="2">
        <v>18</v>
      </c>
      <c r="CA22" s="2">
        <f t="shared" si="23"/>
        <v>0.18306454817277812</v>
      </c>
      <c r="CB22" s="2">
        <v>-2.6629102865174947E-5</v>
      </c>
      <c r="CC22" s="2">
        <f t="shared" si="24"/>
        <v>0.18308588009310964</v>
      </c>
      <c r="CD22" s="2">
        <v>3.0540272898907372E-5</v>
      </c>
      <c r="CE22" s="2">
        <f t="shared" si="11"/>
        <v>0.18307521413294386</v>
      </c>
      <c r="CF22" s="2">
        <v>1.9565564992329865E-6</v>
      </c>
      <c r="CG22" s="2">
        <f t="shared" si="12"/>
        <v>-5.2101344279601781E-11</v>
      </c>
      <c r="CH22" s="2">
        <f t="shared" si="13"/>
        <v>5.9753769428706255E-11</v>
      </c>
      <c r="CI22" s="2">
        <f t="shared" si="14"/>
        <v>2.1331920331518761E-5</v>
      </c>
    </row>
    <row r="23" spans="2:87" x14ac:dyDescent="0.2">
      <c r="F23" t="s">
        <v>88</v>
      </c>
      <c r="G23" s="1">
        <f>300*0.3048/60</f>
        <v>1.524</v>
      </c>
      <c r="H23" t="s">
        <v>10</v>
      </c>
      <c r="J23" s="15" t="s">
        <v>67</v>
      </c>
      <c r="K23" s="6">
        <f xml:space="preserve"> $C$56 * (0.0268 * $C$5)</f>
        <v>46.705866708006404</v>
      </c>
      <c r="L23" s="6" t="s">
        <v>7</v>
      </c>
      <c r="N23" s="6" t="s">
        <v>1</v>
      </c>
      <c r="O23" s="17">
        <v>8.8999999999999999E-3</v>
      </c>
      <c r="U23" s="2">
        <v>19</v>
      </c>
      <c r="V23" s="2">
        <f t="shared" si="15"/>
        <v>2.0833969116210938E-2</v>
      </c>
      <c r="W23" s="2">
        <f t="shared" si="0"/>
        <v>1.2269042049851964E-6</v>
      </c>
      <c r="X23" s="2">
        <f t="shared" si="16"/>
        <v>2.083587646484375E-2</v>
      </c>
      <c r="Y23" s="2">
        <f t="shared" si="1"/>
        <v>-6.8359080311261589E-7</v>
      </c>
      <c r="Z23" s="2">
        <f t="shared" si="3"/>
        <v>2.0834922790527344E-2</v>
      </c>
      <c r="AA23" s="2">
        <f t="shared" si="2"/>
        <v>2.7165673627607689E-7</v>
      </c>
      <c r="AB23" s="2">
        <f t="shared" si="4"/>
        <v>3.3329679204967327E-13</v>
      </c>
      <c r="AC23" s="2">
        <f t="shared" si="5"/>
        <v>-1.857020465219155E-13</v>
      </c>
      <c r="AD23" s="2">
        <f t="shared" si="6"/>
        <v>1.9073486328125E-6</v>
      </c>
      <c r="AF23" s="2">
        <v>19</v>
      </c>
      <c r="AG23" s="2">
        <f t="shared" si="25"/>
        <v>2178.436279296875</v>
      </c>
      <c r="AH23" s="2">
        <v>-5.8639158810365188E-3</v>
      </c>
      <c r="AI23" s="2">
        <f t="shared" si="26"/>
        <v>2178.4534454345703</v>
      </c>
      <c r="AJ23" s="2">
        <v>5.2579451817109657E-3</v>
      </c>
      <c r="AK23" s="2">
        <f t="shared" si="17"/>
        <v>2178.4448623657227</v>
      </c>
      <c r="AL23" s="2">
        <v>-3.0298680053419957E-4</v>
      </c>
      <c r="AM23" s="2">
        <f t="shared" si="18"/>
        <v>1.7766891113969369E-6</v>
      </c>
      <c r="AN23" s="2">
        <f t="shared" si="19"/>
        <v>-1.5930879879908161E-6</v>
      </c>
      <c r="AO23" s="2">
        <f t="shared" si="20"/>
        <v>1.71661376953125E-2</v>
      </c>
      <c r="AQ23" s="67"/>
      <c r="AR23" s="3">
        <f>0.615*($AR$9/2)</f>
        <v>2.46</v>
      </c>
      <c r="AS23" s="26" t="s">
        <v>8</v>
      </c>
      <c r="AT23"/>
      <c r="AU23" s="70" t="s">
        <v>203</v>
      </c>
      <c r="AV23" s="67">
        <f>BH20</f>
        <v>-1.1740984989794256E-9</v>
      </c>
      <c r="AW23" s="67"/>
      <c r="AX23"/>
      <c r="AY23" s="2" t="s">
        <v>158</v>
      </c>
      <c r="AZ23" s="2">
        <f>(1+$BH$56)*$AR$3</f>
        <v>8.9399862568034916</v>
      </c>
      <c r="BA23" s="26" t="s">
        <v>10</v>
      </c>
      <c r="BB23"/>
      <c r="BC23" s="2" t="s">
        <v>158</v>
      </c>
      <c r="BD23" s="2">
        <f>(1+$BL$56)*$AR$3</f>
        <v>9.1599856106987598</v>
      </c>
      <c r="BE23" s="26" t="s">
        <v>10</v>
      </c>
      <c r="BF23"/>
      <c r="BG23" s="28" t="s">
        <v>154</v>
      </c>
      <c r="BH23" s="29">
        <f>BT68</f>
        <v>0.15229255782809292</v>
      </c>
      <c r="BI23" s="5" t="s">
        <v>155</v>
      </c>
      <c r="BJ23" s="2"/>
      <c r="BK23" s="28" t="s">
        <v>154</v>
      </c>
      <c r="BL23" s="29">
        <f>CE68</f>
        <v>0.12978116874820772</v>
      </c>
      <c r="BM23" s="5" t="s">
        <v>155</v>
      </c>
      <c r="BN23"/>
      <c r="BO23" s="2">
        <v>19</v>
      </c>
      <c r="BP23" s="2">
        <f t="shared" si="21"/>
        <v>0.23325855671287923</v>
      </c>
      <c r="BQ23" s="2">
        <v>-1.3782291878677855E-5</v>
      </c>
      <c r="BR23" s="2">
        <f t="shared" si="22"/>
        <v>0.23326922267304501</v>
      </c>
      <c r="BS23" s="2">
        <v>1.8307908309284082E-5</v>
      </c>
      <c r="BT23" s="2">
        <f t="shared" si="7"/>
        <v>0.23326388969296213</v>
      </c>
      <c r="BU23" s="2">
        <v>2.263006572994497E-6</v>
      </c>
      <c r="BV23" s="2">
        <f t="shared" si="8"/>
        <v>-3.1189417112376658E-11</v>
      </c>
      <c r="BW23" s="2">
        <f t="shared" si="9"/>
        <v>4.1430916841690444E-11</v>
      </c>
      <c r="BX23" s="2">
        <f t="shared" si="10"/>
        <v>1.0665960165773258E-5</v>
      </c>
      <c r="BY23"/>
      <c r="BZ23" s="2">
        <v>19</v>
      </c>
      <c r="CA23" s="2">
        <f t="shared" si="23"/>
        <v>0.18306454817277812</v>
      </c>
      <c r="CB23" s="2">
        <v>-2.6629102865174947E-5</v>
      </c>
      <c r="CC23" s="2">
        <f t="shared" si="24"/>
        <v>0.18307521413294386</v>
      </c>
      <c r="CD23" s="2">
        <v>1.9565564992329865E-6</v>
      </c>
      <c r="CE23" s="2">
        <f t="shared" si="11"/>
        <v>0.18306988115286099</v>
      </c>
      <c r="CF23" s="2">
        <v>-1.2336030292867117E-5</v>
      </c>
      <c r="CG23" s="2">
        <f t="shared" si="12"/>
        <v>3.284974196166727E-10</v>
      </c>
      <c r="CH23" s="2">
        <f t="shared" si="13"/>
        <v>-2.4136140244244161E-11</v>
      </c>
      <c r="CI23" s="2">
        <f t="shared" si="14"/>
        <v>1.0665960165745503E-5</v>
      </c>
    </row>
    <row r="24" spans="2:87" x14ac:dyDescent="0.2">
      <c r="B24" s="56" t="s">
        <v>107</v>
      </c>
      <c r="C24" s="56"/>
      <c r="D24" s="56"/>
      <c r="F24" t="s">
        <v>94</v>
      </c>
      <c r="G24" s="1">
        <f>1000*0.3048</f>
        <v>304.8</v>
      </c>
      <c r="H24" t="s">
        <v>8</v>
      </c>
      <c r="J24" s="15" t="s">
        <v>68</v>
      </c>
      <c r="K24" s="6">
        <f xml:space="preserve"> $C$56 * (11.5 * ($C$5*2.20462/1000)^0.4 * 0.453592)</f>
        <v>7.8170946894219329</v>
      </c>
      <c r="L24" s="6" t="s">
        <v>7</v>
      </c>
      <c r="N24" s="6" t="s">
        <v>33</v>
      </c>
      <c r="O24" s="6">
        <f xml:space="preserve"> ($C$20 * O23 / 8) * (1 + 4.65 *O21^ 2) * ( PI() * $C$47 * O20^3 *$C$9^ 5)</f>
        <v>30755.835941575904</v>
      </c>
      <c r="P24" s="6" t="s">
        <v>20</v>
      </c>
      <c r="U24" s="2">
        <v>20</v>
      </c>
      <c r="V24" s="2">
        <f t="shared" si="15"/>
        <v>2.0834922790527344E-2</v>
      </c>
      <c r="W24" s="2">
        <f t="shared" si="0"/>
        <v>2.7165673627607689E-7</v>
      </c>
      <c r="X24" s="2">
        <f t="shared" si="16"/>
        <v>2.083587646484375E-2</v>
      </c>
      <c r="Y24" s="2">
        <f t="shared" si="1"/>
        <v>-6.8359080311261589E-7</v>
      </c>
      <c r="Z24" s="2">
        <f t="shared" si="3"/>
        <v>2.0835399627685547E-2</v>
      </c>
      <c r="AA24" s="2">
        <f t="shared" si="2"/>
        <v>-2.0596702458505756E-7</v>
      </c>
      <c r="AB24" s="2">
        <f t="shared" si="4"/>
        <v>-5.5952329679271226E-14</v>
      </c>
      <c r="AC24" s="2">
        <f t="shared" si="5"/>
        <v>1.407971637508154E-13</v>
      </c>
      <c r="AD24" s="2">
        <f t="shared" si="6"/>
        <v>9.5367431640625E-7</v>
      </c>
      <c r="AF24" s="2">
        <v>20</v>
      </c>
      <c r="AG24" s="2">
        <f t="shared" si="25"/>
        <v>2178.4448623657227</v>
      </c>
      <c r="AH24" s="2">
        <v>-3.0298680053419957E-4</v>
      </c>
      <c r="AI24" s="2">
        <f t="shared" si="26"/>
        <v>2178.4534454345703</v>
      </c>
      <c r="AJ24" s="2">
        <v>5.2579451817109657E-3</v>
      </c>
      <c r="AK24" s="2">
        <f t="shared" si="17"/>
        <v>2178.4491539001465</v>
      </c>
      <c r="AL24" s="2">
        <v>2.4842511204496986E-3</v>
      </c>
      <c r="AM24" s="2">
        <f t="shared" si="18"/>
        <v>-7.526952987085546E-7</v>
      </c>
      <c r="AN24" s="2">
        <f t="shared" si="19"/>
        <v>1.306205620892856E-5</v>
      </c>
      <c r="AO24" s="2">
        <f t="shared" si="20"/>
        <v>8.58306884765625E-3</v>
      </c>
      <c r="AQ24" s="67"/>
      <c r="AR24" s="3">
        <f>0.725*($AR$9/2)</f>
        <v>2.9</v>
      </c>
      <c r="AS24" s="26" t="s">
        <v>8</v>
      </c>
      <c r="AT24"/>
      <c r="AU24" s="70"/>
      <c r="AV24" s="67">
        <f>BL20</f>
        <v>-4.4581511121633E-9</v>
      </c>
      <c r="AW24" s="67"/>
      <c r="AX24"/>
      <c r="AY24" s="2" t="s">
        <v>163</v>
      </c>
      <c r="AZ24" s="2">
        <f>(1-$BH$57)*$AV$5*$AR$23</f>
        <v>79.497262998882761</v>
      </c>
      <c r="BA24" s="26" t="s">
        <v>10</v>
      </c>
      <c r="BB24"/>
      <c r="BC24" s="2" t="s">
        <v>163</v>
      </c>
      <c r="BD24" s="2">
        <f>(1-$BL$57)*$AV$5*$AR$24</f>
        <v>93.914963471998149</v>
      </c>
      <c r="BE24" s="26" t="s">
        <v>10</v>
      </c>
      <c r="BF24"/>
      <c r="BG24" s="2" t="s">
        <v>159</v>
      </c>
      <c r="BH24" s="2">
        <f>($AR$37+$AR$5)/180*PI()</f>
        <v>0.24421582035973835</v>
      </c>
      <c r="BI24" s="2" t="s">
        <v>155</v>
      </c>
      <c r="BJ24" s="2"/>
      <c r="BK24" s="2" t="s">
        <v>159</v>
      </c>
      <c r="BL24" s="2">
        <f>($AR$38+$AR$5)/180*PI()</f>
        <v>0.22117747423341316</v>
      </c>
      <c r="BM24" s="2" t="s">
        <v>155</v>
      </c>
      <c r="BN24"/>
      <c r="BO24" s="2">
        <v>20</v>
      </c>
      <c r="BP24" s="2">
        <f t="shared" si="21"/>
        <v>0.23325855671287923</v>
      </c>
      <c r="BQ24" s="2">
        <v>-1.3782291878677855E-5</v>
      </c>
      <c r="BR24" s="2">
        <f t="shared" si="22"/>
        <v>0.23326388969296213</v>
      </c>
      <c r="BS24" s="2">
        <v>2.263006572994497E-6</v>
      </c>
      <c r="BT24" s="2">
        <f t="shared" si="7"/>
        <v>0.2332612232029207</v>
      </c>
      <c r="BU24" s="2">
        <v>-5.7595930618714597E-6</v>
      </c>
      <c r="BV24" s="2">
        <f t="shared" si="8"/>
        <v>7.9380392681120338E-11</v>
      </c>
      <c r="BW24" s="2">
        <f t="shared" si="9"/>
        <v>-1.3033996956788614E-11</v>
      </c>
      <c r="BX24" s="2">
        <f t="shared" si="10"/>
        <v>5.332980082900507E-6</v>
      </c>
      <c r="BY24"/>
      <c r="BZ24" s="2">
        <v>20</v>
      </c>
      <c r="CA24" s="2">
        <f t="shared" si="23"/>
        <v>0.18306988115286099</v>
      </c>
      <c r="CB24" s="2">
        <v>-1.2336030292867117E-5</v>
      </c>
      <c r="CC24" s="2">
        <f t="shared" si="24"/>
        <v>0.18307521413294386</v>
      </c>
      <c r="CD24" s="2">
        <v>1.9565564992329865E-6</v>
      </c>
      <c r="CE24" s="2">
        <f t="shared" si="11"/>
        <v>0.18307254764290243</v>
      </c>
      <c r="CF24" s="2">
        <v>-5.1896761767700195E-6</v>
      </c>
      <c r="CG24" s="2">
        <f t="shared" si="12"/>
        <v>6.4020002526805771E-11</v>
      </c>
      <c r="CH24" s="2">
        <f t="shared" si="13"/>
        <v>-1.0153894652573979E-11</v>
      </c>
      <c r="CI24" s="2">
        <f t="shared" si="14"/>
        <v>5.3329800828727514E-6</v>
      </c>
    </row>
    <row r="25" spans="2:87" x14ac:dyDescent="0.2">
      <c r="B25" t="s">
        <v>108</v>
      </c>
      <c r="C25" s="1">
        <v>6</v>
      </c>
      <c r="D25"/>
      <c r="F25" t="s">
        <v>93</v>
      </c>
      <c r="G25" s="8">
        <f>$G$24/$G$23</f>
        <v>200</v>
      </c>
      <c r="H25" t="s">
        <v>14</v>
      </c>
      <c r="J25" s="15" t="s">
        <v>69</v>
      </c>
      <c r="K25" s="6">
        <f xml:space="preserve"> $C$56 * (8 * ($C$5/1000))</f>
        <v>13.942049763584002</v>
      </c>
      <c r="L25" s="6" t="s">
        <v>7</v>
      </c>
      <c r="N25" s="6" t="s">
        <v>34</v>
      </c>
      <c r="O25" s="18">
        <f>Z34</f>
        <v>2.0835194271057844E-2</v>
      </c>
      <c r="U25" s="2">
        <v>21</v>
      </c>
      <c r="V25" s="2">
        <f t="shared" si="15"/>
        <v>2.0834922790527344E-2</v>
      </c>
      <c r="W25" s="2">
        <f t="shared" si="0"/>
        <v>2.7165673627607689E-7</v>
      </c>
      <c r="X25" s="2">
        <f t="shared" si="16"/>
        <v>2.0835399627685547E-2</v>
      </c>
      <c r="Y25" s="2">
        <f t="shared" si="1"/>
        <v>-2.0596702458505756E-7</v>
      </c>
      <c r="Z25" s="2">
        <f t="shared" si="3"/>
        <v>2.0835161209106445E-2</v>
      </c>
      <c r="AA25" s="2">
        <f t="shared" si="2"/>
        <v>3.2844858055547377E-8</v>
      </c>
      <c r="AB25" s="2">
        <f t="shared" si="4"/>
        <v>8.9225269428210132E-15</v>
      </c>
      <c r="AC25" s="2">
        <f t="shared" si="5"/>
        <v>-6.7649576866196519E-15</v>
      </c>
      <c r="AD25" s="2">
        <f t="shared" si="6"/>
        <v>4.76837158203125E-7</v>
      </c>
      <c r="AF25" s="2">
        <v>21</v>
      </c>
      <c r="AG25" s="2">
        <f t="shared" si="25"/>
        <v>2178.4448623657227</v>
      </c>
      <c r="AH25" s="2">
        <v>-3.0298680053419957E-4</v>
      </c>
      <c r="AI25" s="2">
        <f t="shared" si="26"/>
        <v>2178.4491539001465</v>
      </c>
      <c r="AJ25" s="2">
        <v>2.4842511204496986E-3</v>
      </c>
      <c r="AK25" s="2">
        <f t="shared" si="17"/>
        <v>2178.4470081329346</v>
      </c>
      <c r="AL25" s="2">
        <v>1.0838597791007487E-3</v>
      </c>
      <c r="AM25" s="2">
        <f t="shared" si="18"/>
        <v>-3.2839520669744018E-7</v>
      </c>
      <c r="AN25" s="2">
        <f t="shared" si="19"/>
        <v>2.6925798706413978E-6</v>
      </c>
      <c r="AO25" s="2">
        <f t="shared" si="20"/>
        <v>4.291534423828125E-3</v>
      </c>
      <c r="AQ25" s="67"/>
      <c r="AR25" s="3">
        <f>0.835*($AR$9/2)</f>
        <v>3.34</v>
      </c>
      <c r="AS25" s="26" t="s">
        <v>8</v>
      </c>
      <c r="AT25"/>
      <c r="AU25" s="70"/>
      <c r="AV25" s="67">
        <f>BH39</f>
        <v>-1.4464839465100354E-9</v>
      </c>
      <c r="AW25" s="67"/>
      <c r="AX25"/>
      <c r="AY25" s="2" t="s">
        <v>167</v>
      </c>
      <c r="AZ25" s="2">
        <f>SQRT(AZ23^2 + AZ24^2)</f>
        <v>79.998363599422262</v>
      </c>
      <c r="BA25" s="26" t="s">
        <v>10</v>
      </c>
      <c r="BB25"/>
      <c r="BC25" s="2" t="s">
        <v>167</v>
      </c>
      <c r="BD25" s="2">
        <f>SQRT(BD23^2 + BD24^2)</f>
        <v>94.360615196886869</v>
      </c>
      <c r="BE25" s="26" t="s">
        <v>10</v>
      </c>
      <c r="BF25"/>
      <c r="BG25" s="2" t="s">
        <v>28</v>
      </c>
      <c r="BH25" s="2">
        <f>BH24-BH23</f>
        <v>9.1923262531645428E-2</v>
      </c>
      <c r="BI25" s="2" t="s">
        <v>155</v>
      </c>
      <c r="BJ25" s="2"/>
      <c r="BK25" s="2" t="s">
        <v>28</v>
      </c>
      <c r="BL25" s="2">
        <f>BL24-BL23</f>
        <v>9.1396305485205442E-2</v>
      </c>
      <c r="BM25" s="2" t="s">
        <v>155</v>
      </c>
      <c r="BN25"/>
      <c r="BO25" s="2">
        <v>21</v>
      </c>
      <c r="BP25" s="2">
        <f t="shared" si="21"/>
        <v>0.2332612232029207</v>
      </c>
      <c r="BQ25" s="2">
        <v>-5.7595930618714597E-6</v>
      </c>
      <c r="BR25" s="2">
        <f t="shared" si="22"/>
        <v>0.23326388969296213</v>
      </c>
      <c r="BS25" s="2">
        <v>2.263006572994497E-6</v>
      </c>
      <c r="BT25" s="2">
        <f t="shared" si="7"/>
        <v>0.23326255644794142</v>
      </c>
      <c r="BU25" s="2">
        <v>-1.7482808469387878E-6</v>
      </c>
      <c r="BV25" s="2">
        <f t="shared" si="8"/>
        <v>1.0069386236231401E-11</v>
      </c>
      <c r="BW25" s="2">
        <f t="shared" si="9"/>
        <v>-3.9563710480628632E-12</v>
      </c>
      <c r="BX25" s="2">
        <f t="shared" si="10"/>
        <v>2.6664900414363757E-6</v>
      </c>
      <c r="BY25"/>
      <c r="BZ25" s="2">
        <v>21</v>
      </c>
      <c r="CA25" s="2">
        <f t="shared" si="23"/>
        <v>0.18307254764290243</v>
      </c>
      <c r="CB25" s="2">
        <v>-5.1896761767700195E-6</v>
      </c>
      <c r="CC25" s="2">
        <f t="shared" si="24"/>
        <v>0.18307521413294386</v>
      </c>
      <c r="CD25" s="2">
        <v>1.9565564992329865E-6</v>
      </c>
      <c r="CE25" s="2">
        <f t="shared" si="11"/>
        <v>0.18307388088792315</v>
      </c>
      <c r="CF25" s="2">
        <v>-1.6165446590082899E-6</v>
      </c>
      <c r="CG25" s="2">
        <f t="shared" si="12"/>
        <v>8.3893433055401376E-12</v>
      </c>
      <c r="CH25" s="2">
        <f t="shared" si="13"/>
        <v>-3.1628609588830416E-12</v>
      </c>
      <c r="CI25" s="2">
        <f t="shared" si="14"/>
        <v>2.6664900414363757E-6</v>
      </c>
    </row>
    <row r="26" spans="2:87" x14ac:dyDescent="0.2">
      <c r="B26" t="s">
        <v>109</v>
      </c>
      <c r="C26" s="1">
        <v>6.4008000000000003</v>
      </c>
      <c r="D26" t="s">
        <v>8</v>
      </c>
      <c r="F26" t="s">
        <v>21</v>
      </c>
      <c r="G26" s="6">
        <f xml:space="preserve"> $C$5 * $C$44 / $C$18</f>
        <v>5338.0030453821946</v>
      </c>
      <c r="H26" t="s">
        <v>22</v>
      </c>
      <c r="J26" s="15" t="s">
        <v>70</v>
      </c>
      <c r="K26" s="6">
        <f xml:space="preserve"> $C$56 * (13 * ($C$5*2.20462/1000)^1.3 * 0.453592)</f>
        <v>36.27632151421286</v>
      </c>
      <c r="L26" s="6" t="s">
        <v>7</v>
      </c>
      <c r="N26" s="6" t="s">
        <v>35</v>
      </c>
      <c r="O26" s="6">
        <f xml:space="preserve"> O20 * $C$9 * O25 - $C$8 * SIN(O18/180*PI())</f>
        <v>1.0531006117110753</v>
      </c>
      <c r="P26" s="6" t="s">
        <v>10</v>
      </c>
      <c r="U26" s="2">
        <v>22</v>
      </c>
      <c r="V26" s="2">
        <f t="shared" si="15"/>
        <v>2.0835161209106445E-2</v>
      </c>
      <c r="W26" s="2">
        <f t="shared" si="0"/>
        <v>3.2844858055547377E-8</v>
      </c>
      <c r="X26" s="2">
        <f t="shared" si="16"/>
        <v>2.0835399627685547E-2</v>
      </c>
      <c r="Y26" s="2">
        <f t="shared" si="1"/>
        <v>-2.0596702458505756E-7</v>
      </c>
      <c r="Z26" s="2">
        <f t="shared" si="3"/>
        <v>2.0835280418395996E-2</v>
      </c>
      <c r="AA26" s="2">
        <f t="shared" si="2"/>
        <v>-8.6561082711378301E-8</v>
      </c>
      <c r="AB26" s="2">
        <f t="shared" si="4"/>
        <v>-2.8430864747897162E-15</v>
      </c>
      <c r="AC26" s="2">
        <f t="shared" si="5"/>
        <v>1.7828728650923657E-14</v>
      </c>
      <c r="AD26" s="2">
        <f t="shared" si="6"/>
        <v>2.384185791015625E-7</v>
      </c>
      <c r="AF26" s="2">
        <v>22</v>
      </c>
      <c r="AG26" s="2">
        <f t="shared" si="25"/>
        <v>2178.4448623657227</v>
      </c>
      <c r="AH26" s="2">
        <v>-3.0298680053419957E-4</v>
      </c>
      <c r="AI26" s="2">
        <f t="shared" si="26"/>
        <v>2178.4470081329346</v>
      </c>
      <c r="AJ26" s="2">
        <v>1.0838597791007487E-3</v>
      </c>
      <c r="AK26" s="2">
        <f t="shared" si="17"/>
        <v>2178.4459352493286</v>
      </c>
      <c r="AL26" s="2">
        <v>3.9043646688696754E-4</v>
      </c>
      <c r="AM26" s="2">
        <f t="shared" si="18"/>
        <v>-1.1829709591395925E-7</v>
      </c>
      <c r="AN26" s="2">
        <f t="shared" si="19"/>
        <v>4.2317838275298541E-7</v>
      </c>
      <c r="AO26" s="2">
        <f t="shared" si="20"/>
        <v>2.1457672119140625E-3</v>
      </c>
      <c r="AQ26" s="67"/>
      <c r="AR26" s="3">
        <f>0.945*($AR$9/2)</f>
        <v>3.78</v>
      </c>
      <c r="AS26" s="6" t="s">
        <v>8</v>
      </c>
      <c r="AT26"/>
      <c r="AU26" s="70"/>
      <c r="AV26" s="67">
        <f>BL39</f>
        <v>8.9239812067765101E-10</v>
      </c>
      <c r="AW26" s="67"/>
      <c r="AX26"/>
      <c r="AY26" s="2" t="s">
        <v>170</v>
      </c>
      <c r="AZ26" s="37">
        <f>$AR$45*AZ25*$AR$31/$AR$46</f>
        <v>1212482.6494662769</v>
      </c>
      <c r="BA26" s="26"/>
      <c r="BB26"/>
      <c r="BC26" s="2" t="s">
        <v>170</v>
      </c>
      <c r="BD26" s="37">
        <f>$AR$45*BD25*$AR$32/$AR$46</f>
        <v>1383827.1048564734</v>
      </c>
      <c r="BE26" s="26"/>
      <c r="BF26"/>
      <c r="BG26" s="2" t="s">
        <v>168</v>
      </c>
      <c r="BH26" s="2">
        <f>BH25/PI()*180</f>
        <v>5.2668149821363377</v>
      </c>
      <c r="BI26" s="2" t="s">
        <v>43</v>
      </c>
      <c r="BJ26" s="2"/>
      <c r="BK26" s="2" t="s">
        <v>168</v>
      </c>
      <c r="BL26" s="2">
        <f>BL25/PI()*180</f>
        <v>5.2366225673906479</v>
      </c>
      <c r="BM26" s="2" t="s">
        <v>43</v>
      </c>
      <c r="BN26"/>
      <c r="BO26" s="2">
        <v>22</v>
      </c>
      <c r="BP26" s="2">
        <f t="shared" si="21"/>
        <v>0.23326255644794142</v>
      </c>
      <c r="BQ26" s="2">
        <v>-1.7482808469387878E-6</v>
      </c>
      <c r="BR26" s="2">
        <f t="shared" si="22"/>
        <v>0.23326388969296213</v>
      </c>
      <c r="BS26" s="2">
        <v>2.263006572994497E-6</v>
      </c>
      <c r="BT26" s="2">
        <f t="shared" si="7"/>
        <v>0.23326322307045178</v>
      </c>
      <c r="BU26" s="2">
        <v>2.5736596236114462E-7</v>
      </c>
      <c r="BV26" s="2">
        <f t="shared" si="8"/>
        <v>-4.4994798264995811E-13</v>
      </c>
      <c r="BW26" s="2">
        <f t="shared" si="9"/>
        <v>5.8242086448832464E-13</v>
      </c>
      <c r="BX26" s="2">
        <f t="shared" si="10"/>
        <v>1.3332450207181878E-6</v>
      </c>
      <c r="BY26"/>
      <c r="BZ26" s="2">
        <v>22</v>
      </c>
      <c r="CA26" s="2">
        <f t="shared" si="23"/>
        <v>0.18307388088792315</v>
      </c>
      <c r="CB26" s="2">
        <v>-1.6165446590082899E-6</v>
      </c>
      <c r="CC26" s="2">
        <f t="shared" si="24"/>
        <v>0.18307521413294386</v>
      </c>
      <c r="CD26" s="2">
        <v>1.9565564992329865E-6</v>
      </c>
      <c r="CE26" s="2">
        <f t="shared" si="11"/>
        <v>0.18307454751043351</v>
      </c>
      <c r="CF26" s="2">
        <v>1.7000971498648543E-7</v>
      </c>
      <c r="CG26" s="2">
        <f t="shared" si="12"/>
        <v>-2.7482829674092462E-13</v>
      </c>
      <c r="CH26" s="2">
        <f t="shared" si="13"/>
        <v>3.3263361278955571E-13</v>
      </c>
      <c r="CI26" s="2">
        <f t="shared" si="14"/>
        <v>1.3332450207181878E-6</v>
      </c>
    </row>
    <row r="27" spans="2:87" x14ac:dyDescent="0.2">
      <c r="B27" t="s">
        <v>110</v>
      </c>
      <c r="C27" s="1">
        <v>2.0560284000000002</v>
      </c>
      <c r="D27" t="s">
        <v>8</v>
      </c>
      <c r="F27" s="42" t="s">
        <v>86</v>
      </c>
      <c r="G27" s="43">
        <f xml:space="preserve"> 1/1000 * IF($G$23&gt;= 2*SQRT(($C$5*$C$44)/(2*$C$41*$C$18*PI()*$C$9*$C$9)), ($C$5*$C$44)/$C$21 * ( ($G$23/2) - SQRT( ($G$23/2)^2 - ($C$5*$C$44)/(2*$C$41*$C$18*PI()*$C$9*$C$9 ) ) ), 1/$C$21 * SQRT(($C$5*$C$44)^3/(2*$C$41*$C$18*PI()*$C$9*$C$9)) )</f>
        <v>203.44698700209872</v>
      </c>
      <c r="H27" s="42" t="s">
        <v>104</v>
      </c>
      <c r="J27" s="10" t="s">
        <v>57</v>
      </c>
      <c r="K27" s="10">
        <f>$C$5 - $C$13 - SUM(K13:K26)</f>
        <v>-3.8036669820940006E-5</v>
      </c>
      <c r="L27" s="10" t="s">
        <v>7</v>
      </c>
      <c r="N27" s="6" t="s">
        <v>36</v>
      </c>
      <c r="O27" s="6">
        <f xml:space="preserve"> 1/$C$21 - O24 * SQRT( (2*$C$47*PI()*$C$9^2) / O19^3 )</f>
        <v>0.5411221745731889</v>
      </c>
      <c r="U27" s="2">
        <v>23</v>
      </c>
      <c r="V27" s="2">
        <f t="shared" si="15"/>
        <v>2.0835161209106445E-2</v>
      </c>
      <c r="W27" s="2">
        <f t="shared" si="0"/>
        <v>3.2844858055547377E-8</v>
      </c>
      <c r="X27" s="2">
        <f t="shared" si="16"/>
        <v>2.0835280418395996E-2</v>
      </c>
      <c r="Y27" s="2">
        <f t="shared" si="1"/>
        <v>-8.6561082711378301E-8</v>
      </c>
      <c r="Z27" s="2">
        <f t="shared" si="3"/>
        <v>2.0835220813751221E-2</v>
      </c>
      <c r="AA27" s="2">
        <f t="shared" si="2"/>
        <v>-2.6858112189137584E-8</v>
      </c>
      <c r="AB27" s="2">
        <f t="shared" si="4"/>
        <v>-8.8215088249219076E-16</v>
      </c>
      <c r="AC27" s="2">
        <f t="shared" si="5"/>
        <v>2.3248672706754159E-15</v>
      </c>
      <c r="AD27" s="2">
        <f t="shared" si="6"/>
        <v>1.1920928955078125E-7</v>
      </c>
      <c r="AF27" s="2">
        <v>23</v>
      </c>
      <c r="AG27" s="2">
        <f t="shared" si="25"/>
        <v>2178.4448623657227</v>
      </c>
      <c r="AH27" s="2">
        <v>-3.0298680053419957E-4</v>
      </c>
      <c r="AI27" s="2">
        <f t="shared" si="26"/>
        <v>2178.4459352493286</v>
      </c>
      <c r="AJ27" s="2">
        <v>3.9043646688696754E-4</v>
      </c>
      <c r="AK27" s="2">
        <f t="shared" si="17"/>
        <v>2178.4453988075256</v>
      </c>
      <c r="AL27" s="2">
        <v>5.0497108759373077E-5</v>
      </c>
      <c r="AM27" s="2">
        <f t="shared" si="18"/>
        <v>-1.5299957419229952E-8</v>
      </c>
      <c r="AN27" s="2">
        <f t="shared" si="19"/>
        <v>1.9715912732016565E-8</v>
      </c>
      <c r="AO27" s="2">
        <f t="shared" si="20"/>
        <v>1.0728836059570312E-3</v>
      </c>
      <c r="AQ27" s="67" t="s">
        <v>204</v>
      </c>
      <c r="AR27" s="3">
        <f>0.071475*($AR$9/2)</f>
        <v>0.28589999999999999</v>
      </c>
      <c r="AS27" s="26" t="s">
        <v>8</v>
      </c>
      <c r="AT27"/>
      <c r="AU27" s="70"/>
      <c r="AV27" s="67">
        <f>BH58</f>
        <v>1.6370269098620049E-9</v>
      </c>
      <c r="AW27" s="67"/>
      <c r="AX27"/>
      <c r="AY27" s="2" t="s">
        <v>174</v>
      </c>
      <c r="AZ27" s="33">
        <f xml:space="preserve"> $BH$46 * PI() * $AR$45 * AZ25^2 * $BH$52 * $AR$23 * AZ22</f>
        <v>809.05396434945078</v>
      </c>
      <c r="BA27" s="26" t="s">
        <v>22</v>
      </c>
      <c r="BB27"/>
      <c r="BC27" s="2" t="s">
        <v>174</v>
      </c>
      <c r="BD27" s="33">
        <f xml:space="preserve"> $BL$46 * PI() * $AR$45 * BD25^2 * $BL$52 * $AR$24 * BD22</f>
        <v>1009.1483540464434</v>
      </c>
      <c r="BE27" s="26" t="s">
        <v>22</v>
      </c>
      <c r="BF27"/>
      <c r="BG27" s="2" t="s">
        <v>171</v>
      </c>
      <c r="BH27" s="2">
        <f xml:space="preserve"> $AR$8*$AR$29 / (2*PI()*$AR$21)</f>
        <v>8.1440994613795809E-2</v>
      </c>
      <c r="BI27" s="2"/>
      <c r="BJ27" s="2"/>
      <c r="BK27" s="2" t="s">
        <v>171</v>
      </c>
      <c r="BL27" s="2">
        <f xml:space="preserve"> $AR$8*$AR$30 / (2*PI()*$AR$22)</f>
        <v>6.1763148460265718E-2</v>
      </c>
      <c r="BM27" s="2"/>
      <c r="BN27"/>
      <c r="BO27" s="2">
        <v>23</v>
      </c>
      <c r="BP27" s="2">
        <f t="shared" si="21"/>
        <v>0.23326255644794142</v>
      </c>
      <c r="BQ27" s="2">
        <v>-1.7482808469387878E-6</v>
      </c>
      <c r="BR27" s="2">
        <f t="shared" si="22"/>
        <v>0.23326322307045178</v>
      </c>
      <c r="BS27" s="2">
        <v>2.5736596236114462E-7</v>
      </c>
      <c r="BT27" s="2">
        <f t="shared" si="7"/>
        <v>0.2332628897591966</v>
      </c>
      <c r="BU27" s="2">
        <v>-7.4545666745029493E-7</v>
      </c>
      <c r="BV27" s="2">
        <f t="shared" si="8"/>
        <v>1.303267613926168E-12</v>
      </c>
      <c r="BW27" s="2">
        <f t="shared" si="9"/>
        <v>-1.918551726168769E-13</v>
      </c>
      <c r="BX27" s="2">
        <f t="shared" si="10"/>
        <v>6.6662251035909392E-7</v>
      </c>
      <c r="BY27"/>
      <c r="BZ27" s="2">
        <v>23</v>
      </c>
      <c r="CA27" s="2">
        <f t="shared" si="23"/>
        <v>0.18307388088792315</v>
      </c>
      <c r="CB27" s="2">
        <v>-1.6165446590082899E-6</v>
      </c>
      <c r="CC27" s="2">
        <f t="shared" si="24"/>
        <v>0.18307454751043351</v>
      </c>
      <c r="CD27" s="2">
        <v>1.7000971498648543E-7</v>
      </c>
      <c r="CE27" s="2">
        <f t="shared" si="11"/>
        <v>0.18307421419917833</v>
      </c>
      <c r="CF27" s="2">
        <v>-7.2326652325593876E-7</v>
      </c>
      <c r="CG27" s="2">
        <f t="shared" si="12"/>
        <v>1.1691926352088829E-12</v>
      </c>
      <c r="CH27" s="2">
        <f t="shared" si="13"/>
        <v>-1.2296233547800839E-13</v>
      </c>
      <c r="CI27" s="2">
        <f t="shared" si="14"/>
        <v>6.6662251035909392E-7</v>
      </c>
    </row>
    <row r="28" spans="2:87" x14ac:dyDescent="0.2">
      <c r="J28" s="6" t="s">
        <v>58</v>
      </c>
      <c r="K28" s="4" t="str">
        <f>IF(ABS(K27)&lt;1, "TRUE", "FALSE")</f>
        <v>TRUE</v>
      </c>
      <c r="N28" s="6" t="s">
        <v>37</v>
      </c>
      <c r="O28" s="17">
        <v>1.1499999999999999</v>
      </c>
      <c r="U28" s="2">
        <v>24</v>
      </c>
      <c r="V28" s="2">
        <f t="shared" si="15"/>
        <v>2.0835161209106445E-2</v>
      </c>
      <c r="W28" s="2">
        <f t="shared" si="0"/>
        <v>3.2844858055547377E-8</v>
      </c>
      <c r="X28" s="2">
        <f t="shared" si="16"/>
        <v>2.0835220813751221E-2</v>
      </c>
      <c r="Y28" s="2">
        <f t="shared" si="1"/>
        <v>-2.6858112189137584E-8</v>
      </c>
      <c r="Z28" s="2">
        <f t="shared" si="3"/>
        <v>2.0835191011428833E-2</v>
      </c>
      <c r="AA28" s="2">
        <f t="shared" si="2"/>
        <v>2.9933729661646424E-9</v>
      </c>
      <c r="AB28" s="2">
        <f t="shared" si="4"/>
        <v>9.8316910180990505E-17</v>
      </c>
      <c r="AC28" s="2">
        <f t="shared" si="5"/>
        <v>-8.0396346949181511E-17</v>
      </c>
      <c r="AD28" s="2">
        <f t="shared" si="6"/>
        <v>5.9604644775390625E-8</v>
      </c>
      <c r="AF28" s="2">
        <v>24</v>
      </c>
      <c r="AG28" s="2">
        <f t="shared" si="25"/>
        <v>2178.4448623657227</v>
      </c>
      <c r="AH28" s="2">
        <v>-3.0298680053419957E-4</v>
      </c>
      <c r="AI28" s="2">
        <f t="shared" si="26"/>
        <v>2178.4453988075256</v>
      </c>
      <c r="AJ28" s="2">
        <v>5.0497108759373077E-5</v>
      </c>
      <c r="AK28" s="2">
        <f t="shared" si="17"/>
        <v>2178.4451305866241</v>
      </c>
      <c r="AL28" s="2">
        <v>-1.2624484861589735E-4</v>
      </c>
      <c r="AM28" s="2">
        <f t="shared" si="18"/>
        <v>3.8250522766055111E-8</v>
      </c>
      <c r="AN28" s="2">
        <f t="shared" si="19"/>
        <v>-6.3749998508675586E-9</v>
      </c>
      <c r="AO28" s="2">
        <f t="shared" si="20"/>
        <v>5.3644180297851562E-4</v>
      </c>
      <c r="AQ28" s="67"/>
      <c r="AR28" s="3">
        <f>0.069425*($AR$9/2)</f>
        <v>0.2777</v>
      </c>
      <c r="AS28" s="26" t="s">
        <v>8</v>
      </c>
      <c r="AT28"/>
      <c r="AU28" s="70"/>
      <c r="AV28" s="67">
        <f>BL58</f>
        <v>-2.0017215697498703E-9</v>
      </c>
      <c r="AW28" s="67"/>
      <c r="AX28"/>
      <c r="AY28" s="2" t="s">
        <v>178</v>
      </c>
      <c r="AZ28" s="33">
        <f xml:space="preserve"> $BH$46 * PI() * $AR$45 * AZ25^2 * $BH$53 * $AR$23^2 * AZ22</f>
        <v>276.93917430757909</v>
      </c>
      <c r="BA28" s="26" t="s">
        <v>179</v>
      </c>
      <c r="BB28"/>
      <c r="BC28" s="2" t="s">
        <v>178</v>
      </c>
      <c r="BD28" s="33">
        <f xml:space="preserve"> $BL$46 * PI() * $AR$45 * BD25^2 * $BL$53 * $AR$24^2 * BD22</f>
        <v>376.26755031008577</v>
      </c>
      <c r="BE28" s="26" t="s">
        <v>179</v>
      </c>
      <c r="BF28"/>
      <c r="BG28" s="2" t="s">
        <v>175</v>
      </c>
      <c r="BH28" s="2">
        <f>IF(-$AR$8*($AV$3-$AR$21)/(2*$AR$21*SIN(BH23))&gt;500, 1, 2*ACOS(MIN(1, EXP(-$AR$8*($AV$3-$AR$21)/(2*$AR$21*SIN(BH23)))))/PI() )</f>
        <v>0.9999998314347085</v>
      </c>
      <c r="BI28" s="2"/>
      <c r="BJ28" s="2"/>
      <c r="BK28" s="2" t="s">
        <v>175</v>
      </c>
      <c r="BL28" s="2">
        <f>IF(-$AR$8*($AV$3-$AR$22)/(2*$AR$22*SIN(BL23))&gt;500, 1, 2*ACOS(MIN(1, EXP(-$AR$8*($AV$3-$AR$22)/(2*$AR$22*SIN(BL23)))))/PI() )</f>
        <v>0.99999258863299623</v>
      </c>
      <c r="BM28" s="2"/>
      <c r="BN28"/>
      <c r="BO28" s="2">
        <v>24</v>
      </c>
      <c r="BP28" s="2">
        <f t="shared" si="21"/>
        <v>0.2332628897591966</v>
      </c>
      <c r="BQ28" s="2">
        <v>-7.4545666745029493E-7</v>
      </c>
      <c r="BR28" s="2">
        <f t="shared" si="22"/>
        <v>0.23326322307045178</v>
      </c>
      <c r="BS28" s="2">
        <v>2.5736596236114462E-7</v>
      </c>
      <c r="BT28" s="2">
        <f t="shared" si="7"/>
        <v>0.2332630564148242</v>
      </c>
      <c r="BU28" s="2">
        <v>-2.440451587620851E-7</v>
      </c>
      <c r="BV28" s="2">
        <f t="shared" si="8"/>
        <v>1.819250907581621E-13</v>
      </c>
      <c r="BW28" s="2">
        <f t="shared" si="9"/>
        <v>-6.2808917144382358E-14</v>
      </c>
      <c r="BX28" s="2">
        <f t="shared" si="10"/>
        <v>3.3331125517954696E-7</v>
      </c>
      <c r="BY28"/>
      <c r="BZ28" s="2">
        <v>24</v>
      </c>
      <c r="CA28" s="2">
        <f t="shared" si="23"/>
        <v>0.18307421419917833</v>
      </c>
      <c r="CB28" s="2">
        <v>-7.2326652325593876E-7</v>
      </c>
      <c r="CC28" s="2">
        <f t="shared" si="24"/>
        <v>0.18307454751043351</v>
      </c>
      <c r="CD28" s="2">
        <v>1.7000971498648543E-7</v>
      </c>
      <c r="CE28" s="2">
        <f t="shared" si="11"/>
        <v>0.18307438085480593</v>
      </c>
      <c r="CF28" s="2">
        <v>-2.7662816692863856E-7</v>
      </c>
      <c r="CG28" s="2">
        <f t="shared" si="12"/>
        <v>2.0007589252913987E-13</v>
      </c>
      <c r="CH28" s="2">
        <f t="shared" si="13"/>
        <v>-4.7029475816771753E-14</v>
      </c>
      <c r="CI28" s="2">
        <f t="shared" si="14"/>
        <v>3.3331125517954696E-7</v>
      </c>
    </row>
    <row r="29" spans="2:87" x14ac:dyDescent="0.2">
      <c r="B29" s="56" t="s">
        <v>111</v>
      </c>
      <c r="C29" s="56"/>
      <c r="D29" s="56"/>
      <c r="N29" s="6" t="s">
        <v>38</v>
      </c>
      <c r="O29" s="6">
        <f xml:space="preserve"> 1/$C$53 * LN( EXP($C$53 * O27) + EXP($C$53 * O28) )</f>
        <v>1.1500000003889648</v>
      </c>
      <c r="U29" s="2">
        <v>25</v>
      </c>
      <c r="V29" s="2">
        <f t="shared" si="15"/>
        <v>2.0835191011428833E-2</v>
      </c>
      <c r="W29" s="2">
        <f t="shared" si="0"/>
        <v>2.9933729661646424E-9</v>
      </c>
      <c r="X29" s="2">
        <f t="shared" si="16"/>
        <v>2.0835220813751221E-2</v>
      </c>
      <c r="Y29" s="2">
        <f t="shared" si="1"/>
        <v>-2.6858112189137584E-8</v>
      </c>
      <c r="Z29" s="2">
        <f t="shared" si="3"/>
        <v>2.0835205912590027E-2</v>
      </c>
      <c r="AA29" s="2">
        <f t="shared" si="2"/>
        <v>-1.1932369602812853E-8</v>
      </c>
      <c r="AB29" s="2">
        <f t="shared" si="4"/>
        <v>-3.5718032591344726E-17</v>
      </c>
      <c r="AC29" s="2">
        <f t="shared" si="5"/>
        <v>3.2048092147460267E-16</v>
      </c>
      <c r="AD29" s="2">
        <f t="shared" si="6"/>
        <v>2.9802322387695312E-8</v>
      </c>
      <c r="AF29" s="2">
        <v>25</v>
      </c>
      <c r="AG29" s="2">
        <f t="shared" si="25"/>
        <v>2178.4451305866241</v>
      </c>
      <c r="AH29" s="2">
        <v>-1.2624484861589735E-4</v>
      </c>
      <c r="AI29" s="2">
        <f t="shared" si="26"/>
        <v>2178.4453988075256</v>
      </c>
      <c r="AJ29" s="2">
        <v>5.0497108759373077E-5</v>
      </c>
      <c r="AK29" s="2">
        <f t="shared" si="17"/>
        <v>2178.4452646970749</v>
      </c>
      <c r="AL29" s="2">
        <v>-4.4646151309279958E-5</v>
      </c>
      <c r="AM29" s="2">
        <f t="shared" si="18"/>
        <v>5.6363466133224961E-9</v>
      </c>
      <c r="AN29" s="2">
        <f t="shared" si="19"/>
        <v>-2.2545015583521366E-9</v>
      </c>
      <c r="AO29" s="2">
        <f t="shared" si="20"/>
        <v>2.6822090148925781E-4</v>
      </c>
      <c r="AQ29" s="67"/>
      <c r="AR29" s="3">
        <f>0.067375*($AR$9/2)</f>
        <v>0.26950000000000002</v>
      </c>
      <c r="AS29" s="26" t="s">
        <v>8</v>
      </c>
      <c r="AT29"/>
      <c r="AU29" s="70"/>
      <c r="AV29" s="67">
        <f>BH77</f>
        <v>-1.1845868695681272E-9</v>
      </c>
      <c r="AW29" s="67"/>
      <c r="AX29"/>
      <c r="AY29"/>
      <c r="AZ29"/>
      <c r="BA29"/>
      <c r="BB29"/>
      <c r="BC29"/>
      <c r="BD29"/>
      <c r="BE29"/>
      <c r="BF29"/>
      <c r="BG29" s="2" t="s">
        <v>180</v>
      </c>
      <c r="BH29" s="2">
        <f>IF(-$AR$8*($AR$21-$AR$10)/(2*$AR$21*SIN(BH23))&gt;500, 1, 2*ACOS(MIN(1, EXP(-$AR$8*($AR$21-$AR$10)/(2*$AR$21*SIN(BH23)))))/PI() )</f>
        <v>0.99934794556920359</v>
      </c>
      <c r="BI29" s="2"/>
      <c r="BJ29" s="2"/>
      <c r="BK29" s="2" t="s">
        <v>180</v>
      </c>
      <c r="BL29" s="2">
        <f>IF(-$AR$8*($AR$22-$AR$10)/(2*$AR$22*SIN(BL23))&gt;500, 1, 2*ACOS(MIN(1, EXP(-$AR$8*($AR$22-$AR$10)/(2*$AR$22*SIN(BL23)))))/PI() )</f>
        <v>0.99990745803393355</v>
      </c>
      <c r="BM29" s="2"/>
      <c r="BN29"/>
      <c r="BO29" s="2">
        <v>25</v>
      </c>
      <c r="BP29" s="2">
        <f t="shared" si="21"/>
        <v>0.2332630564148242</v>
      </c>
      <c r="BQ29" s="2">
        <v>-2.440451587620851E-7</v>
      </c>
      <c r="BR29" s="2">
        <f t="shared" si="22"/>
        <v>0.23326322307045178</v>
      </c>
      <c r="BS29" s="2">
        <v>2.5736596236114462E-7</v>
      </c>
      <c r="BT29" s="2">
        <f t="shared" si="7"/>
        <v>0.23326313974263799</v>
      </c>
      <c r="BU29" s="2">
        <v>6.6604502468869953E-9</v>
      </c>
      <c r="BV29" s="2">
        <f t="shared" si="8"/>
        <v>-1.6254506379285056E-15</v>
      </c>
      <c r="BW29" s="2">
        <f t="shared" si="9"/>
        <v>1.7141731875485948E-15</v>
      </c>
      <c r="BX29" s="2">
        <f t="shared" si="10"/>
        <v>1.6665562757589569E-7</v>
      </c>
      <c r="BY29"/>
      <c r="BZ29" s="2">
        <v>25</v>
      </c>
      <c r="CA29" s="2">
        <f t="shared" si="23"/>
        <v>0.18307438085480593</v>
      </c>
      <c r="CB29" s="2">
        <v>-2.7662816692863856E-7</v>
      </c>
      <c r="CC29" s="2">
        <f t="shared" si="24"/>
        <v>0.18307454751043351</v>
      </c>
      <c r="CD29" s="2">
        <v>1.7000971498648543E-7</v>
      </c>
      <c r="CE29" s="2">
        <f t="shared" si="11"/>
        <v>0.18307446418261972</v>
      </c>
      <c r="CF29" s="2">
        <v>-5.3309166664350371E-8</v>
      </c>
      <c r="CG29" s="2">
        <f t="shared" si="12"/>
        <v>1.474681705485253E-14</v>
      </c>
      <c r="CH29" s="2">
        <f t="shared" si="13"/>
        <v>-9.0630762307732569E-15</v>
      </c>
      <c r="CI29" s="2">
        <f t="shared" si="14"/>
        <v>1.6665562757589569E-7</v>
      </c>
    </row>
    <row r="30" spans="2:87" x14ac:dyDescent="0.2">
      <c r="B30" s="6" t="s">
        <v>124</v>
      </c>
      <c r="C30" s="21" t="s">
        <v>260</v>
      </c>
      <c r="F30" s="9"/>
      <c r="J30" s="54" t="s">
        <v>116</v>
      </c>
      <c r="K30" s="54"/>
      <c r="L30" s="54"/>
      <c r="U30" s="2">
        <v>26</v>
      </c>
      <c r="V30" s="2">
        <f t="shared" si="15"/>
        <v>2.0835191011428833E-2</v>
      </c>
      <c r="W30" s="2">
        <f t="shared" si="0"/>
        <v>2.9933729661646424E-9</v>
      </c>
      <c r="X30" s="2">
        <f t="shared" si="16"/>
        <v>2.0835205912590027E-2</v>
      </c>
      <c r="Y30" s="2">
        <f t="shared" si="1"/>
        <v>-1.1932369602812853E-8</v>
      </c>
      <c r="Z30" s="2">
        <f t="shared" si="3"/>
        <v>2.083519846200943E-2</v>
      </c>
      <c r="AA30" s="2">
        <f t="shared" si="2"/>
        <v>-4.469498316589382E-9</v>
      </c>
      <c r="AB30" s="2">
        <f t="shared" si="4"/>
        <v>-1.3378875433197035E-17</v>
      </c>
      <c r="AC30" s="2">
        <f t="shared" si="5"/>
        <v>5.3331705852694362E-17</v>
      </c>
      <c r="AD30" s="2">
        <f t="shared" si="6"/>
        <v>1.4901161193847656E-8</v>
      </c>
      <c r="AF30" s="2">
        <v>26</v>
      </c>
      <c r="AG30" s="2">
        <f t="shared" si="25"/>
        <v>2178.4452646970749</v>
      </c>
      <c r="AH30" s="2">
        <v>-4.4646151309279958E-5</v>
      </c>
      <c r="AI30" s="2">
        <f t="shared" si="26"/>
        <v>2178.4453988075256</v>
      </c>
      <c r="AJ30" s="2">
        <v>5.0497108759373077E-5</v>
      </c>
      <c r="AK30" s="2">
        <f t="shared" si="17"/>
        <v>2178.4453317523003</v>
      </c>
      <c r="AL30" s="2">
        <v>-3.8468028833449353E-6</v>
      </c>
      <c r="AM30" s="2">
        <f t="shared" si="18"/>
        <v>1.717449435867924E-10</v>
      </c>
      <c r="AN30" s="2">
        <f t="shared" si="19"/>
        <v>-1.9425242357613914E-10</v>
      </c>
      <c r="AO30" s="2">
        <f t="shared" si="20"/>
        <v>1.3411045074462891E-4</v>
      </c>
      <c r="AQ30" s="67"/>
      <c r="AR30" s="3">
        <f>0.065325*($AR$9/2)</f>
        <v>0.26129999999999998</v>
      </c>
      <c r="AS30" s="26" t="s">
        <v>8</v>
      </c>
      <c r="AT30"/>
      <c r="AU30" s="38" t="s">
        <v>205</v>
      </c>
      <c r="AV30" s="67" t="b">
        <f>IF(AV23&lt;0.00001,IF(AV24&lt;0.00001,IF(AV25&lt;0.00001,IF(AV26&lt;0.00001,IF(AV27&lt;0.00001,IF(AV28&lt;0.00001,IF(AV29&lt;0.00001,TRUE,FALSE),FALSE),FALSE),FALSE),FALSE),FALSE),FALSE)</f>
        <v>1</v>
      </c>
      <c r="AW30" s="67"/>
      <c r="AX30"/>
      <c r="AY30" s="63" t="s">
        <v>206</v>
      </c>
      <c r="AZ30" s="63"/>
      <c r="BA30" s="63"/>
      <c r="BB30"/>
      <c r="BC30" s="63" t="s">
        <v>220</v>
      </c>
      <c r="BD30" s="63"/>
      <c r="BE30" s="63"/>
      <c r="BF30"/>
      <c r="BG30" s="2" t="s">
        <v>183</v>
      </c>
      <c r="BH30" s="2">
        <f>IF(BH23=0,1,BH28*BH29)</f>
        <v>0.99934777711382583</v>
      </c>
      <c r="BI30" s="2"/>
      <c r="BJ30" s="2"/>
      <c r="BK30" s="2" t="s">
        <v>183</v>
      </c>
      <c r="BL30" s="2">
        <f>IF(BL23=0,1,BL28*BL29)</f>
        <v>0.99990004735279225</v>
      </c>
      <c r="BM30" s="2"/>
      <c r="BN30"/>
      <c r="BO30" s="2">
        <v>26</v>
      </c>
      <c r="BP30" s="2">
        <f t="shared" si="21"/>
        <v>0.2332630564148242</v>
      </c>
      <c r="BQ30" s="2">
        <v>-2.440451587620851E-7</v>
      </c>
      <c r="BR30" s="2">
        <f t="shared" si="22"/>
        <v>0.23326313974263799</v>
      </c>
      <c r="BS30" s="2">
        <v>6.6604502468869953E-9</v>
      </c>
      <c r="BT30" s="2">
        <f t="shared" si="7"/>
        <v>0.23326309807873108</v>
      </c>
      <c r="BU30" s="2">
        <v>-1.1869234219086255E-7</v>
      </c>
      <c r="BV30" s="2">
        <f t="shared" si="8"/>
        <v>2.8966291493812785E-14</v>
      </c>
      <c r="BW30" s="2">
        <f t="shared" si="9"/>
        <v>-7.9054443984872627E-16</v>
      </c>
      <c r="BX30" s="2">
        <f t="shared" si="10"/>
        <v>8.3327813787947846E-8</v>
      </c>
      <c r="BY30"/>
      <c r="BZ30" s="2">
        <v>26</v>
      </c>
      <c r="CA30" s="2">
        <f t="shared" si="23"/>
        <v>0.18307446418261972</v>
      </c>
      <c r="CB30" s="2">
        <v>-5.3309166664350371E-8</v>
      </c>
      <c r="CC30" s="2">
        <f t="shared" si="24"/>
        <v>0.18307454751043351</v>
      </c>
      <c r="CD30" s="2">
        <v>1.7000971498648543E-7</v>
      </c>
      <c r="CE30" s="2">
        <f t="shared" si="11"/>
        <v>0.18307450584652663</v>
      </c>
      <c r="CF30" s="2">
        <v>5.835028905887274E-8</v>
      </c>
      <c r="CG30" s="2">
        <f t="shared" si="12"/>
        <v>-3.110605284352467E-15</v>
      </c>
      <c r="CH30" s="2">
        <f t="shared" si="13"/>
        <v>9.9201160122779935E-15</v>
      </c>
      <c r="CI30" s="2">
        <f t="shared" si="14"/>
        <v>8.3327813787947846E-8</v>
      </c>
    </row>
    <row r="31" spans="2:87" x14ac:dyDescent="0.2">
      <c r="B31" s="6" t="s">
        <v>126</v>
      </c>
      <c r="C31" s="6">
        <f>IF(C30="wheeled",0.0325,0.014)</f>
        <v>1.4E-2</v>
      </c>
      <c r="J31" s="6" t="s">
        <v>60</v>
      </c>
      <c r="K31" s="6">
        <f>ROUND($C$13,2)</f>
        <v>600</v>
      </c>
      <c r="L31" s="6" t="s">
        <v>7</v>
      </c>
      <c r="U31" s="2">
        <v>27</v>
      </c>
      <c r="V31" s="2">
        <f t="shared" si="15"/>
        <v>2.0835191011428833E-2</v>
      </c>
      <c r="W31" s="2">
        <f t="shared" si="0"/>
        <v>2.9933729661646424E-9</v>
      </c>
      <c r="X31" s="2">
        <f t="shared" si="16"/>
        <v>2.083519846200943E-2</v>
      </c>
      <c r="Y31" s="2">
        <f t="shared" si="1"/>
        <v>-4.469498316589382E-9</v>
      </c>
      <c r="Z31" s="2">
        <f t="shared" si="3"/>
        <v>2.0835194736719131E-2</v>
      </c>
      <c r="AA31" s="2">
        <f t="shared" si="2"/>
        <v>-7.3806267347764631E-10</v>
      </c>
      <c r="AB31" s="2">
        <f t="shared" si="4"/>
        <v>-2.2092968541231883E-18</v>
      </c>
      <c r="AC31" s="2">
        <f t="shared" si="5"/>
        <v>3.2987698766457988E-18</v>
      </c>
      <c r="AD31" s="2">
        <f t="shared" si="6"/>
        <v>7.4505805969238281E-9</v>
      </c>
      <c r="AF31" s="2">
        <v>27</v>
      </c>
      <c r="AG31" s="2">
        <f t="shared" si="25"/>
        <v>2178.4453317523003</v>
      </c>
      <c r="AH31" s="2">
        <v>-3.8468028833449353E-6</v>
      </c>
      <c r="AI31" s="2">
        <f t="shared" si="26"/>
        <v>2178.4453988075256</v>
      </c>
      <c r="AJ31" s="2">
        <v>5.0497108759373077E-5</v>
      </c>
      <c r="AK31" s="2">
        <f t="shared" si="17"/>
        <v>2178.4453652799129</v>
      </c>
      <c r="AL31" s="2">
        <v>3.009743431903189E-5</v>
      </c>
      <c r="AM31" s="2">
        <f t="shared" si="18"/>
        <v>-1.1577889711973668E-10</v>
      </c>
      <c r="AN31" s="2">
        <f t="shared" si="19"/>
        <v>1.5198334141862411E-9</v>
      </c>
      <c r="AO31" s="2">
        <f t="shared" si="20"/>
        <v>6.7055225372314453E-5</v>
      </c>
      <c r="AQ31" s="67"/>
      <c r="AR31" s="3">
        <f>0.063275*($AR$9/2)</f>
        <v>0.25309999999999999</v>
      </c>
      <c r="AS31" s="26" t="s">
        <v>8</v>
      </c>
      <c r="AT31"/>
      <c r="AU31"/>
      <c r="AV31"/>
      <c r="AW31"/>
      <c r="AX31"/>
      <c r="AY31" s="2" t="s">
        <v>153</v>
      </c>
      <c r="AZ31" s="2">
        <f>$AR$25-$AR$24</f>
        <v>0.43999999999999995</v>
      </c>
      <c r="BA31" s="26" t="s">
        <v>8</v>
      </c>
      <c r="BB31"/>
      <c r="BC31" s="2" t="s">
        <v>153</v>
      </c>
      <c r="BD31" s="2">
        <f>2*($AR$9/2 - $AR$26)</f>
        <v>0.44000000000000039</v>
      </c>
      <c r="BE31" s="26" t="s">
        <v>8</v>
      </c>
      <c r="BF31"/>
      <c r="BG31" s="2" t="s">
        <v>187</v>
      </c>
      <c r="BH31" s="2">
        <f>IF(BH26&lt;$AZ$49, $AV$50*BH26^6 + $AW$50*BH26^5 + $AX$50*BH26^4 + $AV$51*BH26^3 + $AW$51*BH26^2 + $AX$51*BH26 + $AV$52, IF(BH26&gt;$BA$49, $BB$50*BH26^6 + $BC$50*BH26^5 + $BD$50*BH26^4 + $BB$51*BH26^3 + $BC$51*BH26^2 + $BD$51*BH26 + $BB$52, $AY$50*BH26^6 + $AZ$50*BH26^5 + $BA$50*BH26^4 + $AY$51*BH26^3 + $AZ$51*BH26^2 + $BA$51*BH26 + $AY$52) )</f>
        <v>0.77261445512736771</v>
      </c>
      <c r="BI31" s="2"/>
      <c r="BJ31" s="2"/>
      <c r="BK31" s="2" t="s">
        <v>187</v>
      </c>
      <c r="BL31" s="2">
        <f>IF(BL26&lt;$AZ$49, $AV$50*BL26^6 + $AW$50*BL26^5 + $AX$50*BL26^4 + $AV$51*BL26^3 + $AW$51*BL26^2 + $AX$51*BL26 + $AV$52, IF(BL26&gt;$BA$49, $BB$50*BL26^6 + $BC$50*BL26^5 + $BD$50*BL26^4 + $BB$51*BL26^3 + $BC$51*BL26^2 + $BD$51*BL26 + $BB$52, $AY$50*BL26^6 + $AZ$50*BL26^5 + $BA$50*BL26^4 + $AY$51*BL26^3 + $AZ$51*BL26^2 + $BA$51*BL26 + $AY$52) )</f>
        <v>0.76915695957760266</v>
      </c>
      <c r="BM31" s="2"/>
      <c r="BN31"/>
      <c r="BO31" s="2">
        <v>27</v>
      </c>
      <c r="BP31" s="2">
        <f t="shared" si="21"/>
        <v>0.23326309807873108</v>
      </c>
      <c r="BQ31" s="2">
        <v>-1.1869234219086255E-7</v>
      </c>
      <c r="BR31" s="2">
        <f t="shared" si="22"/>
        <v>0.23326313974263799</v>
      </c>
      <c r="BS31" s="2">
        <v>6.6604502468869953E-9</v>
      </c>
      <c r="BT31" s="2">
        <f t="shared" si="7"/>
        <v>0.23326311891068452</v>
      </c>
      <c r="BU31" s="2">
        <v>-5.6015943078469022E-8</v>
      </c>
      <c r="BV31" s="2">
        <f t="shared" si="8"/>
        <v>6.6486634840135235E-15</v>
      </c>
      <c r="BW31" s="2">
        <f t="shared" si="9"/>
        <v>-3.7309140190659685E-16</v>
      </c>
      <c r="BX31" s="2">
        <f t="shared" si="10"/>
        <v>4.1663906907851711E-8</v>
      </c>
      <c r="BY31"/>
      <c r="BZ31" s="2">
        <v>27</v>
      </c>
      <c r="CA31" s="2">
        <f t="shared" si="23"/>
        <v>0.18307446418261972</v>
      </c>
      <c r="CB31" s="2">
        <v>-5.3309166664350371E-8</v>
      </c>
      <c r="CC31" s="2">
        <f t="shared" si="24"/>
        <v>0.18307450584652663</v>
      </c>
      <c r="CD31" s="2">
        <v>5.835028905887274E-8</v>
      </c>
      <c r="CE31" s="2">
        <f t="shared" si="11"/>
        <v>0.18307448501457319</v>
      </c>
      <c r="CF31" s="2">
        <v>2.5205649095694227E-9</v>
      </c>
      <c r="CG31" s="2">
        <f t="shared" si="12"/>
        <v>-1.3436921485254957E-16</v>
      </c>
      <c r="CH31" s="2">
        <f t="shared" si="13"/>
        <v>1.4707569106502723E-16</v>
      </c>
      <c r="CI31" s="2">
        <f t="shared" si="14"/>
        <v>4.1663906907851711E-8</v>
      </c>
    </row>
    <row r="32" spans="2:87" x14ac:dyDescent="0.2">
      <c r="B32" t="s">
        <v>261</v>
      </c>
      <c r="C32" s="1">
        <v>2.8540374719999999</v>
      </c>
      <c r="D32" t="s">
        <v>8</v>
      </c>
      <c r="J32" s="11" t="s">
        <v>55</v>
      </c>
      <c r="K32" s="6">
        <f>ROUND(K13,2)</f>
        <v>779.61</v>
      </c>
      <c r="L32" s="6" t="s">
        <v>7</v>
      </c>
      <c r="U32" s="2">
        <v>28</v>
      </c>
      <c r="V32" s="2">
        <f t="shared" si="15"/>
        <v>2.0835191011428833E-2</v>
      </c>
      <c r="W32" s="2">
        <f t="shared" si="0"/>
        <v>2.9933729661646424E-9</v>
      </c>
      <c r="X32" s="2">
        <f t="shared" si="16"/>
        <v>2.0835194736719131E-2</v>
      </c>
      <c r="Y32" s="2">
        <f t="shared" si="1"/>
        <v>-7.3806267347764631E-10</v>
      </c>
      <c r="Z32" s="2">
        <f t="shared" si="3"/>
        <v>2.0835192874073982E-2</v>
      </c>
      <c r="AA32" s="2">
        <f t="shared" si="2"/>
        <v>1.1276551463434981E-9</v>
      </c>
      <c r="AB32" s="2">
        <f t="shared" si="4"/>
        <v>3.3754924302210606E-18</v>
      </c>
      <c r="AC32" s="2">
        <f t="shared" si="5"/>
        <v>-8.322801720711087E-19</v>
      </c>
      <c r="AD32" s="2">
        <f t="shared" si="6"/>
        <v>3.7252902984619141E-9</v>
      </c>
      <c r="AF32" s="2">
        <v>28</v>
      </c>
      <c r="AG32" s="2">
        <f t="shared" si="25"/>
        <v>2178.4453317523003</v>
      </c>
      <c r="AH32" s="2">
        <v>-3.8468028833449353E-6</v>
      </c>
      <c r="AI32" s="2">
        <f t="shared" si="26"/>
        <v>2178.4453652799129</v>
      </c>
      <c r="AJ32" s="2">
        <v>3.009743431903189E-5</v>
      </c>
      <c r="AK32" s="2">
        <f t="shared" si="17"/>
        <v>2178.4453485161066</v>
      </c>
      <c r="AL32" s="2">
        <v>1.9897596757800784E-5</v>
      </c>
      <c r="AM32" s="2">
        <f t="shared" si="18"/>
        <v>-7.6542132579542891E-11</v>
      </c>
      <c r="AN32" s="2">
        <f t="shared" si="19"/>
        <v>5.9886661152449099E-10</v>
      </c>
      <c r="AO32" s="2">
        <f t="shared" si="20"/>
        <v>3.3527612686157227E-5</v>
      </c>
      <c r="AQ32" s="67"/>
      <c r="AR32" s="3">
        <f>0.061225*($AR$9/2)</f>
        <v>0.24490000000000001</v>
      </c>
      <c r="AS32" s="26" t="s">
        <v>8</v>
      </c>
      <c r="AT32"/>
      <c r="AU32"/>
      <c r="AV32"/>
      <c r="AW32"/>
      <c r="AX32"/>
      <c r="AY32" s="2" t="s">
        <v>158</v>
      </c>
      <c r="AZ32" s="2">
        <f>(1+$BH$75)*$AR$3</f>
        <v>9.2169244292713302</v>
      </c>
      <c r="BA32" s="26" t="s">
        <v>10</v>
      </c>
      <c r="BB32"/>
      <c r="BC32" s="2" t="s">
        <v>158</v>
      </c>
      <c r="BD32" s="2">
        <f>(1+$BL$75)*$AR$3</f>
        <v>9.6244003436827921</v>
      </c>
      <c r="BE32" s="26" t="s">
        <v>10</v>
      </c>
      <c r="BF32"/>
      <c r="BG32" s="2" t="s">
        <v>188</v>
      </c>
      <c r="BH32" s="2">
        <f>IF(BH26&lt;$AZ$49, $AV$53*BH26^6 + $AW$53*BH26^5 + $AX$53*BH26^4 + $AV$54*BH26^3 + $AW$54*BH26^2 + $AX$54*BH26 + $AV$55, IF(BH26&gt;$BA$49, $BB$53*BH26^6 + $BC$53*BH26^5 + $BD$53*BH26^4 + $BB$54*BH26^3 + $BC$54*BH26^2 + $BD$54*BH26 + $BB$55, $AY$53*BH26^6 + $AZ$53*BH26^5 + $BA$53*BH26^4 + $AY$54*BH26^3 + $AZ$54*BH26^2 + $BA$54*BH26 + $AY$55) )</f>
        <v>1.8401287042360666E-2</v>
      </c>
      <c r="BI32" s="2"/>
      <c r="BJ32" s="2"/>
      <c r="BK32" s="2" t="s">
        <v>188</v>
      </c>
      <c r="BL32" s="2">
        <f>IF(BL26&lt;$AZ$49, $AV$53*BL26^6 + $AW$53*BL26^5 + $AX$53*BL26^4 + $AV$54*BL26^3 + $AW$54*BL26^2 + $AX$54*BL26 + $AV$55, IF(BL26&gt;$BA$49, $BB$53*BL26^6 + $BC$53*BL26^5 + $BD$53*BL26^4 + $BB$54*BL26^3 + $BC$54*BL26^2 + $BD$54*BL26 + $BB$55, $AY$53*BL26^6 + $AZ$53*BL26^5 + $BA$53*BL26^4 + $AY$54*BL26^3 + $AZ$54*BL26^2 + $BA$54*BL26 + $AY$55) )</f>
        <v>1.8478328550966185E-2</v>
      </c>
      <c r="BM32" s="2"/>
      <c r="BN32"/>
      <c r="BO32" s="2">
        <v>28</v>
      </c>
      <c r="BP32" s="2">
        <f t="shared" si="21"/>
        <v>0.23326311891068452</v>
      </c>
      <c r="BQ32" s="2">
        <v>-5.6015943078469022E-8</v>
      </c>
      <c r="BR32" s="2">
        <f t="shared" si="22"/>
        <v>0.23326313974263799</v>
      </c>
      <c r="BS32" s="2">
        <v>6.6604502468869953E-9</v>
      </c>
      <c r="BT32" s="2">
        <f t="shared" si="7"/>
        <v>0.23326312932666127</v>
      </c>
      <c r="BU32" s="2">
        <v>-2.4677745569245957E-8</v>
      </c>
      <c r="BV32" s="2">
        <f t="shared" si="8"/>
        <v>1.3823471911118227E-15</v>
      </c>
      <c r="BW32" s="2">
        <f t="shared" si="9"/>
        <v>-1.6436489656929868E-16</v>
      </c>
      <c r="BX32" s="2">
        <f t="shared" si="10"/>
        <v>2.0831953467803643E-8</v>
      </c>
      <c r="BY32"/>
      <c r="BZ32" s="2">
        <v>28</v>
      </c>
      <c r="CA32" s="2">
        <f t="shared" si="23"/>
        <v>0.18307446418261972</v>
      </c>
      <c r="CB32" s="2">
        <v>-5.3309166664350371E-8</v>
      </c>
      <c r="CC32" s="2">
        <f t="shared" si="24"/>
        <v>0.18307448501457319</v>
      </c>
      <c r="CD32" s="2">
        <v>2.5205649095694227E-9</v>
      </c>
      <c r="CE32" s="2">
        <f t="shared" si="11"/>
        <v>0.18307447459859644</v>
      </c>
      <c r="CF32" s="2">
        <v>-2.539429992676201E-8</v>
      </c>
      <c r="CG32" s="2">
        <f t="shared" si="12"/>
        <v>1.3537489671202563E-15</v>
      </c>
      <c r="CH32" s="2">
        <f t="shared" si="13"/>
        <v>-6.4007981298477682E-17</v>
      </c>
      <c r="CI32" s="2">
        <f t="shared" si="14"/>
        <v>2.0831953467803643E-8</v>
      </c>
    </row>
    <row r="33" spans="2:87" x14ac:dyDescent="0.2">
      <c r="B33" t="s">
        <v>262</v>
      </c>
      <c r="C33" s="1">
        <f>(0.750222528+0.849998808)/2</f>
        <v>0.80011066800000008</v>
      </c>
      <c r="D33"/>
      <c r="J33" s="19" t="s">
        <v>81</v>
      </c>
      <c r="K33" s="6">
        <f>ROUND(SUM(K14:K17),2)</f>
        <v>519.63</v>
      </c>
      <c r="L33" s="6" t="s">
        <v>7</v>
      </c>
      <c r="U33" s="2">
        <v>29</v>
      </c>
      <c r="V33" s="2">
        <f t="shared" si="15"/>
        <v>2.0835192874073982E-2</v>
      </c>
      <c r="W33" s="2">
        <f t="shared" si="0"/>
        <v>1.1276551463434981E-9</v>
      </c>
      <c r="X33" s="2">
        <f t="shared" si="16"/>
        <v>2.0835194736719131E-2</v>
      </c>
      <c r="Y33" s="2">
        <f t="shared" si="1"/>
        <v>-7.3806267347764631E-10</v>
      </c>
      <c r="Z33" s="2">
        <f t="shared" si="3"/>
        <v>2.0835193805396557E-2</v>
      </c>
      <c r="AA33" s="2">
        <f t="shared" si="2"/>
        <v>1.947962346982024E-10</v>
      </c>
      <c r="AB33" s="2">
        <f t="shared" si="4"/>
        <v>2.1966297654576382E-19</v>
      </c>
      <c r="AC33" s="2">
        <f t="shared" si="5"/>
        <v>-1.4377182976473431E-19</v>
      </c>
      <c r="AD33" s="2">
        <f t="shared" si="6"/>
        <v>1.862645149230957E-9</v>
      </c>
      <c r="AF33" s="2">
        <v>29</v>
      </c>
      <c r="AG33" s="2">
        <f t="shared" si="25"/>
        <v>2178.4453317523003</v>
      </c>
      <c r="AH33" s="2">
        <v>-3.8468028833449353E-6</v>
      </c>
      <c r="AI33" s="2">
        <f t="shared" si="26"/>
        <v>2178.4453485161066</v>
      </c>
      <c r="AJ33" s="2">
        <v>1.9897596757800784E-5</v>
      </c>
      <c r="AK33" s="2">
        <f t="shared" si="17"/>
        <v>2178.4453401342034</v>
      </c>
      <c r="AL33" s="2">
        <v>1.2531165793916443E-6</v>
      </c>
      <c r="AM33" s="2">
        <f t="shared" si="18"/>
        <v>-4.8204924707711199E-12</v>
      </c>
      <c r="AN33" s="2">
        <f t="shared" si="19"/>
        <v>2.4934008387249591E-11</v>
      </c>
      <c r="AO33" s="2">
        <f t="shared" si="20"/>
        <v>1.6763806343078613E-5</v>
      </c>
      <c r="AQ33" s="67"/>
      <c r="AR33" s="3">
        <f>0.059175*($AR$9/2)</f>
        <v>0.23669999999999999</v>
      </c>
      <c r="AS33" s="26" t="s">
        <v>8</v>
      </c>
      <c r="AT33"/>
      <c r="AU33"/>
      <c r="AV33"/>
      <c r="AW33"/>
      <c r="AX33"/>
      <c r="AY33" s="2" t="s">
        <v>163</v>
      </c>
      <c r="AZ33" s="2">
        <f>(1-$BH$76)*$AV$5*$AR$25</f>
        <v>108.31866002701911</v>
      </c>
      <c r="BA33" s="26" t="s">
        <v>10</v>
      </c>
      <c r="BB33"/>
      <c r="BC33" s="2" t="s">
        <v>163</v>
      </c>
      <c r="BD33" s="2">
        <f>(1-$BL$76)*$AV$5*$AR$26</f>
        <v>122.56547651287943</v>
      </c>
      <c r="BE33" s="26" t="s">
        <v>10</v>
      </c>
      <c r="BF33"/>
      <c r="BG33" s="2" t="s">
        <v>190</v>
      </c>
      <c r="BH33" s="2">
        <f xml:space="preserve"> BH31*COS(BH23) - BH32*SIN(BH23)</f>
        <v>0.76088056699374018</v>
      </c>
      <c r="BI33" s="2"/>
      <c r="BJ33"/>
      <c r="BK33" s="2" t="s">
        <v>190</v>
      </c>
      <c r="BL33" s="2">
        <f xml:space="preserve"> BL31*COS(BL23) - BL32*SIN(BL23)</f>
        <v>0.76029711988119997</v>
      </c>
      <c r="BM33" s="2"/>
      <c r="BN33"/>
      <c r="BO33" s="2">
        <v>29</v>
      </c>
      <c r="BP33" s="2">
        <f t="shared" si="21"/>
        <v>0.23326312932666127</v>
      </c>
      <c r="BQ33" s="2">
        <v>-2.4677745569245957E-8</v>
      </c>
      <c r="BR33" s="2">
        <f t="shared" si="22"/>
        <v>0.23326313974263799</v>
      </c>
      <c r="BS33" s="2">
        <v>6.6604502468869953E-9</v>
      </c>
      <c r="BT33" s="2">
        <f t="shared" si="7"/>
        <v>0.23326313453464964</v>
      </c>
      <c r="BU33" s="2">
        <v>-9.0086474668904515E-9</v>
      </c>
      <c r="BV33" s="2">
        <f t="shared" si="8"/>
        <v>2.2231311011095466E-16</v>
      </c>
      <c r="BW33" s="2">
        <f t="shared" si="9"/>
        <v>-6.0001648244968414E-17</v>
      </c>
      <c r="BX33" s="2">
        <f t="shared" si="10"/>
        <v>1.0415976720024034E-8</v>
      </c>
      <c r="BY33"/>
      <c r="BZ33" s="2">
        <v>29</v>
      </c>
      <c r="CA33" s="2">
        <f t="shared" si="23"/>
        <v>0.18307447459859644</v>
      </c>
      <c r="CB33" s="2">
        <v>-2.539429992676201E-8</v>
      </c>
      <c r="CC33" s="2">
        <f t="shared" si="24"/>
        <v>0.18307448501457319</v>
      </c>
      <c r="CD33" s="2">
        <v>2.5205649095694227E-9</v>
      </c>
      <c r="CE33" s="2">
        <f t="shared" si="11"/>
        <v>0.18307447980658481</v>
      </c>
      <c r="CF33" s="2">
        <v>-1.1436867272673901E-8</v>
      </c>
      <c r="CG33" s="2">
        <f t="shared" si="12"/>
        <v>2.9043123774484965E-16</v>
      </c>
      <c r="CH33" s="2">
        <f t="shared" si="13"/>
        <v>-2.8827366322904779E-17</v>
      </c>
      <c r="CI33" s="2">
        <f t="shared" si="14"/>
        <v>1.0415976747779609E-8</v>
      </c>
    </row>
    <row r="34" spans="2:87" x14ac:dyDescent="0.2">
      <c r="J34" s="20" t="s">
        <v>72</v>
      </c>
      <c r="K34" s="6">
        <f>ROUND(SUM(K18:K22),2)</f>
        <v>174.46</v>
      </c>
      <c r="L34" s="6" t="s">
        <v>7</v>
      </c>
      <c r="U34" s="2">
        <v>30</v>
      </c>
      <c r="V34" s="2">
        <f t="shared" si="15"/>
        <v>2.0835193805396557E-2</v>
      </c>
      <c r="W34" s="2">
        <f t="shared" si="0"/>
        <v>1.947962346982024E-10</v>
      </c>
      <c r="X34" s="2">
        <f t="shared" si="16"/>
        <v>2.0835194736719131E-2</v>
      </c>
      <c r="Y34" s="2">
        <f t="shared" si="1"/>
        <v>-7.3806267347764631E-10</v>
      </c>
      <c r="Z34" s="2">
        <f t="shared" si="3"/>
        <v>2.0835194271057844E-2</v>
      </c>
      <c r="AA34" s="2">
        <f t="shared" si="2"/>
        <v>-2.7163321938972196E-10</v>
      </c>
      <c r="AB34" s="2">
        <f t="shared" si="4"/>
        <v>-5.2913128356068581E-20</v>
      </c>
      <c r="AC34" s="2">
        <f t="shared" si="5"/>
        <v>2.0048234010811822E-19</v>
      </c>
      <c r="AD34" s="2">
        <f>X34-V34</f>
        <v>9.3132257461547852E-10</v>
      </c>
      <c r="AF34" s="2">
        <v>30</v>
      </c>
      <c r="AG34" s="2">
        <f t="shared" si="25"/>
        <v>2178.4453317523003</v>
      </c>
      <c r="AH34" s="2">
        <v>-3.8468028833449353E-6</v>
      </c>
      <c r="AI34" s="2">
        <f t="shared" si="26"/>
        <v>2178.4453401342034</v>
      </c>
      <c r="AJ34" s="2">
        <v>1.2531165793916443E-6</v>
      </c>
      <c r="AK34" s="2">
        <f t="shared" si="17"/>
        <v>2178.4453359432518</v>
      </c>
      <c r="AL34" s="2">
        <v>-1.2968423561687814E-6</v>
      </c>
      <c r="AM34" s="2">
        <f t="shared" si="18"/>
        <v>4.9886969149539078E-12</v>
      </c>
      <c r="AN34" s="2">
        <f t="shared" si="19"/>
        <v>-1.6250946573724239E-12</v>
      </c>
      <c r="AO34" s="2">
        <f t="shared" si="20"/>
        <v>8.3819031715393066E-6</v>
      </c>
      <c r="AQ34" s="67"/>
      <c r="AR34" s="3">
        <f>0.057125*($AR$9/2)</f>
        <v>0.22850000000000001</v>
      </c>
      <c r="AS34" s="26" t="s">
        <v>8</v>
      </c>
      <c r="AT34"/>
      <c r="AU34"/>
      <c r="AV34"/>
      <c r="AW34"/>
      <c r="AX34"/>
      <c r="AY34" s="2" t="s">
        <v>167</v>
      </c>
      <c r="AZ34" s="2">
        <f>SQRT(AZ32^2 + AZ33^2)</f>
        <v>108.71009063552401</v>
      </c>
      <c r="BA34" s="26" t="s">
        <v>10</v>
      </c>
      <c r="BB34"/>
      <c r="BC34" s="2" t="s">
        <v>167</v>
      </c>
      <c r="BD34" s="2">
        <f>SQRT(BD32^2 + BD33^2)</f>
        <v>122.94277170620761</v>
      </c>
      <c r="BE34" s="26" t="s">
        <v>10</v>
      </c>
      <c r="BF34"/>
      <c r="BG34" s="2" t="s">
        <v>192</v>
      </c>
      <c r="BH34" s="2">
        <f xml:space="preserve"> BH31*SIN(BH23) + BH32*COS(BH23)</f>
        <v>0.13539743870494439</v>
      </c>
      <c r="BI34" s="2"/>
      <c r="BJ34"/>
      <c r="BK34" s="2" t="s">
        <v>192</v>
      </c>
      <c r="BL34" s="2">
        <f xml:space="preserve"> BL31*SIN(BL23) + BL32*COS(BL23)</f>
        <v>0.11786503549845244</v>
      </c>
      <c r="BM34" s="2"/>
      <c r="BN34"/>
      <c r="BO34" s="2">
        <v>30</v>
      </c>
      <c r="BP34" s="2">
        <f t="shared" si="21"/>
        <v>0.23326313453464964</v>
      </c>
      <c r="BQ34" s="2">
        <v>-9.0086474668904515E-9</v>
      </c>
      <c r="BR34" s="2">
        <f t="shared" si="22"/>
        <v>0.23326313974263799</v>
      </c>
      <c r="BS34" s="2">
        <v>6.6604502468869953E-9</v>
      </c>
      <c r="BT34" s="5">
        <f t="shared" si="7"/>
        <v>0.23326313713864383</v>
      </c>
      <c r="BU34" s="2">
        <v>-1.1740984989794256E-9</v>
      </c>
      <c r="BV34" s="2">
        <f t="shared" si="8"/>
        <v>1.0577039468710885E-17</v>
      </c>
      <c r="BW34" s="2">
        <f t="shared" si="9"/>
        <v>-7.8200246373971653E-18</v>
      </c>
      <c r="BX34" s="2">
        <f t="shared" si="10"/>
        <v>5.2079883461342291E-9</v>
      </c>
      <c r="BY34"/>
      <c r="BZ34" s="2">
        <v>30</v>
      </c>
      <c r="CA34" s="2">
        <f t="shared" si="23"/>
        <v>0.18307447980658481</v>
      </c>
      <c r="CB34" s="2">
        <v>-1.1436867272673901E-8</v>
      </c>
      <c r="CC34" s="2">
        <f t="shared" si="24"/>
        <v>0.18307448501457319</v>
      </c>
      <c r="CD34" s="2">
        <v>2.5205649095694227E-9</v>
      </c>
      <c r="CE34" s="5">
        <f t="shared" si="11"/>
        <v>0.183074482410579</v>
      </c>
      <c r="CF34" s="2">
        <v>-4.4581511121633E-9</v>
      </c>
      <c r="CG34" s="2">
        <f t="shared" si="12"/>
        <v>5.0987282551335197E-17</v>
      </c>
      <c r="CH34" s="2">
        <f t="shared" si="13"/>
        <v>-1.1237059254876709E-17</v>
      </c>
      <c r="CI34" s="2">
        <f t="shared" si="14"/>
        <v>5.2079883738898047E-9</v>
      </c>
    </row>
    <row r="35" spans="2:87" x14ac:dyDescent="0.2">
      <c r="B35" s="54" t="s">
        <v>2</v>
      </c>
      <c r="C35" s="54"/>
      <c r="D35" s="54"/>
      <c r="J35" s="15" t="s">
        <v>73</v>
      </c>
      <c r="K35" s="6">
        <f>ROUND(SUM(K23:K26),2)</f>
        <v>104.74</v>
      </c>
      <c r="L35" s="6" t="s">
        <v>7</v>
      </c>
      <c r="AF35" s="2">
        <v>31</v>
      </c>
      <c r="AG35" s="2">
        <f t="shared" si="25"/>
        <v>2178.4453359432518</v>
      </c>
      <c r="AH35" s="2">
        <v>-1.2968423561687814E-6</v>
      </c>
      <c r="AI35" s="2">
        <f t="shared" si="26"/>
        <v>2178.4453401342034</v>
      </c>
      <c r="AJ35" s="2">
        <v>1.2531165793916443E-6</v>
      </c>
      <c r="AK35" s="2">
        <f t="shared" si="17"/>
        <v>2178.4453380387276</v>
      </c>
      <c r="AL35" s="2">
        <v>-2.1863115762243979E-8</v>
      </c>
      <c r="AM35" s="2">
        <f t="shared" si="18"/>
        <v>2.8353014558299305E-14</v>
      </c>
      <c r="AN35" s="2">
        <f t="shared" si="19"/>
        <v>-2.7397032838826717E-14</v>
      </c>
      <c r="AO35" s="2">
        <f t="shared" si="20"/>
        <v>4.1909515857696533E-6</v>
      </c>
      <c r="AQ35" s="67" t="s">
        <v>223</v>
      </c>
      <c r="AR35" s="3">
        <v>6.9</v>
      </c>
      <c r="AS35" s="26" t="s">
        <v>43</v>
      </c>
      <c r="AT35"/>
      <c r="AU35"/>
      <c r="AV35"/>
      <c r="AW35"/>
      <c r="AX35"/>
      <c r="AY35" s="2" t="s">
        <v>170</v>
      </c>
      <c r="AZ35" s="37">
        <f>$AR$45*AZ34*$AR$33/$AR$46</f>
        <v>1540885.6113997651</v>
      </c>
      <c r="BA35" s="26"/>
      <c r="BB35"/>
      <c r="BC35" s="2" t="s">
        <v>170</v>
      </c>
      <c r="BD35" s="37">
        <f>$AR$45*BD34*$AR$34/$AR$46</f>
        <v>1682253.6852539489</v>
      </c>
      <c r="BE35" s="26"/>
      <c r="BF35"/>
      <c r="BG35" s="2" t="s">
        <v>38</v>
      </c>
      <c r="BH35" s="2">
        <f xml:space="preserve"> 4*BH30*SIN(BH23)*SIN(BH23) / (BH27*BH33)</f>
        <v>1.4846165896350814</v>
      </c>
      <c r="BI35" s="2"/>
      <c r="BJ35"/>
      <c r="BK35" s="2" t="s">
        <v>38</v>
      </c>
      <c r="BL35" s="2">
        <f xml:space="preserve"> 4*BL30*SIN(BL23)*SIN(BL23) / (BL27*BL33)</f>
        <v>1.4265516608364335</v>
      </c>
      <c r="BM35" s="2"/>
      <c r="BN35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/>
      <c r="BZ35"/>
      <c r="CA35"/>
      <c r="CB35"/>
      <c r="CC35"/>
      <c r="CD35"/>
      <c r="CE35"/>
      <c r="CF35"/>
      <c r="CG35"/>
      <c r="CH35"/>
      <c r="CI35"/>
    </row>
    <row r="36" spans="2:87" x14ac:dyDescent="0.2">
      <c r="B36" s="6" t="s">
        <v>3</v>
      </c>
      <c r="C36" s="17">
        <v>250</v>
      </c>
      <c r="D36" s="6" t="s">
        <v>4</v>
      </c>
      <c r="J36" s="10" t="s">
        <v>62</v>
      </c>
      <c r="K36" s="10">
        <f>SUM(K31:K35)</f>
        <v>2178.44</v>
      </c>
      <c r="L36" s="6" t="s">
        <v>7</v>
      </c>
      <c r="AF36" s="2">
        <v>32</v>
      </c>
      <c r="AG36" s="2">
        <f t="shared" si="25"/>
        <v>2178.4453380387276</v>
      </c>
      <c r="AH36" s="2">
        <v>-2.1863115762243979E-8</v>
      </c>
      <c r="AI36" s="2">
        <f t="shared" si="26"/>
        <v>2178.4453401342034</v>
      </c>
      <c r="AJ36" s="2">
        <v>1.2531165793916443E-6</v>
      </c>
      <c r="AK36" s="2">
        <f t="shared" si="17"/>
        <v>2178.4453390864655</v>
      </c>
      <c r="AL36" s="2">
        <v>6.1562832343042828E-7</v>
      </c>
      <c r="AM36" s="2">
        <f t="shared" si="18"/>
        <v>-1.3459553301675631E-14</v>
      </c>
      <c r="AN36" s="2">
        <f t="shared" si="19"/>
        <v>7.7145405883375118E-13</v>
      </c>
      <c r="AO36" s="2">
        <f t="shared" si="20"/>
        <v>2.0954757928848267E-6</v>
      </c>
      <c r="AQ36" s="67"/>
      <c r="AR36" s="3">
        <v>5.58</v>
      </c>
      <c r="AS36" s="26" t="s">
        <v>43</v>
      </c>
      <c r="AT36"/>
      <c r="AU36"/>
      <c r="AV36"/>
      <c r="AW36"/>
      <c r="AX36"/>
      <c r="AY36" s="2" t="s">
        <v>174</v>
      </c>
      <c r="AZ36" s="33">
        <f xml:space="preserve"> $BH$65 * PI() * $AR$45 * AZ34^2 * $BH$71 * $AR$25 * AZ31</f>
        <v>1158.8768251299962</v>
      </c>
      <c r="BA36" s="26" t="s">
        <v>22</v>
      </c>
      <c r="BB36"/>
      <c r="BC36" s="2" t="s">
        <v>174</v>
      </c>
      <c r="BD36" s="33">
        <f xml:space="preserve"> $BL$65 * PI() * $AR$45 * BD34^2 * $BL$71 * $AR$26 * BD31</f>
        <v>1166.6247442249296</v>
      </c>
      <c r="BE36" s="26" t="s">
        <v>22</v>
      </c>
      <c r="BF36"/>
      <c r="BG36" s="2" t="s">
        <v>194</v>
      </c>
      <c r="BH36" s="2">
        <f xml:space="preserve"> 4*BH30*SIN(BH23)*COS(BH23) / (BH27*BH34)</f>
        <v>54.35829776651461</v>
      </c>
      <c r="BI36" s="2"/>
      <c r="BJ36"/>
      <c r="BK36" s="2" t="s">
        <v>194</v>
      </c>
      <c r="BL36" s="2">
        <f xml:space="preserve"> 4*BL30*SIN(BL23)*COS(BL23) / (BL27*BL34)</f>
        <v>70.506028559466515</v>
      </c>
      <c r="BM36" s="2"/>
      <c r="BN36"/>
      <c r="BO36" s="61" t="s">
        <v>207</v>
      </c>
      <c r="BP36" s="61"/>
      <c r="BQ36" s="61"/>
      <c r="BR36" s="61"/>
      <c r="BS36" s="61"/>
      <c r="BT36" s="61"/>
      <c r="BU36" s="61"/>
      <c r="BV36" s="61"/>
      <c r="BW36" s="61"/>
      <c r="BX36" s="61"/>
      <c r="BY36"/>
      <c r="BZ36" s="61" t="s">
        <v>208</v>
      </c>
      <c r="CA36" s="61"/>
      <c r="CB36" s="61"/>
      <c r="CC36" s="61"/>
      <c r="CD36" s="61"/>
      <c r="CE36" s="61"/>
      <c r="CF36" s="61"/>
      <c r="CG36" s="61"/>
      <c r="CH36" s="61"/>
      <c r="CI36" s="61"/>
    </row>
    <row r="37" spans="2:87" x14ac:dyDescent="0.2">
      <c r="B37" s="6" t="s">
        <v>5</v>
      </c>
      <c r="C37" s="17">
        <v>0.85</v>
      </c>
      <c r="AF37" s="2">
        <v>33</v>
      </c>
      <c r="AG37" s="2">
        <f t="shared" si="25"/>
        <v>2178.4453380387276</v>
      </c>
      <c r="AH37" s="2">
        <v>-2.1863115762243979E-8</v>
      </c>
      <c r="AI37" s="2">
        <f t="shared" si="26"/>
        <v>2178.4453390864655</v>
      </c>
      <c r="AJ37" s="2">
        <v>6.1562832343042828E-7</v>
      </c>
      <c r="AK37" s="2">
        <f t="shared" si="17"/>
        <v>2178.4453385625966</v>
      </c>
      <c r="AL37" s="2">
        <v>2.968833996419562E-7</v>
      </c>
      <c r="AM37" s="2">
        <f t="shared" si="18"/>
        <v>-6.490796134260631E-15</v>
      </c>
      <c r="AN37" s="2">
        <f t="shared" si="19"/>
        <v>1.8276982957590331E-13</v>
      </c>
      <c r="AO37" s="2">
        <f t="shared" si="20"/>
        <v>1.0477378964424133E-6</v>
      </c>
      <c r="AQ37" s="67"/>
      <c r="AR37" s="3">
        <v>4.26</v>
      </c>
      <c r="AS37" s="26" t="s">
        <v>43</v>
      </c>
      <c r="AT37"/>
      <c r="AU37"/>
      <c r="AV37"/>
      <c r="AW37"/>
      <c r="AX37"/>
      <c r="AY37" s="2" t="s">
        <v>178</v>
      </c>
      <c r="AZ37" s="33">
        <f xml:space="preserve"> $BH$65 * PI() * $AR$45 * AZ34^2 * $BH$72 * $AR$25^2 * AZ31</f>
        <v>478.69068533164972</v>
      </c>
      <c r="BA37" s="26" t="s">
        <v>179</v>
      </c>
      <c r="BB37"/>
      <c r="BC37" s="2" t="s">
        <v>178</v>
      </c>
      <c r="BD37" s="33">
        <f xml:space="preserve"> $BL$65 * PI() * $AR$45 * BD34^2 * $BL$72 * $AR$26^2 * BD31</f>
        <v>595.85337837616839</v>
      </c>
      <c r="BE37" s="26" t="s">
        <v>179</v>
      </c>
      <c r="BF37"/>
      <c r="BG37" s="2" t="s">
        <v>45</v>
      </c>
      <c r="BH37" s="2">
        <f>1/(BH35-1)</f>
        <v>2.0634869325315601</v>
      </c>
      <c r="BI37" s="2"/>
      <c r="BJ37"/>
      <c r="BK37" s="2" t="s">
        <v>45</v>
      </c>
      <c r="BL37" s="2">
        <f>1/(BL35-1)</f>
        <v>2.3443819162234196</v>
      </c>
      <c r="BM37" s="2"/>
      <c r="BN37"/>
      <c r="BO37" s="7" t="s">
        <v>44</v>
      </c>
      <c r="BP37" s="7" t="s">
        <v>45</v>
      </c>
      <c r="BQ37" s="7" t="s">
        <v>46</v>
      </c>
      <c r="BR37" s="7" t="s">
        <v>47</v>
      </c>
      <c r="BS37" s="7" t="s">
        <v>48</v>
      </c>
      <c r="BT37" s="7" t="s">
        <v>49</v>
      </c>
      <c r="BU37" s="7" t="s">
        <v>50</v>
      </c>
      <c r="BV37" s="7" t="s">
        <v>51</v>
      </c>
      <c r="BW37" s="7" t="s">
        <v>52</v>
      </c>
      <c r="BX37" s="7" t="s">
        <v>53</v>
      </c>
      <c r="BY37"/>
      <c r="BZ37" s="7" t="s">
        <v>44</v>
      </c>
      <c r="CA37" s="7" t="s">
        <v>45</v>
      </c>
      <c r="CB37" s="7" t="s">
        <v>46</v>
      </c>
      <c r="CC37" s="7" t="s">
        <v>47</v>
      </c>
      <c r="CD37" s="7" t="s">
        <v>48</v>
      </c>
      <c r="CE37" s="7" t="s">
        <v>49</v>
      </c>
      <c r="CF37" s="7" t="s">
        <v>50</v>
      </c>
      <c r="CG37" s="7" t="s">
        <v>51</v>
      </c>
      <c r="CH37" s="7" t="s">
        <v>52</v>
      </c>
      <c r="CI37" s="7" t="s">
        <v>53</v>
      </c>
    </row>
    <row r="38" spans="2:87" x14ac:dyDescent="0.2">
      <c r="B38" s="6" t="s">
        <v>6</v>
      </c>
      <c r="C38" s="17">
        <v>0.8</v>
      </c>
      <c r="J38" s="54" t="s">
        <v>59</v>
      </c>
      <c r="K38" s="54"/>
      <c r="L38" s="54"/>
      <c r="AF38" s="2">
        <v>34</v>
      </c>
      <c r="AG38" s="2">
        <f t="shared" si="25"/>
        <v>2178.4453380387276</v>
      </c>
      <c r="AH38" s="2">
        <v>-2.1863115762243979E-8</v>
      </c>
      <c r="AI38" s="2">
        <f t="shared" si="26"/>
        <v>2178.4453385625966</v>
      </c>
      <c r="AJ38" s="2">
        <v>2.968833996419562E-7</v>
      </c>
      <c r="AK38" s="2">
        <f t="shared" si="17"/>
        <v>2178.4453383006621</v>
      </c>
      <c r="AL38" s="2">
        <v>1.3750968719250523E-7</v>
      </c>
      <c r="AM38" s="2">
        <f t="shared" si="18"/>
        <v>-3.0063902095197E-15</v>
      </c>
      <c r="AN38" s="2">
        <f t="shared" si="19"/>
        <v>4.0824343417412915E-14</v>
      </c>
      <c r="AO38" s="2">
        <f t="shared" si="20"/>
        <v>5.2386894822120667E-7</v>
      </c>
      <c r="AQ38" s="67"/>
      <c r="AR38" s="3">
        <v>2.94</v>
      </c>
      <c r="AS38" s="26" t="s">
        <v>43</v>
      </c>
      <c r="AT38"/>
      <c r="AU38"/>
      <c r="AV38"/>
      <c r="AW38"/>
      <c r="AX38"/>
      <c r="AY38"/>
      <c r="AZ38"/>
      <c r="BA38"/>
      <c r="BB38"/>
      <c r="BC38"/>
      <c r="BD38"/>
      <c r="BE38"/>
      <c r="BF38"/>
      <c r="BG38" s="2" t="s">
        <v>197</v>
      </c>
      <c r="BH38" s="2">
        <f>1/(BH36+1)</f>
        <v>1.8064139259081135E-2</v>
      </c>
      <c r="BI38" s="2"/>
      <c r="BJ38"/>
      <c r="BK38" s="2" t="s">
        <v>197</v>
      </c>
      <c r="BL38" s="2">
        <f>1/(BL36+1)</f>
        <v>1.3984834847433467E-2</v>
      </c>
      <c r="BM38" s="2"/>
      <c r="BN38"/>
      <c r="BO38" s="30">
        <v>0</v>
      </c>
      <c r="BP38" s="30"/>
      <c r="BQ38" s="30">
        <f>$BH$39</f>
        <v>-1.4464839465100354E-9</v>
      </c>
      <c r="BR38" s="30"/>
      <c r="BS38" s="30">
        <f>$BH$39</f>
        <v>-1.4464839465100354E-9</v>
      </c>
      <c r="BT38" s="30"/>
      <c r="BU38" s="30">
        <f>$BH$39</f>
        <v>-1.4464839465100354E-9</v>
      </c>
      <c r="BV38" s="30"/>
      <c r="BW38" s="30"/>
      <c r="BX38" s="30"/>
      <c r="BY38"/>
      <c r="BZ38" s="30">
        <v>0</v>
      </c>
      <c r="CA38" s="30"/>
      <c r="CB38" s="30">
        <f>$BL$39</f>
        <v>8.9239812067765101E-10</v>
      </c>
      <c r="CC38" s="30"/>
      <c r="CD38" s="30">
        <f>$BL$39</f>
        <v>8.9239812067765101E-10</v>
      </c>
      <c r="CE38" s="30"/>
      <c r="CF38" s="30">
        <f>$BL$39</f>
        <v>8.9239812067765101E-10</v>
      </c>
      <c r="CG38" s="30"/>
      <c r="CH38" s="30"/>
      <c r="CI38" s="30"/>
    </row>
    <row r="39" spans="2:87" x14ac:dyDescent="0.2">
      <c r="J39" s="6" t="s">
        <v>60</v>
      </c>
      <c r="K39" s="6">
        <f>ROUND($C$13/$C$5 * 100, 2)</f>
        <v>27.54</v>
      </c>
      <c r="L39" s="6" t="s">
        <v>61</v>
      </c>
      <c r="AF39" s="2">
        <v>35</v>
      </c>
      <c r="AG39" s="2">
        <f t="shared" si="25"/>
        <v>2178.4453380387276</v>
      </c>
      <c r="AH39" s="2">
        <v>-2.1863115762243979E-8</v>
      </c>
      <c r="AI39" s="2">
        <f t="shared" si="26"/>
        <v>2178.4453383006621</v>
      </c>
      <c r="AJ39" s="2">
        <v>1.3750968719250523E-7</v>
      </c>
      <c r="AK39" s="2">
        <f t="shared" si="17"/>
        <v>2178.4453381696949</v>
      </c>
      <c r="AL39" s="2">
        <v>5.7823399401968345E-8</v>
      </c>
      <c r="AM39" s="2">
        <f t="shared" si="18"/>
        <v>-1.2641996748917032E-15</v>
      </c>
      <c r="AN39" s="2">
        <f t="shared" si="19"/>
        <v>7.9512775641719609E-15</v>
      </c>
      <c r="AO39" s="2">
        <f t="shared" si="20"/>
        <v>2.6193447411060333E-7</v>
      </c>
      <c r="AQ39" s="67"/>
      <c r="AR39" s="3">
        <v>1.62</v>
      </c>
      <c r="AS39" s="26" t="s">
        <v>43</v>
      </c>
      <c r="AT39"/>
      <c r="AU39"/>
      <c r="AV39"/>
      <c r="AW39"/>
      <c r="AX39"/>
      <c r="AY39"/>
      <c r="AZ39"/>
      <c r="BA39"/>
      <c r="BB39"/>
      <c r="BC39"/>
      <c r="BD39"/>
      <c r="BE39"/>
      <c r="BF39"/>
      <c r="BG39" s="7" t="s">
        <v>199</v>
      </c>
      <c r="BH39" s="40">
        <f>SIN(BH23)/(1+BH37) - $AR$3*COS(BH23)/($AV$5*$AR$21*(1-BH38))</f>
        <v>-1.4464839465100354E-9</v>
      </c>
      <c r="BI39" s="40"/>
      <c r="BJ39"/>
      <c r="BK39" s="7" t="s">
        <v>199</v>
      </c>
      <c r="BL39" s="40">
        <f>SIN(BL23)/(1+BL37) - $AR$3*COS(BL23)/($AV$5*$AR$22*(1-BL38))</f>
        <v>8.9239812067765101E-10</v>
      </c>
      <c r="BM39" s="40"/>
      <c r="BN39"/>
      <c r="BO39" s="2">
        <v>1</v>
      </c>
      <c r="BP39" s="3">
        <f>0.01*PI()</f>
        <v>3.1415926535897934E-2</v>
      </c>
      <c r="BQ39" s="2">
        <f t="dataTable" ref="BQ39:BQ68" dt2D="0" dtr="0" r1="BH23" ca="1"/>
        <v>-0.94662756466976783</v>
      </c>
      <c r="BR39" s="3">
        <f>0.9*PI()</f>
        <v>2.8274333882308138</v>
      </c>
      <c r="BS39" s="2">
        <f t="dataTable" ref="BS39:BS68" dt2D="0" dtr="0" r1="BH23" ca="1"/>
        <v>0.40663859497413651</v>
      </c>
      <c r="BT39" s="2">
        <f t="shared" ref="BT39:BT68" si="27">(BP39+BR39)/2</f>
        <v>1.4294246573833558</v>
      </c>
      <c r="BU39" s="2">
        <f t="dataTable" ref="BU39:BU68" dt2D="0" dtr="0" r1="BH23" ca="1"/>
        <v>1.0191680065016591</v>
      </c>
      <c r="BV39" s="2">
        <f t="shared" ref="BV39:BV68" si="28">BQ39*BU39</f>
        <v>-0.96477252798400759</v>
      </c>
      <c r="BW39" s="2">
        <f t="shared" ref="BW39:BW68" si="29">BS39*BU39</f>
        <v>0.41443304620642629</v>
      </c>
      <c r="BX39" s="2">
        <f t="shared" ref="BX39:BX68" si="30">BR39-BP39</f>
        <v>2.7960174616949161</v>
      </c>
      <c r="BY39"/>
      <c r="BZ39" s="2">
        <v>1</v>
      </c>
      <c r="CA39" s="3">
        <f>0.01*PI()</f>
        <v>3.1415926535897934E-2</v>
      </c>
      <c r="CB39" s="2">
        <f t="dataTable" ref="CB39:CB68" dt2D="0" dtr="0" r1="BL23" ca="1"/>
        <v>-0.66427444403807945</v>
      </c>
      <c r="CC39" s="3">
        <f>0.9*PI()</f>
        <v>2.8274333882308138</v>
      </c>
      <c r="CD39" s="2">
        <f t="dataTable" ref="CD39:CD68" dt2D="0" dtr="0" r1="BL23" ca="1"/>
        <v>0.3839420826773397</v>
      </c>
      <c r="CE39" s="2">
        <f t="shared" ref="CE39:CE68" si="31">(CA39+CC39)/2</f>
        <v>1.4294246573833558</v>
      </c>
      <c r="CF39" s="2">
        <f t="dataTable" ref="CF39:CF68" dt2D="0" dtr="0" r1="BL23" ca="1"/>
        <v>1.0140740678824438</v>
      </c>
      <c r="CG39" s="2">
        <f t="shared" ref="CG39:CG68" si="32">CB39*CF39</f>
        <v>-0.67362348765604396</v>
      </c>
      <c r="CH39" s="2">
        <f t="shared" ref="CH39:CH68" si="33">CD39*CF39</f>
        <v>0.38934570961186743</v>
      </c>
      <c r="CI39" s="2">
        <f t="shared" ref="CI39:CI68" si="34">CC39-CA39</f>
        <v>2.7960174616949161</v>
      </c>
    </row>
    <row r="40" spans="2:87" x14ac:dyDescent="0.2">
      <c r="B40" s="54" t="s">
        <v>272</v>
      </c>
      <c r="C40" s="55"/>
      <c r="D40" s="55"/>
      <c r="J40" s="11" t="s">
        <v>55</v>
      </c>
      <c r="K40" s="6">
        <f>ROUND(K13/$C$5 * 100, 2)</f>
        <v>35.79</v>
      </c>
      <c r="L40" s="6" t="s">
        <v>61</v>
      </c>
      <c r="AF40" s="2">
        <v>36</v>
      </c>
      <c r="AG40" s="2">
        <f t="shared" si="25"/>
        <v>2178.4453380387276</v>
      </c>
      <c r="AH40" s="2">
        <v>-2.1863115762243979E-8</v>
      </c>
      <c r="AI40" s="2">
        <f t="shared" si="26"/>
        <v>2178.4453381696949</v>
      </c>
      <c r="AJ40" s="2">
        <v>5.7823399401968345E-8</v>
      </c>
      <c r="AK40" s="2">
        <f t="shared" si="17"/>
        <v>2178.4453381042113</v>
      </c>
      <c r="AL40" s="2">
        <v>1.7981619748752564E-8</v>
      </c>
      <c r="AM40" s="2">
        <f t="shared" si="18"/>
        <v>-3.931342341596298E-16</v>
      </c>
      <c r="AN40" s="2">
        <f t="shared" si="19"/>
        <v>1.0397583806264412E-15</v>
      </c>
      <c r="AO40" s="2">
        <f t="shared" si="20"/>
        <v>1.3096723705530167E-7</v>
      </c>
      <c r="AQ40" s="67"/>
      <c r="AR40" s="3">
        <v>0.3</v>
      </c>
      <c r="AS40" s="26" t="s">
        <v>43</v>
      </c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 s="2">
        <v>2</v>
      </c>
      <c r="BP40" s="2">
        <f t="shared" ref="BP40:BP68" si="35">IF(BV39&gt;0,BT39,BP39)</f>
        <v>3.1415926535897934E-2</v>
      </c>
      <c r="BQ40" s="2">
        <v>-0.94662756466976783</v>
      </c>
      <c r="BR40" s="2">
        <f t="shared" ref="BR40:BR68" si="36">IF(BW39&gt;0,BT39,BR39)</f>
        <v>1.4294246573833558</v>
      </c>
      <c r="BS40" s="2">
        <v>1.0191680065016591</v>
      </c>
      <c r="BT40" s="2">
        <f t="shared" si="27"/>
        <v>0.73042029195962688</v>
      </c>
      <c r="BU40" s="2">
        <v>0.66164311697331213</v>
      </c>
      <c r="BV40" s="2">
        <f t="shared" si="28"/>
        <v>-0.62632961250096075</v>
      </c>
      <c r="BW40" s="2">
        <f t="shared" si="29"/>
        <v>0.67432549654123453</v>
      </c>
      <c r="BX40" s="2">
        <f t="shared" si="30"/>
        <v>1.3980087308474578</v>
      </c>
      <c r="BY40"/>
      <c r="BZ40" s="2">
        <v>2</v>
      </c>
      <c r="CA40" s="2">
        <f t="shared" ref="CA40:CA68" si="37">IF(CG39&gt;0,CE39,CA39)</f>
        <v>3.1415926535897934E-2</v>
      </c>
      <c r="CB40" s="2">
        <v>-0.66427444403807945</v>
      </c>
      <c r="CC40" s="2">
        <f t="shared" ref="CC40:CC68" si="38">IF(CH39&gt;0,CE39,CC39)</f>
        <v>1.4294246573833558</v>
      </c>
      <c r="CD40" s="2">
        <v>1.0140740678824438</v>
      </c>
      <c r="CE40" s="2">
        <f t="shared" si="31"/>
        <v>0.73042029195962688</v>
      </c>
      <c r="CF40" s="2">
        <v>0.66316525975018548</v>
      </c>
      <c r="CG40" s="2">
        <f t="shared" si="32"/>
        <v>-0.440523734225923</v>
      </c>
      <c r="CH40" s="2">
        <f t="shared" si="33"/>
        <v>0.67249869263318807</v>
      </c>
      <c r="CI40" s="2">
        <f t="shared" si="34"/>
        <v>1.3980087308474578</v>
      </c>
    </row>
    <row r="41" spans="2:87" x14ac:dyDescent="0.2">
      <c r="B41" s="6" t="s">
        <v>15</v>
      </c>
      <c r="C41" s="17">
        <v>1.0397562309141399</v>
      </c>
      <c r="D41" s="6" t="s">
        <v>16</v>
      </c>
      <c r="J41" s="19" t="s">
        <v>81</v>
      </c>
      <c r="K41" s="6">
        <f>ROUND(SUM(K14:K17)/$C$5 * 100, 2)</f>
        <v>23.85</v>
      </c>
      <c r="L41" s="6" t="s">
        <v>61</v>
      </c>
      <c r="AF41" s="2">
        <v>37</v>
      </c>
      <c r="AG41" s="2">
        <f t="shared" si="25"/>
        <v>2178.4453380387276</v>
      </c>
      <c r="AH41" s="2">
        <v>-2.1863115762243979E-8</v>
      </c>
      <c r="AI41" s="2">
        <f t="shared" si="26"/>
        <v>2178.4453381042113</v>
      </c>
      <c r="AJ41" s="2">
        <v>1.7981619748752564E-8</v>
      </c>
      <c r="AK41" s="2">
        <f t="shared" si="17"/>
        <v>2178.4453380714695</v>
      </c>
      <c r="AL41" s="2">
        <v>-1.9413164409343153E-9</v>
      </c>
      <c r="AM41" s="2">
        <f t="shared" si="18"/>
        <v>4.2443226079294411E-17</v>
      </c>
      <c r="AN41" s="2">
        <f t="shared" si="19"/>
        <v>-3.4908014052882525E-17</v>
      </c>
      <c r="AO41" s="2">
        <f t="shared" si="20"/>
        <v>6.5483618527650833E-8</v>
      </c>
      <c r="AQ41" s="67"/>
      <c r="AR41" s="3">
        <v>-1.02</v>
      </c>
      <c r="AS41" s="26" t="s">
        <v>43</v>
      </c>
      <c r="AT41"/>
      <c r="AU41" s="23" t="s">
        <v>143</v>
      </c>
      <c r="AV41" s="69" t="s">
        <v>218</v>
      </c>
      <c r="AW41" s="69"/>
      <c r="AX41" s="24"/>
      <c r="AY41" s="24"/>
      <c r="AZ41" s="24"/>
      <c r="BA41" s="24"/>
      <c r="BB41" s="24"/>
      <c r="BC41" s="24"/>
      <c r="BD41" s="24"/>
      <c r="BE41" s="25"/>
      <c r="BF41"/>
      <c r="BG41" s="63" t="s">
        <v>200</v>
      </c>
      <c r="BH41" s="63"/>
      <c r="BI41" s="63"/>
      <c r="BJ41" s="2"/>
      <c r="BK41" s="63" t="s">
        <v>201</v>
      </c>
      <c r="BL41" s="63"/>
      <c r="BM41" s="63"/>
      <c r="BN41"/>
      <c r="BO41" s="2">
        <v>3</v>
      </c>
      <c r="BP41" s="2">
        <f t="shared" si="35"/>
        <v>3.1415926535897934E-2</v>
      </c>
      <c r="BQ41" s="2">
        <v>-0.94662756466976783</v>
      </c>
      <c r="BR41" s="2">
        <f t="shared" si="36"/>
        <v>0.73042029195962688</v>
      </c>
      <c r="BS41" s="2">
        <v>0.66164311697331213</v>
      </c>
      <c r="BT41" s="2">
        <f t="shared" si="27"/>
        <v>0.38091810924776243</v>
      </c>
      <c r="BU41" s="2">
        <v>0.36832669431778353</v>
      </c>
      <c r="BV41" s="2">
        <f t="shared" si="28"/>
        <v>-0.34866820164490941</v>
      </c>
      <c r="BW41" s="2">
        <f t="shared" si="29"/>
        <v>0.24370082209289462</v>
      </c>
      <c r="BX41" s="2">
        <f t="shared" si="30"/>
        <v>0.6990043654237289</v>
      </c>
      <c r="BY41"/>
      <c r="BZ41" s="2">
        <v>3</v>
      </c>
      <c r="CA41" s="2">
        <f t="shared" si="37"/>
        <v>3.1415926535897934E-2</v>
      </c>
      <c r="CB41" s="2">
        <v>-0.66427444403807945</v>
      </c>
      <c r="CC41" s="2">
        <f t="shared" si="38"/>
        <v>0.73042029195962688</v>
      </c>
      <c r="CD41" s="2">
        <v>0.66316525975018548</v>
      </c>
      <c r="CE41" s="2">
        <f t="shared" si="31"/>
        <v>0.38091810924776243</v>
      </c>
      <c r="CF41" s="2">
        <v>0.37360307093286316</v>
      </c>
      <c r="CG41" s="2">
        <f t="shared" si="32"/>
        <v>-0.24817497223484683</v>
      </c>
      <c r="CH41" s="2">
        <f t="shared" si="33"/>
        <v>0.24776057757865916</v>
      </c>
      <c r="CI41" s="2">
        <f t="shared" si="34"/>
        <v>0.6990043654237289</v>
      </c>
    </row>
    <row r="42" spans="2:87" x14ac:dyDescent="0.2">
      <c r="B42" s="6" t="s">
        <v>214</v>
      </c>
      <c r="C42" s="41">
        <v>1.7363179204150701E-5</v>
      </c>
      <c r="D42" s="6" t="s">
        <v>210</v>
      </c>
      <c r="J42" s="20" t="s">
        <v>72</v>
      </c>
      <c r="K42" s="6">
        <f>ROUND(SUM(K18:K22)/$C$5 * 100, 2)</f>
        <v>8.01</v>
      </c>
      <c r="L42" s="6" t="s">
        <v>61</v>
      </c>
      <c r="AF42" s="2">
        <v>38</v>
      </c>
      <c r="AG42" s="2">
        <f t="shared" si="25"/>
        <v>2178.4453380714695</v>
      </c>
      <c r="AH42" s="2">
        <v>-1.9413164409343153E-9</v>
      </c>
      <c r="AI42" s="2">
        <f t="shared" si="26"/>
        <v>2178.4453381042113</v>
      </c>
      <c r="AJ42" s="2">
        <v>1.7981619748752564E-8</v>
      </c>
      <c r="AK42" s="2">
        <f t="shared" si="17"/>
        <v>2178.4453380878404</v>
      </c>
      <c r="AL42" s="2">
        <v>8.0201516539091244E-9</v>
      </c>
      <c r="AM42" s="2">
        <f t="shared" si="18"/>
        <v>-1.5569652264520324E-17</v>
      </c>
      <c r="AN42" s="2">
        <f t="shared" si="19"/>
        <v>1.4421531736792285E-16</v>
      </c>
      <c r="AO42" s="2">
        <f t="shared" si="20"/>
        <v>3.2741809263825417E-8</v>
      </c>
      <c r="AQ42" s="67"/>
      <c r="AR42" s="3">
        <v>-2.34</v>
      </c>
      <c r="AS42" s="26" t="s">
        <v>43</v>
      </c>
      <c r="AT42"/>
      <c r="AU42" s="27"/>
      <c r="AV42" s="70" t="s">
        <v>148</v>
      </c>
      <c r="AW42" s="70"/>
      <c r="AX42" s="70"/>
      <c r="AY42" s="70" t="s">
        <v>149</v>
      </c>
      <c r="AZ42" s="70"/>
      <c r="BA42" s="70"/>
      <c r="BB42" s="70"/>
      <c r="BC42" s="70" t="s">
        <v>150</v>
      </c>
      <c r="BD42" s="70"/>
      <c r="BE42" s="71"/>
      <c r="BF42"/>
      <c r="BG42" s="28" t="s">
        <v>154</v>
      </c>
      <c r="BH42" s="29">
        <f>BT102</f>
        <v>0.11198604018533226</v>
      </c>
      <c r="BI42" s="5" t="s">
        <v>155</v>
      </c>
      <c r="BJ42" s="2"/>
      <c r="BK42" s="28" t="s">
        <v>154</v>
      </c>
      <c r="BL42" s="29">
        <f>CE102</f>
        <v>9.72273511172069E-2</v>
      </c>
      <c r="BM42" s="5" t="s">
        <v>155</v>
      </c>
      <c r="BN42"/>
      <c r="BO42" s="2">
        <v>4</v>
      </c>
      <c r="BP42" s="2">
        <f t="shared" si="35"/>
        <v>3.1415926535897934E-2</v>
      </c>
      <c r="BQ42" s="2">
        <v>-0.94662756466976783</v>
      </c>
      <c r="BR42" s="2">
        <f t="shared" si="36"/>
        <v>0.38091810924776243</v>
      </c>
      <c r="BS42" s="2">
        <v>0.36832669431778353</v>
      </c>
      <c r="BT42" s="2">
        <f t="shared" si="27"/>
        <v>0.20616701789183017</v>
      </c>
      <c r="BU42" s="2">
        <v>0.11659021926244559</v>
      </c>
      <c r="BV42" s="2">
        <f t="shared" si="28"/>
        <v>-0.11036751532472312</v>
      </c>
      <c r="BW42" s="2">
        <f t="shared" si="29"/>
        <v>4.2943290050722151E-2</v>
      </c>
      <c r="BX42" s="2">
        <f t="shared" si="30"/>
        <v>0.34950218271186451</v>
      </c>
      <c r="BY42"/>
      <c r="BZ42" s="2">
        <v>4</v>
      </c>
      <c r="CA42" s="2">
        <f t="shared" si="37"/>
        <v>3.1415926535897934E-2</v>
      </c>
      <c r="CB42" s="2">
        <v>-0.66427444403807945</v>
      </c>
      <c r="CC42" s="2">
        <f t="shared" si="38"/>
        <v>0.38091810924776243</v>
      </c>
      <c r="CD42" s="2">
        <v>0.37360307093286316</v>
      </c>
      <c r="CE42" s="2">
        <f t="shared" si="31"/>
        <v>0.20616701789183017</v>
      </c>
      <c r="CF42" s="2">
        <v>0.14875450683874411</v>
      </c>
      <c r="CG42" s="2">
        <f t="shared" si="32"/>
        <v>-9.8813817328465434E-2</v>
      </c>
      <c r="CH42" s="2">
        <f t="shared" si="33"/>
        <v>5.5575140570058391E-2</v>
      </c>
      <c r="CI42" s="2">
        <f t="shared" si="34"/>
        <v>0.34950218271186451</v>
      </c>
    </row>
    <row r="43" spans="2:87" x14ac:dyDescent="0.2">
      <c r="B43" s="6" t="s">
        <v>132</v>
      </c>
      <c r="C43" s="17">
        <v>333.91694458017901</v>
      </c>
      <c r="D43" s="6" t="s">
        <v>10</v>
      </c>
      <c r="J43" s="15" t="s">
        <v>73</v>
      </c>
      <c r="K43" s="6">
        <f>ROUND(SUM(K23:K26)/$C$5*100, 2)</f>
        <v>4.8099999999999996</v>
      </c>
      <c r="L43" s="6" t="s">
        <v>61</v>
      </c>
      <c r="AF43" s="2">
        <v>39</v>
      </c>
      <c r="AG43" s="2">
        <f t="shared" si="25"/>
        <v>2178.4453380714695</v>
      </c>
      <c r="AH43" s="2">
        <v>-1.9413164409343153E-9</v>
      </c>
      <c r="AI43" s="2">
        <f t="shared" si="26"/>
        <v>2178.4453380878404</v>
      </c>
      <c r="AJ43" s="2">
        <v>8.0201516539091244E-9</v>
      </c>
      <c r="AK43" s="2">
        <f t="shared" si="17"/>
        <v>2178.4453380796549</v>
      </c>
      <c r="AL43" s="2">
        <v>3.03839442494791E-9</v>
      </c>
      <c r="AM43" s="2">
        <f t="shared" si="18"/>
        <v>-5.8984850511945423E-18</v>
      </c>
      <c r="AN43" s="2">
        <f t="shared" si="19"/>
        <v>2.4368384072474244E-17</v>
      </c>
      <c r="AO43" s="2">
        <f t="shared" si="20"/>
        <v>1.6370904631912708E-8</v>
      </c>
      <c r="AQ43" s="2"/>
      <c r="AR43" s="2"/>
      <c r="AS43" s="26"/>
      <c r="AT43"/>
      <c r="AU43" s="27"/>
      <c r="AV43" s="4" t="s">
        <v>156</v>
      </c>
      <c r="AW43" s="2">
        <v>-180</v>
      </c>
      <c r="AX43" s="2">
        <v>-9.5</v>
      </c>
      <c r="AY43" s="70" t="s">
        <v>156</v>
      </c>
      <c r="AZ43" s="70"/>
      <c r="BA43" s="2">
        <v>-9.5</v>
      </c>
      <c r="BB43" s="2">
        <v>18.5</v>
      </c>
      <c r="BC43" s="4" t="s">
        <v>156</v>
      </c>
      <c r="BD43" s="2">
        <v>18.5</v>
      </c>
      <c r="BE43" s="31">
        <v>180</v>
      </c>
      <c r="BF43"/>
      <c r="BG43" s="2" t="s">
        <v>159</v>
      </c>
      <c r="BH43" s="2">
        <f>($AR$39+$AR$5)/180*PI()</f>
        <v>0.19813912810708803</v>
      </c>
      <c r="BI43" s="2" t="s">
        <v>155</v>
      </c>
      <c r="BJ43" s="2"/>
      <c r="BK43" s="2" t="s">
        <v>159</v>
      </c>
      <c r="BL43" s="2">
        <f>($AR$40+$AR$5)/180*PI()</f>
        <v>0.1751007819807629</v>
      </c>
      <c r="BM43" s="2" t="s">
        <v>155</v>
      </c>
      <c r="BN43"/>
      <c r="BO43" s="2">
        <v>5</v>
      </c>
      <c r="BP43" s="2">
        <f t="shared" si="35"/>
        <v>3.1415926535897934E-2</v>
      </c>
      <c r="BQ43" s="2">
        <v>-0.94662756466976783</v>
      </c>
      <c r="BR43" s="2">
        <f t="shared" si="36"/>
        <v>0.20616701789183017</v>
      </c>
      <c r="BS43" s="2">
        <v>0.11659021926244559</v>
      </c>
      <c r="BT43" s="2">
        <f t="shared" si="27"/>
        <v>0.11879147221386405</v>
      </c>
      <c r="BU43" s="2">
        <v>-9.9330637063453742E-2</v>
      </c>
      <c r="BV43" s="2">
        <f t="shared" si="28"/>
        <v>9.4029119060473801E-2</v>
      </c>
      <c r="BW43" s="2">
        <f t="shared" si="29"/>
        <v>-1.1580980754706476E-2</v>
      </c>
      <c r="BX43" s="2">
        <f t="shared" si="30"/>
        <v>0.17475109135593225</v>
      </c>
      <c r="BY43"/>
      <c r="BZ43" s="2">
        <v>5</v>
      </c>
      <c r="CA43" s="2">
        <f t="shared" si="37"/>
        <v>3.1415926535897934E-2</v>
      </c>
      <c r="CB43" s="2">
        <v>-0.66427444403807945</v>
      </c>
      <c r="CC43" s="2">
        <f t="shared" si="38"/>
        <v>0.20616701789183017</v>
      </c>
      <c r="CD43" s="2">
        <v>0.14875450683874411</v>
      </c>
      <c r="CE43" s="2">
        <f t="shared" si="31"/>
        <v>0.11879147221386405</v>
      </c>
      <c r="CF43" s="2">
        <v>-2.8781402269099216E-2</v>
      </c>
      <c r="CG43" s="2">
        <f t="shared" si="32"/>
        <v>1.9118749990942201E-2</v>
      </c>
      <c r="CH43" s="2">
        <f t="shared" si="33"/>
        <v>-4.281363300667365E-3</v>
      </c>
      <c r="CI43" s="2">
        <f t="shared" si="34"/>
        <v>0.17475109135593225</v>
      </c>
    </row>
    <row r="44" spans="2:87" x14ac:dyDescent="0.2">
      <c r="B44" s="6" t="s">
        <v>17</v>
      </c>
      <c r="C44" s="1">
        <v>9.80149119240094</v>
      </c>
      <c r="D44" s="6" t="s">
        <v>18</v>
      </c>
      <c r="J44" s="10" t="s">
        <v>62</v>
      </c>
      <c r="K44" s="10">
        <f>SUM(K39:K43)</f>
        <v>100.00000000000001</v>
      </c>
      <c r="L44" s="10" t="s">
        <v>61</v>
      </c>
      <c r="AF44" s="2">
        <v>40</v>
      </c>
      <c r="AG44" s="2">
        <f t="shared" si="25"/>
        <v>2178.4453380714695</v>
      </c>
      <c r="AH44" s="2">
        <v>-1.9413164409343153E-9</v>
      </c>
      <c r="AI44" s="2">
        <f t="shared" si="26"/>
        <v>2178.4453380796549</v>
      </c>
      <c r="AJ44" s="2">
        <v>3.03839442494791E-9</v>
      </c>
      <c r="AK44" s="5">
        <f>(AG44+AI44)/2</f>
        <v>2178.4453380755622</v>
      </c>
      <c r="AL44" s="2">
        <v>5.4797055781818926E-10</v>
      </c>
      <c r="AM44" s="2">
        <f t="shared" si="18"/>
        <v>-1.0637842530403986E-18</v>
      </c>
      <c r="AN44" s="2">
        <f t="shared" si="19"/>
        <v>1.6649506879103826E-18</v>
      </c>
      <c r="AO44" s="2">
        <f t="shared" si="20"/>
        <v>8.1854523159563541E-9</v>
      </c>
      <c r="AQ44" s="61" t="s">
        <v>209</v>
      </c>
      <c r="AR44" s="61"/>
      <c r="AS44" s="61"/>
      <c r="AT44"/>
      <c r="AU44" s="32" t="s">
        <v>160</v>
      </c>
      <c r="AV44" s="2">
        <v>-4.9719999999999998E-5</v>
      </c>
      <c r="AW44" s="2">
        <v>-9.4228200000000002E-3</v>
      </c>
      <c r="AX44" s="2">
        <v>-0.58952914000000001</v>
      </c>
      <c r="AY44" s="2">
        <v>-2.3201E-4</v>
      </c>
      <c r="AZ44" s="2">
        <v>1.5145600000000001E-3</v>
      </c>
      <c r="BA44" s="2">
        <v>0.11609899</v>
      </c>
      <c r="BB44" s="2">
        <v>0.17357117999999999</v>
      </c>
      <c r="BC44" s="2">
        <v>6.9132000000000004E-4</v>
      </c>
      <c r="BD44" s="2">
        <v>-0.13722607000000001</v>
      </c>
      <c r="BE44" s="31">
        <v>3.6431797299999999</v>
      </c>
      <c r="BF44"/>
      <c r="BG44" s="2" t="s">
        <v>28</v>
      </c>
      <c r="BH44" s="2">
        <f>BH43-BH42</f>
        <v>8.6153087921755772E-2</v>
      </c>
      <c r="BI44" s="2" t="s">
        <v>155</v>
      </c>
      <c r="BJ44" s="2"/>
      <c r="BK44" s="2" t="s">
        <v>28</v>
      </c>
      <c r="BL44" s="2">
        <f>BL43-BL42</f>
        <v>7.7873430863555998E-2</v>
      </c>
      <c r="BM44" s="2" t="s">
        <v>155</v>
      </c>
      <c r="BN44"/>
      <c r="BO44" s="2">
        <v>6</v>
      </c>
      <c r="BP44" s="2">
        <f t="shared" si="35"/>
        <v>0.11879147221386405</v>
      </c>
      <c r="BQ44" s="2">
        <v>-9.9330637063453742E-2</v>
      </c>
      <c r="BR44" s="2">
        <f t="shared" si="36"/>
        <v>0.20616701789183017</v>
      </c>
      <c r="BS44" s="2">
        <v>0.11659021926244559</v>
      </c>
      <c r="BT44" s="2">
        <f t="shared" si="27"/>
        <v>0.16247924505284711</v>
      </c>
      <c r="BU44" s="2">
        <v>2.5102012012638161E-2</v>
      </c>
      <c r="BV44" s="2">
        <f t="shared" si="28"/>
        <v>-2.4933988447898171E-3</v>
      </c>
      <c r="BW44" s="2">
        <f t="shared" si="29"/>
        <v>2.9266490844820263E-3</v>
      </c>
      <c r="BX44" s="2">
        <f t="shared" si="30"/>
        <v>8.7375545677966127E-2</v>
      </c>
      <c r="BY44"/>
      <c r="BZ44" s="2">
        <v>6</v>
      </c>
      <c r="CA44" s="2">
        <f t="shared" si="37"/>
        <v>0.11879147221386405</v>
      </c>
      <c r="CB44" s="2">
        <v>-2.8781402269099216E-2</v>
      </c>
      <c r="CC44" s="2">
        <f t="shared" si="38"/>
        <v>0.20616701789183017</v>
      </c>
      <c r="CD44" s="2">
        <v>0.14875450683874411</v>
      </c>
      <c r="CE44" s="2">
        <f t="shared" si="31"/>
        <v>0.16247924505284711</v>
      </c>
      <c r="CF44" s="2">
        <v>7.1875940081178591E-2</v>
      </c>
      <c r="CG44" s="2">
        <f t="shared" si="32"/>
        <v>-2.0686903449460728E-3</v>
      </c>
      <c r="CH44" s="2">
        <f t="shared" si="33"/>
        <v>1.0691870020346843E-2</v>
      </c>
      <c r="CI44" s="2">
        <f t="shared" si="34"/>
        <v>8.7375545677966127E-2</v>
      </c>
    </row>
    <row r="45" spans="2:87" x14ac:dyDescent="0.2">
      <c r="AQ45" s="2" t="s">
        <v>19</v>
      </c>
      <c r="AR45" s="2">
        <f>$C$41</f>
        <v>1.0397562309141399</v>
      </c>
      <c r="AS45" s="26" t="s">
        <v>16</v>
      </c>
      <c r="AT45"/>
      <c r="AU45" s="34" t="s">
        <v>164</v>
      </c>
      <c r="AV45" s="35">
        <v>-1.4875000000000001E-4</v>
      </c>
      <c r="AW45" s="35">
        <v>-2.818766E-2</v>
      </c>
      <c r="AX45" s="35">
        <v>-0.15965826999999999</v>
      </c>
      <c r="AY45" s="35">
        <v>-4.4100000000000001E-6</v>
      </c>
      <c r="AZ45" s="35">
        <v>3.8060999999999998E-4</v>
      </c>
      <c r="BA45" s="35">
        <v>-2.2518899999999999E-3</v>
      </c>
      <c r="BB45" s="35">
        <v>6.2865899999999999E-3</v>
      </c>
      <c r="BC45" s="35">
        <v>-2.0911000000000001E-4</v>
      </c>
      <c r="BD45" s="35">
        <v>4.150877E-2</v>
      </c>
      <c r="BE45" s="36">
        <v>-0.59881362999999999</v>
      </c>
      <c r="BF45"/>
      <c r="BG45" s="2" t="s">
        <v>168</v>
      </c>
      <c r="BH45" s="2">
        <f>BH44/PI()*180</f>
        <v>4.9362083299361146</v>
      </c>
      <c r="BI45" s="2" t="s">
        <v>43</v>
      </c>
      <c r="BJ45" s="2"/>
      <c r="BK45" s="2" t="s">
        <v>168</v>
      </c>
      <c r="BL45" s="2">
        <f>BL44/PI()*180</f>
        <v>4.4618189246855646</v>
      </c>
      <c r="BM45" s="2" t="s">
        <v>43</v>
      </c>
      <c r="BN45"/>
      <c r="BO45" s="2">
        <v>7</v>
      </c>
      <c r="BP45" s="2">
        <f t="shared" si="35"/>
        <v>0.11879147221386405</v>
      </c>
      <c r="BQ45" s="2">
        <v>-9.9330637063453742E-2</v>
      </c>
      <c r="BR45" s="2">
        <f t="shared" si="36"/>
        <v>0.16247924505284711</v>
      </c>
      <c r="BS45" s="2">
        <v>2.5102012012638161E-2</v>
      </c>
      <c r="BT45" s="2">
        <f t="shared" si="27"/>
        <v>0.14063535863335558</v>
      </c>
      <c r="BU45" s="2">
        <v>-3.1219601569440415E-2</v>
      </c>
      <c r="BV45" s="2">
        <f t="shared" si="28"/>
        <v>3.1010629127597167E-3</v>
      </c>
      <c r="BW45" s="2">
        <f t="shared" si="29"/>
        <v>-7.836748136258705E-4</v>
      </c>
      <c r="BX45" s="2">
        <f t="shared" si="30"/>
        <v>4.3687772838983063E-2</v>
      </c>
      <c r="BY45"/>
      <c r="BZ45" s="2">
        <v>7</v>
      </c>
      <c r="CA45" s="2">
        <f t="shared" si="37"/>
        <v>0.11879147221386405</v>
      </c>
      <c r="CB45" s="2">
        <v>-2.8781402269099216E-2</v>
      </c>
      <c r="CC45" s="2">
        <f t="shared" si="38"/>
        <v>0.16247924505284711</v>
      </c>
      <c r="CD45" s="2">
        <v>7.1875940081178591E-2</v>
      </c>
      <c r="CE45" s="2">
        <f t="shared" si="31"/>
        <v>0.14063535863335558</v>
      </c>
      <c r="CF45" s="2">
        <v>2.5806988477859866E-2</v>
      </c>
      <c r="CG45" s="2">
        <f t="shared" si="32"/>
        <v>-7.4276131673529325E-4</v>
      </c>
      <c r="CH45" s="2">
        <f t="shared" si="33"/>
        <v>1.8549015575103219E-3</v>
      </c>
      <c r="CI45" s="2">
        <f t="shared" si="34"/>
        <v>4.3687772838983063E-2</v>
      </c>
    </row>
    <row r="46" spans="2:87" x14ac:dyDescent="0.2">
      <c r="B46" s="54" t="s">
        <v>273</v>
      </c>
      <c r="C46" s="55"/>
      <c r="D46" s="55"/>
      <c r="AQ46" s="2" t="s">
        <v>31</v>
      </c>
      <c r="AR46" s="37">
        <f>$C$42</f>
        <v>1.7363179204150701E-5</v>
      </c>
      <c r="AS46" s="26" t="s">
        <v>210</v>
      </c>
      <c r="AT46"/>
      <c r="AU46"/>
      <c r="AV46"/>
      <c r="AW46"/>
      <c r="AX46"/>
      <c r="AY46"/>
      <c r="AZ46"/>
      <c r="BA46"/>
      <c r="BB46"/>
      <c r="BC46"/>
      <c r="BD46"/>
      <c r="BE46"/>
      <c r="BF46"/>
      <c r="BG46" s="2" t="s">
        <v>171</v>
      </c>
      <c r="BH46" s="2">
        <f xml:space="preserve"> $AR$8*$AR$31 / (2*PI()*$AR$23)</f>
        <v>4.91245318250716E-2</v>
      </c>
      <c r="BI46" s="2"/>
      <c r="BJ46" s="2"/>
      <c r="BK46" s="2" t="s">
        <v>171</v>
      </c>
      <c r="BL46" s="2">
        <f xml:space="preserve"> $AR$8*$AR$32 / (2*PI()*$AR$24)</f>
        <v>4.0321081617108796E-2</v>
      </c>
      <c r="BM46" s="2"/>
      <c r="BN46"/>
      <c r="BO46" s="2">
        <v>8</v>
      </c>
      <c r="BP46" s="2">
        <f t="shared" si="35"/>
        <v>0.14063535863335558</v>
      </c>
      <c r="BQ46" s="2">
        <v>-3.1219601569440415E-2</v>
      </c>
      <c r="BR46" s="2">
        <f t="shared" si="36"/>
        <v>0.16247924505284711</v>
      </c>
      <c r="BS46" s="2">
        <v>2.5102012012638161E-2</v>
      </c>
      <c r="BT46" s="2">
        <f t="shared" si="27"/>
        <v>0.15155730184310134</v>
      </c>
      <c r="BU46" s="2">
        <v>-1.8851871968434408E-3</v>
      </c>
      <c r="BV46" s="2">
        <f t="shared" si="28"/>
        <v>5.8854793169262464E-5</v>
      </c>
      <c r="BW46" s="2">
        <f t="shared" si="29"/>
        <v>-4.7321991661235715E-5</v>
      </c>
      <c r="BX46" s="2">
        <f t="shared" si="30"/>
        <v>2.1843886419491532E-2</v>
      </c>
      <c r="BY46"/>
      <c r="BZ46" s="2">
        <v>8</v>
      </c>
      <c r="CA46" s="2">
        <f t="shared" si="37"/>
        <v>0.11879147221386405</v>
      </c>
      <c r="CB46" s="2">
        <v>-2.8781402269099216E-2</v>
      </c>
      <c r="CC46" s="2">
        <f t="shared" si="38"/>
        <v>0.14063535863335558</v>
      </c>
      <c r="CD46" s="2">
        <v>2.5806988477859866E-2</v>
      </c>
      <c r="CE46" s="2">
        <f t="shared" si="31"/>
        <v>0.12971341542360981</v>
      </c>
      <c r="CF46" s="2">
        <v>-1.6861071634008407E-4</v>
      </c>
      <c r="CG46" s="2">
        <f t="shared" si="32"/>
        <v>4.8528528538649398E-6</v>
      </c>
      <c r="CH46" s="2">
        <f t="shared" si="33"/>
        <v>-4.3513348138322473E-6</v>
      </c>
      <c r="CI46" s="2">
        <f t="shared" si="34"/>
        <v>2.1843886419491532E-2</v>
      </c>
    </row>
    <row r="47" spans="2:87" x14ac:dyDescent="0.2">
      <c r="B47" s="6" t="s">
        <v>15</v>
      </c>
      <c r="C47" s="17">
        <v>1.00854450666398</v>
      </c>
      <c r="D47" s="6" t="s">
        <v>16</v>
      </c>
      <c r="AF47" s="62" t="s">
        <v>222</v>
      </c>
      <c r="AG47" s="62"/>
      <c r="AH47" s="62"/>
      <c r="AI47" s="62"/>
      <c r="AJ47" s="2"/>
      <c r="AK47" s="2"/>
      <c r="AL47" s="2"/>
      <c r="AM47" s="2"/>
      <c r="AN47" s="2"/>
      <c r="AO47" s="2"/>
      <c r="AT47"/>
      <c r="AU47" s="23" t="s">
        <v>143</v>
      </c>
      <c r="AV47" s="69" t="s">
        <v>218</v>
      </c>
      <c r="AW47" s="69"/>
      <c r="AX47" s="24"/>
      <c r="AY47" s="24"/>
      <c r="AZ47" s="24"/>
      <c r="BA47" s="24"/>
      <c r="BB47" s="24"/>
      <c r="BC47" s="24"/>
      <c r="BD47" s="24"/>
      <c r="BE47" s="27"/>
      <c r="BF47"/>
      <c r="BG47" s="2" t="s">
        <v>175</v>
      </c>
      <c r="BH47" s="2">
        <f>IF(-$AR$8*($AV$3-$AR$23)/(2*$AR$23*SIN(BH42))&gt;500, 1, 2*ACOS(MIN(1, EXP(-$AR$8*($AV$3-$AR$23)/(2*$AR$23*SIN(BH42)))))/PI() )</f>
        <v>0.99985723721137965</v>
      </c>
      <c r="BI47" s="2"/>
      <c r="BJ47" s="2"/>
      <c r="BK47" s="2" t="s">
        <v>175</v>
      </c>
      <c r="BL47" s="2">
        <f>IF(-$AR$8*($AV$3-$AR$24)/(2*$AR$24*SIN(BL42))&gt;500, 1, 2*ACOS(MIN(1, EXP(-$AR$8*($AV$3-$AR$24)/(2*$AR$24*SIN(BL42)))))/PI() )</f>
        <v>0.99818690400786114</v>
      </c>
      <c r="BM47" s="2"/>
      <c r="BN47"/>
      <c r="BO47" s="2">
        <v>9</v>
      </c>
      <c r="BP47" s="2">
        <f t="shared" si="35"/>
        <v>0.15155730184310134</v>
      </c>
      <c r="BQ47" s="2">
        <v>-1.8851871968434408E-3</v>
      </c>
      <c r="BR47" s="2">
        <f t="shared" si="36"/>
        <v>0.16247924505284711</v>
      </c>
      <c r="BS47" s="2">
        <v>2.5102012012638161E-2</v>
      </c>
      <c r="BT47" s="2">
        <f t="shared" si="27"/>
        <v>0.15701827344797423</v>
      </c>
      <c r="BU47" s="2">
        <v>1.1873258657010423E-2</v>
      </c>
      <c r="BV47" s="2">
        <f t="shared" si="28"/>
        <v>-2.2383315205006595E-5</v>
      </c>
      <c r="BW47" s="2">
        <f t="shared" si="29"/>
        <v>2.9804268143743566E-4</v>
      </c>
      <c r="BX47" s="2">
        <f t="shared" si="30"/>
        <v>1.0921943209745766E-2</v>
      </c>
      <c r="BY47"/>
      <c r="BZ47" s="2">
        <v>9</v>
      </c>
      <c r="CA47" s="2">
        <f t="shared" si="37"/>
        <v>0.12971341542360981</v>
      </c>
      <c r="CB47" s="2">
        <v>-1.6861071634008407E-4</v>
      </c>
      <c r="CC47" s="2">
        <f t="shared" si="38"/>
        <v>0.14063535863335558</v>
      </c>
      <c r="CD47" s="2">
        <v>2.5806988477859866E-2</v>
      </c>
      <c r="CE47" s="2">
        <f t="shared" si="31"/>
        <v>0.1351743870284827</v>
      </c>
      <c r="CF47" s="2">
        <v>1.3110814550152949E-2</v>
      </c>
      <c r="CG47" s="2">
        <f t="shared" si="32"/>
        <v>-2.2106238331032859E-6</v>
      </c>
      <c r="CH47" s="2">
        <f t="shared" si="33"/>
        <v>3.3835064003115466E-4</v>
      </c>
      <c r="CI47" s="2">
        <f t="shared" si="34"/>
        <v>1.0921943209745766E-2</v>
      </c>
    </row>
    <row r="48" spans="2:87" x14ac:dyDescent="0.2">
      <c r="B48" s="6" t="s">
        <v>214</v>
      </c>
      <c r="C48" s="41">
        <v>1.7265641515845801E-5</v>
      </c>
      <c r="D48" s="6" t="s">
        <v>210</v>
      </c>
      <c r="AF48" s="7" t="s">
        <v>44</v>
      </c>
      <c r="AG48" s="7" t="s">
        <v>45</v>
      </c>
      <c r="AH48" s="7" t="s">
        <v>46</v>
      </c>
      <c r="AI48" s="7" t="s">
        <v>47</v>
      </c>
      <c r="AJ48" s="7" t="s">
        <v>48</v>
      </c>
      <c r="AK48" s="7" t="s">
        <v>49</v>
      </c>
      <c r="AL48" s="7" t="s">
        <v>50</v>
      </c>
      <c r="AM48" s="7" t="s">
        <v>51</v>
      </c>
      <c r="AN48" s="7" t="s">
        <v>52</v>
      </c>
      <c r="AO48" s="7" t="s">
        <v>53</v>
      </c>
      <c r="AT48"/>
      <c r="AU48" s="27"/>
      <c r="AV48" s="70" t="s">
        <v>148</v>
      </c>
      <c r="AW48" s="70"/>
      <c r="AX48" s="70"/>
      <c r="AY48" s="70" t="s">
        <v>149</v>
      </c>
      <c r="AZ48" s="70"/>
      <c r="BA48" s="70"/>
      <c r="BB48" s="70" t="s">
        <v>150</v>
      </c>
      <c r="BC48" s="70"/>
      <c r="BD48" s="70"/>
      <c r="BE48" s="49"/>
      <c r="BF48"/>
      <c r="BG48" s="2" t="s">
        <v>180</v>
      </c>
      <c r="BH48" s="2">
        <f>IF(-$AR$8*($AR$23-$AR$10)/(2*$AR$23*SIN(BH42))&gt;500, 1, 2*ACOS(MIN(1, EXP(-$AR$8*($AR$23-$AR$10)/(2*$AR$23*SIN(BH42)))))/PI() )</f>
        <v>0.99998705899972762</v>
      </c>
      <c r="BI48" s="2"/>
      <c r="BJ48" s="2"/>
      <c r="BK48" s="2" t="s">
        <v>180</v>
      </c>
      <c r="BL48" s="2">
        <f>IF(-$AR$8*($AR$24-$AR$10)/(2*$AR$24*SIN(BL42))&gt;500, 1, 2*ACOS(MIN(1, EXP(-$AR$8*($AR$24-$AR$10)/(2*$AR$24*SIN(BL42)))))/PI() )</f>
        <v>0.99999840092690495</v>
      </c>
      <c r="BM48" s="2"/>
      <c r="BN48"/>
      <c r="BO48" s="2">
        <v>10</v>
      </c>
      <c r="BP48" s="2">
        <f t="shared" si="35"/>
        <v>0.15155730184310134</v>
      </c>
      <c r="BQ48" s="2">
        <v>-1.8851871968434408E-3</v>
      </c>
      <c r="BR48" s="2">
        <f t="shared" si="36"/>
        <v>0.15701827344797423</v>
      </c>
      <c r="BS48" s="2">
        <v>1.1873258657010423E-2</v>
      </c>
      <c r="BT48" s="2">
        <f t="shared" si="27"/>
        <v>0.1542877876455378</v>
      </c>
      <c r="BU48" s="2">
        <v>5.0635089435779879E-3</v>
      </c>
      <c r="BV48" s="2">
        <f t="shared" si="28"/>
        <v>-9.5456622315354788E-6</v>
      </c>
      <c r="BW48" s="2">
        <f t="shared" si="29"/>
        <v>6.0120351399187045E-5</v>
      </c>
      <c r="BX48" s="2">
        <f t="shared" si="30"/>
        <v>5.4609716048728829E-3</v>
      </c>
      <c r="BY48"/>
      <c r="BZ48" s="2">
        <v>10</v>
      </c>
      <c r="CA48" s="2">
        <f t="shared" si="37"/>
        <v>0.12971341542360981</v>
      </c>
      <c r="CB48" s="2">
        <v>-1.6861071634008407E-4</v>
      </c>
      <c r="CC48" s="2">
        <f t="shared" si="38"/>
        <v>0.1351743870284827</v>
      </c>
      <c r="CD48" s="2">
        <v>1.3110814550152949E-2</v>
      </c>
      <c r="CE48" s="2">
        <f t="shared" si="31"/>
        <v>0.13244390122604627</v>
      </c>
      <c r="CF48" s="2">
        <v>6.5482769153591969E-3</v>
      </c>
      <c r="CG48" s="2">
        <f t="shared" si="32"/>
        <v>-1.1041096614919503E-6</v>
      </c>
      <c r="CH48" s="2">
        <f t="shared" si="33"/>
        <v>8.5853244260322031E-5</v>
      </c>
      <c r="CI48" s="2">
        <f t="shared" si="34"/>
        <v>5.4609716048728829E-3</v>
      </c>
    </row>
    <row r="49" spans="2:87" x14ac:dyDescent="0.2">
      <c r="B49" s="6" t="s">
        <v>132</v>
      </c>
      <c r="C49" s="17">
        <v>332.721752148093</v>
      </c>
      <c r="D49" s="6" t="s">
        <v>10</v>
      </c>
      <c r="AF49" s="2">
        <v>0</v>
      </c>
      <c r="AG49" s="2"/>
      <c r="AH49" s="2">
        <f>G11</f>
        <v>0.31750852507320815</v>
      </c>
      <c r="AI49" s="2"/>
      <c r="AJ49" s="2">
        <f>G11</f>
        <v>0.31750852507320815</v>
      </c>
      <c r="AK49" s="2"/>
      <c r="AL49" s="2">
        <f>G11</f>
        <v>0.31750852507320815</v>
      </c>
      <c r="AM49" s="2"/>
      <c r="AN49" s="2"/>
      <c r="AO49" s="2"/>
      <c r="AT49"/>
      <c r="AU49" s="27"/>
      <c r="AV49" s="4" t="s">
        <v>156</v>
      </c>
      <c r="AW49" s="2">
        <v>-180</v>
      </c>
      <c r="AX49" s="2">
        <v>-13.25</v>
      </c>
      <c r="AY49" s="4" t="s">
        <v>156</v>
      </c>
      <c r="AZ49" s="2">
        <v>-13.25</v>
      </c>
      <c r="BA49" s="2">
        <v>19.25</v>
      </c>
      <c r="BB49" s="4" t="s">
        <v>156</v>
      </c>
      <c r="BC49" s="2">
        <v>19.25</v>
      </c>
      <c r="BD49" s="2">
        <v>180</v>
      </c>
      <c r="BE49" s="50"/>
      <c r="BF49"/>
      <c r="BG49" s="2" t="s">
        <v>183</v>
      </c>
      <c r="BH49" s="2">
        <f>IF(BH42=0,1,BH47*BH48)</f>
        <v>0.99984429805860053</v>
      </c>
      <c r="BI49" s="2"/>
      <c r="BJ49" s="2"/>
      <c r="BK49" s="2" t="s">
        <v>183</v>
      </c>
      <c r="BL49" s="2">
        <f>IF(BL42=0,1,BL47*BL48)</f>
        <v>0.99818530783403914</v>
      </c>
      <c r="BM49" s="2"/>
      <c r="BN49"/>
      <c r="BO49" s="2">
        <v>11</v>
      </c>
      <c r="BP49" s="2">
        <f t="shared" si="35"/>
        <v>0.15155730184310134</v>
      </c>
      <c r="BQ49" s="2">
        <v>-1.8851871968434408E-3</v>
      </c>
      <c r="BR49" s="2">
        <f t="shared" si="36"/>
        <v>0.1542877876455378</v>
      </c>
      <c r="BS49" s="2">
        <v>5.0635089435779879E-3</v>
      </c>
      <c r="BT49" s="2">
        <f t="shared" si="27"/>
        <v>0.15292254474431957</v>
      </c>
      <c r="BU49" s="2">
        <v>1.6069616578286566E-3</v>
      </c>
      <c r="BV49" s="2">
        <f t="shared" si="28"/>
        <v>-3.0294235431568939E-6</v>
      </c>
      <c r="BW49" s="2">
        <f t="shared" si="29"/>
        <v>8.1368647264023128E-6</v>
      </c>
      <c r="BX49" s="2">
        <f t="shared" si="30"/>
        <v>2.7304858024364553E-3</v>
      </c>
      <c r="BY49"/>
      <c r="BZ49" s="2">
        <v>11</v>
      </c>
      <c r="CA49" s="2">
        <f t="shared" si="37"/>
        <v>0.12971341542360981</v>
      </c>
      <c r="CB49" s="2">
        <v>-1.6861071634008407E-4</v>
      </c>
      <c r="CC49" s="2">
        <f t="shared" si="38"/>
        <v>0.13244390122604627</v>
      </c>
      <c r="CD49" s="2">
        <v>6.5482769153591969E-3</v>
      </c>
      <c r="CE49" s="2">
        <f t="shared" si="31"/>
        <v>0.13107865832482804</v>
      </c>
      <c r="CF49" s="2">
        <v>3.2096988221882519E-3</v>
      </c>
      <c r="CG49" s="2">
        <f t="shared" si="32"/>
        <v>-5.4118961764508529E-7</v>
      </c>
      <c r="CH49" s="2">
        <f t="shared" si="33"/>
        <v>2.1017996702590933E-5</v>
      </c>
      <c r="CI49" s="2">
        <f t="shared" si="34"/>
        <v>2.7304858024364553E-3</v>
      </c>
    </row>
    <row r="50" spans="2:87" x14ac:dyDescent="0.2">
      <c r="B50" s="6" t="s">
        <v>17</v>
      </c>
      <c r="C50" s="1">
        <v>9.8005536647414697</v>
      </c>
      <c r="D50" s="6" t="s">
        <v>18</v>
      </c>
      <c r="AF50" s="2">
        <v>1</v>
      </c>
      <c r="AG50" s="3">
        <v>50</v>
      </c>
      <c r="AH50" s="2">
        <f t="dataTable" ref="AH50:AH79" dt2D="0" dtr="0" r1="C6" ca="1"/>
        <v>5140.2152545489098</v>
      </c>
      <c r="AI50" s="3">
        <v>1500</v>
      </c>
      <c r="AJ50" s="2">
        <f t="dataTable" ref="AJ50:AJ79" dt2D="0" dtr="0" r1="C6" ca="1"/>
        <v>-116617.61734126143</v>
      </c>
      <c r="AK50" s="2">
        <f t="shared" ref="AK50:AK79" si="39">(AG50+AI50)/2</f>
        <v>775</v>
      </c>
      <c r="AL50" s="2">
        <f t="dataTable" ref="AL50:AL79" dt2D="0" dtr="0" r1="C6" ca="1"/>
        <v>-27263.078904013521</v>
      </c>
      <c r="AM50" s="2">
        <f t="shared" ref="AM50:AM79" si="40">AH50*AL50</f>
        <v>-140138094.06838086</v>
      </c>
      <c r="AN50" s="2">
        <f t="shared" ref="AN50:AN79" si="41">AJ50*AL50</f>
        <v>3179355303.1728659</v>
      </c>
      <c r="AO50" s="2">
        <f t="shared" ref="AO50:AO79" si="42">AI50-AG50</f>
        <v>1450</v>
      </c>
      <c r="AT50"/>
      <c r="AU50" s="72" t="s">
        <v>160</v>
      </c>
      <c r="AV50" s="51">
        <v>-8.3549000000000003E-12</v>
      </c>
      <c r="AW50" s="24">
        <v>-4.7840743999999998E-9</v>
      </c>
      <c r="AX50" s="25">
        <v>-1.0649366135999999E-6</v>
      </c>
      <c r="AY50" s="51">
        <v>3.7015648000000001E-9</v>
      </c>
      <c r="AZ50" s="24">
        <v>-1.9299895869999999E-7</v>
      </c>
      <c r="BA50" s="25">
        <v>-1.9025591952999999E-6</v>
      </c>
      <c r="BB50" s="2">
        <v>9.9660000000000001E-12</v>
      </c>
      <c r="BC50" s="2">
        <v>-5.5831206999999999E-9</v>
      </c>
      <c r="BD50" s="2">
        <v>1.2239417548000001E-6</v>
      </c>
      <c r="BE50" s="27"/>
      <c r="BF50"/>
      <c r="BG50" s="2" t="s">
        <v>187</v>
      </c>
      <c r="BH50" s="2">
        <f>IF(BH45&lt;$AZ$49, $AV$50*BH45^6 + $AW$50*BH45^5 + $AX$50*BH45^4 + $AV$51*BH45^3 + $AW$51*BH45^2 + $AX$51*BH45 + $AV$52, IF(BH45&gt;$BA$49, $BB$50*BH45^6 + $BC$50*BH45^5 + $BD$50*BH45^4 + $BB$51*BH45^3 + $BC$51*BH45^2 + $BD$51*BH45 + $BB$52, $AY$50*BH45^6 + $AZ$50*BH45^5 + $BA$50*BH45^4 + $AY$51*BH45^3 + $AZ$51*BH45^2 + $BA$51*BH45 + $AY$52) )</f>
        <v>0.7346186092062974</v>
      </c>
      <c r="BI50" s="2"/>
      <c r="BJ50" s="2"/>
      <c r="BK50" s="2" t="s">
        <v>187</v>
      </c>
      <c r="BL50" s="2">
        <f>IF(BL45&lt;$AZ$49, $AV$50*BL45^6 + $AW$50*BL45^5 + $AX$50*BL45^4 + $AV$51*BL45^3 + $AW$51*BL45^2 + $AX$51*BL45 + $AV$52, IF(BL45&gt;$BA$49, $BB$50*BL45^6 + $BC$50*BL45^5 + $BD$50*BL45^4 + $BB$51*BL45^3 + $BC$51*BL45^2 + $BD$51*BL45 + $BB$52, $AY$50*BL45^6 + $AZ$50*BL45^5 + $BA$50*BL45^4 + $AY$51*BL45^3 + $AZ$51*BL45^2 + $BA$51*BL45 + $AY$52) )</f>
        <v>0.6796190323479423</v>
      </c>
      <c r="BM50" s="2"/>
      <c r="BN50"/>
      <c r="BO50" s="2">
        <v>12</v>
      </c>
      <c r="BP50" s="2">
        <f t="shared" si="35"/>
        <v>0.15155730184310134</v>
      </c>
      <c r="BQ50" s="2">
        <v>-1.8851871968434408E-3</v>
      </c>
      <c r="BR50" s="2">
        <f t="shared" si="36"/>
        <v>0.15292254474431957</v>
      </c>
      <c r="BS50" s="2">
        <v>1.6069616578286566E-3</v>
      </c>
      <c r="BT50" s="2">
        <f t="shared" si="27"/>
        <v>0.15223992329371044</v>
      </c>
      <c r="BU50" s="2">
        <v>-1.3460686106069736E-4</v>
      </c>
      <c r="BV50" s="2">
        <f t="shared" si="28"/>
        <v>2.5375913107891058E-7</v>
      </c>
      <c r="BW50" s="2">
        <f t="shared" si="29"/>
        <v>-2.1630806460520986E-7</v>
      </c>
      <c r="BX50" s="2">
        <f t="shared" si="30"/>
        <v>1.3652429012182277E-3</v>
      </c>
      <c r="BY50"/>
      <c r="BZ50" s="2">
        <v>12</v>
      </c>
      <c r="CA50" s="2">
        <f t="shared" si="37"/>
        <v>0.12971341542360981</v>
      </c>
      <c r="CB50" s="2">
        <v>-1.6861071634008407E-4</v>
      </c>
      <c r="CC50" s="2">
        <f t="shared" si="38"/>
        <v>0.13107865832482804</v>
      </c>
      <c r="CD50" s="2">
        <v>3.2096988221882519E-3</v>
      </c>
      <c r="CE50" s="2">
        <f t="shared" si="31"/>
        <v>0.13039603687421891</v>
      </c>
      <c r="CF50" s="2">
        <v>1.5255845690428094E-3</v>
      </c>
      <c r="CG50" s="2">
        <f t="shared" si="32"/>
        <v>-2.5722990702368655E-7</v>
      </c>
      <c r="CH50" s="2">
        <f t="shared" si="33"/>
        <v>4.8966669944052769E-6</v>
      </c>
      <c r="CI50" s="2">
        <f t="shared" si="34"/>
        <v>1.3652429012182277E-3</v>
      </c>
    </row>
    <row r="51" spans="2:87" x14ac:dyDescent="0.2">
      <c r="AF51" s="2">
        <v>2</v>
      </c>
      <c r="AG51" s="2">
        <f t="shared" ref="AG51:AG79" si="43">IF(AM50&gt;0, AK50, AG50)</f>
        <v>50</v>
      </c>
      <c r="AH51" s="2">
        <v>5140.2152545489098</v>
      </c>
      <c r="AI51" s="2">
        <f t="shared" ref="AI51:AI79" si="44">IF(AN50&gt;0, AK50, AI50)</f>
        <v>775</v>
      </c>
      <c r="AJ51" s="2">
        <v>-27263.078904013521</v>
      </c>
      <c r="AK51" s="2">
        <f t="shared" si="39"/>
        <v>412.5</v>
      </c>
      <c r="AL51" s="2">
        <v>-3942.5262898966212</v>
      </c>
      <c r="AM51" s="2">
        <f t="shared" si="40"/>
        <v>-20265433.77678673</v>
      </c>
      <c r="AN51" s="2">
        <f t="shared" si="41"/>
        <v>107485405.32259926</v>
      </c>
      <c r="AO51" s="2">
        <f t="shared" si="42"/>
        <v>725</v>
      </c>
      <c r="AT51"/>
      <c r="AU51" s="72"/>
      <c r="AV51" s="27">
        <v>-1.144044407873E-4</v>
      </c>
      <c r="AW51" s="2">
        <v>-5.9672629119978003E-3</v>
      </c>
      <c r="AX51" s="31">
        <v>-0.147383228322227</v>
      </c>
      <c r="AY51" s="27">
        <v>-7.5438890733199999E-5</v>
      </c>
      <c r="AZ51" s="2">
        <v>3.1904994716390001E-4</v>
      </c>
      <c r="BA51" s="31">
        <v>0.11915386438570399</v>
      </c>
      <c r="BB51" s="2">
        <v>-1.3165317594420001E-4</v>
      </c>
      <c r="BC51" s="2">
        <v>7.1422773315944002E-3</v>
      </c>
      <c r="BD51" s="2">
        <v>-0.19867431185841999</v>
      </c>
      <c r="BE51" s="27"/>
      <c r="BF51"/>
      <c r="BG51" s="2" t="s">
        <v>188</v>
      </c>
      <c r="BH51" s="2">
        <f>IF(BH45&lt;$AZ$49, $AV$53*BH45^6 + $AW$53*BH45^5 + $AX$53*BH45^4 + $AV$54*BH45^3 + $AW$54*BH45^2 + $AX$54*BH45 + $AV$55, IF(BH45&gt;$BA$49, $BB$53*BH45^6 + $BC$53*BH45^5 + $BD$53*BH45^4 + $BB$54*BH45^3 + $BC$54*BH45^2 + $BD$54*BH45 + $BB$55, $AY$53*BH45^6 + $AZ$53*BH45^5 + $BA$53*BH45^4 + $AY$54*BH45^3 + $AZ$54*BH45^2 + $BA$54*BH45 + $AY$55) )</f>
        <v>1.9304750448023676E-2</v>
      </c>
      <c r="BI51" s="2"/>
      <c r="BJ51" s="2"/>
      <c r="BK51" s="2" t="s">
        <v>188</v>
      </c>
      <c r="BL51" s="2">
        <f>IF(BL45&lt;$AZ$49, $AV$53*BL45^6 + $AW$53*BL45^5 + $AX$53*BL45^4 + $AV$54*BL45^3 + $AW$54*BL45^2 + $AX$54*BL45 + $AV$55, IF(BL45&gt;$BA$49, $BB$53*BL45^6 + $BC$53*BL45^5 + $BD$53*BL45^4 + $BB$54*BL45^3 + $BC$54*BL45^2 + $BD$54*BL45 + $BB$55, $AY$53*BL45^6 + $AZ$53*BL45^5 + $BA$53*BL45^4 + $AY$54*BL45^3 + $AZ$54*BL45^2 + $BA$54*BL45 + $AY$55) )</f>
        <v>2.0831650403015118E-2</v>
      </c>
      <c r="BM51" s="2"/>
      <c r="BN51"/>
      <c r="BO51" s="2">
        <v>13</v>
      </c>
      <c r="BP51" s="2">
        <f t="shared" si="35"/>
        <v>0.15223992329371044</v>
      </c>
      <c r="BQ51" s="2">
        <v>-1.3460686106069736E-4</v>
      </c>
      <c r="BR51" s="2">
        <f t="shared" si="36"/>
        <v>0.15292254474431957</v>
      </c>
      <c r="BS51" s="2">
        <v>1.6069616578286566E-3</v>
      </c>
      <c r="BT51" s="2">
        <f t="shared" si="27"/>
        <v>0.15258123401901502</v>
      </c>
      <c r="BU51" s="2">
        <v>7.37296835556768E-4</v>
      </c>
      <c r="BV51" s="2">
        <f t="shared" si="28"/>
        <v>-9.9245212704281705E-8</v>
      </c>
      <c r="BW51" s="2">
        <f t="shared" si="29"/>
        <v>1.1848077451781263E-6</v>
      </c>
      <c r="BX51" s="2">
        <f t="shared" si="30"/>
        <v>6.8262145060912771E-4</v>
      </c>
      <c r="BY51"/>
      <c r="BZ51" s="2">
        <v>13</v>
      </c>
      <c r="CA51" s="2">
        <f t="shared" si="37"/>
        <v>0.12971341542360981</v>
      </c>
      <c r="CB51" s="2">
        <v>-1.6861071634008407E-4</v>
      </c>
      <c r="CC51" s="2">
        <f t="shared" si="38"/>
        <v>0.13039603687421891</v>
      </c>
      <c r="CD51" s="2">
        <v>1.5255845690428094E-3</v>
      </c>
      <c r="CE51" s="2">
        <f t="shared" si="31"/>
        <v>0.13005472614891436</v>
      </c>
      <c r="CF51" s="2">
        <v>6.7975648424363488E-4</v>
      </c>
      <c r="CG51" s="2">
        <f t="shared" si="32"/>
        <v>-1.1461422774513634E-7</v>
      </c>
      <c r="CH51" s="2">
        <f t="shared" si="33"/>
        <v>1.0370260030688809E-6</v>
      </c>
      <c r="CI51" s="2">
        <f t="shared" si="34"/>
        <v>6.8262145060909996E-4</v>
      </c>
    </row>
    <row r="52" spans="2:87" x14ac:dyDescent="0.2">
      <c r="B52" s="54" t="s">
        <v>74</v>
      </c>
      <c r="C52" s="54"/>
      <c r="D52" s="54"/>
      <c r="AF52" s="2">
        <v>3</v>
      </c>
      <c r="AG52" s="2">
        <f t="shared" si="43"/>
        <v>50</v>
      </c>
      <c r="AH52" s="2">
        <v>5140.2152545489098</v>
      </c>
      <c r="AI52" s="2">
        <f t="shared" si="44"/>
        <v>412.5</v>
      </c>
      <c r="AJ52" s="2">
        <v>-3942.5262898966212</v>
      </c>
      <c r="AK52" s="2">
        <f t="shared" si="39"/>
        <v>231.25</v>
      </c>
      <c r="AL52" s="2">
        <v>2378.570866035066</v>
      </c>
      <c r="AM52" s="2">
        <f t="shared" si="40"/>
        <v>12226366.249619057</v>
      </c>
      <c r="AN52" s="2">
        <f t="shared" si="41"/>
        <v>-9377578.1717254221</v>
      </c>
      <c r="AO52" s="2">
        <f t="shared" si="42"/>
        <v>362.5</v>
      </c>
      <c r="AT52"/>
      <c r="AU52" s="72"/>
      <c r="AV52" s="64">
        <v>-2.2751380819795499</v>
      </c>
      <c r="AW52" s="65"/>
      <c r="AX52" s="66"/>
      <c r="AY52" s="64">
        <v>0.14939144598517301</v>
      </c>
      <c r="AZ52" s="65"/>
      <c r="BA52" s="66"/>
      <c r="BB52" s="67">
        <v>3.3811980767955601</v>
      </c>
      <c r="BC52" s="67"/>
      <c r="BD52" s="68"/>
      <c r="BE52" s="27"/>
      <c r="BF52"/>
      <c r="BG52" s="2" t="s">
        <v>190</v>
      </c>
      <c r="BH52" s="2">
        <f xml:space="preserve"> BH50*COS(BH42) - BH51*SIN(BH42)</f>
        <v>0.72785969499856118</v>
      </c>
      <c r="BI52" s="2"/>
      <c r="BJ52" s="2"/>
      <c r="BK52" s="2" t="s">
        <v>190</v>
      </c>
      <c r="BL52" s="2">
        <f xml:space="preserve"> BL50*COS(BL42) - BL51*SIN(BL42)</f>
        <v>0.67438707246554241</v>
      </c>
      <c r="BM52" s="2"/>
      <c r="BN52"/>
      <c r="BO52" s="2">
        <v>14</v>
      </c>
      <c r="BP52" s="2">
        <f t="shared" si="35"/>
        <v>0.15223992329371044</v>
      </c>
      <c r="BQ52" s="2">
        <v>-1.3460686106069736E-4</v>
      </c>
      <c r="BR52" s="2">
        <f t="shared" si="36"/>
        <v>0.15258123401901502</v>
      </c>
      <c r="BS52" s="2">
        <v>7.37296835556768E-4</v>
      </c>
      <c r="BT52" s="2">
        <f t="shared" si="27"/>
        <v>0.15241057865636273</v>
      </c>
      <c r="BU52" s="2">
        <v>3.0162572173170893E-4</v>
      </c>
      <c r="BV52" s="2">
        <f t="shared" si="28"/>
        <v>-4.0600891617472707E-8</v>
      </c>
      <c r="BW52" s="2">
        <f t="shared" si="29"/>
        <v>2.2238769015531528E-7</v>
      </c>
      <c r="BX52" s="2">
        <f t="shared" si="30"/>
        <v>3.4131072530457773E-4</v>
      </c>
      <c r="BY52"/>
      <c r="BZ52" s="2">
        <v>14</v>
      </c>
      <c r="CA52" s="2">
        <f t="shared" si="37"/>
        <v>0.12971341542360981</v>
      </c>
      <c r="CB52" s="2">
        <v>-1.6861071634008407E-4</v>
      </c>
      <c r="CC52" s="2">
        <f t="shared" si="38"/>
        <v>0.13005472614891436</v>
      </c>
      <c r="CD52" s="2">
        <v>6.7975648424363488E-4</v>
      </c>
      <c r="CE52" s="2">
        <f t="shared" si="31"/>
        <v>0.12988407078626207</v>
      </c>
      <c r="CF52" s="2">
        <v>2.5589146275153962E-4</v>
      </c>
      <c r="CG52" s="2">
        <f t="shared" si="32"/>
        <v>-4.3146042839849037E-8</v>
      </c>
      <c r="CH52" s="2">
        <f t="shared" si="33"/>
        <v>1.7394388106794764E-7</v>
      </c>
      <c r="CI52" s="2">
        <f t="shared" si="34"/>
        <v>3.4131072530454998E-4</v>
      </c>
    </row>
    <row r="53" spans="2:87" x14ac:dyDescent="0.2">
      <c r="B53" s="6" t="s">
        <v>264</v>
      </c>
      <c r="C53" s="17">
        <v>30</v>
      </c>
      <c r="AF53" s="2">
        <v>4</v>
      </c>
      <c r="AG53" s="2">
        <f t="shared" si="43"/>
        <v>231.25</v>
      </c>
      <c r="AH53" s="2">
        <v>2378.570866035066</v>
      </c>
      <c r="AI53" s="2">
        <f t="shared" si="44"/>
        <v>412.5</v>
      </c>
      <c r="AJ53" s="2">
        <v>-3942.5262898966212</v>
      </c>
      <c r="AK53" s="2">
        <f t="shared" si="39"/>
        <v>321.875</v>
      </c>
      <c r="AL53" s="2">
        <v>-337.04611600354838</v>
      </c>
      <c r="AM53" s="2">
        <f t="shared" si="40"/>
        <v>-801688.07203631545</v>
      </c>
      <c r="AN53" s="2">
        <f t="shared" si="41"/>
        <v>1328813.1732515357</v>
      </c>
      <c r="AO53" s="2">
        <f t="shared" si="42"/>
        <v>181.25</v>
      </c>
      <c r="AT53"/>
      <c r="AU53" s="72" t="s">
        <v>164</v>
      </c>
      <c r="AV53" s="51">
        <v>-1.2341E-12</v>
      </c>
      <c r="AW53" s="24">
        <v>-6.7451029999999997E-10</v>
      </c>
      <c r="AX53" s="25">
        <v>-1.110146934E-7</v>
      </c>
      <c r="AY53" s="2">
        <v>-1.1680000000000001E-12</v>
      </c>
      <c r="AZ53" s="2">
        <v>6.2785870000000004E-10</v>
      </c>
      <c r="BA53" s="2">
        <v>-9.5512221100000005E-8</v>
      </c>
      <c r="BB53" s="51">
        <v>5.9967578999999996E-9</v>
      </c>
      <c r="BC53" s="24">
        <v>-6.3545459699999994E-8</v>
      </c>
      <c r="BD53" s="25">
        <v>-1.1663058908000001E-6</v>
      </c>
      <c r="BE53" s="27"/>
      <c r="BF53"/>
      <c r="BG53" s="2" t="s">
        <v>192</v>
      </c>
      <c r="BH53" s="2">
        <f xml:space="preserve"> BH50*SIN(BH42) + BH51*COS(BH42)</f>
        <v>0.10127901450279202</v>
      </c>
      <c r="BI53" s="2"/>
      <c r="BJ53" s="2"/>
      <c r="BK53" s="2" t="s">
        <v>192</v>
      </c>
      <c r="BL53" s="2">
        <f xml:space="preserve"> BL50*SIN(BL42) + BL51*COS(BL42)</f>
        <v>8.6706766053301548E-2</v>
      </c>
      <c r="BM53" s="2"/>
      <c r="BN53"/>
      <c r="BO53" s="2">
        <v>15</v>
      </c>
      <c r="BP53" s="2">
        <f t="shared" si="35"/>
        <v>0.15223992329371044</v>
      </c>
      <c r="BQ53" s="2">
        <v>-1.3460686106069736E-4</v>
      </c>
      <c r="BR53" s="2">
        <f t="shared" si="36"/>
        <v>0.15241057865636273</v>
      </c>
      <c r="BS53" s="2">
        <v>3.0162572173170893E-4</v>
      </c>
      <c r="BT53" s="2">
        <f t="shared" si="27"/>
        <v>0.15232525097503657</v>
      </c>
      <c r="BU53" s="2">
        <v>8.3579723773215264E-5</v>
      </c>
      <c r="BV53" s="2">
        <f t="shared" si="28"/>
        <v>-1.1250404265432651E-8</v>
      </c>
      <c r="BW53" s="2">
        <f t="shared" si="29"/>
        <v>2.5209794505232924E-8</v>
      </c>
      <c r="BX53" s="2">
        <f t="shared" si="30"/>
        <v>1.7065536265228887E-4</v>
      </c>
      <c r="BY53"/>
      <c r="BZ53" s="2">
        <v>15</v>
      </c>
      <c r="CA53" s="2">
        <f t="shared" si="37"/>
        <v>0.12971341542360981</v>
      </c>
      <c r="CB53" s="2">
        <v>-1.6861071634008407E-4</v>
      </c>
      <c r="CC53" s="2">
        <f t="shared" si="38"/>
        <v>0.12988407078626207</v>
      </c>
      <c r="CD53" s="2">
        <v>2.5589146275153962E-4</v>
      </c>
      <c r="CE53" s="2">
        <f t="shared" si="31"/>
        <v>0.12979874310493594</v>
      </c>
      <c r="CF53" s="2">
        <v>4.3720167248059716E-5</v>
      </c>
      <c r="CG53" s="2">
        <f t="shared" si="32"/>
        <v>-7.3716887182036304E-9</v>
      </c>
      <c r="CH53" s="2">
        <f t="shared" si="33"/>
        <v>1.1187617548847956E-8</v>
      </c>
      <c r="CI53" s="2">
        <f t="shared" si="34"/>
        <v>1.7065536265226111E-4</v>
      </c>
    </row>
    <row r="54" spans="2:87" x14ac:dyDescent="0.2">
      <c r="B54" s="6" t="s">
        <v>266</v>
      </c>
      <c r="C54" s="17">
        <v>0.8</v>
      </c>
      <c r="AF54" s="2">
        <v>5</v>
      </c>
      <c r="AG54" s="2">
        <f t="shared" si="43"/>
        <v>231.25</v>
      </c>
      <c r="AH54" s="2">
        <v>2378.570866035066</v>
      </c>
      <c r="AI54" s="2">
        <f t="shared" si="44"/>
        <v>321.875</v>
      </c>
      <c r="AJ54" s="2">
        <v>-337.04611600354838</v>
      </c>
      <c r="AK54" s="2">
        <f t="shared" si="39"/>
        <v>276.5625</v>
      </c>
      <c r="AL54" s="2">
        <v>1131.9952739975679</v>
      </c>
      <c r="AM54" s="2">
        <f t="shared" si="40"/>
        <v>2692530.9792199968</v>
      </c>
      <c r="AN54" s="2">
        <f t="shared" si="41"/>
        <v>-381534.61043525278</v>
      </c>
      <c r="AO54" s="2">
        <f t="shared" si="42"/>
        <v>90.625</v>
      </c>
      <c r="AT54"/>
      <c r="AU54" s="72"/>
      <c r="AV54" s="27">
        <v>-3.2678211540000002E-6</v>
      </c>
      <c r="AW54" s="2">
        <v>3.7180150473579998E-4</v>
      </c>
      <c r="AX54" s="31">
        <v>9.4028821535900006E-5</v>
      </c>
      <c r="AY54" s="2">
        <v>5.4952748939999995E-7</v>
      </c>
      <c r="AZ54" s="2">
        <v>6.0855451546649997E-4</v>
      </c>
      <c r="BA54" s="2">
        <v>-8.9360891379086007E-3</v>
      </c>
      <c r="BB54" s="27">
        <v>9.3163166799000006E-6</v>
      </c>
      <c r="BC54" s="2">
        <v>1.3750111154190001E-4</v>
      </c>
      <c r="BD54" s="31">
        <v>-3.8347379998870002E-4</v>
      </c>
      <c r="BE54"/>
      <c r="BF54"/>
      <c r="BG54" s="2" t="s">
        <v>38</v>
      </c>
      <c r="BH54" s="2">
        <f xml:space="preserve"> 4*BH49*SIN(BH42)*SIN(BH42) / (BH46*BH52)</f>
        <v>1.3968758522410667</v>
      </c>
      <c r="BI54" s="2"/>
      <c r="BJ54" s="2"/>
      <c r="BK54" s="2" t="s">
        <v>38</v>
      </c>
      <c r="BL54" s="2">
        <f xml:space="preserve"> 4*BL49*SIN(BL42)*SIN(BL42) / (BL46*BL52)</f>
        <v>1.3836866345895116</v>
      </c>
      <c r="BM54" s="2"/>
      <c r="BN54"/>
      <c r="BO54" s="2">
        <v>16</v>
      </c>
      <c r="BP54" s="2">
        <f t="shared" si="35"/>
        <v>0.15223992329371044</v>
      </c>
      <c r="BQ54" s="2">
        <v>-1.3460686106069736E-4</v>
      </c>
      <c r="BR54" s="2">
        <f t="shared" si="36"/>
        <v>0.15232525097503657</v>
      </c>
      <c r="BS54" s="2">
        <v>8.3579723773215264E-5</v>
      </c>
      <c r="BT54" s="2">
        <f t="shared" si="27"/>
        <v>0.15228258713437351</v>
      </c>
      <c r="BU54" s="2">
        <v>-2.549598153091942E-5</v>
      </c>
      <c r="BV54" s="2">
        <f t="shared" si="28"/>
        <v>3.4319340435385765E-9</v>
      </c>
      <c r="BW54" s="2">
        <f t="shared" si="29"/>
        <v>-2.1309470936812433E-9</v>
      </c>
      <c r="BX54" s="2">
        <f t="shared" si="30"/>
        <v>8.5327681326130556E-5</v>
      </c>
      <c r="BY54"/>
      <c r="BZ54" s="2">
        <v>16</v>
      </c>
      <c r="CA54" s="2">
        <f t="shared" si="37"/>
        <v>0.12971341542360981</v>
      </c>
      <c r="CB54" s="2">
        <v>-1.6861071634008407E-4</v>
      </c>
      <c r="CC54" s="2">
        <f t="shared" si="38"/>
        <v>0.12979874310493594</v>
      </c>
      <c r="CD54" s="2">
        <v>4.3720167248059716E-5</v>
      </c>
      <c r="CE54" s="2">
        <f t="shared" si="31"/>
        <v>0.12975607926427288</v>
      </c>
      <c r="CF54" s="2">
        <v>-6.2425307325107704E-5</v>
      </c>
      <c r="CG54" s="2">
        <f t="shared" si="32"/>
        <v>1.0525575785836307E-8</v>
      </c>
      <c r="CH54" s="2">
        <f t="shared" si="33"/>
        <v>-2.729244876765236E-9</v>
      </c>
      <c r="CI54" s="2">
        <f t="shared" si="34"/>
        <v>8.5327681326130556E-5</v>
      </c>
    </row>
    <row r="55" spans="2:87" x14ac:dyDescent="0.2">
      <c r="B55" s="6" t="s">
        <v>267</v>
      </c>
      <c r="C55" s="17">
        <v>0.8</v>
      </c>
      <c r="AF55" s="2">
        <v>6</v>
      </c>
      <c r="AG55" s="2">
        <f t="shared" si="43"/>
        <v>276.5625</v>
      </c>
      <c r="AH55" s="2">
        <v>1131.9952739975679</v>
      </c>
      <c r="AI55" s="2">
        <f t="shared" si="44"/>
        <v>321.875</v>
      </c>
      <c r="AJ55" s="2">
        <v>-337.04611600354838</v>
      </c>
      <c r="AK55" s="2">
        <f t="shared" si="39"/>
        <v>299.21875</v>
      </c>
      <c r="AL55" s="2">
        <v>425.28280374246242</v>
      </c>
      <c r="AM55" s="2">
        <f t="shared" si="40"/>
        <v>481418.12394890265</v>
      </c>
      <c r="AN55" s="2">
        <f t="shared" si="41"/>
        <v>-143339.91720449628</v>
      </c>
      <c r="AO55" s="2">
        <f t="shared" si="42"/>
        <v>45.3125</v>
      </c>
      <c r="AT55"/>
      <c r="AU55" s="73"/>
      <c r="AV55" s="64">
        <v>-2.92797950805124E-2</v>
      </c>
      <c r="AW55" s="65"/>
      <c r="AX55" s="66"/>
      <c r="AY55" s="65">
        <v>4.8575804011639703E-2</v>
      </c>
      <c r="AZ55" s="65"/>
      <c r="BA55" s="65"/>
      <c r="BB55" s="64">
        <v>7.4720850653456003E-3</v>
      </c>
      <c r="BC55" s="65"/>
      <c r="BD55" s="66"/>
      <c r="BE55"/>
      <c r="BF55"/>
      <c r="BG55" s="2" t="s">
        <v>194</v>
      </c>
      <c r="BH55" s="2">
        <f xml:space="preserve"> 4*BH49*SIN(BH42)*COS(BH42) / (BH46*BH53)</f>
        <v>89.269133075385639</v>
      </c>
      <c r="BI55" s="2"/>
      <c r="BJ55" s="2"/>
      <c r="BK55" s="2" t="s">
        <v>194</v>
      </c>
      <c r="BL55" s="2">
        <f xml:space="preserve"> 4*BL49*SIN(BL42)*COS(BL42) / (BL46*BL53)</f>
        <v>110.34026659180918</v>
      </c>
      <c r="BM55" s="2"/>
      <c r="BN55"/>
      <c r="BO55" s="2">
        <v>17</v>
      </c>
      <c r="BP55" s="2">
        <f t="shared" si="35"/>
        <v>0.15228258713437351</v>
      </c>
      <c r="BQ55" s="2">
        <v>-2.549598153091942E-5</v>
      </c>
      <c r="BR55" s="2">
        <f t="shared" si="36"/>
        <v>0.15232525097503657</v>
      </c>
      <c r="BS55" s="2">
        <v>8.3579723773215264E-5</v>
      </c>
      <c r="BT55" s="2">
        <f t="shared" si="27"/>
        <v>0.15230391905470503</v>
      </c>
      <c r="BU55" s="2">
        <v>2.904626617895173E-5</v>
      </c>
      <c r="BV55" s="2">
        <f t="shared" si="28"/>
        <v>-7.4056306604072275E-10</v>
      </c>
      <c r="BW55" s="2">
        <f t="shared" si="29"/>
        <v>2.4276789038800703E-9</v>
      </c>
      <c r="BX55" s="2">
        <f t="shared" si="30"/>
        <v>4.2663840663065278E-5</v>
      </c>
      <c r="BY55"/>
      <c r="BZ55" s="2">
        <v>17</v>
      </c>
      <c r="CA55" s="2">
        <f t="shared" si="37"/>
        <v>0.12975607926427288</v>
      </c>
      <c r="CB55" s="2">
        <v>-6.2425307325107704E-5</v>
      </c>
      <c r="CC55" s="2">
        <f t="shared" si="38"/>
        <v>0.12979874310493594</v>
      </c>
      <c r="CD55" s="2">
        <v>4.3720167248059716E-5</v>
      </c>
      <c r="CE55" s="2">
        <f t="shared" si="31"/>
        <v>0.1297774111846044</v>
      </c>
      <c r="CF55" s="2">
        <v>-9.3475805740539375E-6</v>
      </c>
      <c r="CG55" s="2">
        <f t="shared" si="32"/>
        <v>5.8352559008152377E-10</v>
      </c>
      <c r="CH55" s="2">
        <f t="shared" si="33"/>
        <v>-4.0867778606235218E-10</v>
      </c>
      <c r="CI55" s="2">
        <f t="shared" si="34"/>
        <v>4.2663840663065278E-5</v>
      </c>
    </row>
    <row r="56" spans="2:87" x14ac:dyDescent="0.2">
      <c r="B56" s="6" t="s">
        <v>268</v>
      </c>
      <c r="C56" s="17">
        <v>0.8</v>
      </c>
      <c r="AF56" s="2">
        <v>7</v>
      </c>
      <c r="AG56" s="2">
        <f t="shared" si="43"/>
        <v>299.21875</v>
      </c>
      <c r="AH56" s="2">
        <v>425.28280374246242</v>
      </c>
      <c r="AI56" s="2">
        <f t="shared" si="44"/>
        <v>321.875</v>
      </c>
      <c r="AJ56" s="2">
        <v>-337.04611600354838</v>
      </c>
      <c r="AK56" s="2">
        <f t="shared" si="39"/>
        <v>310.546875</v>
      </c>
      <c r="AL56" s="2">
        <v>51.070400055819846</v>
      </c>
      <c r="AM56" s="2">
        <f t="shared" si="40"/>
        <v>21719.362923988272</v>
      </c>
      <c r="AN56" s="2">
        <f t="shared" si="41"/>
        <v>-17213.079981561481</v>
      </c>
      <c r="AO56" s="2">
        <f t="shared" si="42"/>
        <v>22.65625</v>
      </c>
      <c r="AT56"/>
      <c r="AU56"/>
      <c r="AV56"/>
      <c r="AW56"/>
      <c r="AX56"/>
      <c r="AY56"/>
      <c r="AZ56"/>
      <c r="BA56"/>
      <c r="BB56"/>
      <c r="BC56"/>
      <c r="BD56"/>
      <c r="BE56"/>
      <c r="BF56"/>
      <c r="BG56" s="2" t="s">
        <v>45</v>
      </c>
      <c r="BH56" s="2">
        <f>1/(BH54-1)</f>
        <v>2.519679628662792</v>
      </c>
      <c r="BI56" s="2"/>
      <c r="BJ56" s="2"/>
      <c r="BK56" s="2" t="s">
        <v>45</v>
      </c>
      <c r="BL56" s="2">
        <f>1/(BL54-1)</f>
        <v>2.6062935475191971</v>
      </c>
      <c r="BM56" s="2"/>
      <c r="BN56"/>
      <c r="BO56" s="2">
        <v>18</v>
      </c>
      <c r="BP56" s="2">
        <f t="shared" si="35"/>
        <v>0.15228258713437351</v>
      </c>
      <c r="BQ56" s="2">
        <v>-2.549598153091942E-5</v>
      </c>
      <c r="BR56" s="2">
        <f t="shared" si="36"/>
        <v>0.15230391905470503</v>
      </c>
      <c r="BS56" s="2">
        <v>2.904626617895173E-5</v>
      </c>
      <c r="BT56" s="2">
        <f t="shared" si="27"/>
        <v>0.15229325309453928</v>
      </c>
      <c r="BU56" s="2">
        <v>1.7762413035207758E-6</v>
      </c>
      <c r="BV56" s="2">
        <f t="shared" si="28"/>
        <v>-4.5287015469021936E-11</v>
      </c>
      <c r="BW56" s="2">
        <f t="shared" si="29"/>
        <v>5.1593177700112647E-11</v>
      </c>
      <c r="BX56" s="2">
        <f t="shared" si="30"/>
        <v>2.1331920331518761E-5</v>
      </c>
      <c r="BY56"/>
      <c r="BZ56" s="2">
        <v>18</v>
      </c>
      <c r="CA56" s="2">
        <f t="shared" si="37"/>
        <v>0.1297774111846044</v>
      </c>
      <c r="CB56" s="2">
        <v>-9.3475805740539375E-6</v>
      </c>
      <c r="CC56" s="2">
        <f t="shared" si="38"/>
        <v>0.12979874310493594</v>
      </c>
      <c r="CD56" s="2">
        <v>4.3720167248059716E-5</v>
      </c>
      <c r="CE56" s="2">
        <f t="shared" si="31"/>
        <v>0.12978807714477017</v>
      </c>
      <c r="CF56" s="2">
        <v>1.7187540410718016E-5</v>
      </c>
      <c r="CG56" s="2">
        <f t="shared" si="32"/>
        <v>-1.6066191885899475E-10</v>
      </c>
      <c r="CH56" s="2">
        <f t="shared" si="33"/>
        <v>7.514421413393767E-10</v>
      </c>
      <c r="CI56" s="2">
        <f t="shared" si="34"/>
        <v>2.1331920331546517E-5</v>
      </c>
    </row>
    <row r="57" spans="2:87" x14ac:dyDescent="0.2">
      <c r="AF57" s="2">
        <v>8</v>
      </c>
      <c r="AG57" s="2">
        <f t="shared" si="43"/>
        <v>310.546875</v>
      </c>
      <c r="AH57" s="2">
        <v>51.070400055819846</v>
      </c>
      <c r="AI57" s="2">
        <f t="shared" si="44"/>
        <v>321.875</v>
      </c>
      <c r="AJ57" s="2">
        <v>-337.04611600354838</v>
      </c>
      <c r="AK57" s="2">
        <f t="shared" si="39"/>
        <v>316.2109375</v>
      </c>
      <c r="AL57" s="2">
        <v>-141.24984392727038</v>
      </c>
      <c r="AM57" s="2">
        <f t="shared" si="40"/>
        <v>-7213.6860371878138</v>
      </c>
      <c r="AN57" s="2">
        <f t="shared" si="41"/>
        <v>47607.711281793876</v>
      </c>
      <c r="AO57" s="2">
        <f t="shared" si="42"/>
        <v>11.328125</v>
      </c>
      <c r="AT57"/>
      <c r="AU57"/>
      <c r="AV57"/>
      <c r="AW57"/>
      <c r="AX57"/>
      <c r="AY57"/>
      <c r="AZ57"/>
      <c r="BA57"/>
      <c r="BB57"/>
      <c r="BC57"/>
      <c r="BD57"/>
      <c r="BE57"/>
      <c r="BF57"/>
      <c r="BG57" s="2" t="s">
        <v>197</v>
      </c>
      <c r="BH57" s="2">
        <f>1/(BH55+1)</f>
        <v>1.1077983868138836E-2</v>
      </c>
      <c r="BI57" s="2"/>
      <c r="BJ57" s="2"/>
      <c r="BK57" s="2" t="s">
        <v>197</v>
      </c>
      <c r="BL57" s="2">
        <f>1/(BL55+1)</f>
        <v>8.9814766086932073E-3</v>
      </c>
      <c r="BM57" s="2"/>
      <c r="BN57"/>
      <c r="BO57" s="2">
        <v>19</v>
      </c>
      <c r="BP57" s="2">
        <f t="shared" si="35"/>
        <v>0.15228258713437351</v>
      </c>
      <c r="BQ57" s="2">
        <v>-2.549598153091942E-5</v>
      </c>
      <c r="BR57" s="2">
        <f t="shared" si="36"/>
        <v>0.15229325309453928</v>
      </c>
      <c r="BS57" s="2">
        <v>1.7762413035207758E-6</v>
      </c>
      <c r="BT57" s="2">
        <f t="shared" si="27"/>
        <v>0.15228792011445641</v>
      </c>
      <c r="BU57" s="2">
        <v>-1.1859595341959239E-5</v>
      </c>
      <c r="BV57" s="2">
        <f t="shared" si="28"/>
        <v>3.0237202380277077E-10</v>
      </c>
      <c r="BW57" s="2">
        <f t="shared" si="29"/>
        <v>-2.10655030894306E-11</v>
      </c>
      <c r="BX57" s="2">
        <f t="shared" si="30"/>
        <v>1.0665960165773258E-5</v>
      </c>
      <c r="BY57"/>
      <c r="BZ57" s="2">
        <v>19</v>
      </c>
      <c r="CA57" s="2">
        <f t="shared" si="37"/>
        <v>0.1297774111846044</v>
      </c>
      <c r="CB57" s="2">
        <v>-9.3475805740539375E-6</v>
      </c>
      <c r="CC57" s="2">
        <f t="shared" si="38"/>
        <v>0.12978807714477017</v>
      </c>
      <c r="CD57" s="2">
        <v>1.7187540410718016E-5</v>
      </c>
      <c r="CE57" s="2">
        <f t="shared" si="31"/>
        <v>0.12978274416468727</v>
      </c>
      <c r="CF57" s="2">
        <v>3.9202917232750156E-6</v>
      </c>
      <c r="CG57" s="2">
        <f t="shared" si="32"/>
        <v>-3.6645242757109972E-11</v>
      </c>
      <c r="CH57" s="2">
        <f t="shared" si="33"/>
        <v>6.7380172415592704E-11</v>
      </c>
      <c r="CI57" s="2">
        <f t="shared" si="34"/>
        <v>1.0665960165773258E-5</v>
      </c>
    </row>
    <row r="58" spans="2:87" x14ac:dyDescent="0.2">
      <c r="AF58" s="2">
        <v>9</v>
      </c>
      <c r="AG58" s="2">
        <f t="shared" si="43"/>
        <v>310.546875</v>
      </c>
      <c r="AH58" s="2">
        <v>51.070400055819846</v>
      </c>
      <c r="AI58" s="2">
        <f t="shared" si="44"/>
        <v>316.2109375</v>
      </c>
      <c r="AJ58" s="2">
        <v>-141.24984392727038</v>
      </c>
      <c r="AK58" s="2">
        <f t="shared" si="39"/>
        <v>313.37890625</v>
      </c>
      <c r="AL58" s="2">
        <v>-44.655218424077248</v>
      </c>
      <c r="AM58" s="2">
        <f t="shared" si="40"/>
        <v>-2280.559869497642</v>
      </c>
      <c r="AN58" s="2">
        <f t="shared" si="41"/>
        <v>6307.5426329390802</v>
      </c>
      <c r="AO58" s="2">
        <f t="shared" si="42"/>
        <v>5.6640625</v>
      </c>
      <c r="AT58"/>
      <c r="AU58"/>
      <c r="AV58"/>
      <c r="AW58"/>
      <c r="AX58"/>
      <c r="AY58"/>
      <c r="AZ58"/>
      <c r="BA58"/>
      <c r="BB58"/>
      <c r="BC58"/>
      <c r="BD58"/>
      <c r="BE58"/>
      <c r="BF58"/>
      <c r="BG58" s="7" t="s">
        <v>199</v>
      </c>
      <c r="BH58" s="40">
        <f>SIN(BH42)/(1+BH56) - $AR$3*COS(BH42)/($AV$5*$AR$23*(1-BH57))</f>
        <v>1.6370269098620049E-9</v>
      </c>
      <c r="BI58" s="40"/>
      <c r="BJ58" s="2"/>
      <c r="BK58" s="7" t="s">
        <v>199</v>
      </c>
      <c r="BL58" s="40">
        <f>SIN(BL42)/(1+BL56) - $AR$3*COS(BL42)/($AV$5*$AR$24*(1-BL57))</f>
        <v>-2.0017215697498703E-9</v>
      </c>
      <c r="BM58" s="40"/>
      <c r="BN58"/>
      <c r="BO58" s="2">
        <v>20</v>
      </c>
      <c r="BP58" s="2">
        <f t="shared" si="35"/>
        <v>0.15228792011445641</v>
      </c>
      <c r="BQ58" s="2">
        <v>-1.1859595341959239E-5</v>
      </c>
      <c r="BR58" s="2">
        <f t="shared" si="36"/>
        <v>0.15229325309453928</v>
      </c>
      <c r="BS58" s="2">
        <v>1.7762413035207758E-6</v>
      </c>
      <c r="BT58" s="2">
        <f t="shared" si="27"/>
        <v>0.15229058660449785</v>
      </c>
      <c r="BU58" s="2">
        <v>-5.0416083296686565E-6</v>
      </c>
      <c r="BV58" s="2">
        <f t="shared" si="28"/>
        <v>5.9791434662521298E-11</v>
      </c>
      <c r="BW58" s="2">
        <f t="shared" si="29"/>
        <v>-8.9551129513318548E-12</v>
      </c>
      <c r="BX58" s="2">
        <f t="shared" si="30"/>
        <v>5.3329800828727514E-6</v>
      </c>
      <c r="BY58"/>
      <c r="BZ58" s="2">
        <v>20</v>
      </c>
      <c r="CA58" s="2">
        <f t="shared" si="37"/>
        <v>0.1297774111846044</v>
      </c>
      <c r="CB58" s="2">
        <v>-9.3475805740539375E-6</v>
      </c>
      <c r="CC58" s="2">
        <f t="shared" si="38"/>
        <v>0.12978274416468727</v>
      </c>
      <c r="CD58" s="2">
        <v>3.9202917232750156E-6</v>
      </c>
      <c r="CE58" s="2">
        <f t="shared" si="31"/>
        <v>0.12978007767464583</v>
      </c>
      <c r="CF58" s="2">
        <v>-2.7135664695809858E-6</v>
      </c>
      <c r="CG58" s="2">
        <f t="shared" si="32"/>
        <v>2.5365281217459348E-11</v>
      </c>
      <c r="CH58" s="2">
        <f t="shared" si="33"/>
        <v>-1.0637972171254943E-11</v>
      </c>
      <c r="CI58" s="2">
        <f t="shared" si="34"/>
        <v>5.3329800828727514E-6</v>
      </c>
    </row>
    <row r="59" spans="2:87" x14ac:dyDescent="0.2">
      <c r="AF59" s="2">
        <v>10</v>
      </c>
      <c r="AG59" s="2">
        <f t="shared" si="43"/>
        <v>310.546875</v>
      </c>
      <c r="AH59" s="2">
        <v>51.070400055819846</v>
      </c>
      <c r="AI59" s="2">
        <f t="shared" si="44"/>
        <v>313.37890625</v>
      </c>
      <c r="AJ59" s="2">
        <v>-44.655218424077248</v>
      </c>
      <c r="AK59" s="2">
        <f t="shared" si="39"/>
        <v>311.962890625</v>
      </c>
      <c r="AL59" s="2">
        <v>3.3162166937836446</v>
      </c>
      <c r="AM59" s="2">
        <f t="shared" si="40"/>
        <v>169.36051322331895</v>
      </c>
      <c r="AN59" s="2">
        <f t="shared" si="41"/>
        <v>-148.08638080247994</v>
      </c>
      <c r="AO59" s="2">
        <f t="shared" si="42"/>
        <v>2.83203125</v>
      </c>
      <c r="AT59"/>
      <c r="AU59"/>
      <c r="AV59"/>
      <c r="AW59"/>
      <c r="AX59"/>
      <c r="AY59"/>
      <c r="AZ59"/>
      <c r="BA59"/>
      <c r="BB59"/>
      <c r="BC59"/>
      <c r="BD59"/>
      <c r="BE59"/>
      <c r="BF59"/>
      <c r="BG59" s="2"/>
      <c r="BH59" s="2"/>
      <c r="BI59" s="2"/>
      <c r="BJ59" s="2"/>
      <c r="BK59" s="2"/>
      <c r="BL59" s="2"/>
      <c r="BM59" s="2"/>
      <c r="BN59"/>
      <c r="BO59" s="2">
        <v>21</v>
      </c>
      <c r="BP59" s="2">
        <f t="shared" si="35"/>
        <v>0.15229058660449785</v>
      </c>
      <c r="BQ59" s="2">
        <v>-5.0416083296686565E-6</v>
      </c>
      <c r="BR59" s="2">
        <f t="shared" si="36"/>
        <v>0.15229325309453928</v>
      </c>
      <c r="BS59" s="2">
        <v>1.7762413035207758E-6</v>
      </c>
      <c r="BT59" s="2">
        <f t="shared" si="27"/>
        <v>0.15229191984951856</v>
      </c>
      <c r="BU59" s="2">
        <v>-1.6326663411295184E-6</v>
      </c>
      <c r="BV59" s="2">
        <f t="shared" si="28"/>
        <v>8.2312642250082272E-12</v>
      </c>
      <c r="BW59" s="2">
        <f t="shared" si="29"/>
        <v>-2.9000093899823912E-12</v>
      </c>
      <c r="BX59" s="2">
        <f t="shared" si="30"/>
        <v>2.6664900414363757E-6</v>
      </c>
      <c r="BY59"/>
      <c r="BZ59" s="2">
        <v>21</v>
      </c>
      <c r="CA59" s="2">
        <f t="shared" si="37"/>
        <v>0.12978007767464583</v>
      </c>
      <c r="CB59" s="2">
        <v>-2.7135664695809858E-6</v>
      </c>
      <c r="CC59" s="2">
        <f t="shared" si="38"/>
        <v>0.12978274416468727</v>
      </c>
      <c r="CD59" s="2">
        <v>3.9202917232750156E-6</v>
      </c>
      <c r="CE59" s="2">
        <f t="shared" si="31"/>
        <v>0.12978141091966655</v>
      </c>
      <c r="CF59" s="2">
        <v>6.033821152301444E-7</v>
      </c>
      <c r="CG59" s="2">
        <f t="shared" si="32"/>
        <v>-1.6373174762333704E-12</v>
      </c>
      <c r="CH59" s="2">
        <f t="shared" si="33"/>
        <v>2.3654339123089069E-12</v>
      </c>
      <c r="CI59" s="2">
        <f t="shared" si="34"/>
        <v>2.6664900414363757E-6</v>
      </c>
    </row>
    <row r="60" spans="2:87" x14ac:dyDescent="0.2">
      <c r="AF60" s="2">
        <v>11</v>
      </c>
      <c r="AG60" s="2">
        <f t="shared" si="43"/>
        <v>311.962890625</v>
      </c>
      <c r="AH60" s="2">
        <v>3.3162166937836446</v>
      </c>
      <c r="AI60" s="2">
        <f t="shared" si="44"/>
        <v>313.37890625</v>
      </c>
      <c r="AJ60" s="2">
        <v>-44.655218424077248</v>
      </c>
      <c r="AK60" s="2">
        <f t="shared" si="39"/>
        <v>312.6708984375</v>
      </c>
      <c r="AL60" s="2">
        <v>-20.642344395670079</v>
      </c>
      <c r="AM60" s="2">
        <f t="shared" si="40"/>
        <v>-68.454487083752369</v>
      </c>
      <c r="AN60" s="2">
        <f t="shared" si="41"/>
        <v>921.78839777367421</v>
      </c>
      <c r="AO60" s="2">
        <f t="shared" si="42"/>
        <v>1.416015625</v>
      </c>
      <c r="AT60"/>
      <c r="AU60"/>
      <c r="AV60"/>
      <c r="AW60"/>
      <c r="AX60"/>
      <c r="AY60"/>
      <c r="AZ60"/>
      <c r="BA60"/>
      <c r="BB60"/>
      <c r="BC60"/>
      <c r="BD60"/>
      <c r="BE60"/>
      <c r="BF60"/>
      <c r="BG60" s="63" t="s">
        <v>206</v>
      </c>
      <c r="BH60" s="63"/>
      <c r="BI60" s="63"/>
      <c r="BJ60" s="2"/>
      <c r="BK60" s="63" t="s">
        <v>220</v>
      </c>
      <c r="BL60" s="63"/>
      <c r="BM60" s="63"/>
      <c r="BN60"/>
      <c r="BO60" s="2">
        <v>22</v>
      </c>
      <c r="BP60" s="2">
        <f t="shared" si="35"/>
        <v>0.15229191984951856</v>
      </c>
      <c r="BQ60" s="2">
        <v>-1.6326663411295184E-6</v>
      </c>
      <c r="BR60" s="2">
        <f t="shared" si="36"/>
        <v>0.15229325309453928</v>
      </c>
      <c r="BS60" s="2">
        <v>1.7762413035207758E-6</v>
      </c>
      <c r="BT60" s="2">
        <f t="shared" si="27"/>
        <v>0.15229258647202892</v>
      </c>
      <c r="BU60" s="2">
        <v>7.179177409499804E-8</v>
      </c>
      <c r="BV60" s="2">
        <f t="shared" si="28"/>
        <v>-1.1721201313487739E-13</v>
      </c>
      <c r="BW60" s="2">
        <f t="shared" si="29"/>
        <v>1.2751951440056839E-13</v>
      </c>
      <c r="BX60" s="2">
        <f t="shared" si="30"/>
        <v>1.3332450207181878E-6</v>
      </c>
      <c r="BY60"/>
      <c r="BZ60" s="2">
        <v>22</v>
      </c>
      <c r="CA60" s="2">
        <f t="shared" si="37"/>
        <v>0.12978007767464583</v>
      </c>
      <c r="CB60" s="2">
        <v>-2.7135664695809858E-6</v>
      </c>
      <c r="CC60" s="2">
        <f t="shared" si="38"/>
        <v>0.12978141091966655</v>
      </c>
      <c r="CD60" s="2">
        <v>6.033821152301444E-7</v>
      </c>
      <c r="CE60" s="2">
        <f t="shared" si="31"/>
        <v>0.12978074429715619</v>
      </c>
      <c r="CF60" s="2">
        <v>-1.0550873050171883E-6</v>
      </c>
      <c r="CG60" s="2">
        <f t="shared" si="32"/>
        <v>2.8630495333752083E-12</v>
      </c>
      <c r="CH60" s="2">
        <f t="shared" si="33"/>
        <v>-6.3662080985374363E-13</v>
      </c>
      <c r="CI60" s="2">
        <f t="shared" si="34"/>
        <v>1.3332450207181878E-6</v>
      </c>
    </row>
    <row r="61" spans="2:87" x14ac:dyDescent="0.2">
      <c r="AF61" s="2">
        <v>12</v>
      </c>
      <c r="AG61" s="2">
        <f t="shared" si="43"/>
        <v>311.962890625</v>
      </c>
      <c r="AH61" s="2">
        <v>3.3162166937836446</v>
      </c>
      <c r="AI61" s="2">
        <f t="shared" si="44"/>
        <v>312.6708984375</v>
      </c>
      <c r="AJ61" s="2">
        <v>-20.642344395670079</v>
      </c>
      <c r="AK61" s="2">
        <f t="shared" si="39"/>
        <v>312.31689453125</v>
      </c>
      <c r="AL61" s="2">
        <v>-8.6562747335738095</v>
      </c>
      <c r="AM61" s="2">
        <f t="shared" si="40"/>
        <v>-28.706082777455038</v>
      </c>
      <c r="AN61" s="2">
        <f t="shared" si="41"/>
        <v>178.68580423396784</v>
      </c>
      <c r="AO61" s="2">
        <f t="shared" si="42"/>
        <v>0.7080078125</v>
      </c>
      <c r="AT61"/>
      <c r="AU61"/>
      <c r="AV61"/>
      <c r="AW61"/>
      <c r="AX61"/>
      <c r="AY61"/>
      <c r="AZ61"/>
      <c r="BA61"/>
      <c r="BB61"/>
      <c r="BC61"/>
      <c r="BD61"/>
      <c r="BE61"/>
      <c r="BF61"/>
      <c r="BG61" s="28" t="s">
        <v>154</v>
      </c>
      <c r="BH61" s="29">
        <f>BT136</f>
        <v>8.4886345654508005E-2</v>
      </c>
      <c r="BI61" s="5" t="s">
        <v>155</v>
      </c>
      <c r="BJ61" s="2"/>
      <c r="BK61" s="28" t="s">
        <v>154</v>
      </c>
      <c r="BL61" s="29">
        <f>CE136</f>
        <v>7.8363757346843949E-2</v>
      </c>
      <c r="BM61" s="5" t="s">
        <v>155</v>
      </c>
      <c r="BN61"/>
      <c r="BO61" s="2">
        <v>23</v>
      </c>
      <c r="BP61" s="2">
        <f t="shared" si="35"/>
        <v>0.15229191984951856</v>
      </c>
      <c r="BQ61" s="2">
        <v>-1.6326663411295184E-6</v>
      </c>
      <c r="BR61" s="2">
        <f t="shared" si="36"/>
        <v>0.15229258647202892</v>
      </c>
      <c r="BS61" s="2">
        <v>7.179177409499804E-8</v>
      </c>
      <c r="BT61" s="2">
        <f t="shared" si="27"/>
        <v>0.15229225316077374</v>
      </c>
      <c r="BU61" s="2">
        <v>-7.8043621021955945E-7</v>
      </c>
      <c r="BV61" s="2">
        <f t="shared" si="28"/>
        <v>1.2741919318241558E-12</v>
      </c>
      <c r="BW61" s="2">
        <f t="shared" si="29"/>
        <v>-5.6028900099639012E-14</v>
      </c>
      <c r="BX61" s="2">
        <f t="shared" si="30"/>
        <v>6.6662251035909392E-7</v>
      </c>
      <c r="BY61"/>
      <c r="BZ61" s="2">
        <v>23</v>
      </c>
      <c r="CA61" s="2">
        <f t="shared" si="37"/>
        <v>0.12978074429715619</v>
      </c>
      <c r="CB61" s="2">
        <v>-1.0550873050171883E-6</v>
      </c>
      <c r="CC61" s="2">
        <f t="shared" si="38"/>
        <v>0.12978141091966655</v>
      </c>
      <c r="CD61" s="2">
        <v>6.033821152301444E-7</v>
      </c>
      <c r="CE61" s="2">
        <f t="shared" si="31"/>
        <v>0.12978107760841137</v>
      </c>
      <c r="CF61" s="2">
        <v>-2.2585137682967771E-7</v>
      </c>
      <c r="CG61" s="2">
        <f t="shared" si="32"/>
        <v>2.3829292051364611E-13</v>
      </c>
      <c r="CH61" s="2">
        <f t="shared" si="33"/>
        <v>-1.3627468147913136E-13</v>
      </c>
      <c r="CI61" s="2">
        <f t="shared" si="34"/>
        <v>6.6662251035909392E-7</v>
      </c>
    </row>
    <row r="62" spans="2:87" x14ac:dyDescent="0.2">
      <c r="AF62" s="2">
        <v>13</v>
      </c>
      <c r="AG62" s="2">
        <f t="shared" si="43"/>
        <v>311.962890625</v>
      </c>
      <c r="AH62" s="2">
        <v>3.3162166937836446</v>
      </c>
      <c r="AI62" s="2">
        <f t="shared" si="44"/>
        <v>312.31689453125</v>
      </c>
      <c r="AJ62" s="2">
        <v>-8.6562747335738095</v>
      </c>
      <c r="AK62" s="2">
        <f t="shared" si="39"/>
        <v>312.139892578125</v>
      </c>
      <c r="AL62" s="2">
        <v>-2.6683317405531852</v>
      </c>
      <c r="AM62" s="2">
        <f t="shared" si="40"/>
        <v>-8.848766262575241</v>
      </c>
      <c r="AN62" s="2">
        <f t="shared" si="41"/>
        <v>23.097812626543561</v>
      </c>
      <c r="AO62" s="2">
        <f t="shared" si="42"/>
        <v>0.35400390625</v>
      </c>
      <c r="AT62"/>
      <c r="AU62"/>
      <c r="AV62"/>
      <c r="AW62"/>
      <c r="AX62"/>
      <c r="AY62"/>
      <c r="AZ62"/>
      <c r="BA62"/>
      <c r="BB62"/>
      <c r="BC62"/>
      <c r="BD62"/>
      <c r="BE62"/>
      <c r="BF62"/>
      <c r="BG62" s="2" t="s">
        <v>159</v>
      </c>
      <c r="BH62" s="2">
        <f>($AR$41+$AR$5)/180*PI()</f>
        <v>0.15206243585443774</v>
      </c>
      <c r="BI62" s="2" t="s">
        <v>155</v>
      </c>
      <c r="BJ62" s="2"/>
      <c r="BK62" s="2" t="s">
        <v>159</v>
      </c>
      <c r="BL62" s="2">
        <f>($AR$42+$AR$5)/180*PI()</f>
        <v>0.12902408972811261</v>
      </c>
      <c r="BM62" s="2" t="s">
        <v>155</v>
      </c>
      <c r="BN62"/>
      <c r="BO62" s="2">
        <v>24</v>
      </c>
      <c r="BP62" s="2">
        <f t="shared" si="35"/>
        <v>0.15229225316077374</v>
      </c>
      <c r="BQ62" s="2">
        <v>-7.8043621021955945E-7</v>
      </c>
      <c r="BR62" s="2">
        <f t="shared" si="36"/>
        <v>0.15229258647202892</v>
      </c>
      <c r="BS62" s="2">
        <v>7.179177409499804E-8</v>
      </c>
      <c r="BT62" s="2">
        <f t="shared" si="27"/>
        <v>0.15229241981640135</v>
      </c>
      <c r="BU62" s="2">
        <v>-3.5432194969015063E-7</v>
      </c>
      <c r="BV62" s="2">
        <f t="shared" si="28"/>
        <v>2.7652567961378658E-13</v>
      </c>
      <c r="BW62" s="2">
        <f t="shared" si="29"/>
        <v>-2.5437401369054556E-14</v>
      </c>
      <c r="BX62" s="2">
        <f t="shared" si="30"/>
        <v>3.3331125517954696E-7</v>
      </c>
      <c r="BY62"/>
      <c r="BZ62" s="2">
        <v>24</v>
      </c>
      <c r="CA62" s="2">
        <f t="shared" si="37"/>
        <v>0.12978107760841137</v>
      </c>
      <c r="CB62" s="2">
        <v>-2.2585137682967771E-7</v>
      </c>
      <c r="CC62" s="2">
        <f t="shared" si="38"/>
        <v>0.12978141091966655</v>
      </c>
      <c r="CD62" s="2">
        <v>6.033821152301444E-7</v>
      </c>
      <c r="CE62" s="2">
        <f t="shared" si="31"/>
        <v>0.12978124426403898</v>
      </c>
      <c r="CF62" s="2">
        <v>1.8876567373093955E-7</v>
      </c>
      <c r="CG62" s="2">
        <f t="shared" si="32"/>
        <v>-4.2632987310314425E-14</v>
      </c>
      <c r="CH62" s="2">
        <f t="shared" si="33"/>
        <v>1.1389783149861761E-13</v>
      </c>
      <c r="CI62" s="2">
        <f t="shared" si="34"/>
        <v>3.3331125517954696E-7</v>
      </c>
    </row>
    <row r="63" spans="2:87" x14ac:dyDescent="0.2">
      <c r="AF63" s="2">
        <v>14</v>
      </c>
      <c r="AG63" s="2">
        <f t="shared" si="43"/>
        <v>311.962890625</v>
      </c>
      <c r="AH63" s="2">
        <v>3.3162166937836446</v>
      </c>
      <c r="AI63" s="2">
        <f t="shared" si="44"/>
        <v>312.139892578125</v>
      </c>
      <c r="AJ63" s="2">
        <v>-2.6683317405531852</v>
      </c>
      <c r="AK63" s="2">
        <f t="shared" si="39"/>
        <v>312.0513916015625</v>
      </c>
      <c r="AL63" s="2">
        <v>0.32436679645070399</v>
      </c>
      <c r="AM63" s="2">
        <f t="shared" si="40"/>
        <v>1.0756705852989461</v>
      </c>
      <c r="AN63" s="2">
        <f t="shared" si="41"/>
        <v>-0.86551821855096767</v>
      </c>
      <c r="AO63" s="2">
        <f t="shared" si="42"/>
        <v>0.177001953125</v>
      </c>
      <c r="AT63"/>
      <c r="AU63"/>
      <c r="AV63"/>
      <c r="AW63"/>
      <c r="AX63"/>
      <c r="AY63"/>
      <c r="AZ63"/>
      <c r="BA63"/>
      <c r="BB63"/>
      <c r="BC63"/>
      <c r="BD63"/>
      <c r="BE63"/>
      <c r="BF63"/>
      <c r="BG63" s="2" t="s">
        <v>28</v>
      </c>
      <c r="BH63" s="2">
        <f>BH62-BH61</f>
        <v>6.7176090199929733E-2</v>
      </c>
      <c r="BI63" s="2" t="s">
        <v>155</v>
      </c>
      <c r="BJ63" s="2"/>
      <c r="BK63" s="2" t="s">
        <v>28</v>
      </c>
      <c r="BL63" s="2">
        <f>BL62-BL61</f>
        <v>5.0660332381268658E-2</v>
      </c>
      <c r="BM63" s="2" t="s">
        <v>155</v>
      </c>
      <c r="BN63"/>
      <c r="BO63" s="2">
        <v>25</v>
      </c>
      <c r="BP63" s="2">
        <f t="shared" si="35"/>
        <v>0.15229241981640135</v>
      </c>
      <c r="BQ63" s="2">
        <v>-3.5432194969015063E-7</v>
      </c>
      <c r="BR63" s="2">
        <f t="shared" si="36"/>
        <v>0.15229258647202892</v>
      </c>
      <c r="BS63" s="2">
        <v>7.179177409499804E-8</v>
      </c>
      <c r="BT63" s="2">
        <f t="shared" si="27"/>
        <v>0.15229250314421514</v>
      </c>
      <c r="BU63" s="2">
        <v>-1.412650206880639E-7</v>
      </c>
      <c r="BV63" s="2">
        <f t="shared" si="28"/>
        <v>5.0053297553214267E-14</v>
      </c>
      <c r="BW63" s="2">
        <f t="shared" si="29"/>
        <v>-1.0141666452762709E-14</v>
      </c>
      <c r="BX63" s="2">
        <f t="shared" si="30"/>
        <v>1.6665562757589569E-7</v>
      </c>
      <c r="BY63"/>
      <c r="BZ63" s="2">
        <v>25</v>
      </c>
      <c r="CA63" s="2">
        <f t="shared" si="37"/>
        <v>0.12978107760841137</v>
      </c>
      <c r="CB63" s="2">
        <v>-2.2585137682967771E-7</v>
      </c>
      <c r="CC63" s="2">
        <f t="shared" si="38"/>
        <v>0.12978124426403898</v>
      </c>
      <c r="CD63" s="2">
        <v>1.8876567373093955E-7</v>
      </c>
      <c r="CE63" s="2">
        <f t="shared" si="31"/>
        <v>0.12978116093622516</v>
      </c>
      <c r="CF63" s="2">
        <v>-1.8542775467866868E-8</v>
      </c>
      <c r="CG63" s="2">
        <f t="shared" si="32"/>
        <v>4.187911369661303E-15</v>
      </c>
      <c r="CH63" s="2">
        <f t="shared" si="33"/>
        <v>-3.5002395040334272E-15</v>
      </c>
      <c r="CI63" s="2">
        <f t="shared" si="34"/>
        <v>1.6665562760365127E-7</v>
      </c>
    </row>
    <row r="64" spans="2:87" x14ac:dyDescent="0.2">
      <c r="AF64" s="2">
        <v>15</v>
      </c>
      <c r="AG64" s="2">
        <f t="shared" si="43"/>
        <v>312.0513916015625</v>
      </c>
      <c r="AH64" s="2">
        <v>0.32436679645070399</v>
      </c>
      <c r="AI64" s="2">
        <f t="shared" si="44"/>
        <v>312.139892578125</v>
      </c>
      <c r="AJ64" s="2">
        <v>-2.6683317405531852</v>
      </c>
      <c r="AK64" s="2">
        <f t="shared" si="39"/>
        <v>312.09564208984375</v>
      </c>
      <c r="AL64" s="2">
        <v>-1.1718763920907804</v>
      </c>
      <c r="AM64" s="2">
        <f t="shared" si="40"/>
        <v>-0.38011779113869554</v>
      </c>
      <c r="AN64" s="2">
        <f t="shared" si="41"/>
        <v>3.1269549730207791</v>
      </c>
      <c r="AO64" s="2">
        <f t="shared" si="42"/>
        <v>8.85009765625E-2</v>
      </c>
      <c r="AT64"/>
      <c r="AU64"/>
      <c r="AV64"/>
      <c r="AW64"/>
      <c r="AX64"/>
      <c r="AY64"/>
      <c r="AZ64"/>
      <c r="BA64"/>
      <c r="BB64"/>
      <c r="BC64"/>
      <c r="BD64"/>
      <c r="BE64"/>
      <c r="BF64"/>
      <c r="BG64" s="2" t="s">
        <v>168</v>
      </c>
      <c r="BH64" s="2">
        <f>BH63/PI()*180</f>
        <v>3.8489064526461045</v>
      </c>
      <c r="BI64" s="2" t="s">
        <v>43</v>
      </c>
      <c r="BJ64" s="2"/>
      <c r="BK64" s="2" t="s">
        <v>168</v>
      </c>
      <c r="BL64" s="2">
        <f>BL63/PI()*180</f>
        <v>2.9026232341766338</v>
      </c>
      <c r="BM64" s="2" t="s">
        <v>43</v>
      </c>
      <c r="BN64"/>
      <c r="BO64" s="2">
        <v>26</v>
      </c>
      <c r="BP64" s="2">
        <f t="shared" si="35"/>
        <v>0.15229250314421514</v>
      </c>
      <c r="BQ64" s="2">
        <v>-1.412650206880639E-7</v>
      </c>
      <c r="BR64" s="2">
        <f t="shared" si="36"/>
        <v>0.15229258647202892</v>
      </c>
      <c r="BS64" s="2">
        <v>7.179177409499804E-8</v>
      </c>
      <c r="BT64" s="2">
        <f t="shared" si="27"/>
        <v>0.15229254480812204</v>
      </c>
      <c r="BU64" s="2">
        <v>-3.4736606521756919E-8</v>
      </c>
      <c r="BV64" s="2">
        <f t="shared" si="28"/>
        <v>4.9070674389291268E-15</v>
      </c>
      <c r="BW64" s="2">
        <f t="shared" si="29"/>
        <v>-2.4938026082368083E-15</v>
      </c>
      <c r="BX64" s="2">
        <f t="shared" si="30"/>
        <v>8.3327813787947846E-8</v>
      </c>
      <c r="BY64"/>
      <c r="BZ64" s="2">
        <v>26</v>
      </c>
      <c r="CA64" s="2">
        <f t="shared" si="37"/>
        <v>0.12978116093622516</v>
      </c>
      <c r="CB64" s="2">
        <v>-1.8542775467866868E-8</v>
      </c>
      <c r="CC64" s="2">
        <f t="shared" si="38"/>
        <v>0.12978124426403898</v>
      </c>
      <c r="CD64" s="2">
        <v>1.8876567373093955E-7</v>
      </c>
      <c r="CE64" s="2">
        <f t="shared" si="31"/>
        <v>0.12978120260013207</v>
      </c>
      <c r="CF64" s="2">
        <v>8.5111468192677897E-8</v>
      </c>
      <c r="CG64" s="2">
        <f t="shared" si="32"/>
        <v>-1.5782028444373189E-15</v>
      </c>
      <c r="CH64" s="2">
        <f t="shared" si="33"/>
        <v>1.6066123635620274E-14</v>
      </c>
      <c r="CI64" s="2">
        <f t="shared" si="34"/>
        <v>8.3327813815703422E-8</v>
      </c>
    </row>
    <row r="65" spans="32:87" x14ac:dyDescent="0.2">
      <c r="AF65" s="2">
        <v>16</v>
      </c>
      <c r="AG65" s="2">
        <f t="shared" si="43"/>
        <v>312.0513916015625</v>
      </c>
      <c r="AH65" s="2">
        <v>0.32436679645070399</v>
      </c>
      <c r="AI65" s="2">
        <f t="shared" si="44"/>
        <v>312.09564208984375</v>
      </c>
      <c r="AJ65" s="2">
        <v>-1.1718763920907804</v>
      </c>
      <c r="AK65" s="2">
        <f t="shared" si="39"/>
        <v>312.07351684570312</v>
      </c>
      <c r="AL65" s="2">
        <v>-0.42372827783037792</v>
      </c>
      <c r="AM65" s="2">
        <f t="shared" si="40"/>
        <v>-0.13744338404541354</v>
      </c>
      <c r="AN65" s="2">
        <f t="shared" si="41"/>
        <v>0.49655716545070311</v>
      </c>
      <c r="AO65" s="2">
        <f t="shared" si="42"/>
        <v>4.425048828125E-2</v>
      </c>
      <c r="AQ65" s="2"/>
      <c r="AR65" s="2"/>
      <c r="AS65" s="26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 s="2" t="s">
        <v>171</v>
      </c>
      <c r="BH65" s="2">
        <f xml:space="preserve"> $AR$8*$AR$33 / (2*PI()*$AR$25)</f>
        <v>3.3837103320226013E-2</v>
      </c>
      <c r="BI65" s="2"/>
      <c r="BJ65" s="2"/>
      <c r="BK65" s="2" t="s">
        <v>171</v>
      </c>
      <c r="BL65" s="2">
        <f xml:space="preserve"> $AR$8*$AR$34 / (2*PI()*$AR$26)</f>
        <v>2.8862622616268326E-2</v>
      </c>
      <c r="BM65" s="2"/>
      <c r="BN65"/>
      <c r="BO65" s="2">
        <v>27</v>
      </c>
      <c r="BP65" s="2">
        <f t="shared" si="35"/>
        <v>0.15229254480812204</v>
      </c>
      <c r="BQ65" s="2">
        <v>-3.4736606521756919E-8</v>
      </c>
      <c r="BR65" s="2">
        <f t="shared" si="36"/>
        <v>0.15229258647202892</v>
      </c>
      <c r="BS65" s="2">
        <v>7.179177409499804E-8</v>
      </c>
      <c r="BT65" s="2">
        <f t="shared" si="27"/>
        <v>0.15229256564007548</v>
      </c>
      <c r="BU65" s="2">
        <v>1.8527587984651372E-8</v>
      </c>
      <c r="BV65" s="2">
        <f t="shared" si="28"/>
        <v>-6.4358553362006602E-16</v>
      </c>
      <c r="BW65" s="2">
        <f t="shared" si="29"/>
        <v>1.3301284111192913E-15</v>
      </c>
      <c r="BX65" s="2">
        <f t="shared" si="30"/>
        <v>4.1663906880096135E-8</v>
      </c>
      <c r="BY65"/>
      <c r="BZ65" s="2">
        <v>27</v>
      </c>
      <c r="CA65" s="2">
        <f t="shared" si="37"/>
        <v>0.12978116093622516</v>
      </c>
      <c r="CB65" s="2">
        <v>-1.8542775467866868E-8</v>
      </c>
      <c r="CC65" s="2">
        <f t="shared" si="38"/>
        <v>0.12978120260013207</v>
      </c>
      <c r="CD65" s="2">
        <v>8.5111468192677897E-8</v>
      </c>
      <c r="CE65" s="2">
        <f t="shared" si="31"/>
        <v>0.1297811817681786</v>
      </c>
      <c r="CF65" s="2">
        <v>3.3284351060036688E-8</v>
      </c>
      <c r="CG65" s="2">
        <f t="shared" si="32"/>
        <v>-6.1718424829991682E-16</v>
      </c>
      <c r="CH65" s="2">
        <f t="shared" si="33"/>
        <v>2.8328799865602375E-15</v>
      </c>
      <c r="CI65" s="2">
        <f t="shared" si="34"/>
        <v>4.1663906907851711E-8</v>
      </c>
    </row>
    <row r="66" spans="32:87" x14ac:dyDescent="0.2">
      <c r="AF66" s="2">
        <v>17</v>
      </c>
      <c r="AG66" s="2">
        <f t="shared" si="43"/>
        <v>312.0513916015625</v>
      </c>
      <c r="AH66" s="2">
        <v>0.32436679645070399</v>
      </c>
      <c r="AI66" s="2">
        <f t="shared" si="44"/>
        <v>312.07351684570312</v>
      </c>
      <c r="AJ66" s="2">
        <v>-0.42372827783037792</v>
      </c>
      <c r="AK66" s="2">
        <f t="shared" si="39"/>
        <v>312.06245422363281</v>
      </c>
      <c r="AL66" s="2">
        <v>-4.9674110690830275E-2</v>
      </c>
      <c r="AM66" s="2">
        <f t="shared" si="40"/>
        <v>-1.6112632151322283E-2</v>
      </c>
      <c r="AN66" s="2">
        <f t="shared" si="41"/>
        <v>2.1048325375781076E-2</v>
      </c>
      <c r="AO66" s="2">
        <f t="shared" si="42"/>
        <v>2.2125244140625E-2</v>
      </c>
      <c r="AT66"/>
      <c r="AU66"/>
      <c r="AV66"/>
      <c r="AW66"/>
      <c r="AX66"/>
      <c r="AY66"/>
      <c r="AZ66"/>
      <c r="BA66"/>
      <c r="BB66"/>
      <c r="BC66"/>
      <c r="BD66"/>
      <c r="BE66"/>
      <c r="BF66"/>
      <c r="BG66" s="2" t="s">
        <v>175</v>
      </c>
      <c r="BH66" s="2">
        <f>IF(-$AR$8*($AV$3-$AR$25)/(2*$AR$25*SIN(BH61))&gt;500, 1, 2*ACOS(MIN(1, EXP(-$AR$8*($AV$3-$AR$25)/(2*$AR$25*SIN(BH61)))))/PI() )</f>
        <v>0.9806959192550786</v>
      </c>
      <c r="BI66" s="2"/>
      <c r="BJ66" s="2"/>
      <c r="BK66" s="2" t="s">
        <v>175</v>
      </c>
      <c r="BL66" s="2">
        <f>IF(-$AR$8*($AV$3-$AR$26)/(2*$AR$26*SIN(BL61))&gt;500, 1, 2*ACOS(MIN(1, EXP(-$AR$8*($AV$3-$AR$26)/(2*$AR$26*SIN(BL61)))))/PI() )</f>
        <v>0.78735134595724565</v>
      </c>
      <c r="BM66" s="2"/>
      <c r="BN66"/>
      <c r="BO66" s="2">
        <v>28</v>
      </c>
      <c r="BP66" s="2">
        <f t="shared" si="35"/>
        <v>0.15229254480812204</v>
      </c>
      <c r="BQ66" s="2">
        <v>-3.4736606521756919E-8</v>
      </c>
      <c r="BR66" s="2">
        <f t="shared" si="36"/>
        <v>0.15229256564007548</v>
      </c>
      <c r="BS66" s="2">
        <v>1.8527587984651372E-8</v>
      </c>
      <c r="BT66" s="2">
        <f t="shared" si="27"/>
        <v>0.15229255522409876</v>
      </c>
      <c r="BU66" s="2">
        <v>-8.1045082103714527E-9</v>
      </c>
      <c r="BV66" s="2">
        <f t="shared" si="28"/>
        <v>2.8152311275602152E-16</v>
      </c>
      <c r="BW66" s="2">
        <f t="shared" si="29"/>
        <v>-1.5015698893998653E-16</v>
      </c>
      <c r="BX66" s="2">
        <f t="shared" si="30"/>
        <v>2.0831953440048068E-8</v>
      </c>
      <c r="BY66"/>
      <c r="BZ66" s="2">
        <v>28</v>
      </c>
      <c r="CA66" s="2">
        <f t="shared" si="37"/>
        <v>0.12978116093622516</v>
      </c>
      <c r="CB66" s="2">
        <v>-1.8542775467866868E-8</v>
      </c>
      <c r="CC66" s="2">
        <f t="shared" si="38"/>
        <v>0.1297811817681786</v>
      </c>
      <c r="CD66" s="2">
        <v>3.3284351060036688E-8</v>
      </c>
      <c r="CE66" s="2">
        <f t="shared" si="31"/>
        <v>0.12978117135220188</v>
      </c>
      <c r="CF66" s="2">
        <v>7.3707890138607901E-9</v>
      </c>
      <c r="CG66" s="2">
        <f t="shared" si="32"/>
        <v>-1.3667488570504048E-16</v>
      </c>
      <c r="CH66" s="2">
        <f t="shared" si="33"/>
        <v>2.4533192912680418E-16</v>
      </c>
      <c r="CI66" s="2">
        <f t="shared" si="34"/>
        <v>2.0831953440048068E-8</v>
      </c>
    </row>
    <row r="67" spans="32:87" x14ac:dyDescent="0.2">
      <c r="AF67" s="2">
        <v>18</v>
      </c>
      <c r="AG67" s="2">
        <f t="shared" si="43"/>
        <v>312.0513916015625</v>
      </c>
      <c r="AH67" s="2">
        <v>0.32436679645070399</v>
      </c>
      <c r="AI67" s="2">
        <f t="shared" si="44"/>
        <v>312.06245422363281</v>
      </c>
      <c r="AJ67" s="2">
        <v>-4.9674110690830275E-2</v>
      </c>
      <c r="AK67" s="2">
        <f t="shared" si="39"/>
        <v>312.05692291259766</v>
      </c>
      <c r="AL67" s="2">
        <v>0.13734800037764217</v>
      </c>
      <c r="AM67" s="2">
        <f t="shared" si="40"/>
        <v>4.4551130881405873E-2</v>
      </c>
      <c r="AN67" s="2">
        <f t="shared" si="41"/>
        <v>-6.8226397739231956E-3</v>
      </c>
      <c r="AO67" s="2">
        <f t="shared" si="42"/>
        <v>1.10626220703125E-2</v>
      </c>
      <c r="AT67"/>
      <c r="AU67"/>
      <c r="AV67"/>
      <c r="AW67"/>
      <c r="AX67"/>
      <c r="AY67"/>
      <c r="AZ67"/>
      <c r="BA67"/>
      <c r="BB67"/>
      <c r="BC67"/>
      <c r="BD67"/>
      <c r="BE67"/>
      <c r="BF67"/>
      <c r="BG67" s="2" t="s">
        <v>180</v>
      </c>
      <c r="BH67" s="2">
        <f>IF(-$AR$8*($AR$25-$AR$10)/(2*$AR$25*SIN(BH61))&gt;500, 1, 2*ACOS(MIN(1, EXP(-$AR$8*($AR$25-$AR$10)/(2*$AR$25*SIN(BH61)))))/PI() )</f>
        <v>0.99999983227773204</v>
      </c>
      <c r="BI67" s="2"/>
      <c r="BJ67" s="2"/>
      <c r="BK67" s="2" t="s">
        <v>180</v>
      </c>
      <c r="BL67" s="2">
        <f>IF(-$AR$8*($AR$26-$AR$10)/(2*$AR$26*SIN(BL61))&gt;500, 1, 2*ACOS(MIN(1, EXP(-$AR$8*($AR$26-$AR$10)/(2*$AR$26*SIN(BL61)))))/PI() )</f>
        <v>0.99999996540418257</v>
      </c>
      <c r="BM67" s="2"/>
      <c r="BN67"/>
      <c r="BO67" s="2">
        <v>29</v>
      </c>
      <c r="BP67" s="2">
        <f t="shared" si="35"/>
        <v>0.15229255522409876</v>
      </c>
      <c r="BQ67" s="2">
        <v>-8.1045082103714527E-9</v>
      </c>
      <c r="BR67" s="2">
        <f t="shared" si="36"/>
        <v>0.15229256564007548</v>
      </c>
      <c r="BS67" s="2">
        <v>1.8527587984651372E-8</v>
      </c>
      <c r="BT67" s="2">
        <f t="shared" si="27"/>
        <v>0.15229256043208711</v>
      </c>
      <c r="BU67" s="2">
        <v>5.2115401161234587E-9</v>
      </c>
      <c r="BV67" s="2">
        <f t="shared" si="28"/>
        <v>-4.2236969659802767E-17</v>
      </c>
      <c r="BW67" s="2">
        <f t="shared" si="29"/>
        <v>9.6557268037017613E-17</v>
      </c>
      <c r="BX67" s="2">
        <f t="shared" si="30"/>
        <v>1.0415976720024034E-8</v>
      </c>
      <c r="BY67"/>
      <c r="BZ67" s="2">
        <v>29</v>
      </c>
      <c r="CA67" s="2">
        <f t="shared" si="37"/>
        <v>0.12978116093622516</v>
      </c>
      <c r="CB67" s="2">
        <v>-1.8542775467866868E-8</v>
      </c>
      <c r="CC67" s="2">
        <f t="shared" si="38"/>
        <v>0.12978117135220188</v>
      </c>
      <c r="CD67" s="2">
        <v>7.3707890138607901E-9</v>
      </c>
      <c r="CE67" s="2">
        <f t="shared" si="31"/>
        <v>0.12978116614421353</v>
      </c>
      <c r="CF67" s="2">
        <v>-5.5859928904666845E-9</v>
      </c>
      <c r="CG67" s="2">
        <f t="shared" si="32"/>
        <v>1.0357981193302438E-16</v>
      </c>
      <c r="CH67" s="2">
        <f t="shared" si="33"/>
        <v>-4.1173175028556315E-17</v>
      </c>
      <c r="CI67" s="2">
        <f t="shared" si="34"/>
        <v>1.0415976720024034E-8</v>
      </c>
    </row>
    <row r="68" spans="32:87" x14ac:dyDescent="0.2">
      <c r="AF68" s="2">
        <v>19</v>
      </c>
      <c r="AG68" s="2">
        <f t="shared" si="43"/>
        <v>312.05692291259766</v>
      </c>
      <c r="AH68" s="2">
        <v>0.13734800037764217</v>
      </c>
      <c r="AI68" s="2">
        <f t="shared" si="44"/>
        <v>312.06245422363281</v>
      </c>
      <c r="AJ68" s="2">
        <v>-4.9674110690830275E-2</v>
      </c>
      <c r="AK68" s="2">
        <f t="shared" si="39"/>
        <v>312.05968856811523</v>
      </c>
      <c r="AL68" s="2">
        <v>4.3837359219651262E-2</v>
      </c>
      <c r="AM68" s="2">
        <f t="shared" si="40"/>
        <v>6.0209736306554964E-3</v>
      </c>
      <c r="AN68" s="2">
        <f t="shared" si="41"/>
        <v>-2.1775818342706457E-3</v>
      </c>
      <c r="AO68" s="2">
        <f t="shared" si="42"/>
        <v>5.53131103515625E-3</v>
      </c>
      <c r="AT68"/>
      <c r="AU68"/>
      <c r="AV68"/>
      <c r="AW68"/>
      <c r="AX68"/>
      <c r="AY68"/>
      <c r="AZ68"/>
      <c r="BA68"/>
      <c r="BB68"/>
      <c r="BC68"/>
      <c r="BD68"/>
      <c r="BE68"/>
      <c r="BF68"/>
      <c r="BG68" s="2" t="s">
        <v>183</v>
      </c>
      <c r="BH68" s="2">
        <f>IF(BH61=0,1,BH66*BH67)</f>
        <v>0.98069575477053483</v>
      </c>
      <c r="BI68" s="2"/>
      <c r="BJ68" s="2"/>
      <c r="BK68" s="2" t="s">
        <v>183</v>
      </c>
      <c r="BL68" s="2">
        <f>IF(BL61=0,1,BL66*BL67)</f>
        <v>0.7873513187181822</v>
      </c>
      <c r="BM68" s="2"/>
      <c r="BN68"/>
      <c r="BO68" s="2">
        <v>30</v>
      </c>
      <c r="BP68" s="2">
        <f t="shared" si="35"/>
        <v>0.15229255522409876</v>
      </c>
      <c r="BQ68" s="2">
        <v>-8.1045082103714527E-9</v>
      </c>
      <c r="BR68" s="2">
        <f t="shared" si="36"/>
        <v>0.15229256043208711</v>
      </c>
      <c r="BS68" s="2">
        <v>5.2115401161234587E-9</v>
      </c>
      <c r="BT68" s="5">
        <f t="shared" si="27"/>
        <v>0.15229255782809292</v>
      </c>
      <c r="BU68" s="2">
        <v>-1.4464839465100354E-9</v>
      </c>
      <c r="BV68" s="2">
        <f t="shared" si="28"/>
        <v>1.1723041020661084E-17</v>
      </c>
      <c r="BW68" s="2">
        <f t="shared" si="29"/>
        <v>-7.5384091145656284E-18</v>
      </c>
      <c r="BX68" s="2">
        <f t="shared" si="30"/>
        <v>5.2079883461342291E-9</v>
      </c>
      <c r="BY68"/>
      <c r="BZ68" s="2">
        <v>30</v>
      </c>
      <c r="CA68" s="2">
        <f t="shared" si="37"/>
        <v>0.12978116614421353</v>
      </c>
      <c r="CB68" s="2">
        <v>-5.5859928904666845E-9</v>
      </c>
      <c r="CC68" s="2">
        <f t="shared" si="38"/>
        <v>0.12978117135220188</v>
      </c>
      <c r="CD68" s="2">
        <v>7.3707890138607901E-9</v>
      </c>
      <c r="CE68" s="5">
        <f t="shared" si="31"/>
        <v>0.12978116874820772</v>
      </c>
      <c r="CF68" s="2">
        <v>8.9239812067765101E-10</v>
      </c>
      <c r="CG68" s="2">
        <f t="shared" si="32"/>
        <v>-4.9849295575711888E-18</v>
      </c>
      <c r="CH68" s="2">
        <f t="shared" si="33"/>
        <v>6.5776782638808453E-18</v>
      </c>
      <c r="CI68" s="2">
        <f t="shared" si="34"/>
        <v>5.2079883461342291E-9</v>
      </c>
    </row>
    <row r="69" spans="32:87" x14ac:dyDescent="0.2">
      <c r="AF69" s="2">
        <v>20</v>
      </c>
      <c r="AG69" s="2">
        <f t="shared" si="43"/>
        <v>312.05968856811523</v>
      </c>
      <c r="AH69" s="2">
        <v>4.3837359219651262E-2</v>
      </c>
      <c r="AI69" s="2">
        <f t="shared" si="44"/>
        <v>312.06245422363281</v>
      </c>
      <c r="AJ69" s="2">
        <v>-4.9674110690830275E-2</v>
      </c>
      <c r="AK69" s="2">
        <f t="shared" si="39"/>
        <v>312.06107139587402</v>
      </c>
      <c r="AL69" s="2">
        <v>-2.9182721427787328E-3</v>
      </c>
      <c r="AM69" s="2">
        <f t="shared" si="40"/>
        <v>-1.2792934422369272E-4</v>
      </c>
      <c r="AN69" s="2">
        <f t="shared" si="41"/>
        <v>1.4496257344635724E-4</v>
      </c>
      <c r="AO69" s="2">
        <f t="shared" si="42"/>
        <v>2.765655517578125E-3</v>
      </c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 s="2" t="s">
        <v>187</v>
      </c>
      <c r="BH69" s="2">
        <f>IF(BH64&lt;$AZ$49, $AV$50*BH64^6 + $AW$50*BH64^5 + $AX$50*BH64^4 + $AV$51*BH64^3 + $AW$51*BH64^2 + $AX$51*BH64 + $AV$52, IF(BH64&gt;$BA$49, $BB$50*BH64^6 + $BC$50*BH64^5 + $BD$50*BH64^4 + $BB$51*BH64^3 + $BC$51*BH64^2 + $BD$51*BH64 + $BB$52, $AY$50*BH64^6 + $AZ$50*BH64^5 + $BA$50*BH64^4 + $AY$51*BH64^3 + $AZ$51*BH64^2 + $BA$51*BH64 + $AY$52) )</f>
        <v>0.60786006340628129</v>
      </c>
      <c r="BI69" s="2"/>
      <c r="BJ69" s="2"/>
      <c r="BK69" s="2" t="s">
        <v>187</v>
      </c>
      <c r="BL69" s="2">
        <f>IF(BL64&lt;$AZ$49, $AV$50*BL64^6 + $AW$50*BL64^5 + $AX$50*BL64^4 + $AV$51*BL64^3 + $AW$51*BL64^2 + $AX$51*BL64 + $AV$52, IF(BL64&gt;$BA$49, $BB$50*BL64^6 + $BC$50*BL64^5 + $BD$50*BL64^4 + $BB$51*BL64^3 + $BC$51*BL64^2 + $BD$51*BL64 + $BB$52, $AY$50*BL64^6 + $AZ$50*BL64^5 + $BA$50*BL64^4 + $AY$51*BL64^3 + $AZ$51*BL64^2 + $BA$51*BL64 + $AY$52) )</f>
        <v>0.49592080736364741</v>
      </c>
      <c r="BM69" s="2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</row>
    <row r="70" spans="32:87" x14ac:dyDescent="0.2">
      <c r="AF70" s="2">
        <v>21</v>
      </c>
      <c r="AG70" s="2">
        <f t="shared" si="43"/>
        <v>312.05968856811523</v>
      </c>
      <c r="AH70" s="2">
        <v>4.3837359219651262E-2</v>
      </c>
      <c r="AI70" s="2">
        <f t="shared" si="44"/>
        <v>312.06107139587402</v>
      </c>
      <c r="AJ70" s="2">
        <v>-2.9182721427787328E-3</v>
      </c>
      <c r="AK70" s="2">
        <f t="shared" si="39"/>
        <v>312.06037998199463</v>
      </c>
      <c r="AL70" s="2">
        <v>2.045956943584315E-2</v>
      </c>
      <c r="AM70" s="2">
        <f t="shared" si="40"/>
        <v>8.9689349483845391E-4</v>
      </c>
      <c r="AN70" s="2">
        <f t="shared" si="41"/>
        <v>-5.9706591537868257E-5</v>
      </c>
      <c r="AO70" s="2">
        <f t="shared" si="42"/>
        <v>1.3828277587890625E-3</v>
      </c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 s="2" t="s">
        <v>188</v>
      </c>
      <c r="BH70" s="2">
        <f>IF(BH64&lt;$AZ$49, $AV$53*BH64^6 + $AW$53*BH64^5 + $AX$53*BH64^4 + $AV$54*BH64^3 + $AW$54*BH64^2 + $AX$54*BH64 + $AV$55, IF(BH64&gt;$BA$49, $BB$53*BH64^6 + $BC$53*BH64^5 + $BD$53*BH64^4 + $BB$54*BH64^3 + $BC$54*BH64^2 + $BD$54*BH64 + $BB$55, $AY$53*BH64^6 + $AZ$53*BH64^5 + $BA$53*BH64^4 + $AY$54*BH64^3 + $AZ$54*BH64^2 + $BA$54*BH64 + $AY$55) )</f>
        <v>2.3207707355828448E-2</v>
      </c>
      <c r="BI70" s="2"/>
      <c r="BJ70" s="2"/>
      <c r="BK70" s="2" t="s">
        <v>188</v>
      </c>
      <c r="BL70" s="2">
        <f>IF(BL64&lt;$AZ$49, $AV$53*BL64^6 + $AW$53*BL64^5 + $AX$53*BL64^4 + $AV$54*BL64^3 + $AW$54*BL64^2 + $AX$54*BL64 + $AV$55, IF(BL64&gt;$BA$49, $BB$53*BL64^6 + $BC$53*BL64^5 + $BD$53*BL64^4 + $BB$54*BL64^3 + $BC$54*BL64^2 + $BD$54*BL64 + $BB$55, $AY$53*BL64^6 + $AZ$53*BL64^5 + $BA$53*BL64^4 + $AY$54*BL64^3 + $AZ$54*BL64^2 + $BA$54*BL64 + $AY$55) )</f>
        <v>2.777169835088306E-2</v>
      </c>
      <c r="BM70" s="2"/>
      <c r="BN70"/>
      <c r="BO70" s="61" t="s">
        <v>211</v>
      </c>
      <c r="BP70" s="61"/>
      <c r="BQ70" s="61"/>
      <c r="BR70" s="61"/>
      <c r="BS70" s="61"/>
      <c r="BT70" s="61"/>
      <c r="BU70" s="61"/>
      <c r="BV70" s="61"/>
      <c r="BW70" s="61"/>
      <c r="BX70" s="61"/>
      <c r="BY70"/>
      <c r="BZ70" s="61" t="s">
        <v>212</v>
      </c>
      <c r="CA70" s="61"/>
      <c r="CB70" s="61"/>
      <c r="CC70" s="61"/>
      <c r="CD70" s="61"/>
      <c r="CE70" s="61"/>
      <c r="CF70" s="61"/>
      <c r="CG70" s="61"/>
      <c r="CH70" s="61"/>
      <c r="CI70" s="61"/>
    </row>
    <row r="71" spans="32:87" x14ac:dyDescent="0.2">
      <c r="AF71" s="2">
        <v>22</v>
      </c>
      <c r="AG71" s="2">
        <f t="shared" si="43"/>
        <v>312.06037998199463</v>
      </c>
      <c r="AH71" s="2">
        <v>2.045956943584315E-2</v>
      </c>
      <c r="AI71" s="2">
        <f t="shared" si="44"/>
        <v>312.06107139587402</v>
      </c>
      <c r="AJ71" s="2">
        <v>-2.9182721427787328E-3</v>
      </c>
      <c r="AK71" s="2">
        <f t="shared" si="39"/>
        <v>312.06072568893433</v>
      </c>
      <c r="AL71" s="2">
        <v>8.7706551203154959E-3</v>
      </c>
      <c r="AM71" s="2">
        <f t="shared" si="40"/>
        <v>1.7944382743192815E-4</v>
      </c>
      <c r="AN71" s="2">
        <f t="shared" si="41"/>
        <v>-2.5595158511536367E-5</v>
      </c>
      <c r="AO71" s="2">
        <f t="shared" si="42"/>
        <v>6.9141387939453125E-4</v>
      </c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 s="2" t="s">
        <v>190</v>
      </c>
      <c r="BH71" s="2">
        <f xml:space="preserve"> BH69*COS(BH61) - BH70*SIN(BH61)</f>
        <v>0.60370369961359405</v>
      </c>
      <c r="BI71" s="2"/>
      <c r="BJ71" s="2"/>
      <c r="BK71" s="2" t="s">
        <v>190</v>
      </c>
      <c r="BL71" s="2">
        <f xml:space="preserve"> BL69*COS(BL61) - BL70*SIN(BL61)</f>
        <v>0.4922248238034696</v>
      </c>
      <c r="BM71" s="2"/>
      <c r="BN71"/>
      <c r="BO71" s="7" t="s">
        <v>44</v>
      </c>
      <c r="BP71" s="7" t="s">
        <v>45</v>
      </c>
      <c r="BQ71" s="7" t="s">
        <v>46</v>
      </c>
      <c r="BR71" s="7" t="s">
        <v>47</v>
      </c>
      <c r="BS71" s="7" t="s">
        <v>48</v>
      </c>
      <c r="BT71" s="7" t="s">
        <v>49</v>
      </c>
      <c r="BU71" s="7" t="s">
        <v>50</v>
      </c>
      <c r="BV71" s="7" t="s">
        <v>51</v>
      </c>
      <c r="BW71" s="7" t="s">
        <v>52</v>
      </c>
      <c r="BX71" s="7" t="s">
        <v>53</v>
      </c>
      <c r="BY71"/>
      <c r="BZ71" s="7" t="s">
        <v>44</v>
      </c>
      <c r="CA71" s="7" t="s">
        <v>45</v>
      </c>
      <c r="CB71" s="7" t="s">
        <v>46</v>
      </c>
      <c r="CC71" s="7" t="s">
        <v>47</v>
      </c>
      <c r="CD71" s="7" t="s">
        <v>48</v>
      </c>
      <c r="CE71" s="7" t="s">
        <v>49</v>
      </c>
      <c r="CF71" s="7" t="s">
        <v>50</v>
      </c>
      <c r="CG71" s="7" t="s">
        <v>51</v>
      </c>
      <c r="CH71" s="7" t="s">
        <v>52</v>
      </c>
      <c r="CI71" s="7" t="s">
        <v>53</v>
      </c>
    </row>
    <row r="72" spans="32:87" x14ac:dyDescent="0.2">
      <c r="AF72" s="2">
        <v>23</v>
      </c>
      <c r="AG72" s="2">
        <f t="shared" si="43"/>
        <v>312.06072568893433</v>
      </c>
      <c r="AH72" s="2">
        <v>8.7706551203154959E-3</v>
      </c>
      <c r="AI72" s="2">
        <f t="shared" si="44"/>
        <v>312.06107139587402</v>
      </c>
      <c r="AJ72" s="2">
        <v>-2.9182721427787328E-3</v>
      </c>
      <c r="AK72" s="2">
        <f t="shared" si="39"/>
        <v>312.06089854240417</v>
      </c>
      <c r="AL72" s="2">
        <v>2.9261931094879401E-3</v>
      </c>
      <c r="AM72" s="2">
        <f t="shared" si="40"/>
        <v>2.5664630578762326E-5</v>
      </c>
      <c r="AN72" s="2">
        <f t="shared" si="41"/>
        <v>-8.5394278358097341E-6</v>
      </c>
      <c r="AO72" s="2">
        <f t="shared" si="42"/>
        <v>3.4570693969726562E-4</v>
      </c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 s="2" t="s">
        <v>192</v>
      </c>
      <c r="BH72" s="2">
        <f xml:space="preserve"> BH69*SIN(BH61) + BH70*COS(BH61)</f>
        <v>7.4661217763049376E-2</v>
      </c>
      <c r="BI72" s="2"/>
      <c r="BJ72" s="2"/>
      <c r="BK72" s="2" t="s">
        <v>192</v>
      </c>
      <c r="BL72" s="2">
        <f xml:space="preserve"> BL69*SIN(BL61) + BL70*COS(BL61)</f>
        <v>6.6508925996046561E-2</v>
      </c>
      <c r="BM72" s="2"/>
      <c r="BN72"/>
      <c r="BO72" s="30">
        <v>0</v>
      </c>
      <c r="BP72" s="30"/>
      <c r="BQ72" s="30">
        <f>$BH$58</f>
        <v>1.6370269098620049E-9</v>
      </c>
      <c r="BR72" s="30"/>
      <c r="BS72" s="30">
        <f>$BH$58</f>
        <v>1.6370269098620049E-9</v>
      </c>
      <c r="BT72" s="30"/>
      <c r="BU72" s="30">
        <f>$BH$58</f>
        <v>1.6370269098620049E-9</v>
      </c>
      <c r="BV72" s="30"/>
      <c r="BW72" s="30"/>
      <c r="BX72" s="30"/>
      <c r="BY72"/>
      <c r="BZ72" s="30">
        <v>0</v>
      </c>
      <c r="CA72" s="30"/>
      <c r="CB72" s="30">
        <f>$BL$58</f>
        <v>-2.0017215697498703E-9</v>
      </c>
      <c r="CC72" s="30"/>
      <c r="CD72" s="30">
        <f>$BL$58</f>
        <v>-2.0017215697498703E-9</v>
      </c>
      <c r="CE72" s="30"/>
      <c r="CF72" s="30">
        <f>$BL$58</f>
        <v>-2.0017215697498703E-9</v>
      </c>
      <c r="CG72" s="30"/>
      <c r="CH72" s="30"/>
      <c r="CI72" s="30"/>
    </row>
    <row r="73" spans="32:87" x14ac:dyDescent="0.2">
      <c r="AF73" s="2">
        <v>24</v>
      </c>
      <c r="AG73" s="2">
        <f t="shared" si="43"/>
        <v>312.06089854240417</v>
      </c>
      <c r="AH73" s="2">
        <v>2.9261931094879401E-3</v>
      </c>
      <c r="AI73" s="2">
        <f t="shared" si="44"/>
        <v>312.06107139587402</v>
      </c>
      <c r="AJ73" s="2">
        <v>-2.9182721427787328E-3</v>
      </c>
      <c r="AK73" s="2">
        <f t="shared" si="39"/>
        <v>312.0609849691391</v>
      </c>
      <c r="AL73" s="2">
        <v>3.9608848965144716E-6</v>
      </c>
      <c r="AM73" s="2">
        <f t="shared" si="40"/>
        <v>1.15903140916555E-8</v>
      </c>
      <c r="AN73" s="2">
        <f t="shared" si="41"/>
        <v>-1.1558940054251206E-8</v>
      </c>
      <c r="AO73" s="2">
        <f t="shared" si="42"/>
        <v>1.7285346984863281E-4</v>
      </c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 s="2" t="s">
        <v>38</v>
      </c>
      <c r="BH73" s="2">
        <f xml:space="preserve"> 4*BH68*SIN(BH61)*SIN(BH61) / (BH65*BH71)</f>
        <v>1.3804146694943493</v>
      </c>
      <c r="BI73" s="2"/>
      <c r="BJ73" s="2"/>
      <c r="BK73" s="2" t="s">
        <v>38</v>
      </c>
      <c r="BL73" s="2">
        <f xml:space="preserve"> 4*BL68*SIN(BL61)*SIN(BL61) / (BL65*BL71)</f>
        <v>1.3585342268615488</v>
      </c>
      <c r="BM73" s="2"/>
      <c r="BN73"/>
      <c r="BO73" s="2">
        <v>1</v>
      </c>
      <c r="BP73" s="3">
        <f>0.01*PI()</f>
        <v>3.1415926535897934E-2</v>
      </c>
      <c r="BQ73" s="2">
        <f t="dataTable" ref="BQ73:BQ102" dt2D="0" dtr="0" r1="BH42" ca="1"/>
        <v>-0.47842342132774884</v>
      </c>
      <c r="BR73" s="3">
        <f>0.9*PI()</f>
        <v>2.8274333882308138</v>
      </c>
      <c r="BS73" s="2">
        <f t="dataTable" ref="BS73:BS102" dt2D="0" dtr="0" r1="BH42" ca="1"/>
        <v>0.37011845193406906</v>
      </c>
      <c r="BT73" s="2">
        <f t="shared" ref="BT73:BT102" si="45">(BP73+BR73)/2</f>
        <v>1.4294246573833558</v>
      </c>
      <c r="BU73" s="2">
        <f t="dataTable" ref="BU73:BU102" dt2D="0" dtr="0" r1="BH42" ca="1"/>
        <v>1.0122455164294222</v>
      </c>
      <c r="BV73" s="2">
        <f t="shared" ref="BV73:BV102" si="46">BQ73*BU73</f>
        <v>-0.48428196319383815</v>
      </c>
      <c r="BW73" s="2">
        <f t="shared" ref="BW73:BW102" si="47">BS73*BU73</f>
        <v>0.37465074351805999</v>
      </c>
      <c r="BX73" s="2">
        <f t="shared" ref="BX73:BX102" si="48">BR73-BP73</f>
        <v>2.7960174616949161</v>
      </c>
      <c r="BY73"/>
      <c r="BZ73" s="2">
        <v>1</v>
      </c>
      <c r="CA73" s="3">
        <f>0.01*PI()</f>
        <v>3.1415926535897934E-2</v>
      </c>
      <c r="CB73" s="2">
        <f t="dataTable" ref="CB73:CB102" dt2D="0" dtr="0" r1="BL42" ca="1"/>
        <v>-0.34687477164891711</v>
      </c>
      <c r="CC73" s="3">
        <f>0.9*PI()</f>
        <v>2.8274333882308138</v>
      </c>
      <c r="CD73" s="2">
        <f t="dataTable" ref="CD73:CD102" dt2D="0" dtr="0" r1="BL42" ca="1"/>
        <v>0.36184197513338312</v>
      </c>
      <c r="CE73" s="2">
        <f t="shared" ref="CE73:CE102" si="49">(CA73+CC73)/2</f>
        <v>1.4294246573833558</v>
      </c>
      <c r="CF73" s="2">
        <f t="dataTable" ref="CF73:CF102" dt2D="0" dtr="0" r1="BL42" ca="1"/>
        <v>1.0126398119239681</v>
      </c>
      <c r="CG73" s="2">
        <f t="shared" ref="CG73:CG102" si="50">CB73*CF73</f>
        <v>-0.3512592035237288</v>
      </c>
      <c r="CH73" s="2">
        <f t="shared" ref="CH73:CH102" si="51">CD73*CF73</f>
        <v>0.36641558964526622</v>
      </c>
      <c r="CI73" s="2">
        <f t="shared" ref="CI73:CI102" si="52">CC73-CA73</f>
        <v>2.7960174616949161</v>
      </c>
    </row>
    <row r="74" spans="32:87" x14ac:dyDescent="0.2">
      <c r="AF74" s="2">
        <v>25</v>
      </c>
      <c r="AG74" s="2">
        <f t="shared" si="43"/>
        <v>312.0609849691391</v>
      </c>
      <c r="AH74" s="2">
        <v>3.9608848965144716E-6</v>
      </c>
      <c r="AI74" s="2">
        <f t="shared" si="44"/>
        <v>312.06107139587402</v>
      </c>
      <c r="AJ74" s="2">
        <v>-2.9182721427787328E-3</v>
      </c>
      <c r="AK74" s="2">
        <f t="shared" si="39"/>
        <v>312.06102818250656</v>
      </c>
      <c r="AL74" s="2">
        <v>-1.4571555257134605E-3</v>
      </c>
      <c r="AM74" s="2">
        <f t="shared" si="40"/>
        <v>-5.7716253136710506E-9</v>
      </c>
      <c r="AN74" s="2">
        <f t="shared" si="41"/>
        <v>4.2523763783856912E-6</v>
      </c>
      <c r="AO74" s="2">
        <f t="shared" si="42"/>
        <v>8.6426734924316406E-5</v>
      </c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 s="2" t="s">
        <v>194</v>
      </c>
      <c r="BH74" s="2">
        <f xml:space="preserve"> 4*BH68*SIN(BH61)*COS(BH61) / (BH65*BH72)</f>
        <v>131.17636984721912</v>
      </c>
      <c r="BI74" s="2"/>
      <c r="BJ74" s="2"/>
      <c r="BK74" s="2" t="s">
        <v>194</v>
      </c>
      <c r="BL74" s="2">
        <f xml:space="preserve"> 4*BL68*SIN(BL61)*COS(BL61) / (BL65*BL72)</f>
        <v>128.04088035857382</v>
      </c>
      <c r="BM74" s="2"/>
      <c r="BN74"/>
      <c r="BO74" s="2">
        <v>2</v>
      </c>
      <c r="BP74" s="2">
        <f t="shared" ref="BP74:BP102" si="53">IF(BV73&gt;0,BT73,BP73)</f>
        <v>3.1415926535897934E-2</v>
      </c>
      <c r="BQ74" s="2">
        <v>-0.47842342132774884</v>
      </c>
      <c r="BR74" s="2">
        <f t="shared" ref="BR74:BR102" si="54">IF(BW73&gt;0,BT73,BR73)</f>
        <v>1.4294246573833558</v>
      </c>
      <c r="BS74" s="2">
        <v>1.0122455164294222</v>
      </c>
      <c r="BT74" s="2">
        <f t="shared" si="45"/>
        <v>0.73042029195962688</v>
      </c>
      <c r="BU74" s="2">
        <v>0.66536421097618892</v>
      </c>
      <c r="BV74" s="2">
        <f t="shared" si="46"/>
        <v>-0.31832582224426642</v>
      </c>
      <c r="BW74" s="2">
        <f t="shared" si="47"/>
        <v>0.67351193935324738</v>
      </c>
      <c r="BX74" s="2">
        <f t="shared" si="48"/>
        <v>1.3980087308474578</v>
      </c>
      <c r="BY74"/>
      <c r="BZ74" s="2">
        <v>2</v>
      </c>
      <c r="CA74" s="2">
        <f t="shared" ref="CA74:CA102" si="55">IF(CG73&gt;0,CE73,CA73)</f>
        <v>3.1415926535897934E-2</v>
      </c>
      <c r="CB74" s="2">
        <v>-0.34687477164891711</v>
      </c>
      <c r="CC74" s="2">
        <f t="shared" ref="CC74:CC102" si="56">IF(CH73&gt;0,CE73,CC73)</f>
        <v>1.4294246573833558</v>
      </c>
      <c r="CD74" s="2">
        <v>1.0126398119239681</v>
      </c>
      <c r="CE74" s="2">
        <f t="shared" si="49"/>
        <v>0.73042029195962688</v>
      </c>
      <c r="CF74" s="2">
        <v>0.66830837306682866</v>
      </c>
      <c r="CG74" s="2">
        <f t="shared" si="50"/>
        <v>-0.23181931429861549</v>
      </c>
      <c r="CH74" s="2">
        <f t="shared" si="51"/>
        <v>0.67675566520960651</v>
      </c>
      <c r="CI74" s="2">
        <f t="shared" si="52"/>
        <v>1.3980087308474578</v>
      </c>
    </row>
    <row r="75" spans="32:87" x14ac:dyDescent="0.2">
      <c r="AF75" s="2">
        <v>26</v>
      </c>
      <c r="AG75" s="2">
        <f t="shared" si="43"/>
        <v>312.0609849691391</v>
      </c>
      <c r="AH75" s="2">
        <v>3.9608848965144716E-6</v>
      </c>
      <c r="AI75" s="2">
        <f t="shared" si="44"/>
        <v>312.06102818250656</v>
      </c>
      <c r="AJ75" s="2">
        <v>-1.4571555257134605E-3</v>
      </c>
      <c r="AK75" s="2">
        <f t="shared" si="39"/>
        <v>312.06100657582283</v>
      </c>
      <c r="AL75" s="2">
        <v>-7.2659729357837932E-4</v>
      </c>
      <c r="AM75" s="2">
        <f t="shared" si="40"/>
        <v>-2.8779682459828941E-9</v>
      </c>
      <c r="AN75" s="2">
        <f t="shared" si="41"/>
        <v>1.058765261306181E-6</v>
      </c>
      <c r="AO75" s="2">
        <f t="shared" si="42"/>
        <v>4.3213367462158203E-5</v>
      </c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 s="2" t="s">
        <v>45</v>
      </c>
      <c r="BH75" s="2">
        <f>1/(BH73-1)</f>
        <v>2.628710405224933</v>
      </c>
      <c r="BI75" s="2"/>
      <c r="BJ75" s="2"/>
      <c r="BK75" s="2" t="s">
        <v>45</v>
      </c>
      <c r="BL75" s="2">
        <f>1/(BL73-1)</f>
        <v>2.7891339935759021</v>
      </c>
      <c r="BM75" s="2"/>
      <c r="BN75"/>
      <c r="BO75" s="2">
        <v>3</v>
      </c>
      <c r="BP75" s="2">
        <f t="shared" si="53"/>
        <v>3.1415926535897934E-2</v>
      </c>
      <c r="BQ75" s="2">
        <v>-0.47842342132774884</v>
      </c>
      <c r="BR75" s="2">
        <f t="shared" si="54"/>
        <v>0.73042029195962688</v>
      </c>
      <c r="BS75" s="2">
        <v>0.66536421097618892</v>
      </c>
      <c r="BT75" s="2">
        <f t="shared" si="45"/>
        <v>0.38091810924776243</v>
      </c>
      <c r="BU75" s="2">
        <v>0.37753448620570129</v>
      </c>
      <c r="BV75" s="2">
        <f t="shared" si="46"/>
        <v>-0.18062134055974541</v>
      </c>
      <c r="BW75" s="2">
        <f t="shared" si="47"/>
        <v>0.2511979355305573</v>
      </c>
      <c r="BX75" s="2">
        <f t="shared" si="48"/>
        <v>0.6990043654237289</v>
      </c>
      <c r="BY75"/>
      <c r="BZ75" s="2">
        <v>3</v>
      </c>
      <c r="CA75" s="2">
        <f t="shared" si="55"/>
        <v>3.1415926535897934E-2</v>
      </c>
      <c r="CB75" s="2">
        <v>-0.34687477164891711</v>
      </c>
      <c r="CC75" s="2">
        <f t="shared" si="56"/>
        <v>0.73042029195962688</v>
      </c>
      <c r="CD75" s="2">
        <v>0.66830837306682866</v>
      </c>
      <c r="CE75" s="2">
        <f t="shared" si="49"/>
        <v>0.38091810924776243</v>
      </c>
      <c r="CF75" s="2">
        <v>0.38186003417527353</v>
      </c>
      <c r="CG75" s="2">
        <f t="shared" si="50"/>
        <v>-0.1324576121563957</v>
      </c>
      <c r="CH75" s="2">
        <f t="shared" si="51"/>
        <v>0.25520025817892067</v>
      </c>
      <c r="CI75" s="2">
        <f t="shared" si="52"/>
        <v>0.6990043654237289</v>
      </c>
    </row>
    <row r="76" spans="32:87" x14ac:dyDescent="0.2">
      <c r="AF76" s="2">
        <v>27</v>
      </c>
      <c r="AG76" s="2">
        <f t="shared" si="43"/>
        <v>312.0609849691391</v>
      </c>
      <c r="AH76" s="2">
        <v>3.9608848965144716E-6</v>
      </c>
      <c r="AI76" s="2">
        <f t="shared" si="44"/>
        <v>312.06100657582283</v>
      </c>
      <c r="AJ76" s="2">
        <v>-7.2659729357837932E-4</v>
      </c>
      <c r="AK76" s="2">
        <f t="shared" si="39"/>
        <v>312.06099577248096</v>
      </c>
      <c r="AL76" s="2">
        <v>-3.6131819888396421E-4</v>
      </c>
      <c r="AM76" s="2">
        <f t="shared" si="40"/>
        <v>-1.4311397967953059E-9</v>
      </c>
      <c r="AN76" s="2">
        <f t="shared" si="41"/>
        <v>2.6253282542970298E-7</v>
      </c>
      <c r="AO76" s="2">
        <f t="shared" si="42"/>
        <v>2.1606683731079102E-5</v>
      </c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 s="2" t="s">
        <v>197</v>
      </c>
      <c r="BH76" s="2">
        <f>1/(BH74+1)</f>
        <v>7.5656488459766788E-3</v>
      </c>
      <c r="BI76" s="2"/>
      <c r="BJ76"/>
      <c r="BK76" s="2" t="s">
        <v>197</v>
      </c>
      <c r="BL76" s="2">
        <f>1/(BL74+1)</f>
        <v>7.7494821580667969E-3</v>
      </c>
      <c r="BM76" s="2"/>
      <c r="BN76"/>
      <c r="BO76" s="2">
        <v>4</v>
      </c>
      <c r="BP76" s="2">
        <f t="shared" si="53"/>
        <v>3.1415926535897934E-2</v>
      </c>
      <c r="BQ76" s="2">
        <v>-0.47842342132774884</v>
      </c>
      <c r="BR76" s="2">
        <f t="shared" si="54"/>
        <v>0.38091810924776243</v>
      </c>
      <c r="BS76" s="2">
        <v>0.37753448620570129</v>
      </c>
      <c r="BT76" s="2">
        <f t="shared" si="45"/>
        <v>0.20616701789183017</v>
      </c>
      <c r="BU76" s="2">
        <v>0.16869534266192338</v>
      </c>
      <c r="BV76" s="2">
        <f t="shared" si="46"/>
        <v>-8.0707802998374337E-2</v>
      </c>
      <c r="BW76" s="2">
        <f t="shared" si="47"/>
        <v>6.3688309517163963E-2</v>
      </c>
      <c r="BX76" s="2">
        <f t="shared" si="48"/>
        <v>0.34950218271186451</v>
      </c>
      <c r="BY76"/>
      <c r="BZ76" s="2">
        <v>4</v>
      </c>
      <c r="CA76" s="2">
        <f t="shared" si="55"/>
        <v>3.1415926535897934E-2</v>
      </c>
      <c r="CB76" s="2">
        <v>-0.34687477164891711</v>
      </c>
      <c r="CC76" s="2">
        <f t="shared" si="56"/>
        <v>0.38091810924776243</v>
      </c>
      <c r="CD76" s="2">
        <v>0.38186003417527353</v>
      </c>
      <c r="CE76" s="2">
        <f t="shared" si="49"/>
        <v>0.20616701789183017</v>
      </c>
      <c r="CF76" s="2">
        <v>0.18217957626282252</v>
      </c>
      <c r="CG76" s="2">
        <f t="shared" si="50"/>
        <v>-6.3193498915263047E-2</v>
      </c>
      <c r="CH76" s="2">
        <f t="shared" si="51"/>
        <v>6.9567099217758263E-2</v>
      </c>
      <c r="CI76" s="2">
        <f t="shared" si="52"/>
        <v>0.34950218271186451</v>
      </c>
    </row>
    <row r="77" spans="32:87" x14ac:dyDescent="0.2">
      <c r="AF77" s="2">
        <v>28</v>
      </c>
      <c r="AG77" s="2">
        <f t="shared" si="43"/>
        <v>312.0609849691391</v>
      </c>
      <c r="AH77" s="2">
        <v>3.9608848965144716E-6</v>
      </c>
      <c r="AI77" s="2">
        <f t="shared" si="44"/>
        <v>312.06099577248096</v>
      </c>
      <c r="AJ77" s="2">
        <v>-3.6131819888396421E-4</v>
      </c>
      <c r="AK77" s="2">
        <f t="shared" si="39"/>
        <v>312.06099037081003</v>
      </c>
      <c r="AL77" s="2">
        <v>-1.7867865426524077E-4</v>
      </c>
      <c r="AM77" s="2">
        <f t="shared" si="40"/>
        <v>-7.0772558300872323E-10</v>
      </c>
      <c r="AN77" s="2">
        <f t="shared" si="41"/>
        <v>6.4559849538127349E-8</v>
      </c>
      <c r="AO77" s="2">
        <f t="shared" si="42"/>
        <v>1.0803341865539551E-5</v>
      </c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 s="7" t="s">
        <v>199</v>
      </c>
      <c r="BH77" s="40">
        <f>SIN(BH61)/(1+BH75) - $AR$3*COS(BH61)/($AV$5*$AR$25*(1-BH76))</f>
        <v>-1.1845868695681272E-9</v>
      </c>
      <c r="BI77" s="40"/>
      <c r="BJ77"/>
      <c r="BK77" s="7" t="s">
        <v>199</v>
      </c>
      <c r="BL77" s="40">
        <f>SIN(BL61)/(1+BL75) - $AR$3*COS(BL61)/($AV$5*$AR$26*(1-BL76))</f>
        <v>-5.495292450252709E-10</v>
      </c>
      <c r="BM77" s="40"/>
      <c r="BN77"/>
      <c r="BO77" s="2">
        <v>5</v>
      </c>
      <c r="BP77" s="2">
        <f t="shared" si="53"/>
        <v>3.1415926535897934E-2</v>
      </c>
      <c r="BQ77" s="2">
        <v>-0.47842342132774884</v>
      </c>
      <c r="BR77" s="2">
        <f t="shared" si="54"/>
        <v>0.20616701789183017</v>
      </c>
      <c r="BS77" s="2">
        <v>0.16869534266192338</v>
      </c>
      <c r="BT77" s="2">
        <f t="shared" si="45"/>
        <v>0.11879147221386405</v>
      </c>
      <c r="BU77" s="2">
        <v>1.6095528718046724E-2</v>
      </c>
      <c r="BV77" s="2">
        <f t="shared" si="46"/>
        <v>-7.7004779173669487E-3</v>
      </c>
      <c r="BW77" s="2">
        <f t="shared" si="47"/>
        <v>2.7152407324157204E-3</v>
      </c>
      <c r="BX77" s="2">
        <f t="shared" si="48"/>
        <v>0.17475109135593225</v>
      </c>
      <c r="BY77"/>
      <c r="BZ77" s="2">
        <v>5</v>
      </c>
      <c r="CA77" s="2">
        <f t="shared" si="55"/>
        <v>3.1415926535897934E-2</v>
      </c>
      <c r="CB77" s="2">
        <v>-0.34687477164891711</v>
      </c>
      <c r="CC77" s="2">
        <f t="shared" si="56"/>
        <v>0.20616701789183017</v>
      </c>
      <c r="CD77" s="2">
        <v>0.18217957626282252</v>
      </c>
      <c r="CE77" s="2">
        <f t="shared" si="49"/>
        <v>0.11879147221386405</v>
      </c>
      <c r="CF77" s="2">
        <v>4.659156931229004E-2</v>
      </c>
      <c r="CG77" s="2">
        <f t="shared" si="50"/>
        <v>-1.61614399659653E-2</v>
      </c>
      <c r="CH77" s="2">
        <f t="shared" si="51"/>
        <v>8.4880323547329248E-3</v>
      </c>
      <c r="CI77" s="2">
        <f t="shared" si="52"/>
        <v>0.17475109135593225</v>
      </c>
    </row>
    <row r="78" spans="32:87" x14ac:dyDescent="0.2">
      <c r="AF78" s="2">
        <v>29</v>
      </c>
      <c r="AG78" s="2">
        <f t="shared" si="43"/>
        <v>312.0609849691391</v>
      </c>
      <c r="AH78" s="2">
        <v>3.9608848965144716E-6</v>
      </c>
      <c r="AI78" s="2">
        <f t="shared" si="44"/>
        <v>312.06099037081003</v>
      </c>
      <c r="AJ78" s="2">
        <v>-1.7867865426524077E-4</v>
      </c>
      <c r="AK78" s="2">
        <f t="shared" si="39"/>
        <v>312.06098766997457</v>
      </c>
      <c r="AL78" s="2">
        <v>-8.7358883320121095E-5</v>
      </c>
      <c r="AM78" s="2">
        <f t="shared" si="40"/>
        <v>-3.4601848151903764E-10</v>
      </c>
      <c r="AN78" s="2">
        <f t="shared" si="41"/>
        <v>1.5609167709753425E-8</v>
      </c>
      <c r="AO78" s="2">
        <f t="shared" si="42"/>
        <v>5.4016709327697754E-6</v>
      </c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 s="2">
        <v>6</v>
      </c>
      <c r="BP78" s="2">
        <f t="shared" si="53"/>
        <v>3.1415926535897934E-2</v>
      </c>
      <c r="BQ78" s="2">
        <v>-0.47842342132774884</v>
      </c>
      <c r="BR78" s="2">
        <f t="shared" si="54"/>
        <v>0.11879147221386405</v>
      </c>
      <c r="BS78" s="2">
        <v>1.6095528718046724E-2</v>
      </c>
      <c r="BT78" s="2">
        <f t="shared" si="45"/>
        <v>7.5103699374880983E-2</v>
      </c>
      <c r="BU78" s="2">
        <v>-0.11525025557246926</v>
      </c>
      <c r="BV78" s="2">
        <f t="shared" si="46"/>
        <v>5.5138421579878194E-2</v>
      </c>
      <c r="BW78" s="2">
        <f t="shared" si="47"/>
        <v>-1.8550137983289036E-3</v>
      </c>
      <c r="BX78" s="2">
        <f t="shared" si="48"/>
        <v>8.7375545677966113E-2</v>
      </c>
      <c r="BY78"/>
      <c r="BZ78" s="2">
        <v>6</v>
      </c>
      <c r="CA78" s="2">
        <f t="shared" si="55"/>
        <v>3.1415926535897934E-2</v>
      </c>
      <c r="CB78" s="2">
        <v>-0.34687477164891711</v>
      </c>
      <c r="CC78" s="2">
        <f t="shared" si="56"/>
        <v>0.11879147221386405</v>
      </c>
      <c r="CD78" s="2">
        <v>4.659156931229004E-2</v>
      </c>
      <c r="CE78" s="2">
        <f t="shared" si="49"/>
        <v>7.5103699374880983E-2</v>
      </c>
      <c r="CF78" s="2">
        <v>-6.2395083450758837E-2</v>
      </c>
      <c r="CG78" s="2">
        <f t="shared" si="50"/>
        <v>2.1643280323997097E-2</v>
      </c>
      <c r="CH78" s="2">
        <f t="shared" si="51"/>
        <v>-2.9070848553421516E-3</v>
      </c>
      <c r="CI78" s="2">
        <f t="shared" si="52"/>
        <v>8.7375545677966113E-2</v>
      </c>
    </row>
    <row r="79" spans="32:87" x14ac:dyDescent="0.2">
      <c r="AF79" s="2">
        <v>30</v>
      </c>
      <c r="AG79" s="2">
        <f t="shared" si="43"/>
        <v>312.0609849691391</v>
      </c>
      <c r="AH79" s="2">
        <v>3.9608848965144716E-6</v>
      </c>
      <c r="AI79" s="2">
        <f t="shared" si="44"/>
        <v>312.06098766997457</v>
      </c>
      <c r="AJ79" s="2">
        <v>-8.7358883320121095E-5</v>
      </c>
      <c r="AK79" s="5">
        <f t="shared" si="39"/>
        <v>312.06098631955683</v>
      </c>
      <c r="AL79" s="2">
        <v>-4.1698998757055961E-5</v>
      </c>
      <c r="AM79" s="2">
        <f t="shared" si="40"/>
        <v>-1.6516493437659868E-10</v>
      </c>
      <c r="AN79" s="2">
        <f t="shared" si="41"/>
        <v>3.6427779669835262E-9</v>
      </c>
      <c r="AO79" s="2">
        <f t="shared" si="42"/>
        <v>2.7008354663848877E-6</v>
      </c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 s="2">
        <v>7</v>
      </c>
      <c r="BP79" s="2">
        <f t="shared" si="53"/>
        <v>7.5103699374880983E-2</v>
      </c>
      <c r="BQ79" s="2">
        <v>-0.11525025557246926</v>
      </c>
      <c r="BR79" s="2">
        <f t="shared" si="54"/>
        <v>0.11879147221386405</v>
      </c>
      <c r="BS79" s="2">
        <v>1.6095528718046724E-2</v>
      </c>
      <c r="BT79" s="2">
        <f t="shared" si="45"/>
        <v>9.6947585794372515E-2</v>
      </c>
      <c r="BU79" s="2">
        <v>-4.0026453003377385E-2</v>
      </c>
      <c r="BV79" s="2">
        <f t="shared" si="46"/>
        <v>4.6130589382986737E-3</v>
      </c>
      <c r="BW79" s="2">
        <f t="shared" si="47"/>
        <v>-6.4424692379740826E-4</v>
      </c>
      <c r="BX79" s="2">
        <f t="shared" si="48"/>
        <v>4.3687772838983063E-2</v>
      </c>
      <c r="BY79"/>
      <c r="BZ79" s="2">
        <v>7</v>
      </c>
      <c r="CA79" s="2">
        <f t="shared" si="55"/>
        <v>7.5103699374880983E-2</v>
      </c>
      <c r="CB79" s="2">
        <v>-6.2395083450758837E-2</v>
      </c>
      <c r="CC79" s="2">
        <f t="shared" si="56"/>
        <v>0.11879147221386405</v>
      </c>
      <c r="CD79" s="2">
        <v>4.659156931229004E-2</v>
      </c>
      <c r="CE79" s="2">
        <f t="shared" si="49"/>
        <v>9.6947585794372515E-2</v>
      </c>
      <c r="CF79" s="2">
        <v>-6.7629201909426631E-4</v>
      </c>
      <c r="CG79" s="2">
        <f t="shared" si="50"/>
        <v>4.2197296968468936E-5</v>
      </c>
      <c r="CH79" s="2">
        <f t="shared" si="51"/>
        <v>-3.1509506482979091E-5</v>
      </c>
      <c r="CI79" s="2">
        <f t="shared" si="52"/>
        <v>4.3687772838983063E-2</v>
      </c>
    </row>
    <row r="80" spans="32:87" x14ac:dyDescent="0.2"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 s="2">
        <v>8</v>
      </c>
      <c r="BP80" s="2">
        <f t="shared" si="53"/>
        <v>9.6947585794372515E-2</v>
      </c>
      <c r="BQ80" s="2">
        <v>-4.0026453003377385E-2</v>
      </c>
      <c r="BR80" s="2">
        <f t="shared" si="54"/>
        <v>0.11879147221386405</v>
      </c>
      <c r="BS80" s="2">
        <v>1.6095528718046724E-2</v>
      </c>
      <c r="BT80" s="2">
        <f t="shared" si="45"/>
        <v>0.10786952900411828</v>
      </c>
      <c r="BU80" s="2">
        <v>-1.0286426975364357E-2</v>
      </c>
      <c r="BV80" s="2">
        <f t="shared" si="46"/>
        <v>4.1172918590209483E-4</v>
      </c>
      <c r="BW80" s="2">
        <f t="shared" si="47"/>
        <v>-1.6556548078806751E-4</v>
      </c>
      <c r="BX80" s="2">
        <f t="shared" si="48"/>
        <v>2.1843886419491532E-2</v>
      </c>
      <c r="BY80"/>
      <c r="BZ80" s="2">
        <v>8</v>
      </c>
      <c r="CA80" s="2">
        <f t="shared" si="55"/>
        <v>9.6947585794372515E-2</v>
      </c>
      <c r="CB80" s="2">
        <v>-6.7629201909426631E-4</v>
      </c>
      <c r="CC80" s="2">
        <f t="shared" si="56"/>
        <v>0.11879147221386405</v>
      </c>
      <c r="CD80" s="2">
        <v>4.659156931229004E-2</v>
      </c>
      <c r="CE80" s="2">
        <f t="shared" si="49"/>
        <v>0.10786952900411828</v>
      </c>
      <c r="CF80" s="2">
        <v>2.4223601193182814E-2</v>
      </c>
      <c r="CG80" s="2">
        <f t="shared" si="50"/>
        <v>-1.6382228160671884E-5</v>
      </c>
      <c r="CH80" s="2">
        <f t="shared" si="51"/>
        <v>1.1286155939854488E-3</v>
      </c>
      <c r="CI80" s="2">
        <f t="shared" si="52"/>
        <v>2.1843886419491532E-2</v>
      </c>
    </row>
    <row r="81" spans="43:87" x14ac:dyDescent="0.2"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 s="2">
        <v>9</v>
      </c>
      <c r="BP81" s="2">
        <f t="shared" si="53"/>
        <v>0.10786952900411828</v>
      </c>
      <c r="BQ81" s="2">
        <v>-1.0286426975364357E-2</v>
      </c>
      <c r="BR81" s="2">
        <f t="shared" si="54"/>
        <v>0.11879147221386405</v>
      </c>
      <c r="BS81" s="2">
        <v>1.6095528718046724E-2</v>
      </c>
      <c r="BT81" s="2">
        <f t="shared" si="45"/>
        <v>0.11333050060899116</v>
      </c>
      <c r="BU81" s="2">
        <v>3.2654943082095003E-3</v>
      </c>
      <c r="BV81" s="2">
        <f t="shared" si="46"/>
        <v>-3.3590268739864972E-5</v>
      </c>
      <c r="BW81" s="2">
        <f t="shared" si="47"/>
        <v>5.2559857416404135E-5</v>
      </c>
      <c r="BX81" s="2">
        <f t="shared" si="48"/>
        <v>1.0921943209745766E-2</v>
      </c>
      <c r="BY81"/>
      <c r="BZ81" s="2">
        <v>9</v>
      </c>
      <c r="CA81" s="2">
        <f t="shared" si="55"/>
        <v>9.6947585794372515E-2</v>
      </c>
      <c r="CB81" s="2">
        <v>-6.7629201909426631E-4</v>
      </c>
      <c r="CC81" s="2">
        <f t="shared" si="56"/>
        <v>0.10786952900411828</v>
      </c>
      <c r="CD81" s="2">
        <v>2.4223601193182814E-2</v>
      </c>
      <c r="CE81" s="2">
        <f t="shared" si="49"/>
        <v>0.1024085573992454</v>
      </c>
      <c r="CF81" s="2">
        <v>1.2139911241953003E-2</v>
      </c>
      <c r="CG81" s="2">
        <f t="shared" si="50"/>
        <v>-8.2101250854455781E-6</v>
      </c>
      <c r="CH81" s="2">
        <f t="shared" si="51"/>
        <v>2.9407236844570622E-4</v>
      </c>
      <c r="CI81" s="2">
        <f t="shared" si="52"/>
        <v>1.0921943209745766E-2</v>
      </c>
    </row>
    <row r="82" spans="43:87" x14ac:dyDescent="0.2"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 s="2">
        <v>10</v>
      </c>
      <c r="BP82" s="2">
        <f t="shared" si="53"/>
        <v>0.10786952900411828</v>
      </c>
      <c r="BQ82" s="2">
        <v>-1.0286426975364357E-2</v>
      </c>
      <c r="BR82" s="2">
        <f t="shared" si="54"/>
        <v>0.11333050060899116</v>
      </c>
      <c r="BS82" s="2">
        <v>3.2654943082095003E-3</v>
      </c>
      <c r="BT82" s="2">
        <f t="shared" si="45"/>
        <v>0.11060001480655472</v>
      </c>
      <c r="BU82" s="2">
        <v>-3.413780349590341E-3</v>
      </c>
      <c r="BV82" s="2">
        <f t="shared" si="46"/>
        <v>3.5115602275994849E-5</v>
      </c>
      <c r="BW82" s="2">
        <f t="shared" si="47"/>
        <v>-1.1147680301064697E-5</v>
      </c>
      <c r="BX82" s="2">
        <f t="shared" si="48"/>
        <v>5.4609716048728829E-3</v>
      </c>
      <c r="BY82"/>
      <c r="BZ82" s="2">
        <v>10</v>
      </c>
      <c r="CA82" s="2">
        <f t="shared" si="55"/>
        <v>9.6947585794372515E-2</v>
      </c>
      <c r="CB82" s="2">
        <v>-6.7629201909426631E-4</v>
      </c>
      <c r="CC82" s="2">
        <f t="shared" si="56"/>
        <v>0.1024085573992454</v>
      </c>
      <c r="CD82" s="2">
        <v>1.2139911241953003E-2</v>
      </c>
      <c r="CE82" s="2">
        <f t="shared" si="49"/>
        <v>9.9678071596808956E-2</v>
      </c>
      <c r="CF82" s="2">
        <v>5.8307693447472927E-3</v>
      </c>
      <c r="CG82" s="2">
        <f t="shared" si="50"/>
        <v>-3.943302773032099E-6</v>
      </c>
      <c r="CH82" s="2">
        <f t="shared" si="51"/>
        <v>7.0785022317532595E-5</v>
      </c>
      <c r="CI82" s="2">
        <f t="shared" si="52"/>
        <v>5.4609716048728829E-3</v>
      </c>
    </row>
    <row r="83" spans="43:87" x14ac:dyDescent="0.2"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 s="2">
        <v>11</v>
      </c>
      <c r="BP83" s="2">
        <f t="shared" si="53"/>
        <v>0.11060001480655472</v>
      </c>
      <c r="BQ83" s="2">
        <v>-3.413780349590341E-3</v>
      </c>
      <c r="BR83" s="2">
        <f t="shared" si="54"/>
        <v>0.11333050060899116</v>
      </c>
      <c r="BS83" s="2">
        <v>3.2654943082095003E-3</v>
      </c>
      <c r="BT83" s="2">
        <f t="shared" si="45"/>
        <v>0.11196525770777294</v>
      </c>
      <c r="BU83" s="2">
        <v>-5.082657495267956E-5</v>
      </c>
      <c r="BV83" s="2">
        <f t="shared" si="46"/>
        <v>1.7351076281043809E-7</v>
      </c>
      <c r="BW83" s="2">
        <f t="shared" si="47"/>
        <v>-1.6597389121375867E-7</v>
      </c>
      <c r="BX83" s="2">
        <f t="shared" si="48"/>
        <v>2.7304858024364415E-3</v>
      </c>
      <c r="BY83"/>
      <c r="BZ83" s="2">
        <v>11</v>
      </c>
      <c r="CA83" s="2">
        <f t="shared" si="55"/>
        <v>9.6947585794372515E-2</v>
      </c>
      <c r="CB83" s="2">
        <v>-6.7629201909426631E-4</v>
      </c>
      <c r="CC83" s="2">
        <f t="shared" si="56"/>
        <v>9.9678071596808956E-2</v>
      </c>
      <c r="CD83" s="2">
        <v>5.8307693447472927E-3</v>
      </c>
      <c r="CE83" s="2">
        <f t="shared" si="49"/>
        <v>9.8312828695590743E-2</v>
      </c>
      <c r="CF83" s="2">
        <v>2.6029916223246387E-3</v>
      </c>
      <c r="CG83" s="2">
        <f t="shared" si="50"/>
        <v>-1.7603824599473897E-6</v>
      </c>
      <c r="CH83" s="2">
        <f t="shared" si="51"/>
        <v>1.5177443756084527E-5</v>
      </c>
      <c r="CI83" s="2">
        <f t="shared" si="52"/>
        <v>2.7304858024364415E-3</v>
      </c>
    </row>
    <row r="84" spans="43:87" x14ac:dyDescent="0.2"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 s="2">
        <v>12</v>
      </c>
      <c r="BP84" s="2">
        <f t="shared" si="53"/>
        <v>0.11196525770777294</v>
      </c>
      <c r="BQ84" s="2">
        <v>-5.082657495267956E-5</v>
      </c>
      <c r="BR84" s="2">
        <f t="shared" si="54"/>
        <v>0.11333050060899116</v>
      </c>
      <c r="BS84" s="2">
        <v>3.2654943082095003E-3</v>
      </c>
      <c r="BT84" s="2">
        <f t="shared" si="45"/>
        <v>0.11264787915838205</v>
      </c>
      <c r="BU84" s="2">
        <v>1.6130605988297214E-3</v>
      </c>
      <c r="BV84" s="2">
        <f t="shared" si="46"/>
        <v>-8.1986345429633016E-8</v>
      </c>
      <c r="BW84" s="2">
        <f t="shared" si="47"/>
        <v>5.2674402042754631E-6</v>
      </c>
      <c r="BX84" s="2">
        <f t="shared" si="48"/>
        <v>1.3652429012182277E-3</v>
      </c>
      <c r="BY84"/>
      <c r="BZ84" s="2">
        <v>12</v>
      </c>
      <c r="CA84" s="2">
        <f t="shared" si="55"/>
        <v>9.6947585794372515E-2</v>
      </c>
      <c r="CB84" s="2">
        <v>-6.7629201909426631E-4</v>
      </c>
      <c r="CC84" s="2">
        <f t="shared" si="56"/>
        <v>9.8312828695590743E-2</v>
      </c>
      <c r="CD84" s="2">
        <v>2.6029916223246387E-3</v>
      </c>
      <c r="CE84" s="2">
        <f t="shared" si="49"/>
        <v>9.7630207244981629E-2</v>
      </c>
      <c r="CF84" s="2">
        <v>9.6992078249793709E-4</v>
      </c>
      <c r="CG84" s="2">
        <f t="shared" si="50"/>
        <v>-6.5594968435702064E-7</v>
      </c>
      <c r="CH84" s="2">
        <f t="shared" si="51"/>
        <v>2.5246956711606883E-6</v>
      </c>
      <c r="CI84" s="2">
        <f t="shared" si="52"/>
        <v>1.3652429012182277E-3</v>
      </c>
    </row>
    <row r="85" spans="43:87" x14ac:dyDescent="0.2"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 s="2">
        <v>13</v>
      </c>
      <c r="BP85" s="2">
        <f t="shared" si="53"/>
        <v>0.11196525770777294</v>
      </c>
      <c r="BQ85" s="2">
        <v>-5.082657495267956E-5</v>
      </c>
      <c r="BR85" s="2">
        <f t="shared" si="54"/>
        <v>0.11264787915838205</v>
      </c>
      <c r="BS85" s="2">
        <v>1.6130605988297214E-3</v>
      </c>
      <c r="BT85" s="2">
        <f t="shared" si="45"/>
        <v>0.11230656843307749</v>
      </c>
      <c r="BU85" s="2">
        <v>7.8256129936889879E-4</v>
      </c>
      <c r="BV85" s="2">
        <f t="shared" si="46"/>
        <v>-3.9774910537439641E-8</v>
      </c>
      <c r="BW85" s="2">
        <f t="shared" si="47"/>
        <v>1.2623187981809607E-6</v>
      </c>
      <c r="BX85" s="2">
        <f t="shared" si="48"/>
        <v>6.8262145060911383E-4</v>
      </c>
      <c r="BY85"/>
      <c r="BZ85" s="2">
        <v>13</v>
      </c>
      <c r="CA85" s="2">
        <f t="shared" si="55"/>
        <v>9.6947585794372515E-2</v>
      </c>
      <c r="CB85" s="2">
        <v>-6.7629201909426631E-4</v>
      </c>
      <c r="CC85" s="2">
        <f t="shared" si="56"/>
        <v>9.7630207244981629E-2</v>
      </c>
      <c r="CD85" s="2">
        <v>9.6992078249793709E-4</v>
      </c>
      <c r="CE85" s="2">
        <f t="shared" si="49"/>
        <v>9.7288896519677065E-2</v>
      </c>
      <c r="CF85" s="2">
        <v>1.4847412157664372E-4</v>
      </c>
      <c r="CG85" s="2">
        <f t="shared" si="50"/>
        <v>-1.0041186346431595E-7</v>
      </c>
      <c r="CH85" s="2">
        <f t="shared" si="51"/>
        <v>1.4400813618031213E-7</v>
      </c>
      <c r="CI85" s="2">
        <f t="shared" si="52"/>
        <v>6.8262145060911383E-4</v>
      </c>
    </row>
    <row r="86" spans="43:87" x14ac:dyDescent="0.2"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 s="2">
        <v>14</v>
      </c>
      <c r="BP86" s="2">
        <f t="shared" si="53"/>
        <v>0.11196525770777294</v>
      </c>
      <c r="BQ86" s="2">
        <v>-5.082657495267956E-5</v>
      </c>
      <c r="BR86" s="2">
        <f t="shared" si="54"/>
        <v>0.11230656843307749</v>
      </c>
      <c r="BS86" s="2">
        <v>7.8256129936889879E-4</v>
      </c>
      <c r="BT86" s="2">
        <f t="shared" si="45"/>
        <v>0.11213591307042521</v>
      </c>
      <c r="BU86" s="2">
        <v>3.6623002627092505E-4</v>
      </c>
      <c r="BV86" s="2">
        <f t="shared" si="46"/>
        <v>-1.8614217880180976E-8</v>
      </c>
      <c r="BW86" s="2">
        <f t="shared" si="47"/>
        <v>2.8659744522648103E-7</v>
      </c>
      <c r="BX86" s="2">
        <f t="shared" si="48"/>
        <v>3.4131072530454998E-4</v>
      </c>
      <c r="BY86"/>
      <c r="BZ86" s="2">
        <v>14</v>
      </c>
      <c r="CA86" s="2">
        <f t="shared" si="55"/>
        <v>9.6947585794372515E-2</v>
      </c>
      <c r="CB86" s="2">
        <v>-6.7629201909426631E-4</v>
      </c>
      <c r="CC86" s="2">
        <f t="shared" si="56"/>
        <v>9.7288896519677065E-2</v>
      </c>
      <c r="CD86" s="2">
        <v>1.4847412157664372E-4</v>
      </c>
      <c r="CE86" s="2">
        <f t="shared" si="49"/>
        <v>9.711824115702479E-2</v>
      </c>
      <c r="CF86" s="2">
        <v>-2.6349186367299882E-4</v>
      </c>
      <c r="CG86" s="2">
        <f t="shared" si="50"/>
        <v>1.7819744449832353E-7</v>
      </c>
      <c r="CH86" s="2">
        <f t="shared" si="51"/>
        <v>-3.9121723001441259E-8</v>
      </c>
      <c r="CI86" s="2">
        <f t="shared" si="52"/>
        <v>3.4131072530454998E-4</v>
      </c>
    </row>
    <row r="87" spans="43:87" x14ac:dyDescent="0.2"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 s="2">
        <v>15</v>
      </c>
      <c r="BP87" s="2">
        <f t="shared" si="53"/>
        <v>0.11196525770777294</v>
      </c>
      <c r="BQ87" s="2">
        <v>-5.082657495267956E-5</v>
      </c>
      <c r="BR87" s="2">
        <f t="shared" si="54"/>
        <v>0.11213591307042521</v>
      </c>
      <c r="BS87" s="2">
        <v>3.6623002627092505E-4</v>
      </c>
      <c r="BT87" s="2">
        <f t="shared" si="45"/>
        <v>0.11205058538909907</v>
      </c>
      <c r="BU87" s="2">
        <v>1.5779259175348337E-4</v>
      </c>
      <c r="BV87" s="2">
        <f t="shared" si="46"/>
        <v>-8.0200569917359892E-9</v>
      </c>
      <c r="BW87" s="2">
        <f t="shared" si="47"/>
        <v>5.7788385023235564E-8</v>
      </c>
      <c r="BX87" s="2">
        <f t="shared" si="48"/>
        <v>1.7065536265227499E-4</v>
      </c>
      <c r="BY87"/>
      <c r="BZ87" s="2">
        <v>15</v>
      </c>
      <c r="CA87" s="2">
        <f t="shared" si="55"/>
        <v>9.711824115702479E-2</v>
      </c>
      <c r="CB87" s="2">
        <v>-2.6349186367299882E-4</v>
      </c>
      <c r="CC87" s="2">
        <f t="shared" si="56"/>
        <v>9.7288896519677065E-2</v>
      </c>
      <c r="CD87" s="2">
        <v>1.4847412157664372E-4</v>
      </c>
      <c r="CE87" s="2">
        <f t="shared" si="49"/>
        <v>9.7203568838350934E-2</v>
      </c>
      <c r="CF87" s="2">
        <v>-5.7404869705551115E-5</v>
      </c>
      <c r="CG87" s="2">
        <f t="shared" si="50"/>
        <v>1.5125716102621335E-8</v>
      </c>
      <c r="CH87" s="2">
        <f t="shared" si="51"/>
        <v>-8.5231376037533888E-9</v>
      </c>
      <c r="CI87" s="2">
        <f t="shared" si="52"/>
        <v>1.7065536265227499E-4</v>
      </c>
    </row>
    <row r="88" spans="43:87" x14ac:dyDescent="0.2"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 s="2">
        <v>16</v>
      </c>
      <c r="BP88" s="2">
        <f t="shared" si="53"/>
        <v>0.11196525770777294</v>
      </c>
      <c r="BQ88" s="2">
        <v>-5.082657495267956E-5</v>
      </c>
      <c r="BR88" s="2">
        <f t="shared" si="54"/>
        <v>0.11205058538909907</v>
      </c>
      <c r="BS88" s="2">
        <v>1.5779259175348337E-4</v>
      </c>
      <c r="BT88" s="2">
        <f t="shared" si="45"/>
        <v>0.112007921548436</v>
      </c>
      <c r="BU88" s="2">
        <v>5.3505750000015784E-5</v>
      </c>
      <c r="BV88" s="2">
        <f t="shared" si="46"/>
        <v>-2.7195140127751365E-9</v>
      </c>
      <c r="BW88" s="2">
        <f t="shared" si="47"/>
        <v>8.4428109662164326E-9</v>
      </c>
      <c r="BX88" s="2">
        <f t="shared" si="48"/>
        <v>8.5327681326130556E-5</v>
      </c>
      <c r="BY88"/>
      <c r="BZ88" s="2">
        <v>16</v>
      </c>
      <c r="CA88" s="2">
        <f t="shared" si="55"/>
        <v>9.7203568838350934E-2</v>
      </c>
      <c r="CB88" s="2">
        <v>-5.7404869705551115E-5</v>
      </c>
      <c r="CC88" s="2">
        <f t="shared" si="56"/>
        <v>9.7288896519677065E-2</v>
      </c>
      <c r="CD88" s="2">
        <v>1.4847412157664372E-4</v>
      </c>
      <c r="CE88" s="2">
        <f t="shared" si="49"/>
        <v>9.7246232679014E-2</v>
      </c>
      <c r="CF88" s="2">
        <v>4.5560592632377245E-5</v>
      </c>
      <c r="CG88" s="2">
        <f t="shared" si="50"/>
        <v>-2.615399883769308E-9</v>
      </c>
      <c r="CH88" s="2">
        <f t="shared" si="51"/>
        <v>6.7645689696035175E-9</v>
      </c>
      <c r="CI88" s="2">
        <f t="shared" si="52"/>
        <v>8.5327681326130556E-5</v>
      </c>
    </row>
    <row r="89" spans="43:87" x14ac:dyDescent="0.2"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 s="2">
        <v>17</v>
      </c>
      <c r="BP89" s="2">
        <f t="shared" si="53"/>
        <v>0.11196525770777294</v>
      </c>
      <c r="BQ89" s="2">
        <v>-5.082657495267956E-5</v>
      </c>
      <c r="BR89" s="2">
        <f t="shared" si="54"/>
        <v>0.112007921548436</v>
      </c>
      <c r="BS89" s="2">
        <v>5.3505750000015784E-5</v>
      </c>
      <c r="BT89" s="2">
        <f t="shared" si="45"/>
        <v>0.11198658962810447</v>
      </c>
      <c r="BU89" s="2">
        <v>1.3452760621868176E-6</v>
      </c>
      <c r="BV89" s="2">
        <f t="shared" si="46"/>
        <v>-6.83757746067839E-11</v>
      </c>
      <c r="BW89" s="2">
        <f t="shared" si="47"/>
        <v>7.198000466437355E-11</v>
      </c>
      <c r="BX89" s="2">
        <f t="shared" si="48"/>
        <v>4.2663840663065278E-5</v>
      </c>
      <c r="BY89"/>
      <c r="BZ89" s="2">
        <v>17</v>
      </c>
      <c r="CA89" s="2">
        <f t="shared" si="55"/>
        <v>9.7203568838350934E-2</v>
      </c>
      <c r="CB89" s="2">
        <v>-5.7404869705551115E-5</v>
      </c>
      <c r="CC89" s="2">
        <f t="shared" si="56"/>
        <v>9.7246232679014E-2</v>
      </c>
      <c r="CD89" s="2">
        <v>4.5560592632377245E-5</v>
      </c>
      <c r="CE89" s="2">
        <f t="shared" si="49"/>
        <v>9.7224900758682467E-2</v>
      </c>
      <c r="CF89" s="2">
        <v>-5.9156426620680935E-6</v>
      </c>
      <c r="CG89" s="2">
        <f t="shared" si="50"/>
        <v>3.3958669624061843E-10</v>
      </c>
      <c r="CH89" s="2">
        <f t="shared" si="51"/>
        <v>-2.6952018548519609E-10</v>
      </c>
      <c r="CI89" s="2">
        <f t="shared" si="52"/>
        <v>4.2663840663065278E-5</v>
      </c>
    </row>
    <row r="90" spans="43:87" x14ac:dyDescent="0.2"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 s="2">
        <v>18</v>
      </c>
      <c r="BP90" s="2">
        <f t="shared" si="53"/>
        <v>0.11196525770777294</v>
      </c>
      <c r="BQ90" s="2">
        <v>-5.082657495267956E-5</v>
      </c>
      <c r="BR90" s="2">
        <f t="shared" si="54"/>
        <v>0.11198658962810447</v>
      </c>
      <c r="BS90" s="2">
        <v>1.3452760621868176E-6</v>
      </c>
      <c r="BT90" s="2">
        <f t="shared" si="45"/>
        <v>0.11197592366793871</v>
      </c>
      <c r="BU90" s="2">
        <v>-2.4739226917952495E-5</v>
      </c>
      <c r="BV90" s="2">
        <f t="shared" si="46"/>
        <v>1.2574101712166603E-9</v>
      </c>
      <c r="BW90" s="2">
        <f t="shared" si="47"/>
        <v>-3.3281089769729251E-11</v>
      </c>
      <c r="BX90" s="2">
        <f t="shared" si="48"/>
        <v>2.1331920331532639E-5</v>
      </c>
      <c r="BY90"/>
      <c r="BZ90" s="2">
        <v>18</v>
      </c>
      <c r="CA90" s="2">
        <f t="shared" si="55"/>
        <v>9.7224900758682467E-2</v>
      </c>
      <c r="CB90" s="2">
        <v>-5.9156426620680935E-6</v>
      </c>
      <c r="CC90" s="2">
        <f t="shared" si="56"/>
        <v>9.7246232679014E-2</v>
      </c>
      <c r="CD90" s="2">
        <v>4.5560592632377245E-5</v>
      </c>
      <c r="CE90" s="2">
        <f t="shared" si="49"/>
        <v>9.7235566718848226E-2</v>
      </c>
      <c r="CF90" s="2">
        <v>1.9824098428447567E-5</v>
      </c>
      <c r="CG90" s="2">
        <f t="shared" si="50"/>
        <v>-1.1727228240036148E-10</v>
      </c>
      <c r="CH90" s="2">
        <f t="shared" si="51"/>
        <v>9.0319767280264953E-10</v>
      </c>
      <c r="CI90" s="2">
        <f t="shared" si="52"/>
        <v>2.1331920331532639E-5</v>
      </c>
    </row>
    <row r="91" spans="43:87" x14ac:dyDescent="0.2"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 s="2">
        <v>19</v>
      </c>
      <c r="BP91" s="2">
        <f t="shared" si="53"/>
        <v>0.11197592366793871</v>
      </c>
      <c r="BQ91" s="2">
        <v>-2.4739226917952495E-5</v>
      </c>
      <c r="BR91" s="2">
        <f t="shared" si="54"/>
        <v>0.11198658962810447</v>
      </c>
      <c r="BS91" s="2">
        <v>1.3452760621868176E-6</v>
      </c>
      <c r="BT91" s="2">
        <f t="shared" si="45"/>
        <v>0.11198125664802158</v>
      </c>
      <c r="BU91" s="2">
        <v>-1.1696619845180667E-5</v>
      </c>
      <c r="BV91" s="2">
        <f t="shared" si="46"/>
        <v>2.893653325229509E-10</v>
      </c>
      <c r="BW91" s="2">
        <f t="shared" si="47"/>
        <v>-1.5735182686220832E-11</v>
      </c>
      <c r="BX91" s="2">
        <f t="shared" si="48"/>
        <v>1.0665960165759381E-5</v>
      </c>
      <c r="BY91"/>
      <c r="BZ91" s="2">
        <v>19</v>
      </c>
      <c r="CA91" s="2">
        <f t="shared" si="55"/>
        <v>9.7224900758682467E-2</v>
      </c>
      <c r="CB91" s="2">
        <v>-5.9156426620680935E-6</v>
      </c>
      <c r="CC91" s="2">
        <f t="shared" si="56"/>
        <v>9.7235566718848226E-2</v>
      </c>
      <c r="CD91" s="2">
        <v>1.9824098428447567E-5</v>
      </c>
      <c r="CE91" s="2">
        <f t="shared" si="49"/>
        <v>9.7230233738765354E-2</v>
      </c>
      <c r="CF91" s="2">
        <v>6.9546338096679317E-6</v>
      </c>
      <c r="CG91" s="2">
        <f t="shared" si="50"/>
        <v>-4.1141128463532768E-11</v>
      </c>
      <c r="CH91" s="2">
        <f t="shared" si="51"/>
        <v>1.3786934517666635E-10</v>
      </c>
      <c r="CI91" s="2">
        <f t="shared" si="52"/>
        <v>1.0665960165759381E-5</v>
      </c>
    </row>
    <row r="92" spans="43:87" x14ac:dyDescent="0.2"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 s="2">
        <v>20</v>
      </c>
      <c r="BP92" s="2">
        <f t="shared" si="53"/>
        <v>0.11198125664802158</v>
      </c>
      <c r="BQ92" s="2">
        <v>-1.1696619845180667E-5</v>
      </c>
      <c r="BR92" s="2">
        <f t="shared" si="54"/>
        <v>0.11198658962810447</v>
      </c>
      <c r="BS92" s="2">
        <v>1.3452760621868176E-6</v>
      </c>
      <c r="BT92" s="2">
        <f t="shared" si="45"/>
        <v>0.11198392313806302</v>
      </c>
      <c r="BU92" s="2">
        <v>-5.1755830019414861E-6</v>
      </c>
      <c r="BV92" s="2">
        <f t="shared" si="46"/>
        <v>6.0536826850888522E-11</v>
      </c>
      <c r="BW92" s="2">
        <f t="shared" si="47"/>
        <v>-6.9625879203728709E-12</v>
      </c>
      <c r="BX92" s="2">
        <f t="shared" si="48"/>
        <v>5.3329800828866292E-6</v>
      </c>
      <c r="BY92"/>
      <c r="BZ92" s="2">
        <v>20</v>
      </c>
      <c r="CA92" s="2">
        <f t="shared" si="55"/>
        <v>9.7224900758682467E-2</v>
      </c>
      <c r="CB92" s="2">
        <v>-5.9156426620680935E-6</v>
      </c>
      <c r="CC92" s="2">
        <f t="shared" si="56"/>
        <v>9.7230233738765354E-2</v>
      </c>
      <c r="CD92" s="2">
        <v>6.9546338096679317E-6</v>
      </c>
      <c r="CE92" s="2">
        <f t="shared" si="49"/>
        <v>9.7227567248723917E-2</v>
      </c>
      <c r="CF92" s="2">
        <v>5.1959706362167402E-7</v>
      </c>
      <c r="CG92" s="2">
        <f t="shared" si="50"/>
        <v>-3.0737505566456844E-12</v>
      </c>
      <c r="CH92" s="2">
        <f t="shared" si="51"/>
        <v>3.6136073060674732E-12</v>
      </c>
      <c r="CI92" s="2">
        <f t="shared" si="52"/>
        <v>5.3329800828866292E-6</v>
      </c>
    </row>
    <row r="93" spans="43:87" x14ac:dyDescent="0.2"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 s="2">
        <v>21</v>
      </c>
      <c r="BP93" s="2">
        <f t="shared" si="53"/>
        <v>0.11198392313806302</v>
      </c>
      <c r="BQ93" s="2">
        <v>-5.1755830019414861E-6</v>
      </c>
      <c r="BR93" s="2">
        <f t="shared" si="54"/>
        <v>0.11198658962810447</v>
      </c>
      <c r="BS93" s="2">
        <v>1.3452760621868176E-6</v>
      </c>
      <c r="BT93" s="2">
        <f t="shared" si="45"/>
        <v>0.11198525638308374</v>
      </c>
      <c r="BU93" s="2">
        <v>-1.9151312482465488E-6</v>
      </c>
      <c r="BV93" s="2">
        <f t="shared" si="46"/>
        <v>9.9119207349118186E-12</v>
      </c>
      <c r="BW93" s="2">
        <f t="shared" si="47"/>
        <v>-2.5763802242120419E-12</v>
      </c>
      <c r="BX93" s="2">
        <f t="shared" si="48"/>
        <v>2.6664900414502535E-6</v>
      </c>
      <c r="BY93"/>
      <c r="BZ93" s="2">
        <v>21</v>
      </c>
      <c r="CA93" s="2">
        <f t="shared" si="55"/>
        <v>9.7224900758682467E-2</v>
      </c>
      <c r="CB93" s="2">
        <v>-5.9156426620680935E-6</v>
      </c>
      <c r="CC93" s="2">
        <f t="shared" si="56"/>
        <v>9.7227567248723917E-2</v>
      </c>
      <c r="CD93" s="2">
        <v>5.1959706362167402E-7</v>
      </c>
      <c r="CE93" s="2">
        <f t="shared" si="49"/>
        <v>9.7226234003703199E-2</v>
      </c>
      <c r="CF93" s="2">
        <v>-2.6979974257317074E-6</v>
      </c>
      <c r="CG93" s="2">
        <f t="shared" si="50"/>
        <v>1.596038867380838E-11</v>
      </c>
      <c r="CH93" s="2">
        <f t="shared" si="51"/>
        <v>-1.4018715400690308E-12</v>
      </c>
      <c r="CI93" s="2">
        <f t="shared" si="52"/>
        <v>2.6664900414502535E-6</v>
      </c>
    </row>
    <row r="94" spans="43:87" x14ac:dyDescent="0.2"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 s="2">
        <v>22</v>
      </c>
      <c r="BP94" s="2">
        <f t="shared" si="53"/>
        <v>0.11198525638308374</v>
      </c>
      <c r="BQ94" s="2">
        <v>-1.9151312482465488E-6</v>
      </c>
      <c r="BR94" s="2">
        <f t="shared" si="54"/>
        <v>0.11198658962810447</v>
      </c>
      <c r="BS94" s="2">
        <v>1.3452760621868176E-6</v>
      </c>
      <c r="BT94" s="2">
        <f t="shared" si="45"/>
        <v>0.1119859230055941</v>
      </c>
      <c r="BU94" s="2">
        <v>-2.8492203769936442E-7</v>
      </c>
      <c r="BV94" s="2">
        <f t="shared" si="46"/>
        <v>5.4566309771213403E-13</v>
      </c>
      <c r="BW94" s="2">
        <f t="shared" si="47"/>
        <v>-3.8329879690644493E-13</v>
      </c>
      <c r="BX94" s="2">
        <f t="shared" si="48"/>
        <v>1.3332450207320656E-6</v>
      </c>
      <c r="BY94"/>
      <c r="BZ94" s="2">
        <v>22</v>
      </c>
      <c r="CA94" s="2">
        <f t="shared" si="55"/>
        <v>9.7226234003703199E-2</v>
      </c>
      <c r="CB94" s="2">
        <v>-2.6979974257317074E-6</v>
      </c>
      <c r="CC94" s="2">
        <f t="shared" si="56"/>
        <v>9.7227567248723917E-2</v>
      </c>
      <c r="CD94" s="2">
        <v>5.1959706362167402E-7</v>
      </c>
      <c r="CE94" s="2">
        <f t="shared" si="49"/>
        <v>9.7226900626213558E-2</v>
      </c>
      <c r="CF94" s="2">
        <v>-1.0891938377749488E-6</v>
      </c>
      <c r="CG94" s="2">
        <f t="shared" si="50"/>
        <v>2.9386421704396508E-12</v>
      </c>
      <c r="CH94" s="2">
        <f t="shared" si="51"/>
        <v>-5.6594191982268534E-13</v>
      </c>
      <c r="CI94" s="2">
        <f t="shared" si="52"/>
        <v>1.3332450207181878E-6</v>
      </c>
    </row>
    <row r="95" spans="43:87" x14ac:dyDescent="0.2"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 s="2">
        <v>23</v>
      </c>
      <c r="BP95" s="2">
        <f t="shared" si="53"/>
        <v>0.1119859230055941</v>
      </c>
      <c r="BQ95" s="2">
        <v>-2.8492203769936442E-7</v>
      </c>
      <c r="BR95" s="2">
        <f t="shared" si="54"/>
        <v>0.11198658962810447</v>
      </c>
      <c r="BS95" s="2">
        <v>1.3452760621868176E-6</v>
      </c>
      <c r="BT95" s="2">
        <f t="shared" si="45"/>
        <v>0.11198625631684928</v>
      </c>
      <c r="BU95" s="2">
        <v>5.3017840104252478E-7</v>
      </c>
      <c r="BV95" s="2">
        <f t="shared" si="46"/>
        <v>-1.51059510369227E-13</v>
      </c>
      <c r="BW95" s="2">
        <f t="shared" si="47"/>
        <v>7.1323631161099106E-13</v>
      </c>
      <c r="BX95" s="2">
        <f t="shared" si="48"/>
        <v>6.6662251037297171E-7</v>
      </c>
      <c r="BY95"/>
      <c r="BZ95" s="2">
        <v>23</v>
      </c>
      <c r="CA95" s="2">
        <f t="shared" si="55"/>
        <v>9.7226900626213558E-2</v>
      </c>
      <c r="CB95" s="2">
        <v>-1.0891938377749488E-6</v>
      </c>
      <c r="CC95" s="2">
        <f t="shared" si="56"/>
        <v>9.7227567248723917E-2</v>
      </c>
      <c r="CD95" s="2">
        <v>5.1959706362167402E-7</v>
      </c>
      <c r="CE95" s="2">
        <f t="shared" si="49"/>
        <v>9.7227233937468738E-2</v>
      </c>
      <c r="CF95" s="2">
        <v>-2.8479680127743712E-7</v>
      </c>
      <c r="CG95" s="2">
        <f t="shared" si="50"/>
        <v>3.1019892096940118E-13</v>
      </c>
      <c r="CH95" s="2">
        <f t="shared" si="51"/>
        <v>-1.4797958167260175E-13</v>
      </c>
      <c r="CI95" s="2">
        <f t="shared" si="52"/>
        <v>6.6662251035909392E-7</v>
      </c>
    </row>
    <row r="96" spans="43:87" x14ac:dyDescent="0.2"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 s="2">
        <v>24</v>
      </c>
      <c r="BP96" s="2">
        <f t="shared" si="53"/>
        <v>0.1119859230055941</v>
      </c>
      <c r="BQ96" s="2">
        <v>-2.8492203769936442E-7</v>
      </c>
      <c r="BR96" s="2">
        <f t="shared" si="54"/>
        <v>0.11198625631684928</v>
      </c>
      <c r="BS96" s="2">
        <v>5.3017840104252478E-7</v>
      </c>
      <c r="BT96" s="2">
        <f t="shared" si="45"/>
        <v>0.11198608966122169</v>
      </c>
      <c r="BU96" s="2">
        <v>1.2262852885219777E-7</v>
      </c>
      <c r="BV96" s="2">
        <f t="shared" si="46"/>
        <v>-3.4939570320643492E-14</v>
      </c>
      <c r="BW96" s="2">
        <f t="shared" si="47"/>
        <v>6.5014997349055333E-14</v>
      </c>
      <c r="BX96" s="2">
        <f t="shared" si="48"/>
        <v>3.3331125517954696E-7</v>
      </c>
      <c r="BY96"/>
      <c r="BZ96" s="2">
        <v>24</v>
      </c>
      <c r="CA96" s="2">
        <f t="shared" si="55"/>
        <v>9.7227233937468738E-2</v>
      </c>
      <c r="CB96" s="2">
        <v>-2.8479680127743712E-7</v>
      </c>
      <c r="CC96" s="2">
        <f t="shared" si="56"/>
        <v>9.7227567248723917E-2</v>
      </c>
      <c r="CD96" s="2">
        <v>5.1959706362167402E-7</v>
      </c>
      <c r="CE96" s="2">
        <f t="shared" si="49"/>
        <v>9.7227400593096328E-2</v>
      </c>
      <c r="CF96" s="2">
        <v>1.1740052763622999E-7</v>
      </c>
      <c r="CG96" s="2">
        <f t="shared" si="50"/>
        <v>-3.3435294739081658E-14</v>
      </c>
      <c r="CH96" s="2">
        <f t="shared" si="51"/>
        <v>6.1000969427420289E-14</v>
      </c>
      <c r="CI96" s="2">
        <f t="shared" si="52"/>
        <v>3.3331125517954696E-7</v>
      </c>
    </row>
    <row r="97" spans="43:87" x14ac:dyDescent="0.2"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 s="2">
        <v>25</v>
      </c>
      <c r="BP97" s="2">
        <f t="shared" si="53"/>
        <v>0.1119859230055941</v>
      </c>
      <c r="BQ97" s="2">
        <v>-2.8492203769936442E-7</v>
      </c>
      <c r="BR97" s="2">
        <f t="shared" si="54"/>
        <v>0.11198608966122169</v>
      </c>
      <c r="BS97" s="2">
        <v>1.2262852885219777E-7</v>
      </c>
      <c r="BT97" s="2">
        <f t="shared" si="45"/>
        <v>0.11198600633340788</v>
      </c>
      <c r="BU97" s="2">
        <v>-8.1146667628428926E-8</v>
      </c>
      <c r="BV97" s="2">
        <f t="shared" si="46"/>
        <v>2.312047389320502E-14</v>
      </c>
      <c r="BW97" s="2">
        <f t="shared" si="47"/>
        <v>-9.9508964725324998E-15</v>
      </c>
      <c r="BX97" s="2">
        <f t="shared" si="48"/>
        <v>1.6665562758977348E-7</v>
      </c>
      <c r="BY97"/>
      <c r="BZ97" s="2">
        <v>25</v>
      </c>
      <c r="CA97" s="2">
        <f t="shared" si="55"/>
        <v>9.7227233937468738E-2</v>
      </c>
      <c r="CB97" s="2">
        <v>-2.8479680127743712E-7</v>
      </c>
      <c r="CC97" s="2">
        <f t="shared" si="56"/>
        <v>9.7227400593096328E-2</v>
      </c>
      <c r="CD97" s="2">
        <v>1.1740052763622999E-7</v>
      </c>
      <c r="CE97" s="2">
        <f t="shared" si="49"/>
        <v>9.7227317265282526E-2</v>
      </c>
      <c r="CF97" s="2">
        <v>-8.369803774013751E-8</v>
      </c>
      <c r="CG97" s="2">
        <f t="shared" si="50"/>
        <v>2.3836933421589374E-14</v>
      </c>
      <c r="CH97" s="2">
        <f t="shared" si="51"/>
        <v>-9.8261937928092344E-15</v>
      </c>
      <c r="CI97" s="2">
        <f t="shared" si="52"/>
        <v>1.6665562758977348E-7</v>
      </c>
    </row>
    <row r="98" spans="43:87" x14ac:dyDescent="0.2"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 s="2">
        <v>26</v>
      </c>
      <c r="BP98" s="2">
        <f t="shared" si="53"/>
        <v>0.11198600633340788</v>
      </c>
      <c r="BQ98" s="2">
        <v>-8.1146667628428926E-8</v>
      </c>
      <c r="BR98" s="2">
        <f t="shared" si="54"/>
        <v>0.11198608966122169</v>
      </c>
      <c r="BS98" s="2">
        <v>1.2262852885219777E-7</v>
      </c>
      <c r="BT98" s="2">
        <f t="shared" si="45"/>
        <v>0.11198604799731479</v>
      </c>
      <c r="BU98" s="2">
        <v>2.0740952316744554E-8</v>
      </c>
      <c r="BV98" s="2">
        <f t="shared" si="46"/>
        <v>-1.6830591639439633E-15</v>
      </c>
      <c r="BW98" s="2">
        <f t="shared" si="47"/>
        <v>2.5434324695959679E-15</v>
      </c>
      <c r="BX98" s="2">
        <f t="shared" si="48"/>
        <v>8.3327813801825634E-8</v>
      </c>
      <c r="BY98"/>
      <c r="BZ98" s="2">
        <v>26</v>
      </c>
      <c r="CA98" s="2">
        <f t="shared" si="55"/>
        <v>9.7227317265282526E-2</v>
      </c>
      <c r="CB98" s="2">
        <v>-8.369803774013751E-8</v>
      </c>
      <c r="CC98" s="2">
        <f t="shared" si="56"/>
        <v>9.7227400593096328E-2</v>
      </c>
      <c r="CD98" s="2">
        <v>1.1740052763622999E-7</v>
      </c>
      <c r="CE98" s="2">
        <f t="shared" si="49"/>
        <v>9.7227358929189434E-2</v>
      </c>
      <c r="CF98" s="2">
        <v>1.68512697511225E-8</v>
      </c>
      <c r="CG98" s="2">
        <f t="shared" si="50"/>
        <v>-1.4104182115986886E-15</v>
      </c>
      <c r="CH98" s="2">
        <f t="shared" si="51"/>
        <v>1.9783479601222236E-15</v>
      </c>
      <c r="CI98" s="2">
        <f t="shared" si="52"/>
        <v>8.3327813801825634E-8</v>
      </c>
    </row>
    <row r="99" spans="43:87" x14ac:dyDescent="0.2"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 s="2">
        <v>27</v>
      </c>
      <c r="BP99" s="2">
        <f t="shared" si="53"/>
        <v>0.11198600633340788</v>
      </c>
      <c r="BQ99" s="2">
        <v>-8.1146667628428926E-8</v>
      </c>
      <c r="BR99" s="2">
        <f t="shared" si="54"/>
        <v>0.11198604799731479</v>
      </c>
      <c r="BS99" s="2">
        <v>2.0740952316744554E-8</v>
      </c>
      <c r="BT99" s="2">
        <f t="shared" si="45"/>
        <v>0.11198602716536134</v>
      </c>
      <c r="BU99" s="2">
        <v>-3.0202852226157706E-8</v>
      </c>
      <c r="BV99" s="2">
        <f t="shared" si="46"/>
        <v>2.4508608110265739E-15</v>
      </c>
      <c r="BW99" s="2">
        <f t="shared" si="47"/>
        <v>-6.264359178524191E-16</v>
      </c>
      <c r="BX99" s="2">
        <f t="shared" si="48"/>
        <v>4.1663906907851711E-8</v>
      </c>
      <c r="BY99"/>
      <c r="BZ99" s="2">
        <v>27</v>
      </c>
      <c r="CA99" s="2">
        <f t="shared" si="55"/>
        <v>9.7227317265282526E-2</v>
      </c>
      <c r="CB99" s="2">
        <v>-8.369803774013751E-8</v>
      </c>
      <c r="CC99" s="2">
        <f t="shared" si="56"/>
        <v>9.7227358929189434E-2</v>
      </c>
      <c r="CD99" s="2">
        <v>1.68512697511225E-8</v>
      </c>
      <c r="CE99" s="2">
        <f t="shared" si="49"/>
        <v>9.722733809723598E-2</v>
      </c>
      <c r="CF99" s="2">
        <v>-3.3423377777258567E-8</v>
      </c>
      <c r="CG99" s="2">
        <f t="shared" si="50"/>
        <v>2.7974711346038607E-15</v>
      </c>
      <c r="CH99" s="2">
        <f t="shared" si="51"/>
        <v>-5.632263549182573E-16</v>
      </c>
      <c r="CI99" s="2">
        <f t="shared" si="52"/>
        <v>4.1663906907851711E-8</v>
      </c>
    </row>
    <row r="100" spans="43:87" x14ac:dyDescent="0.2"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 s="2">
        <v>28</v>
      </c>
      <c r="BP100" s="2">
        <f t="shared" si="53"/>
        <v>0.11198602716536134</v>
      </c>
      <c r="BQ100" s="2">
        <v>-3.0202852226157706E-8</v>
      </c>
      <c r="BR100" s="2">
        <f t="shared" si="54"/>
        <v>0.11198604799731479</v>
      </c>
      <c r="BS100" s="2">
        <v>2.0740952316744554E-8</v>
      </c>
      <c r="BT100" s="2">
        <f t="shared" si="45"/>
        <v>0.11198603758133807</v>
      </c>
      <c r="BU100" s="2">
        <v>-4.7309485912139237E-9</v>
      </c>
      <c r="BV100" s="2">
        <f t="shared" si="46"/>
        <v>1.4288814118998312E-16</v>
      </c>
      <c r="BW100" s="2">
        <f t="shared" si="47"/>
        <v>-9.8124379143337812E-17</v>
      </c>
      <c r="BX100" s="2">
        <f t="shared" si="48"/>
        <v>2.0831953453925856E-8</v>
      </c>
      <c r="BY100"/>
      <c r="BZ100" s="2">
        <v>28</v>
      </c>
      <c r="CA100" s="2">
        <f t="shared" si="55"/>
        <v>9.722733809723598E-2</v>
      </c>
      <c r="CB100" s="2">
        <v>-3.3423377777258567E-8</v>
      </c>
      <c r="CC100" s="2">
        <f t="shared" si="56"/>
        <v>9.7227358929189434E-2</v>
      </c>
      <c r="CD100" s="2">
        <v>1.68512697511225E-8</v>
      </c>
      <c r="CE100" s="2">
        <f t="shared" si="49"/>
        <v>9.7227348513212714E-2</v>
      </c>
      <c r="CF100" s="2">
        <v>-8.2860524622252463E-9</v>
      </c>
      <c r="CG100" s="2">
        <f t="shared" si="50"/>
        <v>2.7694786172713792E-16</v>
      </c>
      <c r="CH100" s="2">
        <f t="shared" si="51"/>
        <v>-1.396305052129104E-16</v>
      </c>
      <c r="CI100" s="2">
        <f t="shared" si="52"/>
        <v>2.0831953453925856E-8</v>
      </c>
    </row>
    <row r="101" spans="43:87" x14ac:dyDescent="0.2"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 s="2">
        <v>29</v>
      </c>
      <c r="BP101" s="2">
        <f t="shared" si="53"/>
        <v>0.11198603758133807</v>
      </c>
      <c r="BQ101" s="2">
        <v>-4.7309485912139237E-9</v>
      </c>
      <c r="BR101" s="2">
        <f t="shared" si="54"/>
        <v>0.11198604799731479</v>
      </c>
      <c r="BS101" s="2">
        <v>2.0740952316744554E-8</v>
      </c>
      <c r="BT101" s="2">
        <f t="shared" si="45"/>
        <v>0.11198604278932643</v>
      </c>
      <c r="BU101" s="2">
        <v>8.0050022097100104E-9</v>
      </c>
      <c r="BV101" s="2">
        <f t="shared" si="46"/>
        <v>-3.7871253926691921E-17</v>
      </c>
      <c r="BW101" s="2">
        <f t="shared" si="47"/>
        <v>1.6603136912703011E-16</v>
      </c>
      <c r="BX101" s="2">
        <f t="shared" si="48"/>
        <v>1.0415976720024034E-8</v>
      </c>
      <c r="BY101"/>
      <c r="BZ101" s="2">
        <v>29</v>
      </c>
      <c r="CA101" s="2">
        <f t="shared" si="55"/>
        <v>9.7227348513212714E-2</v>
      </c>
      <c r="CB101" s="2">
        <v>-8.2860524622252463E-9</v>
      </c>
      <c r="CC101" s="2">
        <f t="shared" si="56"/>
        <v>9.7227358929189434E-2</v>
      </c>
      <c r="CD101" s="2">
        <v>1.68512697511225E-8</v>
      </c>
      <c r="CE101" s="2">
        <f t="shared" si="49"/>
        <v>9.7227353721201074E-2</v>
      </c>
      <c r="CF101" s="2">
        <v>4.2826090035363862E-9</v>
      </c>
      <c r="CG101" s="2">
        <f t="shared" si="50"/>
        <v>-3.5485922878500681E-17</v>
      </c>
      <c r="CH101" s="2">
        <f t="shared" si="51"/>
        <v>7.2167399557177575E-17</v>
      </c>
      <c r="CI101" s="2">
        <f t="shared" si="52"/>
        <v>1.0415976720024034E-8</v>
      </c>
    </row>
    <row r="102" spans="43:87" x14ac:dyDescent="0.2"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 s="2">
        <v>30</v>
      </c>
      <c r="BP102" s="2">
        <f t="shared" si="53"/>
        <v>0.11198603758133807</v>
      </c>
      <c r="BQ102" s="2">
        <v>-4.7309485912139237E-9</v>
      </c>
      <c r="BR102" s="2">
        <f t="shared" si="54"/>
        <v>0.11198604278932643</v>
      </c>
      <c r="BS102" s="2">
        <v>8.0050022097100104E-9</v>
      </c>
      <c r="BT102" s="5">
        <f t="shared" si="45"/>
        <v>0.11198604018533226</v>
      </c>
      <c r="BU102" s="2">
        <v>1.6370269098620049E-9</v>
      </c>
      <c r="BV102" s="2">
        <f t="shared" si="46"/>
        <v>-7.7446901529909355E-18</v>
      </c>
      <c r="BW102" s="2">
        <f t="shared" si="47"/>
        <v>1.3104404030800099E-17</v>
      </c>
      <c r="BX102" s="2">
        <f t="shared" si="48"/>
        <v>5.2079883600120169E-9</v>
      </c>
      <c r="BY102"/>
      <c r="BZ102" s="2">
        <v>30</v>
      </c>
      <c r="CA102" s="2">
        <f t="shared" si="55"/>
        <v>9.7227348513212714E-2</v>
      </c>
      <c r="CB102" s="2">
        <v>-8.2860524622252463E-9</v>
      </c>
      <c r="CC102" s="2">
        <f t="shared" si="56"/>
        <v>9.7227353721201074E-2</v>
      </c>
      <c r="CD102" s="2">
        <v>4.2826090035363862E-9</v>
      </c>
      <c r="CE102" s="5">
        <f t="shared" si="49"/>
        <v>9.72273511172069E-2</v>
      </c>
      <c r="CF102" s="2">
        <v>-2.0017215697498703E-9</v>
      </c>
      <c r="CG102" s="2">
        <f t="shared" si="50"/>
        <v>1.6586369941715298E-17</v>
      </c>
      <c r="CH102" s="2">
        <f t="shared" si="51"/>
        <v>-8.5725908171837824E-18</v>
      </c>
      <c r="CI102" s="2">
        <f t="shared" si="52"/>
        <v>5.2079883600120169E-9</v>
      </c>
    </row>
    <row r="103" spans="43:87" x14ac:dyDescent="0.2"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</row>
    <row r="104" spans="43:87" x14ac:dyDescent="0.2"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 s="61" t="s">
        <v>213</v>
      </c>
      <c r="BP104" s="61"/>
      <c r="BQ104" s="61"/>
      <c r="BR104" s="61"/>
      <c r="BS104" s="61"/>
      <c r="BT104" s="61"/>
      <c r="BU104" s="61"/>
      <c r="BV104" s="61"/>
      <c r="BW104" s="61"/>
      <c r="BX104" s="61"/>
      <c r="BY104"/>
      <c r="BZ104" s="61" t="s">
        <v>221</v>
      </c>
      <c r="CA104" s="61"/>
      <c r="CB104" s="61"/>
      <c r="CC104" s="61"/>
      <c r="CD104" s="61"/>
      <c r="CE104" s="61"/>
      <c r="CF104" s="61"/>
      <c r="CG104" s="61"/>
      <c r="CH104" s="61"/>
      <c r="CI104" s="61"/>
    </row>
    <row r="105" spans="43:87" x14ac:dyDescent="0.2"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 s="7" t="s">
        <v>44</v>
      </c>
      <c r="BP105" s="7" t="s">
        <v>45</v>
      </c>
      <c r="BQ105" s="7" t="s">
        <v>46</v>
      </c>
      <c r="BR105" s="7" t="s">
        <v>47</v>
      </c>
      <c r="BS105" s="7" t="s">
        <v>48</v>
      </c>
      <c r="BT105" s="7" t="s">
        <v>49</v>
      </c>
      <c r="BU105" s="7" t="s">
        <v>50</v>
      </c>
      <c r="BV105" s="7" t="s">
        <v>51</v>
      </c>
      <c r="BW105" s="7" t="s">
        <v>52</v>
      </c>
      <c r="BX105" s="7" t="s">
        <v>53</v>
      </c>
      <c r="BY105"/>
      <c r="BZ105" s="7" t="s">
        <v>44</v>
      </c>
      <c r="CA105" s="7" t="s">
        <v>45</v>
      </c>
      <c r="CB105" s="7" t="s">
        <v>46</v>
      </c>
      <c r="CC105" s="7" t="s">
        <v>47</v>
      </c>
      <c r="CD105" s="7" t="s">
        <v>48</v>
      </c>
      <c r="CE105" s="7" t="s">
        <v>49</v>
      </c>
      <c r="CF105" s="7" t="s">
        <v>50</v>
      </c>
      <c r="CG105" s="7" t="s">
        <v>51</v>
      </c>
      <c r="CH105" s="7" t="s">
        <v>52</v>
      </c>
      <c r="CI105" s="7" t="s">
        <v>53</v>
      </c>
    </row>
    <row r="106" spans="43:87" x14ac:dyDescent="0.2"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 s="30">
        <v>0</v>
      </c>
      <c r="BP106" s="30"/>
      <c r="BQ106" s="30">
        <f>$BH$77</f>
        <v>-1.1845868695681272E-9</v>
      </c>
      <c r="BR106" s="30"/>
      <c r="BS106" s="30">
        <f>$BH$77</f>
        <v>-1.1845868695681272E-9</v>
      </c>
      <c r="BT106" s="30"/>
      <c r="BU106" s="30">
        <f>$BH$77</f>
        <v>-1.1845868695681272E-9</v>
      </c>
      <c r="BV106" s="30"/>
      <c r="BW106" s="30"/>
      <c r="BX106" s="30"/>
      <c r="BY106"/>
      <c r="BZ106" s="30">
        <v>0</v>
      </c>
      <c r="CA106" s="30"/>
      <c r="CB106" s="30">
        <f>$BL$77</f>
        <v>-5.495292450252709E-10</v>
      </c>
      <c r="CC106" s="30"/>
      <c r="CD106" s="30">
        <f>$BL$77</f>
        <v>-5.495292450252709E-10</v>
      </c>
      <c r="CE106" s="30"/>
      <c r="CF106" s="30">
        <f>$BL$77</f>
        <v>-5.495292450252709E-10</v>
      </c>
      <c r="CG106" s="30"/>
      <c r="CH106" s="30"/>
      <c r="CI106" s="30"/>
    </row>
    <row r="107" spans="43:87" x14ac:dyDescent="0.2"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 s="2">
        <v>1</v>
      </c>
      <c r="BP107" s="3">
        <f>0.01*PI()</f>
        <v>3.1415926535897934E-2</v>
      </c>
      <c r="BQ107" s="2">
        <f t="dataTable" ref="BQ107:BQ136" dt2D="0" dtr="0" r1="BH61" ca="1"/>
        <v>-0.2494553704495244</v>
      </c>
      <c r="BR107" s="3">
        <f>0.9*PI()</f>
        <v>2.8274333882308138</v>
      </c>
      <c r="BS107" s="2">
        <f t="dataTable" ref="BS107:BS136" dt2D="0" dtr="0" r1="BH61" ca="1"/>
        <v>0.35848294862151797</v>
      </c>
      <c r="BT107" s="2">
        <f t="shared" ref="BT107:BT136" si="57">(BP107+BR107)/2</f>
        <v>1.4294246573833558</v>
      </c>
      <c r="BU107" s="2">
        <f t="dataTable" ref="BU107:BU136" dt2D="0" dtr="0" r1="BH61" ca="1"/>
        <v>1.0160993951774353</v>
      </c>
      <c r="BV107" s="2">
        <f t="shared" ref="BV107:BV136" si="58">BQ107*BU107</f>
        <v>-0.25347145103752483</v>
      </c>
      <c r="BW107" s="2">
        <f t="shared" ref="BW107:BW136" si="59">BS107*BU107</f>
        <v>0.36425430727574803</v>
      </c>
      <c r="BX107" s="2">
        <f t="shared" ref="BX107:BX136" si="60">BR107-BP107</f>
        <v>2.7960174616949161</v>
      </c>
      <c r="BY107"/>
      <c r="BZ107" s="2">
        <v>1</v>
      </c>
      <c r="CA107" s="3">
        <f>0.001*PI()</f>
        <v>3.1415926535897933E-3</v>
      </c>
      <c r="CB107" s="2">
        <f t="dataTable" ref="CB107:CB136" dt2D="0" dtr="0" r1="BL61" ca="1"/>
        <v>-2.2890300259182381</v>
      </c>
      <c r="CC107" s="3">
        <f>0.9*PI()</f>
        <v>2.8274333882308138</v>
      </c>
      <c r="CD107" s="2">
        <f t="dataTable" ref="CD107:CD136" dt2D="0" dtr="0" r1="BL61" ca="1"/>
        <v>0.36662067495562473</v>
      </c>
      <c r="CE107" s="2">
        <f t="shared" ref="CE107:CE136" si="61">(CA107+CC107)/2</f>
        <v>1.4152874904422017</v>
      </c>
      <c r="CF107" s="2">
        <f t="dataTable" ref="CF107:CF136" dt2D="0" dtr="0" r1="BL61" ca="1"/>
        <v>1.029276263477668</v>
      </c>
      <c r="CG107" s="2">
        <f t="shared" ref="CG107:CG136" si="62">CB107*CF107</f>
        <v>-2.3560442720653136</v>
      </c>
      <c r="CH107" s="2">
        <f t="shared" ref="CH107:CH136" si="63">CD107*CF107</f>
        <v>0.37735395843198605</v>
      </c>
      <c r="CI107" s="2">
        <f t="shared" ref="CI107:CI136" si="64">CC107-CA107</f>
        <v>2.8242917955772242</v>
      </c>
    </row>
    <row r="108" spans="43:87" x14ac:dyDescent="0.2"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 s="2">
        <v>2</v>
      </c>
      <c r="BP108" s="2">
        <f t="shared" ref="BP108:BP136" si="65">IF(BV107&gt;0,BT107,BP107)</f>
        <v>3.1415926535897934E-2</v>
      </c>
      <c r="BQ108" s="2">
        <v>-0.2494553704495244</v>
      </c>
      <c r="BR108" s="2">
        <f t="shared" ref="BR108:BR136" si="66">IF(BW107&gt;0,BT107,BR107)</f>
        <v>1.4294246573833558</v>
      </c>
      <c r="BS108" s="2">
        <v>1.0160993951774353</v>
      </c>
      <c r="BT108" s="2">
        <f t="shared" si="57"/>
        <v>0.73042029195962688</v>
      </c>
      <c r="BU108" s="2">
        <v>0.67304803767817301</v>
      </c>
      <c r="BV108" s="2">
        <f t="shared" si="58"/>
        <v>-0.16789544756933411</v>
      </c>
      <c r="BW108" s="2">
        <f t="shared" si="59"/>
        <v>0.68388370401015131</v>
      </c>
      <c r="BX108" s="2">
        <f t="shared" si="60"/>
        <v>1.3980087308474578</v>
      </c>
      <c r="BY108"/>
      <c r="BZ108" s="2">
        <v>2</v>
      </c>
      <c r="CA108" s="2">
        <f t="shared" ref="CA108:CA136" si="67">IF(CG107&gt;0,CE107,CA107)</f>
        <v>3.1415926535897933E-3</v>
      </c>
      <c r="CB108" s="2">
        <v>-2.2890300259182381</v>
      </c>
      <c r="CC108" s="2">
        <f t="shared" ref="CC108:CC136" si="68">IF(CH107&gt;0,CE107,CC107)</f>
        <v>1.4152874904422017</v>
      </c>
      <c r="CD108" s="2">
        <v>1.029276263477668</v>
      </c>
      <c r="CE108" s="2">
        <f t="shared" si="61"/>
        <v>0.70921454154789576</v>
      </c>
      <c r="CF108" s="2">
        <v>0.67060401674113912</v>
      </c>
      <c r="CG108" s="2">
        <f t="shared" si="62"/>
        <v>-1.5350327298218442</v>
      </c>
      <c r="CH108" s="2">
        <f t="shared" si="63"/>
        <v>0.69023679662443516</v>
      </c>
      <c r="CI108" s="2">
        <f t="shared" si="64"/>
        <v>1.4121458977886119</v>
      </c>
    </row>
    <row r="109" spans="43:87" x14ac:dyDescent="0.2"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 s="2">
        <v>3</v>
      </c>
      <c r="BP109" s="2">
        <f t="shared" si="65"/>
        <v>3.1415926535897934E-2</v>
      </c>
      <c r="BQ109" s="2">
        <v>-0.2494553704495244</v>
      </c>
      <c r="BR109" s="2">
        <f t="shared" si="66"/>
        <v>0.73042029195962688</v>
      </c>
      <c r="BS109" s="2">
        <v>0.67304803767817301</v>
      </c>
      <c r="BT109" s="2">
        <f t="shared" si="57"/>
        <v>0.38091810924776243</v>
      </c>
      <c r="BU109" s="2">
        <v>0.38888993761584589</v>
      </c>
      <c r="BV109" s="2">
        <f t="shared" si="58"/>
        <v>-9.701068345205327E-2</v>
      </c>
      <c r="BW109" s="2">
        <f t="shared" si="59"/>
        <v>0.26174160938513219</v>
      </c>
      <c r="BX109" s="2">
        <f t="shared" si="60"/>
        <v>0.6990043654237289</v>
      </c>
      <c r="BY109"/>
      <c r="BZ109" s="2">
        <v>3</v>
      </c>
      <c r="CA109" s="2">
        <f t="shared" si="67"/>
        <v>3.1415926535897933E-3</v>
      </c>
      <c r="CB109" s="2">
        <v>-2.2890300259182381</v>
      </c>
      <c r="CC109" s="2">
        <f t="shared" si="68"/>
        <v>0.70921454154789576</v>
      </c>
      <c r="CD109" s="2">
        <v>0.67060401674113912</v>
      </c>
      <c r="CE109" s="2">
        <f t="shared" si="61"/>
        <v>0.35617806710074279</v>
      </c>
      <c r="CF109" s="2">
        <v>0.38626109974427469</v>
      </c>
      <c r="CG109" s="2">
        <f t="shared" si="62"/>
        <v>-0.88416325515884431</v>
      </c>
      <c r="CH109" s="2">
        <f t="shared" si="63"/>
        <v>0.25902824499936039</v>
      </c>
      <c r="CI109" s="2">
        <f t="shared" si="64"/>
        <v>0.70607294889430594</v>
      </c>
    </row>
    <row r="110" spans="43:87" x14ac:dyDescent="0.2"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 s="2">
        <v>4</v>
      </c>
      <c r="BP110" s="2">
        <f t="shared" si="65"/>
        <v>3.1415926535897934E-2</v>
      </c>
      <c r="BQ110" s="2">
        <v>-0.2494553704495244</v>
      </c>
      <c r="BR110" s="2">
        <f t="shared" si="66"/>
        <v>0.38091810924776243</v>
      </c>
      <c r="BS110" s="2">
        <v>0.38888993761584589</v>
      </c>
      <c r="BT110" s="2">
        <f t="shared" si="57"/>
        <v>0.20616701789183017</v>
      </c>
      <c r="BU110" s="2">
        <v>0.19295406209498461</v>
      </c>
      <c r="BV110" s="2">
        <f t="shared" si="58"/>
        <v>-4.8133427039644919E-2</v>
      </c>
      <c r="BW110" s="2">
        <f t="shared" si="59"/>
        <v>7.5037893170842626E-2</v>
      </c>
      <c r="BX110" s="2">
        <f t="shared" si="60"/>
        <v>0.34950218271186451</v>
      </c>
      <c r="BY110"/>
      <c r="BZ110" s="2">
        <v>4</v>
      </c>
      <c r="CA110" s="2">
        <f t="shared" si="67"/>
        <v>3.1415926535897933E-3</v>
      </c>
      <c r="CB110" s="2">
        <v>-2.2890300259182381</v>
      </c>
      <c r="CC110" s="2">
        <f t="shared" si="68"/>
        <v>0.35617806710074279</v>
      </c>
      <c r="CD110" s="2">
        <v>0.38626109974427469</v>
      </c>
      <c r="CE110" s="2">
        <f t="shared" si="61"/>
        <v>0.1796598298771663</v>
      </c>
      <c r="CF110" s="2">
        <v>0.17255057655259776</v>
      </c>
      <c r="CG110" s="2">
        <f t="shared" si="62"/>
        <v>-0.39497345071839979</v>
      </c>
      <c r="CH110" s="2">
        <f t="shared" si="63"/>
        <v>6.6649575460715066E-2</v>
      </c>
      <c r="CI110" s="2">
        <f t="shared" si="64"/>
        <v>0.35303647444715297</v>
      </c>
    </row>
    <row r="111" spans="43:87" x14ac:dyDescent="0.2"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 s="2">
        <v>5</v>
      </c>
      <c r="BP111" s="2">
        <f t="shared" si="65"/>
        <v>3.1415926535897934E-2</v>
      </c>
      <c r="BQ111" s="2">
        <v>-0.2494553704495244</v>
      </c>
      <c r="BR111" s="2">
        <f t="shared" si="66"/>
        <v>0.20616701789183017</v>
      </c>
      <c r="BS111" s="2">
        <v>0.19295406209498461</v>
      </c>
      <c r="BT111" s="2">
        <f t="shared" si="57"/>
        <v>0.11879147221386405</v>
      </c>
      <c r="BU111" s="2">
        <v>6.7364177359123076E-2</v>
      </c>
      <c r="BV111" s="2">
        <f t="shared" si="58"/>
        <v>-1.6804355818147512E-2</v>
      </c>
      <c r="BW111" s="2">
        <f t="shared" si="59"/>
        <v>1.2998191661129791E-2</v>
      </c>
      <c r="BX111" s="2">
        <f t="shared" si="60"/>
        <v>0.17475109135593225</v>
      </c>
      <c r="BY111"/>
      <c r="BZ111" s="2">
        <v>5</v>
      </c>
      <c r="CA111" s="2">
        <f t="shared" si="67"/>
        <v>3.1415926535897933E-3</v>
      </c>
      <c r="CB111" s="2">
        <v>-2.2890300259182381</v>
      </c>
      <c r="CC111" s="2">
        <f t="shared" si="68"/>
        <v>0.1796598298771663</v>
      </c>
      <c r="CD111" s="2">
        <v>0.17255057655259776</v>
      </c>
      <c r="CE111" s="2">
        <f t="shared" si="61"/>
        <v>9.1400711265378048E-2</v>
      </c>
      <c r="CF111" s="2">
        <v>2.8181002700013103E-2</v>
      </c>
      <c r="CG111" s="2">
        <f t="shared" si="62"/>
        <v>-6.4507161340812927E-2</v>
      </c>
      <c r="CH111" s="2">
        <f t="shared" si="63"/>
        <v>4.8626482637175754E-3</v>
      </c>
      <c r="CI111" s="2">
        <f t="shared" si="64"/>
        <v>0.17651823722357651</v>
      </c>
    </row>
    <row r="112" spans="43:87" x14ac:dyDescent="0.2"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 s="2">
        <v>6</v>
      </c>
      <c r="BP112" s="2">
        <f t="shared" si="65"/>
        <v>3.1415926535897934E-2</v>
      </c>
      <c r="BQ112" s="2">
        <v>-0.2494553704495244</v>
      </c>
      <c r="BR112" s="2">
        <f t="shared" si="66"/>
        <v>0.11879147221386405</v>
      </c>
      <c r="BS112" s="2">
        <v>6.7364177359123076E-2</v>
      </c>
      <c r="BT112" s="2">
        <f t="shared" si="57"/>
        <v>7.5103699374880983E-2</v>
      </c>
      <c r="BU112" s="2">
        <v>-2.4840557041580124E-2</v>
      </c>
      <c r="BV112" s="2">
        <f t="shared" si="58"/>
        <v>6.1966103589799117E-3</v>
      </c>
      <c r="BW112" s="2">
        <f t="shared" si="59"/>
        <v>-1.673363690248417E-3</v>
      </c>
      <c r="BX112" s="2">
        <f t="shared" si="60"/>
        <v>8.7375545677966113E-2</v>
      </c>
      <c r="BY112"/>
      <c r="BZ112" s="2">
        <v>6</v>
      </c>
      <c r="CA112" s="2">
        <f t="shared" si="67"/>
        <v>3.1415926535897933E-3</v>
      </c>
      <c r="CB112" s="2">
        <v>-2.2890300259182381</v>
      </c>
      <c r="CC112" s="2">
        <f t="shared" si="68"/>
        <v>9.1400711265378048E-2</v>
      </c>
      <c r="CD112" s="2">
        <v>2.8181002700013103E-2</v>
      </c>
      <c r="CE112" s="2">
        <f t="shared" si="61"/>
        <v>4.727115195948392E-2</v>
      </c>
      <c r="CF112" s="2">
        <v>-9.2973282854481282E-2</v>
      </c>
      <c r="CG112" s="2">
        <f t="shared" si="62"/>
        <v>0.21281863606209697</v>
      </c>
      <c r="CH112" s="2">
        <f t="shared" si="63"/>
        <v>-2.6200803351512187E-3</v>
      </c>
      <c r="CI112" s="2">
        <f t="shared" si="64"/>
        <v>8.8259118611788256E-2</v>
      </c>
    </row>
    <row r="113" spans="43:87" x14ac:dyDescent="0.2"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 s="2">
        <v>7</v>
      </c>
      <c r="BP113" s="2">
        <f t="shared" si="65"/>
        <v>7.5103699374880983E-2</v>
      </c>
      <c r="BQ113" s="2">
        <v>-2.4840557041580124E-2</v>
      </c>
      <c r="BR113" s="2">
        <f t="shared" si="66"/>
        <v>0.11879147221386405</v>
      </c>
      <c r="BS113" s="2">
        <v>6.7364177359123076E-2</v>
      </c>
      <c r="BT113" s="2">
        <f t="shared" si="57"/>
        <v>9.6947585794372515E-2</v>
      </c>
      <c r="BU113" s="2">
        <v>2.6523873458163882E-2</v>
      </c>
      <c r="BV113" s="2">
        <f t="shared" si="58"/>
        <v>-6.58867791601173E-4</v>
      </c>
      <c r="BW113" s="2">
        <f t="shared" si="59"/>
        <v>1.7867589158866888E-3</v>
      </c>
      <c r="BX113" s="2">
        <f t="shared" si="60"/>
        <v>4.3687772838983063E-2</v>
      </c>
      <c r="BY113"/>
      <c r="BZ113" s="2">
        <v>7</v>
      </c>
      <c r="CA113" s="2">
        <f t="shared" si="67"/>
        <v>4.727115195948392E-2</v>
      </c>
      <c r="CB113" s="2">
        <v>-9.2973282854481282E-2</v>
      </c>
      <c r="CC113" s="2">
        <f t="shared" si="68"/>
        <v>9.1400711265378048E-2</v>
      </c>
      <c r="CD113" s="2">
        <v>2.8181002700013103E-2</v>
      </c>
      <c r="CE113" s="2">
        <f t="shared" si="61"/>
        <v>6.9335931612430984E-2</v>
      </c>
      <c r="CF113" s="2">
        <v>-2.2052388581594834E-2</v>
      </c>
      <c r="CG113" s="2">
        <f t="shared" si="62"/>
        <v>2.0502829612135498E-3</v>
      </c>
      <c r="CH113" s="2">
        <f t="shared" si="63"/>
        <v>-6.2145842215966213E-4</v>
      </c>
      <c r="CI113" s="2">
        <f t="shared" si="64"/>
        <v>4.4129559305894128E-2</v>
      </c>
    </row>
    <row r="114" spans="43:87" x14ac:dyDescent="0.2"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 s="2">
        <v>8</v>
      </c>
      <c r="BP114" s="2">
        <f t="shared" si="65"/>
        <v>7.5103699374880983E-2</v>
      </c>
      <c r="BQ114" s="2">
        <v>-2.4840557041580124E-2</v>
      </c>
      <c r="BR114" s="2">
        <f t="shared" si="66"/>
        <v>9.6947585794372515E-2</v>
      </c>
      <c r="BS114" s="2">
        <v>2.6523873458163882E-2</v>
      </c>
      <c r="BT114" s="2">
        <f t="shared" si="57"/>
        <v>8.6025642584626749E-2</v>
      </c>
      <c r="BU114" s="2">
        <v>2.6739336618875204E-3</v>
      </c>
      <c r="BV114" s="2">
        <f t="shared" si="58"/>
        <v>-6.6422001653518165E-5</v>
      </c>
      <c r="BW114" s="2">
        <f t="shared" si="59"/>
        <v>7.0923078083429356E-5</v>
      </c>
      <c r="BX114" s="2">
        <f t="shared" si="60"/>
        <v>2.1843886419491532E-2</v>
      </c>
      <c r="BY114"/>
      <c r="BZ114" s="2">
        <v>8</v>
      </c>
      <c r="CA114" s="2">
        <f t="shared" si="67"/>
        <v>6.9335931612430984E-2</v>
      </c>
      <c r="CB114" s="2">
        <v>-2.2052388581594834E-2</v>
      </c>
      <c r="CC114" s="2">
        <f t="shared" si="68"/>
        <v>9.1400711265378048E-2</v>
      </c>
      <c r="CD114" s="2">
        <v>2.8181002700013103E-2</v>
      </c>
      <c r="CE114" s="2">
        <f t="shared" si="61"/>
        <v>8.0368321438904516E-2</v>
      </c>
      <c r="CF114" s="2">
        <v>4.5767738096815329E-3</v>
      </c>
      <c r="CG114" s="2">
        <f t="shared" si="62"/>
        <v>-1.0092879450116333E-4</v>
      </c>
      <c r="CH114" s="2">
        <f t="shared" si="63"/>
        <v>1.2897807508798455E-4</v>
      </c>
      <c r="CI114" s="2">
        <f t="shared" si="64"/>
        <v>2.2064779652947064E-2</v>
      </c>
    </row>
    <row r="115" spans="43:87" x14ac:dyDescent="0.2"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 s="2">
        <v>9</v>
      </c>
      <c r="BP115" s="2">
        <f t="shared" si="65"/>
        <v>7.5103699374880983E-2</v>
      </c>
      <c r="BQ115" s="2">
        <v>-2.4840557041580124E-2</v>
      </c>
      <c r="BR115" s="2">
        <f t="shared" si="66"/>
        <v>8.6025642584626749E-2</v>
      </c>
      <c r="BS115" s="2">
        <v>2.6739336618875204E-3</v>
      </c>
      <c r="BT115" s="2">
        <f t="shared" si="57"/>
        <v>8.0564670979753866E-2</v>
      </c>
      <c r="BU115" s="2">
        <v>-1.052953974759626E-2</v>
      </c>
      <c r="BV115" s="2">
        <f t="shared" si="58"/>
        <v>2.6155963272175007E-4</v>
      </c>
      <c r="BW115" s="2">
        <f t="shared" si="59"/>
        <v>-2.8155290775280265E-5</v>
      </c>
      <c r="BX115" s="2">
        <f t="shared" si="60"/>
        <v>1.0921943209745766E-2</v>
      </c>
      <c r="BY115"/>
      <c r="BZ115" s="2">
        <v>9</v>
      </c>
      <c r="CA115" s="2">
        <f t="shared" si="67"/>
        <v>6.9335931612430984E-2</v>
      </c>
      <c r="CB115" s="2">
        <v>-2.2052388581594834E-2</v>
      </c>
      <c r="CC115" s="2">
        <f t="shared" si="68"/>
        <v>8.0368321438904516E-2</v>
      </c>
      <c r="CD115" s="2">
        <v>4.5767738096815329E-3</v>
      </c>
      <c r="CE115" s="2">
        <f t="shared" si="61"/>
        <v>7.485212652566775E-2</v>
      </c>
      <c r="CF115" s="2">
        <v>-8.2772590926218793E-3</v>
      </c>
      <c r="CG115" s="2">
        <f t="shared" si="62"/>
        <v>1.8253333390103675E-4</v>
      </c>
      <c r="CH115" s="2">
        <f t="shared" si="63"/>
        <v>-3.7883142631060144E-5</v>
      </c>
      <c r="CI115" s="2">
        <f t="shared" si="64"/>
        <v>1.1032389826473532E-2</v>
      </c>
    </row>
    <row r="116" spans="43:87" x14ac:dyDescent="0.2"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 s="2">
        <v>10</v>
      </c>
      <c r="BP116" s="2">
        <f t="shared" si="65"/>
        <v>8.0564670979753866E-2</v>
      </c>
      <c r="BQ116" s="2">
        <v>-1.052953974759626E-2</v>
      </c>
      <c r="BR116" s="2">
        <f t="shared" si="66"/>
        <v>8.6025642584626749E-2</v>
      </c>
      <c r="BS116" s="2">
        <v>2.6739336618875204E-3</v>
      </c>
      <c r="BT116" s="2">
        <f t="shared" si="57"/>
        <v>8.3295156782190308E-2</v>
      </c>
      <c r="BU116" s="2">
        <v>-3.8032958042725599E-3</v>
      </c>
      <c r="BV116" s="2">
        <f t="shared" si="58"/>
        <v>4.0046954342954003E-5</v>
      </c>
      <c r="BW116" s="2">
        <f t="shared" si="59"/>
        <v>-1.0169760677159967E-5</v>
      </c>
      <c r="BX116" s="2">
        <f t="shared" si="60"/>
        <v>5.4609716048728829E-3</v>
      </c>
      <c r="BY116"/>
      <c r="BZ116" s="2">
        <v>10</v>
      </c>
      <c r="CA116" s="2">
        <f t="shared" si="67"/>
        <v>7.485212652566775E-2</v>
      </c>
      <c r="CB116" s="2">
        <v>-8.2772590926218793E-3</v>
      </c>
      <c r="CC116" s="2">
        <f t="shared" si="68"/>
        <v>8.0368321438904516E-2</v>
      </c>
      <c r="CD116" s="2">
        <v>4.5767738096815329E-3</v>
      </c>
      <c r="CE116" s="2">
        <f t="shared" si="61"/>
        <v>7.7610223982286133E-2</v>
      </c>
      <c r="CF116" s="2">
        <v>-1.747322919447479E-3</v>
      </c>
      <c r="CG116" s="2">
        <f t="shared" si="62"/>
        <v>1.4463044522743253E-5</v>
      </c>
      <c r="CH116" s="2">
        <f t="shared" si="63"/>
        <v>-7.9971017747834961E-6</v>
      </c>
      <c r="CI116" s="2">
        <f t="shared" si="64"/>
        <v>5.516194913236766E-3</v>
      </c>
    </row>
    <row r="117" spans="43:87" x14ac:dyDescent="0.2"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 s="2">
        <v>11</v>
      </c>
      <c r="BP117" s="2">
        <f t="shared" si="65"/>
        <v>8.3295156782190308E-2</v>
      </c>
      <c r="BQ117" s="2">
        <v>-3.8032958042725599E-3</v>
      </c>
      <c r="BR117" s="2">
        <f t="shared" si="66"/>
        <v>8.6025642584626749E-2</v>
      </c>
      <c r="BS117" s="2">
        <v>2.6739336618875204E-3</v>
      </c>
      <c r="BT117" s="2">
        <f t="shared" si="57"/>
        <v>8.4660399683408522E-2</v>
      </c>
      <c r="BU117" s="2">
        <v>-5.350989359113531E-4</v>
      </c>
      <c r="BV117" s="2">
        <f t="shared" si="58"/>
        <v>2.0351395378223605E-6</v>
      </c>
      <c r="BW117" s="2">
        <f t="shared" si="59"/>
        <v>-1.4308190571735599E-6</v>
      </c>
      <c r="BX117" s="2">
        <f t="shared" si="60"/>
        <v>2.7304858024364415E-3</v>
      </c>
      <c r="BY117"/>
      <c r="BZ117" s="2">
        <v>11</v>
      </c>
      <c r="CA117" s="2">
        <f t="shared" si="67"/>
        <v>7.7610223982286133E-2</v>
      </c>
      <c r="CB117" s="2">
        <v>-1.747322919447479E-3</v>
      </c>
      <c r="CC117" s="2">
        <f t="shared" si="68"/>
        <v>8.0368321438904516E-2</v>
      </c>
      <c r="CD117" s="2">
        <v>4.5767738096815329E-3</v>
      </c>
      <c r="CE117" s="2">
        <f t="shared" si="61"/>
        <v>7.8989272710595332E-2</v>
      </c>
      <c r="CF117" s="2">
        <v>1.4391232001641496E-3</v>
      </c>
      <c r="CG117" s="2">
        <f t="shared" si="62"/>
        <v>-2.5146129515554208E-6</v>
      </c>
      <c r="CH117" s="2">
        <f t="shared" si="63"/>
        <v>6.5865413714163546E-6</v>
      </c>
      <c r="CI117" s="2">
        <f t="shared" si="64"/>
        <v>2.758097456618383E-3</v>
      </c>
    </row>
    <row r="118" spans="43:87" x14ac:dyDescent="0.2"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 s="2">
        <v>12</v>
      </c>
      <c r="BP118" s="2">
        <f t="shared" si="65"/>
        <v>8.4660399683408522E-2</v>
      </c>
      <c r="BQ118" s="2">
        <v>-5.350989359113531E-4</v>
      </c>
      <c r="BR118" s="2">
        <f t="shared" si="66"/>
        <v>8.6025642584626749E-2</v>
      </c>
      <c r="BS118" s="2">
        <v>2.6739336618875204E-3</v>
      </c>
      <c r="BT118" s="2">
        <f t="shared" si="57"/>
        <v>8.5343021134017635E-2</v>
      </c>
      <c r="BU118" s="2">
        <v>1.0766306874357909E-3</v>
      </c>
      <c r="BV118" s="2">
        <f t="shared" si="58"/>
        <v>-5.7610393521640025E-7</v>
      </c>
      <c r="BW118" s="2">
        <f t="shared" si="59"/>
        <v>2.8788390365556625E-6</v>
      </c>
      <c r="BX118" s="2">
        <f t="shared" si="60"/>
        <v>1.3652429012182277E-3</v>
      </c>
      <c r="BY118"/>
      <c r="BZ118" s="2">
        <v>12</v>
      </c>
      <c r="CA118" s="2">
        <f t="shared" si="67"/>
        <v>7.7610223982286133E-2</v>
      </c>
      <c r="CB118" s="2">
        <v>-1.747322919447479E-3</v>
      </c>
      <c r="CC118" s="2">
        <f t="shared" si="68"/>
        <v>7.8989272710595332E-2</v>
      </c>
      <c r="CD118" s="2">
        <v>1.4391232001641496E-3</v>
      </c>
      <c r="CE118" s="2">
        <f t="shared" si="61"/>
        <v>7.829974834644074E-2</v>
      </c>
      <c r="CF118" s="2">
        <v>-1.4784155976416483E-4</v>
      </c>
      <c r="CG118" s="2">
        <f t="shared" si="62"/>
        <v>2.5832694582278943E-7</v>
      </c>
      <c r="CH118" s="2">
        <f t="shared" si="63"/>
        <v>-2.1276221860506425E-7</v>
      </c>
      <c r="CI118" s="2">
        <f t="shared" si="64"/>
        <v>1.3790487283091984E-3</v>
      </c>
    </row>
    <row r="119" spans="43:87" x14ac:dyDescent="0.2"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 s="2">
        <v>13</v>
      </c>
      <c r="BP119" s="2">
        <f t="shared" si="65"/>
        <v>8.4660399683408522E-2</v>
      </c>
      <c r="BQ119" s="2">
        <v>-5.350989359113531E-4</v>
      </c>
      <c r="BR119" s="2">
        <f t="shared" si="66"/>
        <v>8.5343021134017635E-2</v>
      </c>
      <c r="BS119" s="2">
        <v>1.0766306874357909E-3</v>
      </c>
      <c r="BT119" s="2">
        <f t="shared" si="57"/>
        <v>8.5001710408713071E-2</v>
      </c>
      <c r="BU119" s="2">
        <v>2.7259152250893801E-4</v>
      </c>
      <c r="BV119" s="2">
        <f t="shared" si="58"/>
        <v>-1.4586343363298838E-7</v>
      </c>
      <c r="BW119" s="2">
        <f t="shared" si="59"/>
        <v>2.9348039826796678E-7</v>
      </c>
      <c r="BX119" s="2">
        <f t="shared" si="60"/>
        <v>6.8262145060911383E-4</v>
      </c>
      <c r="BY119"/>
      <c r="BZ119" s="2">
        <v>13</v>
      </c>
      <c r="CA119" s="2">
        <f t="shared" si="67"/>
        <v>7.829974834644074E-2</v>
      </c>
      <c r="CB119" s="2">
        <v>-1.4784155976416483E-4</v>
      </c>
      <c r="CC119" s="2">
        <f t="shared" si="68"/>
        <v>7.8989272710595332E-2</v>
      </c>
      <c r="CD119" s="2">
        <v>1.4391232001641496E-3</v>
      </c>
      <c r="CE119" s="2">
        <f t="shared" si="61"/>
        <v>7.8644510528518036E-2</v>
      </c>
      <c r="CF119" s="2">
        <v>6.4718508293272817E-4</v>
      </c>
      <c r="CG119" s="2">
        <f t="shared" si="62"/>
        <v>-9.5680852116874904E-8</v>
      </c>
      <c r="CH119" s="2">
        <f t="shared" si="63"/>
        <v>9.3137906764864838E-7</v>
      </c>
      <c r="CI119" s="2">
        <f t="shared" si="64"/>
        <v>6.8952436415459228E-4</v>
      </c>
    </row>
    <row r="120" spans="43:87" x14ac:dyDescent="0.2"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 s="2">
        <v>14</v>
      </c>
      <c r="BP120" s="2">
        <f t="shared" si="65"/>
        <v>8.4660399683408522E-2</v>
      </c>
      <c r="BQ120" s="2">
        <v>-5.350989359113531E-4</v>
      </c>
      <c r="BR120" s="2">
        <f t="shared" si="66"/>
        <v>8.5001710408713071E-2</v>
      </c>
      <c r="BS120" s="2">
        <v>2.7259152250893801E-4</v>
      </c>
      <c r="BT120" s="2">
        <f t="shared" si="57"/>
        <v>8.4831055046060796E-2</v>
      </c>
      <c r="BU120" s="2">
        <v>-1.3079446598169772E-4</v>
      </c>
      <c r="BV120" s="2">
        <f t="shared" si="58"/>
        <v>6.998797956990012E-8</v>
      </c>
      <c r="BW120" s="2">
        <f t="shared" si="59"/>
        <v>-3.5653462617694479E-8</v>
      </c>
      <c r="BX120" s="2">
        <f t="shared" si="60"/>
        <v>3.4131072530454998E-4</v>
      </c>
      <c r="BY120"/>
      <c r="BZ120" s="2">
        <v>14</v>
      </c>
      <c r="CA120" s="2">
        <f t="shared" si="67"/>
        <v>7.829974834644074E-2</v>
      </c>
      <c r="CB120" s="2">
        <v>-1.4784155976416483E-4</v>
      </c>
      <c r="CC120" s="2">
        <f t="shared" si="68"/>
        <v>7.8644510528518036E-2</v>
      </c>
      <c r="CD120" s="2">
        <v>6.4718508293272817E-4</v>
      </c>
      <c r="CE120" s="2">
        <f t="shared" si="61"/>
        <v>7.8472129437479388E-2</v>
      </c>
      <c r="CF120" s="2">
        <v>2.5006033716478901E-4</v>
      </c>
      <c r="CG120" s="2">
        <f t="shared" si="62"/>
        <v>-3.696931028159536E-8</v>
      </c>
      <c r="CH120" s="2">
        <f t="shared" si="63"/>
        <v>1.6183532004617993E-7</v>
      </c>
      <c r="CI120" s="2">
        <f t="shared" si="64"/>
        <v>3.4476218207729614E-4</v>
      </c>
    </row>
    <row r="121" spans="43:87" x14ac:dyDescent="0.2"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 s="2">
        <v>15</v>
      </c>
      <c r="BP121" s="2">
        <f t="shared" si="65"/>
        <v>8.4831055046060796E-2</v>
      </c>
      <c r="BQ121" s="2">
        <v>-1.3079446598169772E-4</v>
      </c>
      <c r="BR121" s="2">
        <f t="shared" si="66"/>
        <v>8.5001710408713071E-2</v>
      </c>
      <c r="BS121" s="2">
        <v>2.7259152250893801E-4</v>
      </c>
      <c r="BT121" s="2">
        <f t="shared" si="57"/>
        <v>8.4916382727386941E-2</v>
      </c>
      <c r="BU121" s="2">
        <v>7.1012983024761056E-5</v>
      </c>
      <c r="BV121" s="2">
        <f t="shared" si="58"/>
        <v>-9.2881051924909874E-9</v>
      </c>
      <c r="BW121" s="2">
        <f t="shared" si="59"/>
        <v>1.9357537160620987E-8</v>
      </c>
      <c r="BX121" s="2">
        <f t="shared" si="60"/>
        <v>1.7065536265227499E-4</v>
      </c>
      <c r="BY121"/>
      <c r="BZ121" s="2">
        <v>15</v>
      </c>
      <c r="CA121" s="2">
        <f t="shared" si="67"/>
        <v>7.829974834644074E-2</v>
      </c>
      <c r="CB121" s="2">
        <v>-1.4784155976416483E-4</v>
      </c>
      <c r="CC121" s="2">
        <f t="shared" si="68"/>
        <v>7.8472129437479388E-2</v>
      </c>
      <c r="CD121" s="2">
        <v>2.5006033716478901E-4</v>
      </c>
      <c r="CE121" s="2">
        <f t="shared" si="61"/>
        <v>7.8385938891960064E-2</v>
      </c>
      <c r="CF121" s="2">
        <v>5.1206848855209902E-5</v>
      </c>
      <c r="CG121" s="2">
        <f t="shared" si="62"/>
        <v>-7.5705004053620693E-9</v>
      </c>
      <c r="CH121" s="2">
        <f t="shared" si="63"/>
        <v>1.2804801889880179E-8</v>
      </c>
      <c r="CI121" s="2">
        <f t="shared" si="64"/>
        <v>1.7238109103864807E-4</v>
      </c>
    </row>
    <row r="122" spans="43:87" x14ac:dyDescent="0.2"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 s="2">
        <v>16</v>
      </c>
      <c r="BP122" s="2">
        <f t="shared" si="65"/>
        <v>8.4831055046060796E-2</v>
      </c>
      <c r="BQ122" s="2">
        <v>-1.3079446598169772E-4</v>
      </c>
      <c r="BR122" s="2">
        <f t="shared" si="66"/>
        <v>8.4916382727386941E-2</v>
      </c>
      <c r="BS122" s="2">
        <v>7.1012983024761056E-5</v>
      </c>
      <c r="BT122" s="2">
        <f t="shared" si="57"/>
        <v>8.4873718886723876E-2</v>
      </c>
      <c r="BU122" s="2">
        <v>-2.9862083473337908E-5</v>
      </c>
      <c r="BV122" s="2">
        <f t="shared" si="58"/>
        <v>3.9057952609961127E-9</v>
      </c>
      <c r="BW122" s="2">
        <f t="shared" si="59"/>
        <v>-2.1205956267761426E-9</v>
      </c>
      <c r="BX122" s="2">
        <f t="shared" si="60"/>
        <v>8.5327681326144433E-5</v>
      </c>
      <c r="BY122"/>
      <c r="BZ122" s="2">
        <v>16</v>
      </c>
      <c r="CA122" s="2">
        <f t="shared" si="67"/>
        <v>7.829974834644074E-2</v>
      </c>
      <c r="CB122" s="2">
        <v>-1.4784155976416483E-4</v>
      </c>
      <c r="CC122" s="2">
        <f t="shared" si="68"/>
        <v>7.8385938891960064E-2</v>
      </c>
      <c r="CD122" s="2">
        <v>5.1206848855209902E-5</v>
      </c>
      <c r="CE122" s="2">
        <f t="shared" si="61"/>
        <v>7.8342843619200409E-2</v>
      </c>
      <c r="CF122" s="2">
        <v>-4.8292950724230371E-5</v>
      </c>
      <c r="CG122" s="2">
        <f t="shared" si="62"/>
        <v>7.1397051606841717E-9</v>
      </c>
      <c r="CH122" s="2">
        <f t="shared" si="63"/>
        <v>-2.472929828507764E-9</v>
      </c>
      <c r="CI122" s="2">
        <f t="shared" si="64"/>
        <v>8.6190545519324036E-5</v>
      </c>
    </row>
    <row r="123" spans="43:87" x14ac:dyDescent="0.2"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 s="2">
        <v>17</v>
      </c>
      <c r="BP123" s="2">
        <f t="shared" si="65"/>
        <v>8.4873718886723876E-2</v>
      </c>
      <c r="BQ123" s="2">
        <v>-2.9862083473337908E-5</v>
      </c>
      <c r="BR123" s="2">
        <f t="shared" si="66"/>
        <v>8.4916382727386941E-2</v>
      </c>
      <c r="BS123" s="2">
        <v>7.1012983024761056E-5</v>
      </c>
      <c r="BT123" s="2">
        <f t="shared" si="57"/>
        <v>8.4895050807055408E-2</v>
      </c>
      <c r="BU123" s="2">
        <v>2.05826087306335E-5</v>
      </c>
      <c r="BV123" s="2">
        <f t="shared" si="58"/>
        <v>-6.1463958001323122E-10</v>
      </c>
      <c r="BW123" s="2">
        <f t="shared" si="59"/>
        <v>1.4616324443937755E-9</v>
      </c>
      <c r="BX123" s="2">
        <f t="shared" si="60"/>
        <v>4.2663840663065278E-5</v>
      </c>
      <c r="BY123"/>
      <c r="BZ123" s="2">
        <v>17</v>
      </c>
      <c r="CA123" s="2">
        <f t="shared" si="67"/>
        <v>7.8342843619200409E-2</v>
      </c>
      <c r="CB123" s="2">
        <v>-4.8292950724230371E-5</v>
      </c>
      <c r="CC123" s="2">
        <f t="shared" si="68"/>
        <v>7.8385938891960064E-2</v>
      </c>
      <c r="CD123" s="2">
        <v>5.1206848855209902E-5</v>
      </c>
      <c r="CE123" s="2">
        <f t="shared" si="61"/>
        <v>7.8364391255580229E-2</v>
      </c>
      <c r="CF123" s="2">
        <v>1.4630452794747728E-6</v>
      </c>
      <c r="CG123" s="2">
        <f t="shared" si="62"/>
        <v>-7.0654773588993056E-11</v>
      </c>
      <c r="CH123" s="2">
        <f t="shared" si="63"/>
        <v>7.4917938494393015E-11</v>
      </c>
      <c r="CI123" s="2">
        <f t="shared" si="64"/>
        <v>4.3095272759655079E-5</v>
      </c>
    </row>
    <row r="124" spans="43:87" x14ac:dyDescent="0.2"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 s="2">
        <v>18</v>
      </c>
      <c r="BP124" s="2">
        <f t="shared" si="65"/>
        <v>8.4873718886723876E-2</v>
      </c>
      <c r="BQ124" s="2">
        <v>-2.9862083473337908E-5</v>
      </c>
      <c r="BR124" s="2">
        <f t="shared" si="66"/>
        <v>8.4895050807055408E-2</v>
      </c>
      <c r="BS124" s="2">
        <v>2.05826087306335E-5</v>
      </c>
      <c r="BT124" s="2">
        <f t="shared" si="57"/>
        <v>8.4884384846889649E-2</v>
      </c>
      <c r="BU124" s="2">
        <v>-4.6379469397263284E-6</v>
      </c>
      <c r="BV124" s="2">
        <f t="shared" si="58"/>
        <v>1.3849875865901971E-10</v>
      </c>
      <c r="BW124" s="2">
        <f t="shared" si="59"/>
        <v>-9.546104717382605E-11</v>
      </c>
      <c r="BX124" s="2">
        <f t="shared" si="60"/>
        <v>2.1331920331532639E-5</v>
      </c>
      <c r="BY124"/>
      <c r="BZ124" s="2">
        <v>18</v>
      </c>
      <c r="CA124" s="2">
        <f t="shared" si="67"/>
        <v>7.8342843619200409E-2</v>
      </c>
      <c r="CB124" s="2">
        <v>-4.8292950724230371E-5</v>
      </c>
      <c r="CC124" s="2">
        <f t="shared" si="68"/>
        <v>7.8364391255580229E-2</v>
      </c>
      <c r="CD124" s="2">
        <v>1.4630452794747728E-6</v>
      </c>
      <c r="CE124" s="2">
        <f t="shared" si="61"/>
        <v>7.8353617437390319E-2</v>
      </c>
      <c r="CF124" s="2">
        <v>-2.3413428048232182E-5</v>
      </c>
      <c r="CG124" s="2">
        <f t="shared" si="62"/>
        <v>1.1307035270185901E-9</v>
      </c>
      <c r="CH124" s="2">
        <f t="shared" si="63"/>
        <v>-3.4254905382288337E-11</v>
      </c>
      <c r="CI124" s="2">
        <f t="shared" si="64"/>
        <v>2.1547636379820601E-5</v>
      </c>
    </row>
    <row r="125" spans="43:87" x14ac:dyDescent="0.2"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 s="2">
        <v>19</v>
      </c>
      <c r="BP125" s="2">
        <f t="shared" si="65"/>
        <v>8.4884384846889649E-2</v>
      </c>
      <c r="BQ125" s="2">
        <v>-4.6379469397263284E-6</v>
      </c>
      <c r="BR125" s="2">
        <f t="shared" si="66"/>
        <v>8.4895050807055408E-2</v>
      </c>
      <c r="BS125" s="2">
        <v>2.05826087306335E-5</v>
      </c>
      <c r="BT125" s="2">
        <f t="shared" si="57"/>
        <v>8.4889717826972522E-2</v>
      </c>
      <c r="BU125" s="2">
        <v>7.9727784166976068E-6</v>
      </c>
      <c r="BV125" s="2">
        <f t="shared" si="58"/>
        <v>-3.6977323258838789E-11</v>
      </c>
      <c r="BW125" s="2">
        <f t="shared" si="59"/>
        <v>1.641005786469265E-10</v>
      </c>
      <c r="BX125" s="2">
        <f t="shared" si="60"/>
        <v>1.0665960165759381E-5</v>
      </c>
      <c r="BY125"/>
      <c r="BZ125" s="2">
        <v>19</v>
      </c>
      <c r="CA125" s="2">
        <f t="shared" si="67"/>
        <v>7.8353617437390319E-2</v>
      </c>
      <c r="CB125" s="2">
        <v>-2.3413428048232182E-5</v>
      </c>
      <c r="CC125" s="2">
        <f t="shared" si="68"/>
        <v>7.8364391255580229E-2</v>
      </c>
      <c r="CD125" s="2">
        <v>1.4630452794747728E-6</v>
      </c>
      <c r="CE125" s="2">
        <f t="shared" si="61"/>
        <v>7.8359004346485267E-2</v>
      </c>
      <c r="CF125" s="2">
        <v>-1.0974810293488957E-5</v>
      </c>
      <c r="CG125" s="2">
        <f t="shared" si="62"/>
        <v>2.569579311496016E-10</v>
      </c>
      <c r="CH125" s="2">
        <f t="shared" si="63"/>
        <v>-1.6056644393020165E-11</v>
      </c>
      <c r="CI125" s="2">
        <f t="shared" si="64"/>
        <v>1.07738181899103E-5</v>
      </c>
    </row>
    <row r="126" spans="43:87" x14ac:dyDescent="0.2"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 s="2">
        <v>20</v>
      </c>
      <c r="BP126" s="2">
        <f t="shared" si="65"/>
        <v>8.4884384846889649E-2</v>
      </c>
      <c r="BQ126" s="2">
        <v>-4.6379469397263284E-6</v>
      </c>
      <c r="BR126" s="2">
        <f t="shared" si="66"/>
        <v>8.4889717826972522E-2</v>
      </c>
      <c r="BS126" s="2">
        <v>7.9727784166976068E-6</v>
      </c>
      <c r="BT126" s="2">
        <f t="shared" si="57"/>
        <v>8.4887051336931085E-2</v>
      </c>
      <c r="BU126" s="2">
        <v>1.6675276296382324E-6</v>
      </c>
      <c r="BV126" s="2">
        <f t="shared" si="58"/>
        <v>-7.7339046667897379E-12</v>
      </c>
      <c r="BW126" s="2">
        <f t="shared" si="59"/>
        <v>1.3294828294826621E-11</v>
      </c>
      <c r="BX126" s="2">
        <f t="shared" si="60"/>
        <v>5.3329800828727514E-6</v>
      </c>
      <c r="BY126"/>
      <c r="BZ126" s="2">
        <v>20</v>
      </c>
      <c r="CA126" s="2">
        <f t="shared" si="67"/>
        <v>7.8359004346485267E-2</v>
      </c>
      <c r="CB126" s="2">
        <v>-1.0974810293488957E-5</v>
      </c>
      <c r="CC126" s="2">
        <f t="shared" si="68"/>
        <v>7.8364391255580229E-2</v>
      </c>
      <c r="CD126" s="2">
        <v>1.4630452794747728E-6</v>
      </c>
      <c r="CE126" s="2">
        <f t="shared" si="61"/>
        <v>7.8361697801032748E-2</v>
      </c>
      <c r="CF126" s="2">
        <v>-4.7557872439561721E-6</v>
      </c>
      <c r="CG126" s="2">
        <f t="shared" si="62"/>
        <v>5.2193862798613674E-11</v>
      </c>
      <c r="CH126" s="2">
        <f t="shared" si="63"/>
        <v>-6.9579320774564174E-12</v>
      </c>
      <c r="CI126" s="2">
        <f t="shared" si="64"/>
        <v>5.386909094962089E-6</v>
      </c>
    </row>
    <row r="127" spans="43:87" x14ac:dyDescent="0.2"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 s="2">
        <v>21</v>
      </c>
      <c r="BP127" s="2">
        <f t="shared" si="65"/>
        <v>8.4884384846889649E-2</v>
      </c>
      <c r="BQ127" s="2">
        <v>-4.6379469397263284E-6</v>
      </c>
      <c r="BR127" s="2">
        <f t="shared" si="66"/>
        <v>8.4887051336931085E-2</v>
      </c>
      <c r="BS127" s="2">
        <v>1.6675276296382324E-6</v>
      </c>
      <c r="BT127" s="2">
        <f t="shared" si="57"/>
        <v>8.4885718091910367E-2</v>
      </c>
      <c r="BU127" s="2">
        <v>-1.4851816809088869E-6</v>
      </c>
      <c r="BV127" s="2">
        <f t="shared" si="58"/>
        <v>6.8881938319089761E-12</v>
      </c>
      <c r="BW127" s="2">
        <f t="shared" si="59"/>
        <v>-2.4765814879481219E-12</v>
      </c>
      <c r="BX127" s="2">
        <f t="shared" si="60"/>
        <v>2.6664900414363757E-6</v>
      </c>
      <c r="BY127"/>
      <c r="BZ127" s="2">
        <v>21</v>
      </c>
      <c r="CA127" s="2">
        <f t="shared" si="67"/>
        <v>7.8361697801032748E-2</v>
      </c>
      <c r="CB127" s="2">
        <v>-4.7557872439561721E-6</v>
      </c>
      <c r="CC127" s="2">
        <f t="shared" si="68"/>
        <v>7.8364391255580229E-2</v>
      </c>
      <c r="CD127" s="2">
        <v>1.4630452794747728E-6</v>
      </c>
      <c r="CE127" s="2">
        <f t="shared" si="61"/>
        <v>7.8363044528306489E-2</v>
      </c>
      <c r="CF127" s="2">
        <v>-1.646347167708756E-6</v>
      </c>
      <c r="CG127" s="2">
        <f t="shared" si="62"/>
        <v>7.8296768593126752E-12</v>
      </c>
      <c r="CH127" s="2">
        <f t="shared" si="63"/>
        <v>-2.4086804520929576E-12</v>
      </c>
      <c r="CI127" s="2">
        <f t="shared" si="64"/>
        <v>2.6934545474810445E-6</v>
      </c>
    </row>
    <row r="128" spans="43:87" x14ac:dyDescent="0.2"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 s="2">
        <v>22</v>
      </c>
      <c r="BP128" s="2">
        <f t="shared" si="65"/>
        <v>8.4885718091910367E-2</v>
      </c>
      <c r="BQ128" s="2">
        <v>-1.4851816809088869E-6</v>
      </c>
      <c r="BR128" s="2">
        <f t="shared" si="66"/>
        <v>8.4887051336931085E-2</v>
      </c>
      <c r="BS128" s="2">
        <v>1.6675276296382324E-6</v>
      </c>
      <c r="BT128" s="2">
        <f t="shared" si="57"/>
        <v>8.4886384714420726E-2</v>
      </c>
      <c r="BU128" s="2">
        <v>9.1179967746241042E-8</v>
      </c>
      <c r="BV128" s="2">
        <f t="shared" si="58"/>
        <v>-1.3541881776258037E-13</v>
      </c>
      <c r="BW128" s="2">
        <f t="shared" si="59"/>
        <v>1.520451154863798E-13</v>
      </c>
      <c r="BX128" s="2">
        <f t="shared" si="60"/>
        <v>1.3332450207181878E-6</v>
      </c>
      <c r="BY128"/>
      <c r="BZ128" s="2">
        <v>22</v>
      </c>
      <c r="CA128" s="2">
        <f t="shared" si="67"/>
        <v>7.8363044528306489E-2</v>
      </c>
      <c r="CB128" s="2">
        <v>-1.646347167708756E-6</v>
      </c>
      <c r="CC128" s="2">
        <f t="shared" si="68"/>
        <v>7.8364391255580229E-2</v>
      </c>
      <c r="CD128" s="2">
        <v>1.4630452794747728E-6</v>
      </c>
      <c r="CE128" s="2">
        <f t="shared" si="61"/>
        <v>7.8363717891943352E-2</v>
      </c>
      <c r="CF128" s="2">
        <v>-9.1644990627554046E-8</v>
      </c>
      <c r="CG128" s="2">
        <f t="shared" si="62"/>
        <v>1.508794707543691E-13</v>
      </c>
      <c r="CH128" s="2">
        <f t="shared" si="63"/>
        <v>-1.3408077092515274E-13</v>
      </c>
      <c r="CI128" s="2">
        <f t="shared" si="64"/>
        <v>1.3467272737405223E-6</v>
      </c>
    </row>
    <row r="129" spans="43:87" x14ac:dyDescent="0.2"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 s="2">
        <v>23</v>
      </c>
      <c r="BP129" s="2">
        <f t="shared" si="65"/>
        <v>8.4885718091910367E-2</v>
      </c>
      <c r="BQ129" s="2">
        <v>-1.4851816809088869E-6</v>
      </c>
      <c r="BR129" s="2">
        <f t="shared" si="66"/>
        <v>8.4886384714420726E-2</v>
      </c>
      <c r="BS129" s="2">
        <v>9.1179967746241042E-8</v>
      </c>
      <c r="BT129" s="2">
        <f t="shared" si="57"/>
        <v>8.4886051403165547E-2</v>
      </c>
      <c r="BU129" s="2">
        <v>-6.9699910821424682E-7</v>
      </c>
      <c r="BV129" s="2">
        <f t="shared" si="58"/>
        <v>1.0351703071296303E-12</v>
      </c>
      <c r="BW129" s="2">
        <f t="shared" si="59"/>
        <v>-6.3552356206133794E-14</v>
      </c>
      <c r="BX129" s="2">
        <f t="shared" si="60"/>
        <v>6.6662251035909392E-7</v>
      </c>
      <c r="BY129"/>
      <c r="BZ129" s="2">
        <v>23</v>
      </c>
      <c r="CA129" s="2">
        <f t="shared" si="67"/>
        <v>7.8363717891943352E-2</v>
      </c>
      <c r="CB129" s="2">
        <v>-9.1644990627554046E-8</v>
      </c>
      <c r="CC129" s="2">
        <f t="shared" si="68"/>
        <v>7.8364391255580229E-2</v>
      </c>
      <c r="CD129" s="2">
        <v>1.4630452794747728E-6</v>
      </c>
      <c r="CE129" s="2">
        <f t="shared" si="61"/>
        <v>7.8364054573761791E-2</v>
      </c>
      <c r="CF129" s="2">
        <v>6.8570163278686147E-7</v>
      </c>
      <c r="CG129" s="2">
        <f t="shared" si="62"/>
        <v>-6.2841119710050426E-14</v>
      </c>
      <c r="CH129" s="2">
        <f t="shared" si="63"/>
        <v>1.0032125369769617E-12</v>
      </c>
      <c r="CI129" s="2">
        <f t="shared" si="64"/>
        <v>6.7336363687720002E-7</v>
      </c>
    </row>
    <row r="130" spans="43:87" x14ac:dyDescent="0.2"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 s="2">
        <v>24</v>
      </c>
      <c r="BP130" s="2">
        <f t="shared" si="65"/>
        <v>8.4886051403165547E-2</v>
      </c>
      <c r="BQ130" s="2">
        <v>-6.9699910821424682E-7</v>
      </c>
      <c r="BR130" s="2">
        <f t="shared" si="66"/>
        <v>8.4886384714420726E-2</v>
      </c>
      <c r="BS130" s="2">
        <v>9.1179967746241042E-8</v>
      </c>
      <c r="BT130" s="2">
        <f t="shared" si="57"/>
        <v>8.4886218058793136E-2</v>
      </c>
      <c r="BU130" s="2">
        <v>-3.0290913314093282E-7</v>
      </c>
      <c r="BV130" s="2">
        <f t="shared" si="58"/>
        <v>2.1112739566918074E-13</v>
      </c>
      <c r="BW130" s="2">
        <f t="shared" si="59"/>
        <v>-2.7619244989832088E-14</v>
      </c>
      <c r="BX130" s="2">
        <f t="shared" si="60"/>
        <v>3.3331125517954696E-7</v>
      </c>
      <c r="BY130"/>
      <c r="BZ130" s="2">
        <v>24</v>
      </c>
      <c r="CA130" s="2">
        <f t="shared" si="67"/>
        <v>7.8363717891943352E-2</v>
      </c>
      <c r="CB130" s="2">
        <v>-9.1644990627554046E-8</v>
      </c>
      <c r="CC130" s="2">
        <f t="shared" si="68"/>
        <v>7.8364054573761791E-2</v>
      </c>
      <c r="CD130" s="2">
        <v>6.8570163278686147E-7</v>
      </c>
      <c r="CE130" s="2">
        <f t="shared" si="61"/>
        <v>7.8363886232852564E-2</v>
      </c>
      <c r="CF130" s="2">
        <v>2.9702869315875735E-7</v>
      </c>
      <c r="CG130" s="2">
        <f t="shared" si="62"/>
        <v>-2.7221191800648945E-14</v>
      </c>
      <c r="CH130" s="2">
        <f t="shared" si="63"/>
        <v>2.0367305988350759E-13</v>
      </c>
      <c r="CI130" s="2">
        <f t="shared" si="64"/>
        <v>3.3668181843860001E-7</v>
      </c>
    </row>
    <row r="131" spans="43:87" x14ac:dyDescent="0.2"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 s="2">
        <v>25</v>
      </c>
      <c r="BP131" s="2">
        <f t="shared" si="65"/>
        <v>8.4886218058793136E-2</v>
      </c>
      <c r="BQ131" s="2">
        <v>-3.0290913314093282E-7</v>
      </c>
      <c r="BR131" s="2">
        <f t="shared" si="66"/>
        <v>8.4886384714420726E-2</v>
      </c>
      <c r="BS131" s="2">
        <v>9.1179967746241042E-8</v>
      </c>
      <c r="BT131" s="2">
        <f t="shared" si="57"/>
        <v>8.4886301386606938E-2</v>
      </c>
      <c r="BU131" s="2">
        <v>-1.0586447344446137E-7</v>
      </c>
      <c r="BV131" s="2">
        <f t="shared" si="58"/>
        <v>3.2067315881483096E-14</v>
      </c>
      <c r="BW131" s="2">
        <f t="shared" si="59"/>
        <v>-9.652719274138779E-15</v>
      </c>
      <c r="BX131" s="2">
        <f t="shared" si="60"/>
        <v>1.6665562758977348E-7</v>
      </c>
      <c r="BY131"/>
      <c r="BZ131" s="2">
        <v>25</v>
      </c>
      <c r="CA131" s="2">
        <f t="shared" si="67"/>
        <v>7.8363717891943352E-2</v>
      </c>
      <c r="CB131" s="2">
        <v>-9.1644990627554046E-8</v>
      </c>
      <c r="CC131" s="2">
        <f t="shared" si="68"/>
        <v>7.8363886232852564E-2</v>
      </c>
      <c r="CD131" s="2">
        <v>2.9702869315875735E-7</v>
      </c>
      <c r="CE131" s="2">
        <f t="shared" si="61"/>
        <v>7.8363802062397958E-2</v>
      </c>
      <c r="CF131" s="2">
        <v>1.0269194427800499E-7</v>
      </c>
      <c r="CG131" s="2">
        <f t="shared" si="62"/>
        <v>-9.411202270883069E-15</v>
      </c>
      <c r="CH131" s="2">
        <f t="shared" si="63"/>
        <v>3.0502454006827751E-14</v>
      </c>
      <c r="CI131" s="2">
        <f t="shared" si="64"/>
        <v>1.6834090921236111E-7</v>
      </c>
    </row>
    <row r="132" spans="43:87" x14ac:dyDescent="0.2"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 s="2">
        <v>26</v>
      </c>
      <c r="BP132" s="2">
        <f t="shared" si="65"/>
        <v>8.4886301386606938E-2</v>
      </c>
      <c r="BQ132" s="2">
        <v>-1.0586447344446137E-7</v>
      </c>
      <c r="BR132" s="2">
        <f t="shared" si="66"/>
        <v>8.4886384714420726E-2</v>
      </c>
      <c r="BS132" s="2">
        <v>9.1179967746241042E-8</v>
      </c>
      <c r="BT132" s="2">
        <f t="shared" si="57"/>
        <v>8.4886343050513832E-2</v>
      </c>
      <c r="BU132" s="2">
        <v>-7.3422255567057171E-9</v>
      </c>
      <c r="BV132" s="2">
        <f t="shared" si="58"/>
        <v>7.7728084247111796E-16</v>
      </c>
      <c r="BW132" s="2">
        <f t="shared" si="59"/>
        <v>-6.6946388944605401E-16</v>
      </c>
      <c r="BX132" s="2">
        <f t="shared" si="60"/>
        <v>8.3327813787947846E-8</v>
      </c>
      <c r="BY132"/>
      <c r="BZ132" s="2">
        <v>26</v>
      </c>
      <c r="CA132" s="2">
        <f t="shared" si="67"/>
        <v>7.8363717891943352E-2</v>
      </c>
      <c r="CB132" s="2">
        <v>-9.1644990627554046E-8</v>
      </c>
      <c r="CC132" s="2">
        <f t="shared" si="68"/>
        <v>7.8363802062397958E-2</v>
      </c>
      <c r="CD132" s="2">
        <v>1.0269194427800499E-7</v>
      </c>
      <c r="CE132" s="2">
        <f t="shared" si="61"/>
        <v>7.8363759977170655E-2</v>
      </c>
      <c r="CF132" s="2">
        <v>5.5235000739894957E-9</v>
      </c>
      <c r="CG132" s="2">
        <f t="shared" si="62"/>
        <v>-5.0620111251206141E-16</v>
      </c>
      <c r="CH132" s="2">
        <f t="shared" si="63"/>
        <v>5.6721896181768567E-16</v>
      </c>
      <c r="CI132" s="2">
        <f t="shared" si="64"/>
        <v>8.4170454606180556E-8</v>
      </c>
    </row>
    <row r="133" spans="43:87" x14ac:dyDescent="0.2"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 s="2">
        <v>27</v>
      </c>
      <c r="BP133" s="2">
        <f t="shared" si="65"/>
        <v>8.4886343050513832E-2</v>
      </c>
      <c r="BQ133" s="2">
        <v>-7.3422255567057171E-9</v>
      </c>
      <c r="BR133" s="2">
        <f t="shared" si="66"/>
        <v>8.4886384714420726E-2</v>
      </c>
      <c r="BS133" s="2">
        <v>9.1179967746241042E-8</v>
      </c>
      <c r="BT133" s="2">
        <f t="shared" si="57"/>
        <v>8.4886363882467286E-2</v>
      </c>
      <c r="BU133" s="2">
        <v>4.1918877927843434E-8</v>
      </c>
      <c r="BV133" s="2">
        <f t="shared" si="58"/>
        <v>-3.0777785683023928E-16</v>
      </c>
      <c r="BW133" s="2">
        <f t="shared" si="59"/>
        <v>3.8221619374193798E-15</v>
      </c>
      <c r="BX133" s="2">
        <f t="shared" si="60"/>
        <v>4.1663906893973923E-8</v>
      </c>
      <c r="BY133"/>
      <c r="BZ133" s="2">
        <v>27</v>
      </c>
      <c r="CA133" s="2">
        <f t="shared" si="67"/>
        <v>7.8363717891943352E-2</v>
      </c>
      <c r="CB133" s="2">
        <v>-9.1644990627554046E-8</v>
      </c>
      <c r="CC133" s="2">
        <f t="shared" si="68"/>
        <v>7.8363759977170655E-2</v>
      </c>
      <c r="CD133" s="2">
        <v>5.5235000739894957E-9</v>
      </c>
      <c r="CE133" s="2">
        <f t="shared" si="61"/>
        <v>7.8363738934557003E-2</v>
      </c>
      <c r="CF133" s="2">
        <v>-4.3060739456785013E-8</v>
      </c>
      <c r="CG133" s="2">
        <f t="shared" si="62"/>
        <v>3.9463010639326089E-15</v>
      </c>
      <c r="CH133" s="2">
        <f t="shared" si="63"/>
        <v>-2.3784599757559441E-16</v>
      </c>
      <c r="CI133" s="2">
        <f t="shared" si="64"/>
        <v>4.2085227303090278E-8</v>
      </c>
    </row>
    <row r="134" spans="43:87" x14ac:dyDescent="0.2"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F134"/>
      <c r="BG134"/>
      <c r="BH134"/>
      <c r="BI134"/>
      <c r="BJ134"/>
      <c r="BK134"/>
      <c r="BL134"/>
      <c r="BM134"/>
      <c r="BN134"/>
      <c r="BO134" s="2">
        <v>28</v>
      </c>
      <c r="BP134" s="2">
        <f t="shared" si="65"/>
        <v>8.4886343050513832E-2</v>
      </c>
      <c r="BQ134" s="2">
        <v>-7.3422255567057171E-9</v>
      </c>
      <c r="BR134" s="2">
        <f t="shared" si="66"/>
        <v>8.4886363882467286E-2</v>
      </c>
      <c r="BS134" s="2">
        <v>4.1918877927843434E-8</v>
      </c>
      <c r="BT134" s="2">
        <f t="shared" si="57"/>
        <v>8.4886353466490566E-2</v>
      </c>
      <c r="BU134" s="2">
        <v>1.7288327911618717E-8</v>
      </c>
      <c r="BV134" s="2">
        <f t="shared" si="58"/>
        <v>-1.2693480302539573E-16</v>
      </c>
      <c r="BW134" s="2">
        <f t="shared" si="59"/>
        <v>7.2470730730367341E-16</v>
      </c>
      <c r="BX134" s="2">
        <f t="shared" si="60"/>
        <v>2.0831953453925856E-8</v>
      </c>
      <c r="BY134"/>
      <c r="BZ134" s="2">
        <v>28</v>
      </c>
      <c r="CA134" s="2">
        <f t="shared" si="67"/>
        <v>7.8363738934557003E-2</v>
      </c>
      <c r="CB134" s="2">
        <v>-4.3060739456785013E-8</v>
      </c>
      <c r="CC134" s="2">
        <f t="shared" si="68"/>
        <v>7.8363759977170655E-2</v>
      </c>
      <c r="CD134" s="2">
        <v>5.5235000739894957E-9</v>
      </c>
      <c r="CE134" s="2">
        <f t="shared" si="61"/>
        <v>7.8363749455863829E-2</v>
      </c>
      <c r="CF134" s="2">
        <v>-1.8768618229025869E-8</v>
      </c>
      <c r="CG134" s="2">
        <f t="shared" si="62"/>
        <v>8.0819057952394869E-16</v>
      </c>
      <c r="CH134" s="2">
        <f t="shared" si="63"/>
        <v>-1.0366846417670498E-16</v>
      </c>
      <c r="CI134" s="2">
        <f t="shared" si="64"/>
        <v>2.1042613651545139E-8</v>
      </c>
    </row>
    <row r="135" spans="43:87" x14ac:dyDescent="0.2"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F135"/>
      <c r="BG135"/>
      <c r="BH135"/>
      <c r="BI135"/>
      <c r="BJ135"/>
      <c r="BK135"/>
      <c r="BL135"/>
      <c r="BM135"/>
      <c r="BN135"/>
      <c r="BO135" s="2">
        <v>29</v>
      </c>
      <c r="BP135" s="2">
        <f t="shared" si="65"/>
        <v>8.4886343050513832E-2</v>
      </c>
      <c r="BQ135" s="2">
        <v>-7.3422255567057171E-9</v>
      </c>
      <c r="BR135" s="2">
        <f t="shared" si="66"/>
        <v>8.4886353466490566E-2</v>
      </c>
      <c r="BS135" s="2">
        <v>1.7288327911618717E-8</v>
      </c>
      <c r="BT135" s="2">
        <f t="shared" si="57"/>
        <v>8.4886348258502192E-2</v>
      </c>
      <c r="BU135" s="2">
        <v>4.9730516059331986E-9</v>
      </c>
      <c r="BV135" s="2">
        <f t="shared" si="58"/>
        <v>-3.6513266595899142E-17</v>
      </c>
      <c r="BW135" s="2">
        <f t="shared" si="59"/>
        <v>8.5975746884775202E-17</v>
      </c>
      <c r="BX135" s="2">
        <f t="shared" si="60"/>
        <v>1.0415976733901822E-8</v>
      </c>
      <c r="BY135"/>
      <c r="BZ135" s="2">
        <v>29</v>
      </c>
      <c r="CA135" s="2">
        <f t="shared" si="67"/>
        <v>7.8363749455863829E-2</v>
      </c>
      <c r="CB135" s="2">
        <v>-1.8768618229025869E-8</v>
      </c>
      <c r="CC135" s="2">
        <f t="shared" si="68"/>
        <v>7.8363759977170655E-2</v>
      </c>
      <c r="CD135" s="2">
        <v>5.5235000739894957E-9</v>
      </c>
      <c r="CE135" s="2">
        <f t="shared" si="61"/>
        <v>7.8363754716517242E-2</v>
      </c>
      <c r="CF135" s="2">
        <v>-6.6225587236345973E-9</v>
      </c>
      <c r="CG135" s="2">
        <f t="shared" si="62"/>
        <v>1.2429627638320259E-16</v>
      </c>
      <c r="CH135" s="2">
        <f t="shared" si="63"/>
        <v>-3.6579703599995479E-17</v>
      </c>
      <c r="CI135" s="2">
        <f t="shared" si="64"/>
        <v>1.0521306825772569E-8</v>
      </c>
    </row>
    <row r="136" spans="43:87" x14ac:dyDescent="0.2">
      <c r="AQ136"/>
      <c r="AR136"/>
      <c r="AS136"/>
      <c r="AT136"/>
      <c r="BF136"/>
      <c r="BG136"/>
      <c r="BH136"/>
      <c r="BI136"/>
      <c r="BJ136"/>
      <c r="BK136"/>
      <c r="BL136"/>
      <c r="BM136"/>
      <c r="BN136"/>
      <c r="BO136" s="2">
        <v>30</v>
      </c>
      <c r="BP136" s="2">
        <f t="shared" si="65"/>
        <v>8.4886343050513832E-2</v>
      </c>
      <c r="BQ136" s="2">
        <v>-7.3422255567057171E-9</v>
      </c>
      <c r="BR136" s="2">
        <f t="shared" si="66"/>
        <v>8.4886348258502192E-2</v>
      </c>
      <c r="BS136" s="2">
        <v>4.9730516059331986E-9</v>
      </c>
      <c r="BT136" s="5">
        <f t="shared" si="57"/>
        <v>8.4886345654508005E-2</v>
      </c>
      <c r="BU136" s="2">
        <v>-1.1845868695681272E-9</v>
      </c>
      <c r="BV136" s="2">
        <f t="shared" si="58"/>
        <v>8.6975039878811256E-18</v>
      </c>
      <c r="BW136" s="2">
        <f t="shared" si="59"/>
        <v>-5.8910116340731557E-18</v>
      </c>
      <c r="BX136" s="2">
        <f t="shared" si="60"/>
        <v>5.2079883600120169E-9</v>
      </c>
      <c r="BY136"/>
      <c r="BZ136" s="2">
        <v>30</v>
      </c>
      <c r="CA136" s="2">
        <f t="shared" si="67"/>
        <v>7.8363754716517242E-2</v>
      </c>
      <c r="CB136" s="2">
        <v>-6.6225587236345973E-9</v>
      </c>
      <c r="CC136" s="2">
        <f t="shared" si="68"/>
        <v>7.8363759977170655E-2</v>
      </c>
      <c r="CD136" s="2">
        <v>5.5235000739894957E-9</v>
      </c>
      <c r="CE136" s="5">
        <f t="shared" si="61"/>
        <v>7.8363757346843949E-2</v>
      </c>
      <c r="CF136" s="2">
        <v>-5.495292450252709E-10</v>
      </c>
      <c r="CG136" s="2">
        <f t="shared" si="62"/>
        <v>3.6392896955344419E-18</v>
      </c>
      <c r="CH136" s="2">
        <f t="shared" si="63"/>
        <v>-3.0353248255564756E-18</v>
      </c>
      <c r="CI136" s="2">
        <f t="shared" si="64"/>
        <v>5.2606534128862847E-9</v>
      </c>
    </row>
  </sheetData>
  <mergeCells count="85">
    <mergeCell ref="B1:D1"/>
    <mergeCell ref="B3:D3"/>
    <mergeCell ref="F3:H3"/>
    <mergeCell ref="J3:L3"/>
    <mergeCell ref="B24:D24"/>
    <mergeCell ref="J7:L7"/>
    <mergeCell ref="J11:L11"/>
    <mergeCell ref="B12:D12"/>
    <mergeCell ref="B17:D17"/>
    <mergeCell ref="B52:D52"/>
    <mergeCell ref="J30:L30"/>
    <mergeCell ref="B29:D29"/>
    <mergeCell ref="B35:D35"/>
    <mergeCell ref="J38:L38"/>
    <mergeCell ref="B40:D40"/>
    <mergeCell ref="B46:D46"/>
    <mergeCell ref="N13:P13"/>
    <mergeCell ref="N3:P3"/>
    <mergeCell ref="N17:P17"/>
    <mergeCell ref="F15:H15"/>
    <mergeCell ref="F22:H22"/>
    <mergeCell ref="BZ2:CI2"/>
    <mergeCell ref="AY3:BA3"/>
    <mergeCell ref="BC3:BE3"/>
    <mergeCell ref="BG3:BI3"/>
    <mergeCell ref="AQ2:AS2"/>
    <mergeCell ref="AU2:AW2"/>
    <mergeCell ref="AY2:BE2"/>
    <mergeCell ref="BG2:BM2"/>
    <mergeCell ref="BO2:BX2"/>
    <mergeCell ref="BK3:BM3"/>
    <mergeCell ref="BK22:BM22"/>
    <mergeCell ref="AU23:AU29"/>
    <mergeCell ref="AV23:AW23"/>
    <mergeCell ref="AV24:AW24"/>
    <mergeCell ref="AU14:AW14"/>
    <mergeCell ref="AU22:AW22"/>
    <mergeCell ref="BG22:BI22"/>
    <mergeCell ref="AV25:AW25"/>
    <mergeCell ref="AV26:AW26"/>
    <mergeCell ref="AV27:AW27"/>
    <mergeCell ref="AV28:AW28"/>
    <mergeCell ref="AQ27:AQ34"/>
    <mergeCell ref="AV29:AW29"/>
    <mergeCell ref="AV30:AW30"/>
    <mergeCell ref="AY30:BA30"/>
    <mergeCell ref="BC30:BE30"/>
    <mergeCell ref="AQ7:AS7"/>
    <mergeCell ref="AU9:AW9"/>
    <mergeCell ref="AY12:BA12"/>
    <mergeCell ref="BC12:BE12"/>
    <mergeCell ref="AY21:BA21"/>
    <mergeCell ref="BC21:BE21"/>
    <mergeCell ref="AQ11:AQ18"/>
    <mergeCell ref="AQ19:AQ26"/>
    <mergeCell ref="AQ35:AQ42"/>
    <mergeCell ref="AV42:AX42"/>
    <mergeCell ref="BK60:BM60"/>
    <mergeCell ref="BZ36:CI36"/>
    <mergeCell ref="BK41:BM41"/>
    <mergeCell ref="AQ44:AS44"/>
    <mergeCell ref="BG41:BI41"/>
    <mergeCell ref="BO36:BX36"/>
    <mergeCell ref="AY42:BB42"/>
    <mergeCell ref="BC42:BE42"/>
    <mergeCell ref="AY43:AZ43"/>
    <mergeCell ref="AV41:AW41"/>
    <mergeCell ref="AV52:AX52"/>
    <mergeCell ref="AU50:AU52"/>
    <mergeCell ref="AU53:AU55"/>
    <mergeCell ref="AV55:AX55"/>
    <mergeCell ref="BZ104:CI104"/>
    <mergeCell ref="AF47:AI47"/>
    <mergeCell ref="BO104:BX104"/>
    <mergeCell ref="BG60:BI60"/>
    <mergeCell ref="BO70:BX70"/>
    <mergeCell ref="BZ70:CI70"/>
    <mergeCell ref="AY52:BA52"/>
    <mergeCell ref="AY55:BA55"/>
    <mergeCell ref="BB52:BD52"/>
    <mergeCell ref="BB55:BD55"/>
    <mergeCell ref="AV47:AW47"/>
    <mergeCell ref="AV48:AX48"/>
    <mergeCell ref="AY48:BA48"/>
    <mergeCell ref="BB48:BD48"/>
  </mergeCells>
  <conditionalFormatting sqref="G12">
    <cfRule type="containsText" dxfId="35" priority="1" operator="containsText" text="FALSE">
      <formula>NOT(ISERROR(SEARCH("FALSE",G12)))</formula>
    </cfRule>
    <cfRule type="containsText" dxfId="34" priority="2" operator="containsText" text="TRUE">
      <formula>NOT(ISERROR(SEARCH("TRUE",G12)))</formula>
    </cfRule>
    <cfRule type="cellIs" dxfId="33" priority="3" operator="equal">
      <formula>1</formula>
    </cfRule>
    <cfRule type="cellIs" dxfId="32" priority="4" operator="equal">
      <formula>TRUE</formula>
    </cfRule>
    <cfRule type="containsText" dxfId="31" priority="5" operator="containsText" text="YES">
      <formula>NOT(ISERROR(SEARCH("YES",G12)))</formula>
    </cfRule>
    <cfRule type="cellIs" dxfId="30" priority="6" operator="equal">
      <formula>"""YES"""</formula>
    </cfRule>
  </conditionalFormatting>
  <conditionalFormatting sqref="K28">
    <cfRule type="containsText" dxfId="29" priority="13" operator="containsText" text="FALSE">
      <formula>NOT(ISERROR(SEARCH("FALSE",K28)))</formula>
    </cfRule>
    <cfRule type="containsText" dxfId="28" priority="14" operator="containsText" text="TRUE">
      <formula>NOT(ISERROR(SEARCH("TRUE",K28)))</formula>
    </cfRule>
    <cfRule type="cellIs" dxfId="27" priority="15" operator="equal">
      <formula>1</formula>
    </cfRule>
    <cfRule type="cellIs" dxfId="26" priority="16" operator="equal">
      <formula>TRUE</formula>
    </cfRule>
    <cfRule type="containsText" dxfId="25" priority="17" operator="containsText" text="YES">
      <formula>NOT(ISERROR(SEARCH("YES",K28)))</formula>
    </cfRule>
    <cfRule type="cellIs" dxfId="24" priority="18" operator="equal">
      <formula>"""YES"""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2CC91-5E9A-2041-A25C-AEB7F568B05D}">
  <dimension ref="B1:AO81"/>
  <sheetViews>
    <sheetView zoomScale="88" workbookViewId="0">
      <selection activeCell="G36" sqref="G36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2.1640625" style="6" bestFit="1" customWidth="1"/>
    <col min="4" max="4" width="7.1640625" style="6" customWidth="1"/>
    <col min="5" max="5" width="5.6640625" style="6" customWidth="1"/>
    <col min="6" max="6" width="20.332031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4.33203125" style="6" customWidth="1"/>
    <col min="12" max="12" width="5" style="6" customWidth="1"/>
    <col min="13" max="13" width="6" style="6" customWidth="1"/>
    <col min="14" max="14" width="15.1640625" style="6" customWidth="1"/>
    <col min="15" max="15" width="11.6640625" style="6" customWidth="1"/>
    <col min="16" max="16" width="6.33203125" style="6" customWidth="1"/>
    <col min="17" max="17" width="7.1640625" style="6" customWidth="1"/>
    <col min="18" max="18" width="4" style="6" customWidth="1"/>
    <col min="19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8.5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6" width="10.83203125" style="2"/>
    <col min="37" max="38" width="11" style="2" bestFit="1" customWidth="1"/>
    <col min="39" max="41" width="11.1640625" style="2" bestFit="1" customWidth="1"/>
    <col min="42" max="16384" width="10.83203125" style="6"/>
  </cols>
  <sheetData>
    <row r="1" spans="2:41" x14ac:dyDescent="0.2">
      <c r="B1" s="60" t="s">
        <v>0</v>
      </c>
      <c r="C1" s="60"/>
      <c r="D1" s="60"/>
    </row>
    <row r="2" spans="2:41" x14ac:dyDescent="0.2">
      <c r="U2" s="16" t="s">
        <v>96</v>
      </c>
      <c r="AF2" s="48" t="s">
        <v>226</v>
      </c>
    </row>
    <row r="3" spans="2:41" x14ac:dyDescent="0.2">
      <c r="B3" s="54" t="s">
        <v>127</v>
      </c>
      <c r="C3" s="55"/>
      <c r="D3" s="55"/>
      <c r="F3" s="57" t="s">
        <v>83</v>
      </c>
      <c r="G3" s="58"/>
      <c r="H3" s="58"/>
      <c r="J3" s="54" t="s">
        <v>101</v>
      </c>
      <c r="K3" s="54"/>
      <c r="L3" s="54"/>
      <c r="N3" s="54" t="s">
        <v>95</v>
      </c>
      <c r="O3" s="54"/>
      <c r="P3" s="54"/>
      <c r="U3" s="7" t="s">
        <v>44</v>
      </c>
      <c r="V3" s="7" t="s">
        <v>45</v>
      </c>
      <c r="W3" s="7" t="s">
        <v>46</v>
      </c>
      <c r="X3" s="7" t="s">
        <v>47</v>
      </c>
      <c r="Y3" s="7" t="s">
        <v>48</v>
      </c>
      <c r="Z3" s="7" t="s">
        <v>49</v>
      </c>
      <c r="AA3" s="7" t="s">
        <v>50</v>
      </c>
      <c r="AB3" s="7" t="s">
        <v>51</v>
      </c>
      <c r="AC3" s="7" t="s">
        <v>52</v>
      </c>
      <c r="AD3" s="7" t="s">
        <v>53</v>
      </c>
      <c r="AF3" s="7" t="s">
        <v>44</v>
      </c>
      <c r="AG3" s="7" t="s">
        <v>45</v>
      </c>
      <c r="AH3" s="7" t="s">
        <v>46</v>
      </c>
      <c r="AI3" s="7" t="s">
        <v>47</v>
      </c>
      <c r="AJ3" s="7" t="s">
        <v>48</v>
      </c>
      <c r="AK3" s="7" t="s">
        <v>49</v>
      </c>
      <c r="AL3" s="7" t="s">
        <v>50</v>
      </c>
      <c r="AM3" s="7" t="s">
        <v>51</v>
      </c>
      <c r="AN3" s="7" t="s">
        <v>52</v>
      </c>
      <c r="AO3" s="7" t="s">
        <v>53</v>
      </c>
    </row>
    <row r="4" spans="2:41" x14ac:dyDescent="0.2">
      <c r="B4" s="6" t="s">
        <v>39</v>
      </c>
      <c r="C4" s="3" t="s">
        <v>227</v>
      </c>
      <c r="F4" s="6" t="s">
        <v>87</v>
      </c>
      <c r="G4" s="17">
        <f>500*0.3048/60</f>
        <v>2.54</v>
      </c>
      <c r="H4" s="6" t="s">
        <v>10</v>
      </c>
      <c r="J4" s="6" t="s">
        <v>102</v>
      </c>
      <c r="K4" s="6">
        <f>(1+$C$25/100)*MAX(G10,G29)</f>
        <v>688.98589659803315</v>
      </c>
      <c r="L4" s="6" t="s">
        <v>104</v>
      </c>
      <c r="N4" s="6" t="s">
        <v>228</v>
      </c>
      <c r="O4" s="6">
        <f xml:space="preserve"> $C$5 * $C$74</f>
        <v>22876.542932571501</v>
      </c>
      <c r="P4" s="6" t="s">
        <v>22</v>
      </c>
      <c r="U4" s="2">
        <v>0</v>
      </c>
      <c r="V4" s="3">
        <v>0</v>
      </c>
      <c r="W4" s="2">
        <f t="shared" ref="W4:W34" si="0" xml:space="preserve"> $O$22 * TAN($O$19/180*PI()) + $O$23 / (2 * SQRT($O$22^2 + V4^2)) - V4</f>
        <v>1.544920285573872</v>
      </c>
      <c r="X4" s="3">
        <v>1</v>
      </c>
      <c r="Y4" s="2">
        <f t="shared" ref="Y4:Y34" si="1" xml:space="preserve"> $O$22 * TAN($O$19/180*PI()) + $O$23 / (2 * SQRT($O$22^2 + X4^2)) - X4</f>
        <v>-1.2023804103282298E-2</v>
      </c>
      <c r="Z4" s="2">
        <f xml:space="preserve"> (V4 + X4)/2</f>
        <v>0.5</v>
      </c>
      <c r="AA4" s="2">
        <f t="shared" ref="AA4:AA34" si="2" xml:space="preserve"> $O$22 * TAN($O$19/180*PI()) + $O$23 / (2 * SQRT($O$22^2 + Z4^2)) - Z4</f>
        <v>0.53662375643974447</v>
      </c>
      <c r="AB4" s="2">
        <f>W4*AA4</f>
        <v>0.82904092704461396</v>
      </c>
      <c r="AC4" s="2">
        <f>Y4*AA4</f>
        <v>-6.4522589245989605E-3</v>
      </c>
      <c r="AD4" s="2">
        <f>X4-V4</f>
        <v>1</v>
      </c>
      <c r="AF4" s="2">
        <v>0</v>
      </c>
      <c r="AH4" s="2">
        <f>K30</f>
        <v>1.7553247744217515E-10</v>
      </c>
      <c r="AJ4" s="2">
        <f>K30</f>
        <v>1.7553247744217515E-10</v>
      </c>
      <c r="AL4" s="2">
        <f>K30</f>
        <v>1.7553247744217515E-10</v>
      </c>
    </row>
    <row r="5" spans="2:41" x14ac:dyDescent="0.2">
      <c r="B5" s="10" t="s">
        <v>40</v>
      </c>
      <c r="C5" s="10">
        <f>AK44</f>
        <v>2334.2092411444355</v>
      </c>
      <c r="D5" s="10" t="s">
        <v>7</v>
      </c>
      <c r="F5" s="6" t="s">
        <v>90</v>
      </c>
      <c r="G5" s="17">
        <f>1000*0.3048</f>
        <v>304.8</v>
      </c>
      <c r="H5" s="6" t="s">
        <v>8</v>
      </c>
      <c r="J5" s="6" t="s">
        <v>103</v>
      </c>
      <c r="K5" s="6">
        <f>K4/$C$21</f>
        <v>86.123237074754144</v>
      </c>
      <c r="L5" s="6" t="s">
        <v>104</v>
      </c>
      <c r="N5" s="6" t="s">
        <v>25</v>
      </c>
      <c r="O5" s="6">
        <f xml:space="preserve"> 0.5 * $C$71 * $C$7^2</f>
        <v>1260.6806333299751</v>
      </c>
      <c r="P5" s="6" t="s">
        <v>26</v>
      </c>
      <c r="U5" s="2">
        <v>1</v>
      </c>
      <c r="V5" s="2">
        <f>IF(AB4&gt;0, Z4, V4)</f>
        <v>0.5</v>
      </c>
      <c r="W5" s="2">
        <f t="shared" si="0"/>
        <v>0.53662375643974447</v>
      </c>
      <c r="X5" s="2">
        <f>IF(AC4&gt;0, Z4, X4)</f>
        <v>1</v>
      </c>
      <c r="Y5" s="2">
        <f t="shared" si="1"/>
        <v>-1.2023804103282298E-2</v>
      </c>
      <c r="Z5" s="2">
        <f t="shared" ref="Z5:Z34" si="3" xml:space="preserve"> (V5 + X5)/2</f>
        <v>0.75</v>
      </c>
      <c r="AA5" s="2">
        <f t="shared" si="2"/>
        <v>0.25434776504508294</v>
      </c>
      <c r="AB5" s="2">
        <f t="shared" ref="AB5:AB34" si="4">W5*AA5</f>
        <v>0.13648905312054593</v>
      </c>
      <c r="AC5" s="2">
        <f t="shared" ref="AC5:AC34" si="5">Y5*AA5</f>
        <v>-3.0582277010097504E-3</v>
      </c>
      <c r="AD5" s="2">
        <f t="shared" ref="AD5:AD34" si="6">X5-V5</f>
        <v>0.5</v>
      </c>
      <c r="AF5" s="2">
        <v>1</v>
      </c>
      <c r="AG5" s="3">
        <v>500</v>
      </c>
      <c r="AH5" s="2">
        <f t="dataTable" ref="AH5:AH44" dt2D="0" dtr="0" r1="C5" ca="1"/>
        <v>-739.36843728095107</v>
      </c>
      <c r="AI5" s="3">
        <v>5000</v>
      </c>
      <c r="AJ5" s="2">
        <f t="dataTable" ref="AJ5:AJ44" dt2D="0" dtr="0" r1="C5"/>
        <v>1131.9015906300465</v>
      </c>
      <c r="AK5" s="2">
        <f>(AG5+AI5)/2</f>
        <v>2750</v>
      </c>
      <c r="AL5" s="2">
        <f t="dataTable" ref="AL5:AL44" dt2D="0" dtr="0" r1="C5" ca="1"/>
        <v>126.45673387640932</v>
      </c>
      <c r="AM5" s="2">
        <f>AH5*AL5</f>
        <v>-93498.117709853861</v>
      </c>
      <c r="AN5" s="2">
        <f>AJ5*AL5</f>
        <v>143136.57822058818</v>
      </c>
      <c r="AO5" s="2">
        <f>AI5-AG5</f>
        <v>4500</v>
      </c>
    </row>
    <row r="6" spans="2:41" x14ac:dyDescent="0.2">
      <c r="B6" s="6" t="s">
        <v>271</v>
      </c>
      <c r="C6" s="17">
        <v>370</v>
      </c>
      <c r="D6" s="6" t="s">
        <v>134</v>
      </c>
      <c r="F6" s="6" t="s">
        <v>91</v>
      </c>
      <c r="G6" s="6">
        <f xml:space="preserve"> $G$5/$G$4</f>
        <v>120</v>
      </c>
      <c r="H6" s="6" t="s">
        <v>14</v>
      </c>
      <c r="J6" s="6" t="s">
        <v>229</v>
      </c>
      <c r="K6" s="6">
        <f>(1+$C$32/100)*MAX(G20)</f>
        <v>134.59325672833884</v>
      </c>
      <c r="L6" s="6" t="s">
        <v>104</v>
      </c>
      <c r="N6" s="6" t="s">
        <v>119</v>
      </c>
      <c r="O6" s="6">
        <f xml:space="preserve"> ($C$21+$C$28) * 0.4 * ($C$5/($C$21+$C$28) *2.20462/1000)^(2/3) * 0.3048^2</f>
        <v>0.23040210249303095</v>
      </c>
      <c r="P6" s="6" t="s">
        <v>120</v>
      </c>
      <c r="U6" s="2">
        <v>2</v>
      </c>
      <c r="V6" s="2">
        <f t="shared" ref="V6:V34" si="7">IF(AB5&gt;0, Z5, V5)</f>
        <v>0.75</v>
      </c>
      <c r="W6" s="2">
        <f t="shared" si="0"/>
        <v>0.25434776504508294</v>
      </c>
      <c r="X6" s="2">
        <f t="shared" ref="X6:X34" si="8">IF(AC5&gt;0, Z5, X5)</f>
        <v>1</v>
      </c>
      <c r="Y6" s="2">
        <f t="shared" si="1"/>
        <v>-1.2023804103282298E-2</v>
      </c>
      <c r="Z6" s="2">
        <f t="shared" si="3"/>
        <v>0.875</v>
      </c>
      <c r="AA6" s="2">
        <f t="shared" si="2"/>
        <v>0.12000809814762192</v>
      </c>
      <c r="AB6" s="2">
        <f t="shared" si="4"/>
        <v>3.0523791551158592E-2</v>
      </c>
      <c r="AC6" s="2">
        <f t="shared" si="5"/>
        <v>-1.4429538629344813E-3</v>
      </c>
      <c r="AD6" s="2">
        <f t="shared" si="6"/>
        <v>0.25</v>
      </c>
      <c r="AF6" s="2">
        <v>2</v>
      </c>
      <c r="AG6" s="2">
        <f>IF(AM5&gt;0,AK5,AG5)</f>
        <v>500</v>
      </c>
      <c r="AH6" s="2">
        <v>-739.36843728095107</v>
      </c>
      <c r="AI6" s="2">
        <f>IF(AN5&gt;0,AK5,AI5)</f>
        <v>2750</v>
      </c>
      <c r="AJ6" s="2">
        <v>126.45673387640932</v>
      </c>
      <c r="AK6" s="2">
        <f t="shared" ref="AK6:AK44" si="9">(AG6+AI6)/2</f>
        <v>1625</v>
      </c>
      <c r="AL6" s="2">
        <v>-255.56245489081971</v>
      </c>
      <c r="AM6" s="2">
        <f t="shared" ref="AM6:AM44" si="10">AH6*AL6</f>
        <v>188954.81290030893</v>
      </c>
      <c r="AN6" s="2">
        <f t="shared" ref="AN6:AN44" si="11">AJ6*AL6</f>
        <v>-32317.593346930247</v>
      </c>
      <c r="AO6" s="2">
        <f t="shared" ref="AO6:AO44" si="12">AI6-AG6</f>
        <v>2250</v>
      </c>
    </row>
    <row r="7" spans="2:41" x14ac:dyDescent="0.2">
      <c r="B7" s="6" t="s">
        <v>9</v>
      </c>
      <c r="C7" s="17">
        <v>50</v>
      </c>
      <c r="D7" s="6" t="s">
        <v>10</v>
      </c>
      <c r="F7" s="6" t="s">
        <v>21</v>
      </c>
      <c r="G7" s="6">
        <f xml:space="preserve"> $C$5 * $C$68 / $C$21</f>
        <v>2859.8414147872581</v>
      </c>
      <c r="H7" s="6" t="s">
        <v>22</v>
      </c>
      <c r="J7" s="6" t="s">
        <v>230</v>
      </c>
      <c r="K7" s="6">
        <f>K6/$C$28</f>
        <v>134.59325672833884</v>
      </c>
      <c r="L7" s="6" t="s">
        <v>104</v>
      </c>
      <c r="N7" s="6" t="s">
        <v>121</v>
      </c>
      <c r="O7" s="6">
        <f xml:space="preserve"> O6 / $C$12</f>
        <v>1.1520105124651547E-2</v>
      </c>
      <c r="U7" s="2">
        <v>3</v>
      </c>
      <c r="V7" s="2">
        <f t="shared" si="7"/>
        <v>0.875</v>
      </c>
      <c r="W7" s="2">
        <f t="shared" si="0"/>
        <v>0.12000809814762192</v>
      </c>
      <c r="X7" s="2">
        <f t="shared" si="8"/>
        <v>1</v>
      </c>
      <c r="Y7" s="2">
        <f t="shared" si="1"/>
        <v>-1.2023804103282298E-2</v>
      </c>
      <c r="Z7" s="2">
        <f t="shared" si="3"/>
        <v>0.9375</v>
      </c>
      <c r="AA7" s="2">
        <f t="shared" si="2"/>
        <v>5.3760433693972987E-2</v>
      </c>
      <c r="AB7" s="2">
        <f t="shared" si="4"/>
        <v>6.4516874032050303E-3</v>
      </c>
      <c r="AC7" s="2">
        <f t="shared" si="5"/>
        <v>-6.4640492324382834E-4</v>
      </c>
      <c r="AD7" s="2">
        <f t="shared" si="6"/>
        <v>0.125</v>
      </c>
      <c r="AF7" s="2">
        <v>3</v>
      </c>
      <c r="AG7" s="2">
        <f t="shared" ref="AG7:AG44" si="13">IF(AM6&gt;0,AK6,AG6)</f>
        <v>1625</v>
      </c>
      <c r="AH7" s="2">
        <v>-255.56245489081971</v>
      </c>
      <c r="AI7" s="2">
        <f t="shared" ref="AI7:AI44" si="14">IF(AN6&gt;0,AK6,AI6)</f>
        <v>2750</v>
      </c>
      <c r="AJ7" s="2">
        <v>126.45673387640932</v>
      </c>
      <c r="AK7" s="2">
        <f t="shared" si="9"/>
        <v>2187.5</v>
      </c>
      <c r="AL7" s="2">
        <v>-48.852022666801531</v>
      </c>
      <c r="AM7" s="2">
        <f t="shared" si="10"/>
        <v>12484.742839109767</v>
      </c>
      <c r="AN7" s="2">
        <f t="shared" si="11"/>
        <v>-6177.6672297000368</v>
      </c>
      <c r="AO7" s="2">
        <f t="shared" si="12"/>
        <v>1125</v>
      </c>
    </row>
    <row r="8" spans="2:41" x14ac:dyDescent="0.2">
      <c r="B8" s="6" t="s">
        <v>98</v>
      </c>
      <c r="C8" s="17">
        <v>1.524</v>
      </c>
      <c r="D8" s="6" t="s">
        <v>8</v>
      </c>
      <c r="F8" t="s">
        <v>100</v>
      </c>
      <c r="G8" s="6">
        <f>G10/$C$21</f>
        <v>57.415491383169432</v>
      </c>
      <c r="H8" s="6" t="s">
        <v>20</v>
      </c>
      <c r="N8" s="6" t="s">
        <v>123</v>
      </c>
      <c r="O8" s="17">
        <v>2.3739199999999998E-2</v>
      </c>
      <c r="U8" s="2">
        <v>4</v>
      </c>
      <c r="V8" s="2">
        <f t="shared" si="7"/>
        <v>0.9375</v>
      </c>
      <c r="W8" s="2">
        <f t="shared" si="0"/>
        <v>5.3760433693972987E-2</v>
      </c>
      <c r="X8" s="2">
        <f t="shared" si="8"/>
        <v>1</v>
      </c>
      <c r="Y8" s="2">
        <f t="shared" si="1"/>
        <v>-1.2023804103282298E-2</v>
      </c>
      <c r="Z8" s="2">
        <f t="shared" si="3"/>
        <v>0.96875</v>
      </c>
      <c r="AA8" s="2">
        <f t="shared" si="2"/>
        <v>2.0815910150348782E-2</v>
      </c>
      <c r="AB8" s="2">
        <f t="shared" si="4"/>
        <v>1.1190723574175249E-3</v>
      </c>
      <c r="AC8" s="2">
        <f t="shared" si="5"/>
        <v>-2.5028642587931934E-4</v>
      </c>
      <c r="AD8" s="2">
        <f t="shared" si="6"/>
        <v>6.25E-2</v>
      </c>
      <c r="AF8" s="2">
        <v>4</v>
      </c>
      <c r="AG8" s="2">
        <f t="shared" si="13"/>
        <v>2187.5</v>
      </c>
      <c r="AH8" s="2">
        <v>-48.852022666801531</v>
      </c>
      <c r="AI8" s="2">
        <f t="shared" si="14"/>
        <v>2750</v>
      </c>
      <c r="AJ8" s="2">
        <v>126.45673387640932</v>
      </c>
      <c r="AK8" s="2">
        <f t="shared" si="9"/>
        <v>2468.75</v>
      </c>
      <c r="AL8" s="2">
        <v>42.880270194568993</v>
      </c>
      <c r="AM8" s="2">
        <f t="shared" si="10"/>
        <v>-2094.7879315036585</v>
      </c>
      <c r="AN8" s="2">
        <f t="shared" si="11"/>
        <v>5422.498916543138</v>
      </c>
      <c r="AO8" s="2">
        <f t="shared" si="12"/>
        <v>562.5</v>
      </c>
    </row>
    <row r="9" spans="2:41" x14ac:dyDescent="0.2">
      <c r="B9" s="6" t="s">
        <v>224</v>
      </c>
      <c r="C9" s="17">
        <f>(0.548288+0.530863+0.513438+0.496013+0.478588+0.461163+0.443738+0.426313)/8</f>
        <v>0.48730050000000003</v>
      </c>
      <c r="D9" s="6" t="s">
        <v>8</v>
      </c>
      <c r="F9" t="s">
        <v>274</v>
      </c>
      <c r="G9" s="6">
        <f xml:space="preserve"> (G7/$C$68*1000) / (G8*1000)</f>
        <v>5.081836767639067</v>
      </c>
      <c r="H9" s="6" t="s">
        <v>275</v>
      </c>
      <c r="J9" s="54" t="s">
        <v>23</v>
      </c>
      <c r="K9" s="54"/>
      <c r="L9" s="54"/>
      <c r="N9" s="6" t="s">
        <v>122</v>
      </c>
      <c r="O9" s="6">
        <f xml:space="preserve"> $O$8 + O7</f>
        <v>3.5259305124651544E-2</v>
      </c>
      <c r="U9" s="2">
        <v>5</v>
      </c>
      <c r="V9" s="2">
        <f t="shared" si="7"/>
        <v>0.96875</v>
      </c>
      <c r="W9" s="2">
        <f t="shared" si="0"/>
        <v>2.0815910150348782E-2</v>
      </c>
      <c r="X9" s="2">
        <f t="shared" si="8"/>
        <v>1</v>
      </c>
      <c r="Y9" s="2">
        <f t="shared" si="1"/>
        <v>-1.2023804103282298E-2</v>
      </c>
      <c r="Z9" s="2">
        <f t="shared" si="3"/>
        <v>0.984375</v>
      </c>
      <c r="AA9" s="2">
        <f t="shared" si="2"/>
        <v>4.3835669844516367E-3</v>
      </c>
      <c r="AB9" s="2">
        <f t="shared" si="4"/>
        <v>9.1247936486380633E-5</v>
      </c>
      <c r="AC9" s="2">
        <f t="shared" si="5"/>
        <v>-5.2707150694662398E-5</v>
      </c>
      <c r="AD9" s="2">
        <f t="shared" si="6"/>
        <v>3.125E-2</v>
      </c>
      <c r="AF9" s="2">
        <v>5</v>
      </c>
      <c r="AG9" s="2">
        <f t="shared" si="13"/>
        <v>2187.5</v>
      </c>
      <c r="AH9" s="2">
        <v>-48.852022666801531</v>
      </c>
      <c r="AI9" s="2">
        <f t="shared" si="14"/>
        <v>2468.75</v>
      </c>
      <c r="AJ9" s="2">
        <v>42.880270194568993</v>
      </c>
      <c r="AK9" s="2">
        <f t="shared" si="9"/>
        <v>2328.125</v>
      </c>
      <c r="AL9" s="2">
        <v>-1.9828054475030967</v>
      </c>
      <c r="AM9" s="2">
        <f t="shared" si="10"/>
        <v>96.864056665278838</v>
      </c>
      <c r="AN9" s="2">
        <f t="shared" si="11"/>
        <v>-85.023233332196071</v>
      </c>
      <c r="AO9" s="2">
        <f t="shared" si="12"/>
        <v>281.25</v>
      </c>
    </row>
    <row r="10" spans="2:41" x14ac:dyDescent="0.2">
      <c r="B10" s="6" t="s">
        <v>231</v>
      </c>
      <c r="C10" s="17">
        <v>1.37</v>
      </c>
      <c r="D10" s="6" t="s">
        <v>8</v>
      </c>
      <c r="F10" s="43" t="s">
        <v>85</v>
      </c>
      <c r="G10" s="43">
        <f xml:space="preserve"> 1/1000 * (($C$5*$C$68)/$C$24 * ( ($G$4/2) + SQRT( ($G$4/2)^2 + ($C$5*$C$68) / (2*$C$65*PI()*$C$8^2 * $C$21) ) ) )</f>
        <v>459.32393106535545</v>
      </c>
      <c r="H10" s="43" t="s">
        <v>104</v>
      </c>
      <c r="J10" s="6" t="s">
        <v>99</v>
      </c>
      <c r="K10" s="6">
        <f xml:space="preserve"> $C$18 * (G10*G6 + G20*G13 + G29*G25)/3600</f>
        <v>86.432539721353578</v>
      </c>
      <c r="L10" s="6" t="s">
        <v>105</v>
      </c>
      <c r="N10" s="6" t="s">
        <v>41</v>
      </c>
      <c r="O10" s="6">
        <f xml:space="preserve"> O5 * $C$12 * O9</f>
        <v>889.01446230641091</v>
      </c>
      <c r="P10" s="6" t="s">
        <v>22</v>
      </c>
      <c r="U10" s="2">
        <v>6</v>
      </c>
      <c r="V10" s="2">
        <f t="shared" si="7"/>
        <v>0.984375</v>
      </c>
      <c r="W10" s="2">
        <f t="shared" si="0"/>
        <v>4.3835669844516367E-3</v>
      </c>
      <c r="X10" s="2">
        <f t="shared" si="8"/>
        <v>1</v>
      </c>
      <c r="Y10" s="2">
        <f t="shared" si="1"/>
        <v>-1.2023804103282298E-2</v>
      </c>
      <c r="Z10" s="2">
        <f t="shared" si="3"/>
        <v>0.9921875</v>
      </c>
      <c r="AA10" s="2">
        <f t="shared" si="2"/>
        <v>-3.8231673433316571E-3</v>
      </c>
      <c r="AB10" s="2">
        <f t="shared" si="4"/>
        <v>-1.6759110142262329E-5</v>
      </c>
      <c r="AC10" s="2">
        <f t="shared" si="5"/>
        <v>4.5969015190286061E-5</v>
      </c>
      <c r="AD10" s="2">
        <f t="shared" si="6"/>
        <v>1.5625E-2</v>
      </c>
      <c r="AF10" s="2">
        <v>6</v>
      </c>
      <c r="AG10" s="2">
        <f t="shared" si="13"/>
        <v>2328.125</v>
      </c>
      <c r="AH10" s="2">
        <v>-1.9828054475030967</v>
      </c>
      <c r="AI10" s="2">
        <f t="shared" si="14"/>
        <v>2468.75</v>
      </c>
      <c r="AJ10" s="2">
        <v>42.880270194568993</v>
      </c>
      <c r="AK10" s="2">
        <f t="shared" si="9"/>
        <v>2398.4375</v>
      </c>
      <c r="AL10" s="2">
        <v>20.701661141775958</v>
      </c>
      <c r="AM10" s="2">
        <f t="shared" si="10"/>
        <v>-41.047366484276544</v>
      </c>
      <c r="AN10" s="2">
        <f t="shared" si="11"/>
        <v>887.69282323576272</v>
      </c>
      <c r="AO10" s="2">
        <f t="shared" si="12"/>
        <v>140.625</v>
      </c>
    </row>
    <row r="11" spans="2:41" x14ac:dyDescent="0.2">
      <c r="B11" s="6" t="s">
        <v>259</v>
      </c>
      <c r="C11" s="17">
        <f>(0.500656+0.484769+0.468881+0.452994+0.437106+0.421219+0.405331+0.389444)/8</f>
        <v>0.44505</v>
      </c>
      <c r="D11" s="6" t="s">
        <v>8</v>
      </c>
      <c r="J11" s="6" t="s">
        <v>24</v>
      </c>
      <c r="K11" s="6">
        <f xml:space="preserve"> (G6 + G13 + G25)/60</f>
        <v>37.333333333333336</v>
      </c>
      <c r="L11" s="6" t="s">
        <v>106</v>
      </c>
      <c r="N11" s="6" t="s">
        <v>234</v>
      </c>
      <c r="O11" s="6">
        <f xml:space="preserve"> 1.78 * (1 - 0.045 * $C$13^0.68) - 0.64</f>
        <v>0.70601395642148124</v>
      </c>
      <c r="U11" s="2">
        <v>7</v>
      </c>
      <c r="V11" s="2">
        <f t="shared" si="7"/>
        <v>0.984375</v>
      </c>
      <c r="W11" s="2">
        <f t="shared" si="0"/>
        <v>4.3835669844516367E-3</v>
      </c>
      <c r="X11" s="2">
        <f t="shared" si="8"/>
        <v>0.9921875</v>
      </c>
      <c r="Y11" s="2">
        <f t="shared" si="1"/>
        <v>-3.8231673433316571E-3</v>
      </c>
      <c r="Z11" s="2">
        <f t="shared" si="3"/>
        <v>0.98828125</v>
      </c>
      <c r="AA11" s="2">
        <f t="shared" si="2"/>
        <v>2.7942871040842476E-4</v>
      </c>
      <c r="AB11" s="2">
        <f t="shared" si="4"/>
        <v>1.2248944694542683E-6</v>
      </c>
      <c r="AC11" s="2">
        <f t="shared" si="5"/>
        <v>-1.0683027204227682E-6</v>
      </c>
      <c r="AD11" s="2">
        <f t="shared" si="6"/>
        <v>7.8125E-3</v>
      </c>
      <c r="AF11" s="2">
        <v>7</v>
      </c>
      <c r="AG11" s="2">
        <f t="shared" si="13"/>
        <v>2328.125</v>
      </c>
      <c r="AH11" s="2">
        <v>-1.9828054475030967</v>
      </c>
      <c r="AI11" s="2">
        <f t="shared" si="14"/>
        <v>2398.4375</v>
      </c>
      <c r="AJ11" s="2">
        <v>20.701661141775958</v>
      </c>
      <c r="AK11" s="2">
        <f t="shared" si="9"/>
        <v>2363.28125</v>
      </c>
      <c r="AL11" s="2">
        <v>9.422398161465253</v>
      </c>
      <c r="AM11" s="2">
        <f t="shared" si="10"/>
        <v>-18.682782403096468</v>
      </c>
      <c r="AN11" s="2">
        <f t="shared" si="11"/>
        <v>195.05929388154647</v>
      </c>
      <c r="AO11" s="2">
        <f t="shared" si="12"/>
        <v>70.3125</v>
      </c>
    </row>
    <row r="12" spans="2:41" x14ac:dyDescent="0.2">
      <c r="B12" s="6" t="s">
        <v>232</v>
      </c>
      <c r="C12" s="17">
        <v>20</v>
      </c>
      <c r="D12" s="6" t="s">
        <v>11</v>
      </c>
      <c r="F12" s="57" t="s">
        <v>89</v>
      </c>
      <c r="G12" s="58"/>
      <c r="H12" s="58"/>
      <c r="N12" s="6" t="s">
        <v>235</v>
      </c>
      <c r="O12" s="6">
        <f xml:space="preserve"> O4 / (O5 * $C$12)</f>
        <v>0.90730920773111101</v>
      </c>
      <c r="U12" s="2">
        <v>8</v>
      </c>
      <c r="V12" s="2">
        <f t="shared" si="7"/>
        <v>0.98828125</v>
      </c>
      <c r="W12" s="2">
        <f t="shared" si="0"/>
        <v>2.7942871040842476E-4</v>
      </c>
      <c r="X12" s="2">
        <f t="shared" si="8"/>
        <v>0.9921875</v>
      </c>
      <c r="Y12" s="2">
        <f t="shared" si="1"/>
        <v>-3.8231673433316571E-3</v>
      </c>
      <c r="Z12" s="2">
        <f t="shared" si="3"/>
        <v>0.990234375</v>
      </c>
      <c r="AA12" s="2">
        <f t="shared" si="2"/>
        <v>-1.772060968927458E-3</v>
      </c>
      <c r="AB12" s="2">
        <f t="shared" si="4"/>
        <v>-4.9516471131250321E-7</v>
      </c>
      <c r="AC12" s="2">
        <f t="shared" si="5"/>
        <v>6.7748856267961122E-6</v>
      </c>
      <c r="AD12" s="2">
        <f t="shared" si="6"/>
        <v>3.90625E-3</v>
      </c>
      <c r="AF12" s="2">
        <v>8</v>
      </c>
      <c r="AG12" s="2">
        <f t="shared" si="13"/>
        <v>2328.125</v>
      </c>
      <c r="AH12" s="2">
        <v>-1.9828054475030967</v>
      </c>
      <c r="AI12" s="2">
        <f t="shared" si="14"/>
        <v>2363.28125</v>
      </c>
      <c r="AJ12" s="2">
        <v>9.422398161465253</v>
      </c>
      <c r="AK12" s="2">
        <f t="shared" si="9"/>
        <v>2345.703125</v>
      </c>
      <c r="AL12" s="2">
        <v>3.735505347867047</v>
      </c>
      <c r="AM12" s="2">
        <f t="shared" si="10"/>
        <v>-7.406780352927731</v>
      </c>
      <c r="AN12" s="2">
        <f t="shared" si="11"/>
        <v>35.197418721886088</v>
      </c>
      <c r="AO12" s="2">
        <f t="shared" si="12"/>
        <v>35.15625</v>
      </c>
    </row>
    <row r="13" spans="2:41" x14ac:dyDescent="0.2">
      <c r="B13" s="6" t="s">
        <v>233</v>
      </c>
      <c r="C13" s="17">
        <v>12</v>
      </c>
      <c r="F13" s="9" t="s">
        <v>92</v>
      </c>
      <c r="G13" s="6">
        <f xml:space="preserve"> $C$17/$C$7</f>
        <v>1920</v>
      </c>
      <c r="H13" s="6" t="s">
        <v>14</v>
      </c>
      <c r="J13" s="45" t="s">
        <v>54</v>
      </c>
      <c r="K13" s="45"/>
      <c r="L13" s="45"/>
      <c r="N13" s="6" t="s">
        <v>236</v>
      </c>
      <c r="O13" s="6">
        <f xml:space="preserve"> O9 + O12^2 / ( PI() * O11 * $C$13 )</f>
        <v>6.6188330266842885E-2</v>
      </c>
      <c r="U13" s="2">
        <v>9</v>
      </c>
      <c r="V13" s="2">
        <f t="shared" si="7"/>
        <v>0.98828125</v>
      </c>
      <c r="W13" s="2">
        <f t="shared" si="0"/>
        <v>2.7942871040842476E-4</v>
      </c>
      <c r="X13" s="2">
        <f t="shared" si="8"/>
        <v>0.990234375</v>
      </c>
      <c r="Y13" s="2">
        <f t="shared" si="1"/>
        <v>-1.772060968927458E-3</v>
      </c>
      <c r="Z13" s="2">
        <f t="shared" si="3"/>
        <v>0.9892578125</v>
      </c>
      <c r="AA13" s="2">
        <f t="shared" si="2"/>
        <v>-7.4636418232776336E-4</v>
      </c>
      <c r="AB13" s="2">
        <f t="shared" si="4"/>
        <v>-2.0855558096288534E-7</v>
      </c>
      <c r="AC13" s="2">
        <f t="shared" si="5"/>
        <v>1.3226028361084862E-6</v>
      </c>
      <c r="AD13" s="2">
        <f t="shared" si="6"/>
        <v>1.953125E-3</v>
      </c>
      <c r="AF13" s="2">
        <v>9</v>
      </c>
      <c r="AG13" s="2">
        <f t="shared" si="13"/>
        <v>2328.125</v>
      </c>
      <c r="AH13" s="2">
        <v>-1.9828054475030967</v>
      </c>
      <c r="AI13" s="2">
        <f t="shared" si="14"/>
        <v>2345.703125</v>
      </c>
      <c r="AJ13" s="2">
        <v>3.735505347867047</v>
      </c>
      <c r="AK13" s="2">
        <f t="shared" si="9"/>
        <v>2336.9140625</v>
      </c>
      <c r="AL13" s="2">
        <v>0.88027316844613779</v>
      </c>
      <c r="AM13" s="2">
        <f t="shared" si="10"/>
        <v>-1.7454104336858132</v>
      </c>
      <c r="AN13" s="2">
        <f t="shared" si="11"/>
        <v>3.2882651283144178</v>
      </c>
      <c r="AO13" s="2">
        <f t="shared" si="12"/>
        <v>17.578125</v>
      </c>
    </row>
    <row r="14" spans="2:41" x14ac:dyDescent="0.2">
      <c r="F14" s="6" t="s">
        <v>239</v>
      </c>
      <c r="G14" s="6">
        <f>O21*$C$10</f>
        <v>53.082443870155544</v>
      </c>
      <c r="H14" s="6" t="s">
        <v>10</v>
      </c>
      <c r="J14" s="10" t="s">
        <v>82</v>
      </c>
      <c r="K14" s="18">
        <f>C5</f>
        <v>2334.2092411444355</v>
      </c>
      <c r="L14" s="6" t="s">
        <v>7</v>
      </c>
      <c r="N14" s="6" t="s">
        <v>42</v>
      </c>
      <c r="O14" s="6">
        <f xml:space="preserve"> O5 * O13 * $C$12</f>
        <v>1668.846922397141</v>
      </c>
      <c r="P14" s="6" t="s">
        <v>22</v>
      </c>
      <c r="U14" s="2">
        <v>10</v>
      </c>
      <c r="V14" s="2">
        <f t="shared" si="7"/>
        <v>0.98828125</v>
      </c>
      <c r="W14" s="2">
        <f t="shared" si="0"/>
        <v>2.7942871040842476E-4</v>
      </c>
      <c r="X14" s="2">
        <f t="shared" si="8"/>
        <v>0.9892578125</v>
      </c>
      <c r="Y14" s="2">
        <f t="shared" si="1"/>
        <v>-7.4636418232776336E-4</v>
      </c>
      <c r="Z14" s="2">
        <f t="shared" si="3"/>
        <v>0.98876953125</v>
      </c>
      <c r="AA14" s="2">
        <f t="shared" si="2"/>
        <v>-2.3347976678012028E-4</v>
      </c>
      <c r="AB14" s="2">
        <f t="shared" si="4"/>
        <v>-6.5240950137828777E-8</v>
      </c>
      <c r="AC14" s="2">
        <f t="shared" si="5"/>
        <v>1.7426093522292137E-7</v>
      </c>
      <c r="AD14" s="2">
        <f t="shared" si="6"/>
        <v>9.765625E-4</v>
      </c>
      <c r="AF14" s="2">
        <v>10</v>
      </c>
      <c r="AG14" s="2">
        <f t="shared" si="13"/>
        <v>2328.125</v>
      </c>
      <c r="AH14" s="2">
        <v>-1.9828054475030967</v>
      </c>
      <c r="AI14" s="2">
        <f t="shared" si="14"/>
        <v>2336.9140625</v>
      </c>
      <c r="AJ14" s="2">
        <v>0.88027316844613779</v>
      </c>
      <c r="AK14" s="2">
        <f t="shared" si="9"/>
        <v>2332.51953125</v>
      </c>
      <c r="AL14" s="2">
        <v>-0.55028583004809661</v>
      </c>
      <c r="AM14" s="2">
        <f t="shared" si="10"/>
        <v>1.0911097415031292</v>
      </c>
      <c r="AN14" s="2">
        <f t="shared" si="11"/>
        <v>-0.48440185116745088</v>
      </c>
      <c r="AO14" s="2">
        <f t="shared" si="12"/>
        <v>8.7890625</v>
      </c>
    </row>
    <row r="15" spans="2:41" x14ac:dyDescent="0.2">
      <c r="B15" s="54" t="s">
        <v>12</v>
      </c>
      <c r="C15" s="54"/>
      <c r="D15" s="54"/>
      <c r="F15" s="6" t="s">
        <v>240</v>
      </c>
      <c r="G15" s="6">
        <f>G14/$C$73</f>
        <v>0.15954004668299768</v>
      </c>
      <c r="H15" s="6" t="s">
        <v>131</v>
      </c>
      <c r="J15" s="11" t="s">
        <v>55</v>
      </c>
      <c r="K15" s="6">
        <f xml:space="preserve"> 1000 * K10 / ($C$60 * $C$61 * $C$62)</f>
        <v>508.42670424325632</v>
      </c>
      <c r="L15" s="6" t="s">
        <v>7</v>
      </c>
      <c r="N15" s="6" t="s">
        <v>237</v>
      </c>
      <c r="O15" s="6">
        <f>O4/O14</f>
        <v>13.707993600582315</v>
      </c>
      <c r="U15" s="2">
        <v>11</v>
      </c>
      <c r="V15" s="2">
        <f t="shared" si="7"/>
        <v>0.98828125</v>
      </c>
      <c r="W15" s="2">
        <f t="shared" si="0"/>
        <v>2.7942871040842476E-4</v>
      </c>
      <c r="X15" s="2">
        <f t="shared" si="8"/>
        <v>0.98876953125</v>
      </c>
      <c r="Y15" s="2">
        <f t="shared" si="1"/>
        <v>-2.3347976678012028E-4</v>
      </c>
      <c r="Z15" s="2">
        <f t="shared" si="3"/>
        <v>0.988525390625</v>
      </c>
      <c r="AA15" s="2">
        <f t="shared" si="2"/>
        <v>2.2971461911103219E-5</v>
      </c>
      <c r="AB15" s="2">
        <f t="shared" si="4"/>
        <v>6.418885978015821E-9</v>
      </c>
      <c r="AC15" s="2">
        <f t="shared" si="5"/>
        <v>-5.3633715696027958E-9</v>
      </c>
      <c r="AD15" s="2">
        <f t="shared" si="6"/>
        <v>4.8828125E-4</v>
      </c>
      <c r="AF15" s="2">
        <v>11</v>
      </c>
      <c r="AG15" s="2">
        <f t="shared" si="13"/>
        <v>2332.51953125</v>
      </c>
      <c r="AH15" s="2">
        <v>-0.55028583004809661</v>
      </c>
      <c r="AI15" s="2">
        <f t="shared" si="14"/>
        <v>2336.9140625</v>
      </c>
      <c r="AJ15" s="2">
        <v>0.88027316844613779</v>
      </c>
      <c r="AK15" s="2">
        <f t="shared" si="9"/>
        <v>2334.716796875</v>
      </c>
      <c r="AL15" s="2">
        <v>0.16523876748465227</v>
      </c>
      <c r="AM15" s="2">
        <f t="shared" si="10"/>
        <v>-9.0928552321416306E-2</v>
      </c>
      <c r="AN15" s="2">
        <f t="shared" si="11"/>
        <v>0.14545525340384952</v>
      </c>
      <c r="AO15" s="2">
        <f t="shared" si="12"/>
        <v>4.39453125</v>
      </c>
    </row>
    <row r="16" spans="2:41" x14ac:dyDescent="0.2">
      <c r="B16" s="6" t="s">
        <v>71</v>
      </c>
      <c r="C16" s="6">
        <f>C35*100</f>
        <v>600</v>
      </c>
      <c r="D16" s="6" t="s">
        <v>7</v>
      </c>
      <c r="F16" s="9" t="s">
        <v>21</v>
      </c>
      <c r="G16" s="6">
        <f>O20</f>
        <v>1668.846922397141</v>
      </c>
      <c r="H16" s="6" t="s">
        <v>22</v>
      </c>
      <c r="J16" s="12" t="s">
        <v>135</v>
      </c>
      <c r="K16" s="6">
        <f xml:space="preserve"> $C$78 * ( $C$21 * (0.0095 * MAX(G7,G26) - 1.9275) +  $C$28 * (0.0095 * MAX(O20) - 1.9275) )</f>
        <v>172.68359462928356</v>
      </c>
      <c r="L16" s="6" t="s">
        <v>7</v>
      </c>
      <c r="N16" s="6" t="s">
        <v>118</v>
      </c>
      <c r="O16" s="6">
        <f>(O13*$C$12)/(0.3048^2)/($C$5*2.20462/1000)^(2/3)</f>
        <v>4.780417316444967</v>
      </c>
      <c r="U16" s="2">
        <v>12</v>
      </c>
      <c r="V16" s="2">
        <f t="shared" si="7"/>
        <v>0.988525390625</v>
      </c>
      <c r="W16" s="2">
        <f t="shared" si="0"/>
        <v>2.2971461911103219E-5</v>
      </c>
      <c r="X16" s="2">
        <f t="shared" si="8"/>
        <v>0.98876953125</v>
      </c>
      <c r="Y16" s="2">
        <f t="shared" si="1"/>
        <v>-2.3347976678012028E-4</v>
      </c>
      <c r="Z16" s="2">
        <f t="shared" si="3"/>
        <v>0.9886474609375</v>
      </c>
      <c r="AA16" s="2">
        <f t="shared" si="2"/>
        <v>-1.0525490463531018E-4</v>
      </c>
      <c r="AB16" s="2">
        <f t="shared" si="4"/>
        <v>-2.4178590327868296E-9</v>
      </c>
      <c r="AC16" s="2">
        <f t="shared" si="5"/>
        <v>2.457489058671602E-8</v>
      </c>
      <c r="AD16" s="2">
        <f t="shared" si="6"/>
        <v>2.44140625E-4</v>
      </c>
      <c r="AF16" s="2">
        <v>12</v>
      </c>
      <c r="AG16" s="2">
        <f t="shared" si="13"/>
        <v>2332.51953125</v>
      </c>
      <c r="AH16" s="2">
        <v>-0.55028583004809661</v>
      </c>
      <c r="AI16" s="2">
        <f t="shared" si="14"/>
        <v>2334.716796875</v>
      </c>
      <c r="AJ16" s="2">
        <v>0.16523876748465227</v>
      </c>
      <c r="AK16" s="2">
        <f t="shared" si="9"/>
        <v>2333.6181640625</v>
      </c>
      <c r="AL16" s="2">
        <v>-0.1924622651736172</v>
      </c>
      <c r="AM16" s="2">
        <f t="shared" si="10"/>
        <v>0.10590925734400082</v>
      </c>
      <c r="AN16" s="2">
        <f t="shared" si="11"/>
        <v>-3.180222748459282E-2</v>
      </c>
      <c r="AO16" s="2">
        <f t="shared" si="12"/>
        <v>2.197265625</v>
      </c>
    </row>
    <row r="17" spans="2:41" x14ac:dyDescent="0.2">
      <c r="B17" s="6" t="s">
        <v>13</v>
      </c>
      <c r="C17" s="17">
        <v>96000</v>
      </c>
      <c r="D17" s="6" t="s">
        <v>8</v>
      </c>
      <c r="F17" s="9" t="s">
        <v>100</v>
      </c>
      <c r="G17" s="6">
        <f xml:space="preserve"> 1/1000 * (O25 + O20 * (O30 * O27 + $C$7 * SIN(O19/180*PI())))</f>
        <v>89.728837818892558</v>
      </c>
      <c r="H17" s="6" t="s">
        <v>104</v>
      </c>
      <c r="J17" s="12" t="s">
        <v>136</v>
      </c>
      <c r="K17" s="6">
        <v>0</v>
      </c>
      <c r="L17" s="6" t="s">
        <v>7</v>
      </c>
      <c r="U17" s="2">
        <v>13</v>
      </c>
      <c r="V17" s="2">
        <f t="shared" si="7"/>
        <v>0.988525390625</v>
      </c>
      <c r="W17" s="2">
        <f t="shared" si="0"/>
        <v>2.2971461911103219E-5</v>
      </c>
      <c r="X17" s="2">
        <f t="shared" si="8"/>
        <v>0.9886474609375</v>
      </c>
      <c r="Y17" s="2">
        <f t="shared" si="1"/>
        <v>-1.0525490463531018E-4</v>
      </c>
      <c r="Z17" s="2">
        <f t="shared" si="3"/>
        <v>0.98858642578125</v>
      </c>
      <c r="AA17" s="2">
        <f t="shared" si="2"/>
        <v>-4.1141909446706926E-5</v>
      </c>
      <c r="AB17" s="2">
        <f t="shared" si="4"/>
        <v>-9.4508980580508595E-10</v>
      </c>
      <c r="AC17" s="2">
        <f t="shared" si="5"/>
        <v>4.3303877553277041E-9</v>
      </c>
      <c r="AD17" s="2">
        <f t="shared" si="6"/>
        <v>1.220703125E-4</v>
      </c>
      <c r="AF17" s="2">
        <v>13</v>
      </c>
      <c r="AG17" s="2">
        <f t="shared" si="13"/>
        <v>2333.6181640625</v>
      </c>
      <c r="AH17" s="2">
        <v>-0.1924622651736172</v>
      </c>
      <c r="AI17" s="2">
        <f t="shared" si="14"/>
        <v>2334.716796875</v>
      </c>
      <c r="AJ17" s="2">
        <v>0.16523876748465227</v>
      </c>
      <c r="AK17" s="2">
        <f t="shared" si="9"/>
        <v>2334.16748046875</v>
      </c>
      <c r="AL17" s="2">
        <v>-1.3596478240515353E-2</v>
      </c>
      <c r="AM17" s="2">
        <f t="shared" si="10"/>
        <v>2.6168090005533819E-3</v>
      </c>
      <c r="AN17" s="2">
        <f t="shared" si="11"/>
        <v>-2.2466653065946504E-3</v>
      </c>
      <c r="AO17" s="2">
        <f t="shared" si="12"/>
        <v>1.0986328125</v>
      </c>
    </row>
    <row r="18" spans="2:41" x14ac:dyDescent="0.2">
      <c r="B18" s="6" t="s">
        <v>263</v>
      </c>
      <c r="C18" s="17">
        <v>1</v>
      </c>
      <c r="F18" t="s">
        <v>274</v>
      </c>
      <c r="G18" s="6">
        <f xml:space="preserve"> (G16/$C$74*1000) / (G17*1000)</f>
        <v>1.8977274883679942</v>
      </c>
      <c r="H18" s="6" t="s">
        <v>275</v>
      </c>
      <c r="J18" s="13" t="s">
        <v>56</v>
      </c>
      <c r="K18" s="6">
        <f xml:space="preserve"> $C$78 * (0.2138 * K4 + 0.2138 * K6)</f>
        <v>140.86497838494265</v>
      </c>
      <c r="L18" s="6" t="s">
        <v>7</v>
      </c>
      <c r="N18" s="57" t="s">
        <v>238</v>
      </c>
      <c r="O18" s="59"/>
      <c r="P18" s="59"/>
      <c r="U18" s="2">
        <v>14</v>
      </c>
      <c r="V18" s="2">
        <f t="shared" si="7"/>
        <v>0.988525390625</v>
      </c>
      <c r="W18" s="2">
        <f t="shared" si="0"/>
        <v>2.2971461911103219E-5</v>
      </c>
      <c r="X18" s="2">
        <f t="shared" si="8"/>
        <v>0.98858642578125</v>
      </c>
      <c r="Y18" s="2">
        <f t="shared" si="1"/>
        <v>-4.1141909446706926E-5</v>
      </c>
      <c r="Z18" s="2">
        <f t="shared" si="3"/>
        <v>0.988555908203125</v>
      </c>
      <c r="AA18" s="2">
        <f t="shared" si="2"/>
        <v>-9.0852707932409515E-6</v>
      </c>
      <c r="AB18" s="2">
        <f t="shared" si="4"/>
        <v>-2.0870195197899305E-10</v>
      </c>
      <c r="AC18" s="2">
        <f t="shared" si="5"/>
        <v>3.7378538827433043E-10</v>
      </c>
      <c r="AD18" s="2">
        <f t="shared" si="6"/>
        <v>6.103515625E-5</v>
      </c>
      <c r="AF18" s="2">
        <v>14</v>
      </c>
      <c r="AG18" s="2">
        <f t="shared" si="13"/>
        <v>2334.16748046875</v>
      </c>
      <c r="AH18" s="2">
        <v>-1.3596478240515353E-2</v>
      </c>
      <c r="AI18" s="2">
        <f t="shared" si="14"/>
        <v>2334.716796875</v>
      </c>
      <c r="AJ18" s="2">
        <v>0.16523876748465227</v>
      </c>
      <c r="AK18" s="2">
        <f t="shared" si="9"/>
        <v>2334.442138671875</v>
      </c>
      <c r="AL18" s="2">
        <v>7.5824868425570457E-2</v>
      </c>
      <c r="AM18" s="2">
        <f t="shared" si="10"/>
        <v>-1.0309511736382084E-3</v>
      </c>
      <c r="AN18" s="2">
        <f t="shared" si="11"/>
        <v>1.2529207803327188E-2</v>
      </c>
      <c r="AO18" s="2">
        <f t="shared" si="12"/>
        <v>0.54931640625</v>
      </c>
    </row>
    <row r="19" spans="2:41" x14ac:dyDescent="0.2">
      <c r="F19" s="9" t="s">
        <v>276</v>
      </c>
      <c r="G19" s="6">
        <f>O23 / ($C$29*$C$11/PI())</f>
        <v>0.11717053839211661</v>
      </c>
      <c r="J19" s="13" t="s">
        <v>80</v>
      </c>
      <c r="K19" s="6">
        <f xml:space="preserve"> $C$78 * (0.1149 * K4 + 0.1149 * K6)</f>
        <v>75.703395773760121</v>
      </c>
      <c r="L19" s="6" t="s">
        <v>7</v>
      </c>
      <c r="N19" s="6" t="s">
        <v>28</v>
      </c>
      <c r="O19" s="6">
        <f xml:space="preserve"> 90 - $C$81</f>
        <v>85</v>
      </c>
      <c r="P19" s="6" t="s">
        <v>43</v>
      </c>
      <c r="U19" s="2">
        <v>15</v>
      </c>
      <c r="V19" s="2">
        <f t="shared" si="7"/>
        <v>0.988525390625</v>
      </c>
      <c r="W19" s="2">
        <f t="shared" si="0"/>
        <v>2.2971461911103219E-5</v>
      </c>
      <c r="X19" s="2">
        <f t="shared" si="8"/>
        <v>0.988555908203125</v>
      </c>
      <c r="Y19" s="2">
        <f t="shared" si="1"/>
        <v>-9.0852707932409515E-6</v>
      </c>
      <c r="Z19" s="2">
        <f t="shared" si="3"/>
        <v>0.9885406494140625</v>
      </c>
      <c r="AA19" s="2">
        <f t="shared" si="2"/>
        <v>6.9430838021133923E-6</v>
      </c>
      <c r="AB19" s="2">
        <f t="shared" si="4"/>
        <v>1.5949278510584552E-10</v>
      </c>
      <c r="AC19" s="2">
        <f t="shared" si="5"/>
        <v>-6.3079796482365142E-11</v>
      </c>
      <c r="AD19" s="2">
        <f t="shared" si="6"/>
        <v>3.0517578125E-5</v>
      </c>
      <c r="AF19" s="2">
        <v>15</v>
      </c>
      <c r="AG19" s="2">
        <f t="shared" si="13"/>
        <v>2334.16748046875</v>
      </c>
      <c r="AH19" s="2">
        <v>-1.3596478240515353E-2</v>
      </c>
      <c r="AI19" s="2">
        <f t="shared" si="14"/>
        <v>2334.442138671875</v>
      </c>
      <c r="AJ19" s="2">
        <v>7.5824868425570457E-2</v>
      </c>
      <c r="AK19" s="2">
        <f t="shared" si="9"/>
        <v>2334.3048095703125</v>
      </c>
      <c r="AL19" s="2">
        <v>3.1115126031863838E-2</v>
      </c>
      <c r="AM19" s="2">
        <f t="shared" si="10"/>
        <v>-4.2305613404312951E-4</v>
      </c>
      <c r="AN19" s="2">
        <f t="shared" si="11"/>
        <v>2.3593003374111176E-3</v>
      </c>
      <c r="AO19" s="2">
        <f t="shared" si="12"/>
        <v>0.274658203125</v>
      </c>
    </row>
    <row r="20" spans="2:41" x14ac:dyDescent="0.2">
      <c r="B20" s="54" t="s">
        <v>115</v>
      </c>
      <c r="C20" s="54"/>
      <c r="D20" s="54"/>
      <c r="F20" s="44" t="s">
        <v>225</v>
      </c>
      <c r="G20" s="43">
        <f xml:space="preserve"> $C$28 * G17</f>
        <v>89.728837818892558</v>
      </c>
      <c r="H20" s="43" t="s">
        <v>104</v>
      </c>
      <c r="J20" s="14" t="s">
        <v>63</v>
      </c>
      <c r="K20" s="6">
        <f xml:space="preserve"> $C$79 * (14.86 * ($C$5*2.20462)^0.144 * ($C$36/(PI()*$C$37))^0.778 * ($C$36*3.28084)^0.383 * $C$35^0.455 * 0.453592)</f>
        <v>216.74927801108007</v>
      </c>
      <c r="L20" s="6" t="s">
        <v>7</v>
      </c>
      <c r="N20" s="6" t="s">
        <v>21</v>
      </c>
      <c r="O20" s="6">
        <f xml:space="preserve"> O14 / $C$28</f>
        <v>1668.846922397141</v>
      </c>
      <c r="P20" s="6" t="s">
        <v>22</v>
      </c>
      <c r="U20" s="2">
        <v>16</v>
      </c>
      <c r="V20" s="2">
        <f t="shared" si="7"/>
        <v>0.9885406494140625</v>
      </c>
      <c r="W20" s="2">
        <f t="shared" si="0"/>
        <v>6.9430838021133923E-6</v>
      </c>
      <c r="X20" s="2">
        <f t="shared" si="8"/>
        <v>0.988555908203125</v>
      </c>
      <c r="Y20" s="2">
        <f t="shared" si="1"/>
        <v>-9.0852707932409515E-6</v>
      </c>
      <c r="Z20" s="2">
        <f t="shared" si="3"/>
        <v>0.98854827880859375</v>
      </c>
      <c r="AA20" s="2">
        <f t="shared" si="2"/>
        <v>-1.071096434768215E-6</v>
      </c>
      <c r="AB20" s="2">
        <f t="shared" si="4"/>
        <v>-7.4367123067405973E-12</v>
      </c>
      <c r="AC20" s="2">
        <f t="shared" si="5"/>
        <v>9.7312011555441767E-12</v>
      </c>
      <c r="AD20" s="2">
        <f t="shared" si="6"/>
        <v>1.52587890625E-5</v>
      </c>
      <c r="AF20" s="2">
        <v>16</v>
      </c>
      <c r="AG20" s="2">
        <f t="shared" si="13"/>
        <v>2334.16748046875</v>
      </c>
      <c r="AH20" s="2">
        <v>-1.3596478240515353E-2</v>
      </c>
      <c r="AI20" s="2">
        <f t="shared" si="14"/>
        <v>2334.3048095703125</v>
      </c>
      <c r="AJ20" s="2">
        <v>3.1115126031863838E-2</v>
      </c>
      <c r="AK20" s="2">
        <f t="shared" si="9"/>
        <v>2334.2361450195312</v>
      </c>
      <c r="AL20" s="2">
        <v>8.759556629229337E-3</v>
      </c>
      <c r="AM20" s="2">
        <f t="shared" si="10"/>
        <v>-1.190991211058787E-4</v>
      </c>
      <c r="AN20" s="2">
        <f t="shared" si="11"/>
        <v>2.725547085017192E-4</v>
      </c>
      <c r="AO20" s="2">
        <f t="shared" si="12"/>
        <v>0.1373291015625</v>
      </c>
    </row>
    <row r="21" spans="2:41" x14ac:dyDescent="0.2">
      <c r="B21" s="6" t="s">
        <v>97</v>
      </c>
      <c r="C21" s="17">
        <v>8</v>
      </c>
      <c r="J21" s="14" t="s">
        <v>64</v>
      </c>
      <c r="K21" s="6">
        <f xml:space="preserve"> $C$79 * C41 * $C$5</f>
        <v>60.68944026975533</v>
      </c>
      <c r="L21" s="6" t="s">
        <v>7</v>
      </c>
      <c r="N21" s="6" t="s">
        <v>29</v>
      </c>
      <c r="O21" s="6">
        <f>$C$6*2*PI()/60</f>
        <v>38.746309394274114</v>
      </c>
      <c r="P21" s="6" t="s">
        <v>30</v>
      </c>
      <c r="U21" s="2">
        <v>17</v>
      </c>
      <c r="V21" s="2">
        <f t="shared" si="7"/>
        <v>0.9885406494140625</v>
      </c>
      <c r="W21" s="2">
        <f t="shared" si="0"/>
        <v>6.9430838021133923E-6</v>
      </c>
      <c r="X21" s="2">
        <f t="shared" si="8"/>
        <v>0.98854827880859375</v>
      </c>
      <c r="Y21" s="2">
        <f t="shared" si="1"/>
        <v>-1.071096434768215E-6</v>
      </c>
      <c r="Z21" s="2">
        <f t="shared" si="3"/>
        <v>0.98854446411132812</v>
      </c>
      <c r="AA21" s="2">
        <f t="shared" si="2"/>
        <v>2.9359929488714798E-6</v>
      </c>
      <c r="AB21" s="2">
        <f t="shared" si="4"/>
        <v>2.0384845086428703E-11</v>
      </c>
      <c r="AC21" s="2">
        <f t="shared" si="5"/>
        <v>-3.1447315800408602E-12</v>
      </c>
      <c r="AD21" s="2">
        <f t="shared" si="6"/>
        <v>7.62939453125E-6</v>
      </c>
      <c r="AF21" s="2">
        <v>17</v>
      </c>
      <c r="AG21" s="2">
        <f t="shared" si="13"/>
        <v>2334.16748046875</v>
      </c>
      <c r="AH21" s="2">
        <v>-1.3596478240515353E-2</v>
      </c>
      <c r="AI21" s="2">
        <f t="shared" si="14"/>
        <v>2334.2361450195312</v>
      </c>
      <c r="AJ21" s="2">
        <v>8.759556629229337E-3</v>
      </c>
      <c r="AK21" s="2">
        <f t="shared" si="9"/>
        <v>2334.2018127441406</v>
      </c>
      <c r="AL21" s="2">
        <v>-2.4184026224247646E-3</v>
      </c>
      <c r="AM21" s="2">
        <f t="shared" si="10"/>
        <v>3.2881758632603581E-5</v>
      </c>
      <c r="AN21" s="2">
        <f t="shared" si="11"/>
        <v>-2.1184134723406458E-5</v>
      </c>
      <c r="AO21" s="2">
        <f t="shared" si="12"/>
        <v>6.866455078125E-2</v>
      </c>
    </row>
    <row r="22" spans="2:41" x14ac:dyDescent="0.2">
      <c r="B22" s="6" t="s">
        <v>114</v>
      </c>
      <c r="C22" s="17">
        <v>2</v>
      </c>
      <c r="F22" s="54" t="s">
        <v>84</v>
      </c>
      <c r="G22" s="54"/>
      <c r="H22" s="54"/>
      <c r="J22" s="14" t="s">
        <v>241</v>
      </c>
      <c r="K22" s="6">
        <f xml:space="preserve"> $C$79 * (0.04674 * ($C$5*2.20462)^0.397 * ($C$12*3.28084^2)^0.36 * $C$46^0.397 * $C$13^1.712 * 0.453592)</f>
        <v>379.97457531308737</v>
      </c>
      <c r="L22" s="6" t="s">
        <v>7</v>
      </c>
      <c r="N22" s="6" t="s">
        <v>31</v>
      </c>
      <c r="O22" s="6">
        <f xml:space="preserve"> $C$7 * COS(O19/180*PI()) / (O21 * $C$10)</f>
        <v>8.2094696846333207E-2</v>
      </c>
      <c r="U22" s="2">
        <v>18</v>
      </c>
      <c r="V22" s="2">
        <f t="shared" si="7"/>
        <v>0.98854446411132812</v>
      </c>
      <c r="W22" s="2">
        <f t="shared" si="0"/>
        <v>2.9359929488714798E-6</v>
      </c>
      <c r="X22" s="2">
        <f t="shared" si="8"/>
        <v>0.98854827880859375</v>
      </c>
      <c r="Y22" s="2">
        <f t="shared" si="1"/>
        <v>-1.071096434768215E-6</v>
      </c>
      <c r="Z22" s="2">
        <f t="shared" si="3"/>
        <v>0.98854637145996094</v>
      </c>
      <c r="AA22" s="2">
        <f t="shared" si="2"/>
        <v>9.3244807342074409E-7</v>
      </c>
      <c r="AB22" s="2">
        <f t="shared" si="4"/>
        <v>2.7376609687521005E-12</v>
      </c>
      <c r="AC22" s="2">
        <f t="shared" si="5"/>
        <v>-9.9874180704744985E-13</v>
      </c>
      <c r="AD22" s="2">
        <f t="shared" si="6"/>
        <v>3.814697265625E-6</v>
      </c>
      <c r="AF22" s="2">
        <v>18</v>
      </c>
      <c r="AG22" s="2">
        <f t="shared" si="13"/>
        <v>2334.2018127441406</v>
      </c>
      <c r="AH22" s="2">
        <v>-2.4184026224247646E-3</v>
      </c>
      <c r="AI22" s="2">
        <f t="shared" si="14"/>
        <v>2334.2361450195312</v>
      </c>
      <c r="AJ22" s="2">
        <v>8.759556629229337E-3</v>
      </c>
      <c r="AK22" s="2">
        <f t="shared" si="9"/>
        <v>2334.2189788818359</v>
      </c>
      <c r="AL22" s="2">
        <v>3.1704036184692086E-3</v>
      </c>
      <c r="AM22" s="2">
        <f t="shared" si="10"/>
        <v>-7.6673124250508973E-6</v>
      </c>
      <c r="AN22" s="2">
        <f t="shared" si="11"/>
        <v>2.7771330033494635E-5</v>
      </c>
      <c r="AO22" s="2">
        <f t="shared" si="12"/>
        <v>3.4332275390625E-2</v>
      </c>
    </row>
    <row r="23" spans="2:41" x14ac:dyDescent="0.2">
      <c r="B23" s="6" t="s">
        <v>128</v>
      </c>
      <c r="C23" s="6">
        <f>$C$22*$C$9/PI()</f>
        <v>0.31022513338460861</v>
      </c>
      <c r="F23" s="6" t="s">
        <v>88</v>
      </c>
      <c r="G23" s="17">
        <f>300*0.3048/60</f>
        <v>1.524</v>
      </c>
      <c r="H23" s="6" t="s">
        <v>10</v>
      </c>
      <c r="J23" s="14" t="s">
        <v>65</v>
      </c>
      <c r="K23" s="6">
        <f xml:space="preserve"> $C$79 * (3.184 * ($C$5*2.20462)^0.887 * ($C$50*3.28084*3.28084)^0.101 * ($C$49)^0.138 ) / ( 174.04 * ($C$51*3.28084)^0.223 ) * 0.453592</f>
        <v>26.160940204639179</v>
      </c>
      <c r="L23" s="6" t="s">
        <v>7</v>
      </c>
      <c r="N23" s="6" t="s">
        <v>32</v>
      </c>
      <c r="O23" s="6">
        <f xml:space="preserve"> O20 / ( $C$71 * PI() * $C$10^2 * O21^2 * $C$10^2)</f>
        <v>9.9592952737189169E-2</v>
      </c>
      <c r="U23" s="2">
        <v>19</v>
      </c>
      <c r="V23" s="2">
        <f t="shared" si="7"/>
        <v>0.98854637145996094</v>
      </c>
      <c r="W23" s="2">
        <f t="shared" si="0"/>
        <v>9.3244807342074409E-7</v>
      </c>
      <c r="X23" s="2">
        <f t="shared" si="8"/>
        <v>0.98854827880859375</v>
      </c>
      <c r="Y23" s="2">
        <f t="shared" si="1"/>
        <v>-1.071096434768215E-6</v>
      </c>
      <c r="Z23" s="2">
        <f t="shared" si="3"/>
        <v>0.98854732513427734</v>
      </c>
      <c r="AA23" s="2">
        <f t="shared" si="2"/>
        <v>-6.9324226581457538E-8</v>
      </c>
      <c r="AB23" s="2">
        <f t="shared" si="4"/>
        <v>-6.4641241517263214E-14</v>
      </c>
      <c r="AC23" s="2">
        <f t="shared" si="5"/>
        <v>7.4252931934463091E-14</v>
      </c>
      <c r="AD23" s="2">
        <f t="shared" si="6"/>
        <v>1.9073486328125E-6</v>
      </c>
      <c r="AF23" s="2">
        <v>19</v>
      </c>
      <c r="AG23" s="2">
        <f t="shared" si="13"/>
        <v>2334.2018127441406</v>
      </c>
      <c r="AH23" s="2">
        <v>-2.4184026224247646E-3</v>
      </c>
      <c r="AI23" s="2">
        <f t="shared" si="14"/>
        <v>2334.2189788818359</v>
      </c>
      <c r="AJ23" s="2">
        <v>3.1704036184692086E-3</v>
      </c>
      <c r="AK23" s="2">
        <f t="shared" si="9"/>
        <v>2334.2103958129883</v>
      </c>
      <c r="AL23" s="2">
        <v>3.7619206500494329E-4</v>
      </c>
      <c r="AM23" s="2">
        <f t="shared" si="10"/>
        <v>-9.0978387654334232E-7</v>
      </c>
      <c r="AN23" s="2">
        <f t="shared" si="11"/>
        <v>1.1926806841310759E-6</v>
      </c>
      <c r="AO23" s="2">
        <f t="shared" si="12"/>
        <v>1.71661376953125E-2</v>
      </c>
    </row>
    <row r="24" spans="2:41" x14ac:dyDescent="0.2">
      <c r="B24" s="6" t="s">
        <v>242</v>
      </c>
      <c r="C24" s="17">
        <v>0.75</v>
      </c>
      <c r="F24" s="6" t="s">
        <v>94</v>
      </c>
      <c r="G24" s="17">
        <f>1000*0.3048</f>
        <v>304.8</v>
      </c>
      <c r="H24" s="6" t="s">
        <v>8</v>
      </c>
      <c r="J24" s="14" t="s">
        <v>66</v>
      </c>
      <c r="K24" s="6">
        <f xml:space="preserve"> $C$79 * ( 1.68 * ($C$5*2.20462)^0.567 * ($C$55*3.28084*3.28084)^1.249 * ($C$54)^0.482 ) / (639.95 * ($C$56*3.28084)^0.747 * (COS($C$57/180*PI()))^0.882 ) * 0.453592</f>
        <v>8.9596409064626865</v>
      </c>
      <c r="L24" s="6" t="s">
        <v>7</v>
      </c>
      <c r="N24" s="6" t="s">
        <v>1</v>
      </c>
      <c r="O24" s="17">
        <v>8.8999999999999999E-3</v>
      </c>
      <c r="U24" s="2">
        <v>20</v>
      </c>
      <c r="V24" s="2">
        <f t="shared" si="7"/>
        <v>0.98854637145996094</v>
      </c>
      <c r="W24" s="2">
        <f t="shared" si="0"/>
        <v>9.3244807342074409E-7</v>
      </c>
      <c r="X24" s="2">
        <f t="shared" si="8"/>
        <v>0.98854732513427734</v>
      </c>
      <c r="Y24" s="2">
        <f t="shared" si="1"/>
        <v>-6.9324226581457538E-8</v>
      </c>
      <c r="Z24" s="2">
        <f t="shared" si="3"/>
        <v>0.98854684829711914</v>
      </c>
      <c r="AA24" s="2">
        <f t="shared" si="2"/>
        <v>4.3156191187332382E-7</v>
      </c>
      <c r="AB24" s="2">
        <f t="shared" si="4"/>
        <v>4.0240907328805377E-13</v>
      </c>
      <c r="AC24" s="2">
        <f t="shared" si="5"/>
        <v>-2.9917695762633311E-14</v>
      </c>
      <c r="AD24" s="2">
        <f t="shared" si="6"/>
        <v>9.5367431640625E-7</v>
      </c>
      <c r="AF24" s="2">
        <v>20</v>
      </c>
      <c r="AG24" s="2">
        <f t="shared" si="13"/>
        <v>2334.2018127441406</v>
      </c>
      <c r="AH24" s="2">
        <v>-2.4184026224247646E-3</v>
      </c>
      <c r="AI24" s="2">
        <f t="shared" si="14"/>
        <v>2334.2103958129883</v>
      </c>
      <c r="AJ24" s="2">
        <v>3.7619206500494329E-4</v>
      </c>
      <c r="AK24" s="2">
        <f t="shared" si="9"/>
        <v>2334.2061042785645</v>
      </c>
      <c r="AL24" s="2">
        <v>-1.0211043695562694E-3</v>
      </c>
      <c r="AM24" s="2">
        <f t="shared" si="10"/>
        <v>2.4694414851042677E-6</v>
      </c>
      <c r="AN24" s="2">
        <f t="shared" si="11"/>
        <v>-3.8413136136894373E-7</v>
      </c>
      <c r="AO24" s="2">
        <f t="shared" si="12"/>
        <v>8.58306884765625E-3</v>
      </c>
    </row>
    <row r="25" spans="2:41" x14ac:dyDescent="0.2">
      <c r="B25" s="6" t="s">
        <v>288</v>
      </c>
      <c r="C25" s="17">
        <v>50</v>
      </c>
      <c r="D25" s="6" t="s">
        <v>61</v>
      </c>
      <c r="F25" s="6" t="s">
        <v>93</v>
      </c>
      <c r="G25" s="6">
        <f xml:space="preserve"> $G$24/$G$23</f>
        <v>200</v>
      </c>
      <c r="H25" s="6" t="s">
        <v>14</v>
      </c>
      <c r="J25" s="14" t="s">
        <v>117</v>
      </c>
      <c r="K25" s="6">
        <f>$C$79*(0.14*$G$10*1000/745.7)*0.453592</f>
        <v>31.292361513285822</v>
      </c>
      <c r="L25" s="6" t="s">
        <v>7</v>
      </c>
      <c r="N25" s="6" t="s">
        <v>33</v>
      </c>
      <c r="O25" s="6">
        <f xml:space="preserve"> ($C$30 * $O$24 / 8) * (1 + 4.65 * O22^2) * ( PI() * $C$71 * O21^3 * $C$10^5)</f>
        <v>867.46185459393394</v>
      </c>
      <c r="P25" s="6" t="s">
        <v>20</v>
      </c>
      <c r="U25" s="2">
        <v>21</v>
      </c>
      <c r="V25" s="2">
        <f t="shared" si="7"/>
        <v>0.98854684829711914</v>
      </c>
      <c r="W25" s="2">
        <f t="shared" si="0"/>
        <v>4.3156191187332382E-7</v>
      </c>
      <c r="X25" s="2">
        <f t="shared" si="8"/>
        <v>0.98854732513427734</v>
      </c>
      <c r="Y25" s="2">
        <f t="shared" si="1"/>
        <v>-6.9324226581457538E-8</v>
      </c>
      <c r="Z25" s="2">
        <f t="shared" si="3"/>
        <v>0.98854708671569824</v>
      </c>
      <c r="AA25" s="2">
        <f t="shared" si="2"/>
        <v>1.8111883981486443E-7</v>
      </c>
      <c r="AB25" s="2">
        <f t="shared" si="4"/>
        <v>7.8163992786781183E-14</v>
      </c>
      <c r="AC25" s="2">
        <f t="shared" si="5"/>
        <v>-1.2555923489496375E-14</v>
      </c>
      <c r="AD25" s="2">
        <f t="shared" si="6"/>
        <v>4.76837158203125E-7</v>
      </c>
      <c r="AF25" s="2">
        <v>21</v>
      </c>
      <c r="AG25" s="2">
        <f t="shared" si="13"/>
        <v>2334.2061042785645</v>
      </c>
      <c r="AH25" s="2">
        <v>-1.0211043695562694E-3</v>
      </c>
      <c r="AI25" s="2">
        <f t="shared" si="14"/>
        <v>2334.2103958129883</v>
      </c>
      <c r="AJ25" s="2">
        <v>3.7619206500494329E-4</v>
      </c>
      <c r="AK25" s="2">
        <f t="shared" si="9"/>
        <v>2334.2082500457764</v>
      </c>
      <c r="AL25" s="2">
        <v>-3.2264385481539648E-4</v>
      </c>
      <c r="AM25" s="2">
        <f t="shared" si="10"/>
        <v>3.2945304996247991E-7</v>
      </c>
      <c r="AN25" s="2">
        <f t="shared" si="11"/>
        <v>-1.2137605800415913E-7</v>
      </c>
      <c r="AO25" s="2">
        <f t="shared" si="12"/>
        <v>4.291534423828125E-3</v>
      </c>
    </row>
    <row r="26" spans="2:41" x14ac:dyDescent="0.2">
      <c r="F26" s="6" t="s">
        <v>21</v>
      </c>
      <c r="G26" s="6">
        <f xml:space="preserve"> $C$5 * $C$68 / $C$21</f>
        <v>2859.8414147872581</v>
      </c>
      <c r="H26" s="6" t="s">
        <v>22</v>
      </c>
      <c r="J26" s="15" t="s">
        <v>67</v>
      </c>
      <c r="K26" s="6">
        <f xml:space="preserve"> $C$80 * (0.0268 * $C$5)</f>
        <v>50.045446130136696</v>
      </c>
      <c r="L26" s="6" t="s">
        <v>7</v>
      </c>
      <c r="N26" s="6" t="s">
        <v>34</v>
      </c>
      <c r="O26" s="18">
        <f>Z34</f>
        <v>0.98854725947603583</v>
      </c>
      <c r="U26" s="2">
        <v>22</v>
      </c>
      <c r="V26" s="2">
        <f t="shared" si="7"/>
        <v>0.98854708671569824</v>
      </c>
      <c r="W26" s="2">
        <f t="shared" si="0"/>
        <v>1.8111883981486443E-7</v>
      </c>
      <c r="X26" s="2">
        <f t="shared" si="8"/>
        <v>0.98854732513427734</v>
      </c>
      <c r="Y26" s="2">
        <f t="shared" si="1"/>
        <v>-6.9324226581457538E-8</v>
      </c>
      <c r="Z26" s="2">
        <f t="shared" si="3"/>
        <v>0.98854720592498779</v>
      </c>
      <c r="AA26" s="2">
        <f t="shared" si="2"/>
        <v>5.589730589505848E-8</v>
      </c>
      <c r="AB26" s="2">
        <f t="shared" si="4"/>
        <v>1.0124055192489575E-14</v>
      </c>
      <c r="AC26" s="2">
        <f t="shared" si="5"/>
        <v>-3.8750374991620763E-15</v>
      </c>
      <c r="AD26" s="2">
        <f t="shared" si="6"/>
        <v>2.384185791015625E-7</v>
      </c>
      <c r="AF26" s="2">
        <v>22</v>
      </c>
      <c r="AG26" s="2">
        <f t="shared" si="13"/>
        <v>2334.2082500457764</v>
      </c>
      <c r="AH26" s="2">
        <v>-3.2264385481539648E-4</v>
      </c>
      <c r="AI26" s="2">
        <f t="shared" si="14"/>
        <v>2334.2103958129883</v>
      </c>
      <c r="AJ26" s="2">
        <v>3.7619206500494329E-4</v>
      </c>
      <c r="AK26" s="2">
        <f t="shared" si="9"/>
        <v>2334.2093229293823</v>
      </c>
      <c r="AL26" s="2">
        <v>2.658623225215706E-5</v>
      </c>
      <c r="AM26" s="2">
        <f t="shared" si="10"/>
        <v>-8.5778844588533732E-9</v>
      </c>
      <c r="AN26" s="2">
        <f t="shared" si="11"/>
        <v>1.0001529611639989E-8</v>
      </c>
      <c r="AO26" s="2">
        <f t="shared" si="12"/>
        <v>2.1457672119140625E-3</v>
      </c>
    </row>
    <row r="27" spans="2:41" x14ac:dyDescent="0.2">
      <c r="B27" s="54" t="s">
        <v>243</v>
      </c>
      <c r="C27" s="54"/>
      <c r="D27" s="54"/>
      <c r="F27" t="s">
        <v>100</v>
      </c>
      <c r="G27" s="6">
        <f>G29/$C$16</f>
        <v>0.69799085547297124</v>
      </c>
      <c r="H27" t="s">
        <v>104</v>
      </c>
      <c r="J27" s="15" t="s">
        <v>68</v>
      </c>
      <c r="K27" s="6">
        <f xml:space="preserve"> $C$80 * (11.5 * ($C$5*2.20462/1000)^0.4 * 0.453592)</f>
        <v>8.0360498930732156</v>
      </c>
      <c r="L27" s="6" t="s">
        <v>7</v>
      </c>
      <c r="N27" s="6" t="s">
        <v>35</v>
      </c>
      <c r="O27" s="6">
        <f xml:space="preserve"> O21 * $C$10 * O26 - $C$7 * SIN(O19/180*PI())</f>
        <v>2.6647695095454793</v>
      </c>
      <c r="P27" s="6" t="s">
        <v>10</v>
      </c>
      <c r="U27" s="2">
        <v>23</v>
      </c>
      <c r="V27" s="2">
        <f t="shared" si="7"/>
        <v>0.98854720592498779</v>
      </c>
      <c r="W27" s="2">
        <f t="shared" si="0"/>
        <v>5.589730589505848E-8</v>
      </c>
      <c r="X27" s="2">
        <f t="shared" si="8"/>
        <v>0.98854732513427734</v>
      </c>
      <c r="Y27" s="2">
        <f t="shared" si="1"/>
        <v>-6.9324226581457538E-8</v>
      </c>
      <c r="Z27" s="2">
        <f t="shared" si="3"/>
        <v>0.98854726552963257</v>
      </c>
      <c r="AA27" s="2">
        <f t="shared" si="2"/>
        <v>-6.7134605652441337E-9</v>
      </c>
      <c r="AB27" s="2">
        <f t="shared" si="4"/>
        <v>-3.7526435882986355E-16</v>
      </c>
      <c r="AC27" s="2">
        <f t="shared" si="5"/>
        <v>4.6540546137066429E-16</v>
      </c>
      <c r="AD27" s="2">
        <f t="shared" si="6"/>
        <v>1.1920928955078125E-7</v>
      </c>
      <c r="AF27" s="2">
        <v>23</v>
      </c>
      <c r="AG27" s="2">
        <f t="shared" si="13"/>
        <v>2334.2082500457764</v>
      </c>
      <c r="AH27" s="2">
        <v>-3.2264385481539648E-4</v>
      </c>
      <c r="AI27" s="2">
        <f t="shared" si="14"/>
        <v>2334.2093229293823</v>
      </c>
      <c r="AJ27" s="2">
        <v>2.658623225215706E-5</v>
      </c>
      <c r="AK27" s="2">
        <f t="shared" si="9"/>
        <v>2334.2087864875793</v>
      </c>
      <c r="AL27" s="2">
        <v>-1.4784086670260876E-4</v>
      </c>
      <c r="AM27" s="2">
        <f t="shared" si="10"/>
        <v>4.7699947132178886E-8</v>
      </c>
      <c r="AN27" s="2">
        <f t="shared" si="11"/>
        <v>-3.93053161851575E-9</v>
      </c>
      <c r="AO27" s="2">
        <f t="shared" si="12"/>
        <v>1.0728836059570312E-3</v>
      </c>
    </row>
    <row r="28" spans="2:41" x14ac:dyDescent="0.2">
      <c r="B28" s="6" t="s">
        <v>244</v>
      </c>
      <c r="C28" s="17">
        <v>1</v>
      </c>
      <c r="F28" t="s">
        <v>274</v>
      </c>
      <c r="G28" s="6">
        <f xml:space="preserve"> (G26/$C$68*1000) / (G27*1000)</f>
        <v>418.02289078034073</v>
      </c>
      <c r="H28" s="6" t="s">
        <v>275</v>
      </c>
      <c r="J28" s="15" t="s">
        <v>69</v>
      </c>
      <c r="K28" s="6">
        <f xml:space="preserve"> $C$80 * (8 * ($C$5/1000))</f>
        <v>14.938939143324388</v>
      </c>
      <c r="L28" s="6" t="s">
        <v>7</v>
      </c>
      <c r="N28" s="6" t="s">
        <v>36</v>
      </c>
      <c r="O28" s="6">
        <f xml:space="preserve"> 1/$C$31 - O25 * SQRT( (2*$C$71*PI()*$C$10^2) / O20^3 )</f>
        <v>1.2894516106423417</v>
      </c>
      <c r="U28" s="2">
        <v>24</v>
      </c>
      <c r="V28" s="2">
        <f t="shared" si="7"/>
        <v>0.98854720592498779</v>
      </c>
      <c r="W28" s="2">
        <f t="shared" si="0"/>
        <v>5.589730589505848E-8</v>
      </c>
      <c r="X28" s="2">
        <f t="shared" si="8"/>
        <v>0.98854726552963257</v>
      </c>
      <c r="Y28" s="2">
        <f t="shared" si="1"/>
        <v>-6.7134605652441337E-9</v>
      </c>
      <c r="Z28" s="2">
        <f t="shared" si="3"/>
        <v>0.98854723572731018</v>
      </c>
      <c r="AA28" s="2">
        <f t="shared" si="2"/>
        <v>2.4591922609396022E-8</v>
      </c>
      <c r="AB28" s="2">
        <f t="shared" si="4"/>
        <v>1.3746222206450141E-15</v>
      </c>
      <c r="AC28" s="2">
        <f t="shared" si="5"/>
        <v>-1.6509690266171582E-16</v>
      </c>
      <c r="AD28" s="2">
        <f t="shared" si="6"/>
        <v>5.9604644775390625E-8</v>
      </c>
      <c r="AF28" s="2">
        <v>24</v>
      </c>
      <c r="AG28" s="2">
        <f t="shared" si="13"/>
        <v>2334.2087864875793</v>
      </c>
      <c r="AH28" s="2">
        <v>-1.4784086670260876E-4</v>
      </c>
      <c r="AI28" s="2">
        <f t="shared" si="14"/>
        <v>2334.2093229293823</v>
      </c>
      <c r="AJ28" s="2">
        <v>2.658623225215706E-5</v>
      </c>
      <c r="AK28" s="2">
        <f t="shared" si="9"/>
        <v>2334.2090547084808</v>
      </c>
      <c r="AL28" s="2">
        <v>-6.0439384242272354E-5</v>
      </c>
      <c r="AM28" s="2">
        <f t="shared" si="10"/>
        <v>8.9354109493495397E-9</v>
      </c>
      <c r="AN28" s="2">
        <f t="shared" si="11"/>
        <v>-1.6068555066424144E-9</v>
      </c>
      <c r="AO28" s="2">
        <f t="shared" si="12"/>
        <v>5.3644180297851562E-4</v>
      </c>
    </row>
    <row r="29" spans="2:41" x14ac:dyDescent="0.2">
      <c r="B29" s="6" t="s">
        <v>245</v>
      </c>
      <c r="C29" s="17">
        <v>6</v>
      </c>
      <c r="F29" s="43" t="s">
        <v>86</v>
      </c>
      <c r="G29" s="43">
        <f xml:space="preserve"> 1/1000 * IF( $G$23&gt;=2*SQRT(($C$5*$C$68)/(2*$C$65*$C$21*PI()*$C$8*$C$8)), ($C$5*$C$68)/$C$24 * ( ($G$23/2) - SQRT( ($G$23/2)^2 - ($C$5*$C$68)/(2*$C$65*$C$21*PI()*$C$8*$C$8 ) ) ), 1/$C$24 * SQRT(($C$5*$C$68)^3/(2*$C$65*$C$21*PI()*$C$8*$C$8)) )</f>
        <v>418.79451328378275</v>
      </c>
      <c r="H29" s="43" t="s">
        <v>104</v>
      </c>
      <c r="J29" s="15" t="s">
        <v>70</v>
      </c>
      <c r="K29" s="6">
        <f xml:space="preserve"> $C$80 * (13 * ($C$5*2.20462/1000)^1.3 * 0.453592)</f>
        <v>39.683896728172272</v>
      </c>
      <c r="L29" s="6" t="s">
        <v>7</v>
      </c>
      <c r="N29" s="6" t="s">
        <v>37</v>
      </c>
      <c r="O29" s="17">
        <v>1.1499999999999999</v>
      </c>
      <c r="U29" s="2">
        <v>25</v>
      </c>
      <c r="V29" s="2">
        <f t="shared" si="7"/>
        <v>0.98854723572731018</v>
      </c>
      <c r="W29" s="2">
        <f t="shared" si="0"/>
        <v>2.4591922609396022E-8</v>
      </c>
      <c r="X29" s="2">
        <f t="shared" si="8"/>
        <v>0.98854726552963257</v>
      </c>
      <c r="Y29" s="2">
        <f t="shared" si="1"/>
        <v>-6.7134605652441337E-9</v>
      </c>
      <c r="Z29" s="2">
        <f t="shared" si="3"/>
        <v>0.98854725062847137</v>
      </c>
      <c r="AA29" s="2">
        <f t="shared" si="2"/>
        <v>8.9392310220759441E-9</v>
      </c>
      <c r="AB29" s="2">
        <f t="shared" si="4"/>
        <v>2.1983287748240371E-16</v>
      </c>
      <c r="AC29" s="2">
        <f t="shared" si="5"/>
        <v>-6.0013174950313863E-17</v>
      </c>
      <c r="AD29" s="2">
        <f t="shared" si="6"/>
        <v>2.9802322387695312E-8</v>
      </c>
      <c r="AF29" s="2">
        <v>25</v>
      </c>
      <c r="AG29" s="2">
        <f t="shared" si="13"/>
        <v>2334.2090547084808</v>
      </c>
      <c r="AH29" s="2">
        <v>-6.0439384242272354E-5</v>
      </c>
      <c r="AI29" s="2">
        <f t="shared" si="14"/>
        <v>2334.2093229293823</v>
      </c>
      <c r="AJ29" s="2">
        <v>2.658623225215706E-5</v>
      </c>
      <c r="AK29" s="2">
        <f t="shared" si="9"/>
        <v>2334.2091888189316</v>
      </c>
      <c r="AL29" s="2">
        <v>-1.6738645854275092E-5</v>
      </c>
      <c r="AM29" s="2">
        <f t="shared" si="10"/>
        <v>1.0116734484818514E-9</v>
      </c>
      <c r="AN29" s="2">
        <f t="shared" si="11"/>
        <v>-4.4501752626836351E-10</v>
      </c>
      <c r="AO29" s="2">
        <f t="shared" si="12"/>
        <v>2.6822090148925781E-4</v>
      </c>
    </row>
    <row r="30" spans="2:41" x14ac:dyDescent="0.2">
      <c r="B30" s="6" t="s">
        <v>246</v>
      </c>
      <c r="C30" s="6">
        <f>$C$29*$C$11/PI()</f>
        <v>0.84998288907657626</v>
      </c>
      <c r="J30" s="10" t="s">
        <v>57</v>
      </c>
      <c r="K30" s="10">
        <f>$C$5 - $C$16 - SUM(K15:K29)</f>
        <v>1.7553247744217515E-10</v>
      </c>
      <c r="L30" s="10" t="s">
        <v>7</v>
      </c>
      <c r="N30" s="6" t="s">
        <v>38</v>
      </c>
      <c r="O30" s="6">
        <f xml:space="preserve"> 1/$C$77 * LN( EXP($C$77 * O28) + EXP($C$77 * O29) )</f>
        <v>1.2899559203977782</v>
      </c>
      <c r="U30" s="2">
        <v>26</v>
      </c>
      <c r="V30" s="2">
        <f>IF(AB29&gt;0, Z29, V29)</f>
        <v>0.98854725062847137</v>
      </c>
      <c r="W30" s="2">
        <f t="shared" si="0"/>
        <v>8.9392310220759441E-9</v>
      </c>
      <c r="X30" s="2">
        <f t="shared" si="8"/>
        <v>0.98854726552963257</v>
      </c>
      <c r="Y30" s="2">
        <f t="shared" si="1"/>
        <v>-6.7134605652441337E-9</v>
      </c>
      <c r="Z30" s="2">
        <f t="shared" si="3"/>
        <v>0.98854725807905197</v>
      </c>
      <c r="AA30" s="2">
        <f t="shared" si="2"/>
        <v>1.1128852284159052E-9</v>
      </c>
      <c r="AB30" s="2">
        <f t="shared" si="4"/>
        <v>9.9483381578655328E-18</v>
      </c>
      <c r="AC30" s="2">
        <f t="shared" si="5"/>
        <v>-7.4713110946128898E-18</v>
      </c>
      <c r="AD30" s="2">
        <f t="shared" si="6"/>
        <v>1.4901161193847656E-8</v>
      </c>
      <c r="AF30" s="2">
        <v>26</v>
      </c>
      <c r="AG30" s="2">
        <f t="shared" si="13"/>
        <v>2334.2091888189316</v>
      </c>
      <c r="AH30" s="2">
        <v>-1.6738645854275092E-5</v>
      </c>
      <c r="AI30" s="2">
        <f t="shared" si="14"/>
        <v>2334.2093229293823</v>
      </c>
      <c r="AJ30" s="2">
        <v>2.658623225215706E-5</v>
      </c>
      <c r="AK30" s="2">
        <f t="shared" si="9"/>
        <v>2334.209255874157</v>
      </c>
      <c r="AL30" s="2">
        <v>4.9237930852541467E-6</v>
      </c>
      <c r="AM30" s="2">
        <f t="shared" si="10"/>
        <v>-8.2417628713797685E-11</v>
      </c>
      <c r="AN30" s="2">
        <f t="shared" si="11"/>
        <v>1.3090510652613171E-10</v>
      </c>
      <c r="AO30" s="2">
        <f t="shared" si="12"/>
        <v>1.3411045074462891E-4</v>
      </c>
    </row>
    <row r="31" spans="2:41" x14ac:dyDescent="0.2">
      <c r="B31" s="6" t="s">
        <v>247</v>
      </c>
      <c r="C31" s="17">
        <v>0.75</v>
      </c>
      <c r="J31" s="6" t="s">
        <v>58</v>
      </c>
      <c r="K31" s="4" t="str">
        <f>IF(ABS(K30)&lt;1, "TRUE", "FALSE")</f>
        <v>TRUE</v>
      </c>
      <c r="U31" s="2">
        <v>27</v>
      </c>
      <c r="V31" s="2">
        <f t="shared" si="7"/>
        <v>0.98854725807905197</v>
      </c>
      <c r="W31" s="2">
        <f t="shared" si="0"/>
        <v>1.1128852284159052E-9</v>
      </c>
      <c r="X31" s="2">
        <f t="shared" si="8"/>
        <v>0.98854726552963257</v>
      </c>
      <c r="Y31" s="2">
        <f t="shared" si="1"/>
        <v>-6.7134605652441337E-9</v>
      </c>
      <c r="Z31" s="2">
        <f t="shared" si="3"/>
        <v>0.98854726180434227</v>
      </c>
      <c r="AA31" s="2">
        <f t="shared" si="2"/>
        <v>-2.8002876684141143E-9</v>
      </c>
      <c r="AB31" s="2">
        <f t="shared" si="4"/>
        <v>-3.1163987814932841E-18</v>
      </c>
      <c r="AC31" s="2">
        <f t="shared" si="5"/>
        <v>1.8799620833237597E-17</v>
      </c>
      <c r="AD31" s="2">
        <f t="shared" si="6"/>
        <v>7.4505805969238281E-9</v>
      </c>
      <c r="AF31" s="2">
        <v>27</v>
      </c>
      <c r="AG31" s="2">
        <f t="shared" si="13"/>
        <v>2334.2091888189316</v>
      </c>
      <c r="AH31" s="2">
        <v>-1.6738645854275092E-5</v>
      </c>
      <c r="AI31" s="2">
        <f t="shared" si="14"/>
        <v>2334.209255874157</v>
      </c>
      <c r="AJ31" s="2">
        <v>4.9237930852541467E-6</v>
      </c>
      <c r="AK31" s="2">
        <f t="shared" si="9"/>
        <v>2334.2092223465443</v>
      </c>
      <c r="AL31" s="2">
        <v>-5.9074259297631215E-6</v>
      </c>
      <c r="AM31" s="2">
        <f t="shared" si="10"/>
        <v>9.8882310548666652E-11</v>
      </c>
      <c r="AN31" s="2">
        <f t="shared" si="11"/>
        <v>-2.9086942944618706E-11</v>
      </c>
      <c r="AO31" s="2">
        <f t="shared" si="12"/>
        <v>6.7055225372314453E-5</v>
      </c>
    </row>
    <row r="32" spans="2:41" x14ac:dyDescent="0.2">
      <c r="B32" s="6" t="s">
        <v>288</v>
      </c>
      <c r="C32" s="17">
        <v>50</v>
      </c>
      <c r="D32" s="6" t="s">
        <v>61</v>
      </c>
      <c r="U32" s="2">
        <v>28</v>
      </c>
      <c r="V32" s="2">
        <f t="shared" si="7"/>
        <v>0.98854725807905197</v>
      </c>
      <c r="W32" s="2">
        <f t="shared" si="0"/>
        <v>1.1128852284159052E-9</v>
      </c>
      <c r="X32" s="2">
        <f t="shared" si="8"/>
        <v>0.98854726180434227</v>
      </c>
      <c r="Y32" s="2">
        <f t="shared" si="1"/>
        <v>-2.8002876684141143E-9</v>
      </c>
      <c r="Z32" s="2">
        <f t="shared" si="3"/>
        <v>0.98854725994169712</v>
      </c>
      <c r="AA32" s="2">
        <f t="shared" si="2"/>
        <v>-8.4370121999910452E-10</v>
      </c>
      <c r="AB32" s="2">
        <f t="shared" si="4"/>
        <v>-9.3894262493348132E-19</v>
      </c>
      <c r="AC32" s="2">
        <f t="shared" si="5"/>
        <v>2.3626061221894361E-18</v>
      </c>
      <c r="AD32" s="2">
        <f t="shared" si="6"/>
        <v>3.7252902984619141E-9</v>
      </c>
      <c r="AF32" s="2">
        <v>28</v>
      </c>
      <c r="AG32" s="2">
        <f t="shared" si="13"/>
        <v>2334.2092223465443</v>
      </c>
      <c r="AH32" s="2">
        <v>-5.9074259297631215E-6</v>
      </c>
      <c r="AI32" s="2">
        <f t="shared" si="14"/>
        <v>2334.209255874157</v>
      </c>
      <c r="AJ32" s="2">
        <v>4.9237930852541467E-6</v>
      </c>
      <c r="AK32" s="2">
        <f t="shared" si="9"/>
        <v>2334.2092391103506</v>
      </c>
      <c r="AL32" s="2">
        <v>-6.7974633566336706E-7</v>
      </c>
      <c r="AM32" s="2">
        <f t="shared" si="10"/>
        <v>4.0155511289592411E-12</v>
      </c>
      <c r="AN32" s="2">
        <f t="shared" si="11"/>
        <v>-3.3469303072661309E-12</v>
      </c>
      <c r="AO32" s="2">
        <f t="shared" si="12"/>
        <v>3.3527612686157227E-5</v>
      </c>
    </row>
    <row r="33" spans="2:41" x14ac:dyDescent="0.2">
      <c r="J33" s="46" t="s">
        <v>59</v>
      </c>
      <c r="K33" s="46"/>
      <c r="L33" s="46"/>
      <c r="U33" s="2">
        <v>29</v>
      </c>
      <c r="V33" s="2">
        <f t="shared" si="7"/>
        <v>0.98854725807905197</v>
      </c>
      <c r="W33" s="2">
        <f t="shared" si="0"/>
        <v>1.1128852284159052E-9</v>
      </c>
      <c r="X33" s="2">
        <f t="shared" si="8"/>
        <v>0.98854725994169712</v>
      </c>
      <c r="Y33" s="2">
        <f t="shared" si="1"/>
        <v>-8.4370121999910452E-10</v>
      </c>
      <c r="Z33" s="2">
        <f t="shared" si="3"/>
        <v>0.98854725901037455</v>
      </c>
      <c r="AA33" s="2">
        <f t="shared" si="2"/>
        <v>1.3459200420840034E-10</v>
      </c>
      <c r="AB33" s="2">
        <f t="shared" si="4"/>
        <v>1.4978545334642009E-19</v>
      </c>
      <c r="AC33" s="2">
        <f t="shared" si="5"/>
        <v>-1.1355543815275198E-19</v>
      </c>
      <c r="AD33" s="2">
        <f t="shared" si="6"/>
        <v>1.862645149230957E-9</v>
      </c>
      <c r="AF33" s="2">
        <v>29</v>
      </c>
      <c r="AG33" s="2">
        <f t="shared" si="13"/>
        <v>2334.2092391103506</v>
      </c>
      <c r="AH33" s="2">
        <v>-6.7974633566336706E-7</v>
      </c>
      <c r="AI33" s="2">
        <f t="shared" si="14"/>
        <v>2334.209255874157</v>
      </c>
      <c r="AJ33" s="2">
        <v>4.9237930852541467E-6</v>
      </c>
      <c r="AK33" s="2">
        <f t="shared" si="9"/>
        <v>2334.2092474922538</v>
      </c>
      <c r="AL33" s="2">
        <v>2.122023715855903E-6</v>
      </c>
      <c r="AM33" s="2">
        <f t="shared" si="10"/>
        <v>-1.4424378450438121E-12</v>
      </c>
      <c r="AN33" s="2">
        <f t="shared" si="11"/>
        <v>1.0448405698876605E-11</v>
      </c>
      <c r="AO33" s="2">
        <f t="shared" si="12"/>
        <v>1.6763806343078613E-5</v>
      </c>
    </row>
    <row r="34" spans="2:41" x14ac:dyDescent="0.2">
      <c r="B34" s="54" t="s">
        <v>107</v>
      </c>
      <c r="C34" s="54"/>
      <c r="D34" s="54"/>
      <c r="J34" s="6" t="s">
        <v>60</v>
      </c>
      <c r="K34" s="6">
        <f>ROUND($C$16/$C$5 * 100, 2)</f>
        <v>25.7</v>
      </c>
      <c r="L34" s="6" t="s">
        <v>61</v>
      </c>
      <c r="U34" s="2">
        <v>30</v>
      </c>
      <c r="V34" s="2">
        <f t="shared" si="7"/>
        <v>0.98854725901037455</v>
      </c>
      <c r="W34" s="2">
        <f t="shared" si="0"/>
        <v>1.3459200420840034E-10</v>
      </c>
      <c r="X34" s="2">
        <f t="shared" si="8"/>
        <v>0.98854725994169712</v>
      </c>
      <c r="Y34" s="2">
        <f t="shared" si="1"/>
        <v>-8.4370121999910452E-10</v>
      </c>
      <c r="Z34" s="2">
        <f t="shared" si="3"/>
        <v>0.98854725947603583</v>
      </c>
      <c r="AA34" s="2">
        <f t="shared" si="2"/>
        <v>-3.5455460789535209E-10</v>
      </c>
      <c r="AB34" s="2">
        <f t="shared" si="4"/>
        <v>-4.7720215277958961E-20</v>
      </c>
      <c r="AC34" s="2">
        <f t="shared" si="5"/>
        <v>2.991381552376127E-19</v>
      </c>
      <c r="AD34" s="2">
        <f t="shared" si="6"/>
        <v>9.3132257461547852E-10</v>
      </c>
      <c r="AF34" s="2">
        <v>30</v>
      </c>
      <c r="AG34" s="2">
        <f t="shared" si="13"/>
        <v>2334.2092391103506</v>
      </c>
      <c r="AH34" s="2">
        <v>-6.7974633566336706E-7</v>
      </c>
      <c r="AI34" s="2">
        <f t="shared" si="14"/>
        <v>2334.2092474922538</v>
      </c>
      <c r="AJ34" s="2">
        <v>2.122023715855903E-6</v>
      </c>
      <c r="AK34" s="2">
        <f t="shared" si="9"/>
        <v>2334.2092433013022</v>
      </c>
      <c r="AL34" s="2">
        <v>7.2113925853045657E-7</v>
      </c>
      <c r="AM34" s="2">
        <f t="shared" si="10"/>
        <v>-4.9019176848907537E-13</v>
      </c>
      <c r="AN34" s="2">
        <f t="shared" si="11"/>
        <v>1.5302746090363701E-12</v>
      </c>
      <c r="AO34" s="2">
        <f t="shared" si="12"/>
        <v>8.3819031715393066E-6</v>
      </c>
    </row>
    <row r="35" spans="2:41" x14ac:dyDescent="0.2">
      <c r="B35" s="6" t="s">
        <v>108</v>
      </c>
      <c r="C35" s="17">
        <v>6</v>
      </c>
      <c r="J35" s="11" t="s">
        <v>55</v>
      </c>
      <c r="K35" s="6">
        <f>ROUND(K15/$C$5 * 100, 2)</f>
        <v>21.78</v>
      </c>
      <c r="L35" s="6" t="s">
        <v>61</v>
      </c>
      <c r="AF35" s="2">
        <v>31</v>
      </c>
      <c r="AG35" s="2">
        <f t="shared" si="13"/>
        <v>2334.2092391103506</v>
      </c>
      <c r="AH35" s="2">
        <v>-6.7974633566336706E-7</v>
      </c>
      <c r="AI35" s="2">
        <f t="shared" si="14"/>
        <v>2334.2092433013022</v>
      </c>
      <c r="AJ35" s="2">
        <v>7.2113925853045657E-7</v>
      </c>
      <c r="AK35" s="2">
        <f t="shared" si="9"/>
        <v>2334.2092412058264</v>
      </c>
      <c r="AL35" s="2">
        <v>2.0695551938842982E-8</v>
      </c>
      <c r="AM35" s="2">
        <f t="shared" si="10"/>
        <v>-1.4067725594959409E-14</v>
      </c>
      <c r="AN35" s="2">
        <f t="shared" si="11"/>
        <v>1.4924374980055781E-14</v>
      </c>
      <c r="AO35" s="2">
        <f t="shared" si="12"/>
        <v>4.1909515857696533E-6</v>
      </c>
    </row>
    <row r="36" spans="2:41" x14ac:dyDescent="0.2">
      <c r="B36" s="6" t="s">
        <v>109</v>
      </c>
      <c r="C36" s="17">
        <v>9.1440000000000001</v>
      </c>
      <c r="D36" s="6" t="s">
        <v>8</v>
      </c>
      <c r="J36" s="19" t="s">
        <v>81</v>
      </c>
      <c r="K36" s="6">
        <f>ROUND(SUM(K16:K19)/$C$5 * 100, 2)</f>
        <v>16.68</v>
      </c>
      <c r="L36" s="6" t="s">
        <v>61</v>
      </c>
      <c r="AF36" s="2">
        <v>32</v>
      </c>
      <c r="AG36" s="2">
        <f t="shared" si="13"/>
        <v>2334.2092391103506</v>
      </c>
      <c r="AH36" s="2">
        <v>-6.7974633566336706E-7</v>
      </c>
      <c r="AI36" s="2">
        <f t="shared" si="14"/>
        <v>2334.2092412058264</v>
      </c>
      <c r="AJ36" s="2">
        <v>2.0695551938842982E-8</v>
      </c>
      <c r="AK36" s="2">
        <f t="shared" si="9"/>
        <v>2334.2092401580885</v>
      </c>
      <c r="AL36" s="2">
        <v>-3.2952493711491115E-7</v>
      </c>
      <c r="AM36" s="2">
        <f t="shared" si="10"/>
        <v>2.2399336851356232E-13</v>
      </c>
      <c r="AN36" s="2">
        <f t="shared" si="11"/>
        <v>-6.8197004512056113E-15</v>
      </c>
      <c r="AO36" s="2">
        <f t="shared" si="12"/>
        <v>2.0954757928848267E-6</v>
      </c>
    </row>
    <row r="37" spans="2:41" x14ac:dyDescent="0.2">
      <c r="B37" s="6" t="s">
        <v>110</v>
      </c>
      <c r="C37" s="17">
        <v>1.8675309360000001</v>
      </c>
      <c r="D37" s="6" t="s">
        <v>8</v>
      </c>
      <c r="J37" s="20" t="s">
        <v>72</v>
      </c>
      <c r="K37" s="6">
        <f>ROUND(SUM(K20:K25)/$C$5 * 100, 2)</f>
        <v>31.01</v>
      </c>
      <c r="L37" s="6" t="s">
        <v>61</v>
      </c>
      <c r="AF37" s="2">
        <v>33</v>
      </c>
      <c r="AG37" s="2">
        <f t="shared" si="13"/>
        <v>2334.2092401580885</v>
      </c>
      <c r="AH37" s="2">
        <v>-3.2952493711491115E-7</v>
      </c>
      <c r="AI37" s="2">
        <f t="shared" si="14"/>
        <v>2334.2092412058264</v>
      </c>
      <c r="AJ37" s="2">
        <v>2.0695551938842982E-8</v>
      </c>
      <c r="AK37" s="2">
        <f t="shared" si="9"/>
        <v>2334.2092406819575</v>
      </c>
      <c r="AL37" s="2">
        <v>-1.5441401046700776E-7</v>
      </c>
      <c r="AM37" s="2">
        <f t="shared" si="10"/>
        <v>5.0883267088801964E-14</v>
      </c>
      <c r="AN37" s="2">
        <f t="shared" si="11"/>
        <v>-3.1956831737050029E-15</v>
      </c>
      <c r="AO37" s="2">
        <f t="shared" si="12"/>
        <v>1.0477378964424133E-6</v>
      </c>
    </row>
    <row r="38" spans="2:41" x14ac:dyDescent="0.2">
      <c r="J38" s="15" t="s">
        <v>73</v>
      </c>
      <c r="K38" s="6">
        <f>ROUND(SUM(K26:K29)/$C$5*100, 2)</f>
        <v>4.83</v>
      </c>
      <c r="L38" s="6" t="s">
        <v>61</v>
      </c>
      <c r="AF38" s="2">
        <v>34</v>
      </c>
      <c r="AG38" s="2">
        <f t="shared" si="13"/>
        <v>2334.2092406819575</v>
      </c>
      <c r="AH38" s="2">
        <v>-1.5441401046700776E-7</v>
      </c>
      <c r="AI38" s="2">
        <f t="shared" si="14"/>
        <v>2334.2092412058264</v>
      </c>
      <c r="AJ38" s="2">
        <v>2.0695551938842982E-8</v>
      </c>
      <c r="AK38" s="2">
        <f t="shared" si="9"/>
        <v>2334.2092409438919</v>
      </c>
      <c r="AL38" s="2">
        <v>-6.6859229264082387E-8</v>
      </c>
      <c r="AM38" s="2">
        <f t="shared" si="10"/>
        <v>1.0324001727400089E-14</v>
      </c>
      <c r="AN38" s="2">
        <f t="shared" si="11"/>
        <v>-1.3836886518258277E-15</v>
      </c>
      <c r="AO38" s="2">
        <f t="shared" si="12"/>
        <v>5.2386894822120667E-7</v>
      </c>
    </row>
    <row r="39" spans="2:41" x14ac:dyDescent="0.2">
      <c r="B39" s="54" t="s">
        <v>111</v>
      </c>
      <c r="C39" s="54"/>
      <c r="D39" s="54"/>
      <c r="J39" s="10" t="s">
        <v>62</v>
      </c>
      <c r="K39" s="10">
        <f>SUM(K34:K38)</f>
        <v>100</v>
      </c>
      <c r="L39" s="10" t="s">
        <v>61</v>
      </c>
      <c r="AF39" s="2">
        <v>35</v>
      </c>
      <c r="AG39" s="2">
        <f t="shared" si="13"/>
        <v>2334.2092409438919</v>
      </c>
      <c r="AH39" s="2">
        <v>-6.6859229264082387E-8</v>
      </c>
      <c r="AI39" s="2">
        <f t="shared" si="14"/>
        <v>2334.2092412058264</v>
      </c>
      <c r="AJ39" s="2">
        <v>2.0695551938842982E-8</v>
      </c>
      <c r="AK39" s="2">
        <f t="shared" si="9"/>
        <v>2334.2092410748592</v>
      </c>
      <c r="AL39" s="2">
        <v>-2.3081156541593373E-8</v>
      </c>
      <c r="AM39" s="2">
        <f t="shared" si="10"/>
        <v>1.5431883368945663E-15</v>
      </c>
      <c r="AN39" s="2">
        <f t="shared" si="11"/>
        <v>-4.7767727401511111E-16</v>
      </c>
      <c r="AO39" s="2">
        <f t="shared" si="12"/>
        <v>2.6193447411060333E-7</v>
      </c>
    </row>
    <row r="40" spans="2:41" x14ac:dyDescent="0.2">
      <c r="B40" s="6" t="s">
        <v>124</v>
      </c>
      <c r="C40" s="22" t="s">
        <v>125</v>
      </c>
      <c r="AF40" s="2">
        <v>36</v>
      </c>
      <c r="AG40" s="2">
        <f t="shared" si="13"/>
        <v>2334.2092410748592</v>
      </c>
      <c r="AH40" s="2">
        <v>-2.3081156541593373E-8</v>
      </c>
      <c r="AI40" s="2">
        <f t="shared" si="14"/>
        <v>2334.2092412058264</v>
      </c>
      <c r="AJ40" s="2">
        <v>2.0695551938842982E-8</v>
      </c>
      <c r="AK40" s="2">
        <f t="shared" si="9"/>
        <v>2334.2092411403428</v>
      </c>
      <c r="AL40" s="2">
        <v>-1.1932570487260818E-9</v>
      </c>
      <c r="AM40" s="2">
        <f t="shared" si="10"/>
        <v>2.7541752736006406E-17</v>
      </c>
      <c r="AN40" s="2">
        <f t="shared" si="11"/>
        <v>-2.4695113228301118E-17</v>
      </c>
      <c r="AO40" s="2">
        <f t="shared" si="12"/>
        <v>1.3096723705530167E-7</v>
      </c>
    </row>
    <row r="41" spans="2:41" x14ac:dyDescent="0.2">
      <c r="B41" s="6" t="s">
        <v>126</v>
      </c>
      <c r="C41" s="6">
        <f>IF(C40="wheeled",0.0325,0.014)</f>
        <v>3.2500000000000001E-2</v>
      </c>
      <c r="J41" s="54" t="s">
        <v>116</v>
      </c>
      <c r="K41" s="54"/>
      <c r="L41" s="54"/>
      <c r="AF41" s="2">
        <v>37</v>
      </c>
      <c r="AG41" s="2">
        <f t="shared" si="13"/>
        <v>2334.2092411403428</v>
      </c>
      <c r="AH41" s="2">
        <v>-1.1932570487260818E-9</v>
      </c>
      <c r="AI41" s="2">
        <f t="shared" si="14"/>
        <v>2334.2092412058264</v>
      </c>
      <c r="AJ41" s="2">
        <v>2.0695551938842982E-8</v>
      </c>
      <c r="AK41" s="2">
        <f t="shared" si="9"/>
        <v>2334.2092411730846</v>
      </c>
      <c r="AL41" s="2">
        <v>9.7525116871111095E-9</v>
      </c>
      <c r="AM41" s="2">
        <f t="shared" si="10"/>
        <v>-1.1637253313428824E-17</v>
      </c>
      <c r="AN41" s="2">
        <f t="shared" si="11"/>
        <v>2.0183361215478116E-16</v>
      </c>
      <c r="AO41" s="2">
        <f t="shared" si="12"/>
        <v>6.5483618527650833E-8</v>
      </c>
    </row>
    <row r="42" spans="2:41" x14ac:dyDescent="0.2">
      <c r="B42" s="6" t="s">
        <v>112</v>
      </c>
      <c r="C42" s="17">
        <v>0.30480000000000002</v>
      </c>
      <c r="D42" s="6" t="s">
        <v>8</v>
      </c>
      <c r="J42" s="6" t="s">
        <v>60</v>
      </c>
      <c r="K42" s="6">
        <f>ROUND(C16,2)</f>
        <v>600</v>
      </c>
      <c r="L42" s="6" t="s">
        <v>7</v>
      </c>
      <c r="AF42" s="2">
        <v>38</v>
      </c>
      <c r="AG42" s="2">
        <f t="shared" si="13"/>
        <v>2334.2092411403428</v>
      </c>
      <c r="AH42" s="2">
        <v>-1.1932570487260818E-9</v>
      </c>
      <c r="AI42" s="2">
        <f t="shared" si="14"/>
        <v>2334.2092411730846</v>
      </c>
      <c r="AJ42" s="2">
        <v>9.7525116871111095E-9</v>
      </c>
      <c r="AK42" s="2">
        <f t="shared" si="9"/>
        <v>2334.2092411567137</v>
      </c>
      <c r="AL42" s="2">
        <v>4.2798546928679571E-9</v>
      </c>
      <c r="AM42" s="2">
        <f t="shared" si="10"/>
        <v>-5.1069667797880899E-18</v>
      </c>
      <c r="AN42" s="2">
        <f t="shared" si="11"/>
        <v>4.1739332911332079E-17</v>
      </c>
      <c r="AO42" s="2">
        <f t="shared" si="12"/>
        <v>3.2741809263825417E-8</v>
      </c>
    </row>
    <row r="43" spans="2:41" x14ac:dyDescent="0.2">
      <c r="B43" s="6" t="s">
        <v>113</v>
      </c>
      <c r="C43" s="17">
        <v>5.7</v>
      </c>
      <c r="J43" s="11" t="s">
        <v>55</v>
      </c>
      <c r="K43" s="6">
        <f>ROUND(K15, 2)</f>
        <v>508.43</v>
      </c>
      <c r="L43" s="6" t="s">
        <v>7</v>
      </c>
      <c r="AF43" s="2">
        <v>39</v>
      </c>
      <c r="AG43" s="2">
        <f t="shared" si="13"/>
        <v>2334.2092411403428</v>
      </c>
      <c r="AH43" s="2">
        <v>-1.1932570487260818E-9</v>
      </c>
      <c r="AI43" s="2">
        <f t="shared" si="14"/>
        <v>2334.2092411567137</v>
      </c>
      <c r="AJ43" s="2">
        <v>4.2798546928679571E-9</v>
      </c>
      <c r="AK43" s="2">
        <f t="shared" si="9"/>
        <v>2334.2092411485282</v>
      </c>
      <c r="AL43" s="2">
        <v>1.5436398825841025E-9</v>
      </c>
      <c r="AM43" s="2">
        <f t="shared" si="10"/>
        <v>-1.8419591705881816E-18</v>
      </c>
      <c r="AN43" s="2">
        <f t="shared" si="11"/>
        <v>6.6065543955757131E-18</v>
      </c>
      <c r="AO43" s="2">
        <f t="shared" si="12"/>
        <v>1.6370904631912708E-8</v>
      </c>
    </row>
    <row r="44" spans="2:41" x14ac:dyDescent="0.2">
      <c r="J44" s="19" t="s">
        <v>81</v>
      </c>
      <c r="K44" s="6">
        <f>ROUND(SUM(K16:K19), 2)</f>
        <v>389.25</v>
      </c>
      <c r="L44" s="6" t="s">
        <v>7</v>
      </c>
      <c r="AF44" s="2">
        <v>40</v>
      </c>
      <c r="AG44" s="2">
        <f t="shared" si="13"/>
        <v>2334.2092411403428</v>
      </c>
      <c r="AH44" s="2">
        <v>-1.1932570487260818E-9</v>
      </c>
      <c r="AI44" s="2">
        <f t="shared" si="14"/>
        <v>2334.2092411485282</v>
      </c>
      <c r="AJ44" s="2">
        <v>1.5436398825841025E-9</v>
      </c>
      <c r="AK44" s="5">
        <f t="shared" si="9"/>
        <v>2334.2092411444355</v>
      </c>
      <c r="AL44" s="2">
        <v>1.7553247744217515E-10</v>
      </c>
      <c r="AM44" s="2">
        <f t="shared" si="10"/>
        <v>-2.0945536598822746E-19</v>
      </c>
      <c r="AN44" s="2">
        <f t="shared" si="11"/>
        <v>2.7095893286853586E-19</v>
      </c>
      <c r="AO44" s="2">
        <f t="shared" si="12"/>
        <v>8.1854523159563541E-9</v>
      </c>
    </row>
    <row r="45" spans="2:41" x14ac:dyDescent="0.2">
      <c r="B45" s="54" t="s">
        <v>248</v>
      </c>
      <c r="C45" s="54"/>
      <c r="D45" s="54"/>
      <c r="J45" s="20" t="s">
        <v>72</v>
      </c>
      <c r="K45" s="6">
        <f>ROUND(SUM(K20:K25), 2)</f>
        <v>723.83</v>
      </c>
      <c r="L45" s="6" t="s">
        <v>7</v>
      </c>
    </row>
    <row r="46" spans="2:41" x14ac:dyDescent="0.2">
      <c r="B46" s="6" t="s">
        <v>113</v>
      </c>
      <c r="C46" s="17">
        <v>3</v>
      </c>
      <c r="J46" s="15" t="s">
        <v>73</v>
      </c>
      <c r="K46" s="6">
        <f>ROUND(SUM(K26:K29), 2)</f>
        <v>112.7</v>
      </c>
      <c r="L46" s="6" t="s">
        <v>7</v>
      </c>
    </row>
    <row r="47" spans="2:41" x14ac:dyDescent="0.2">
      <c r="J47" s="10" t="s">
        <v>62</v>
      </c>
      <c r="K47" s="10">
        <f>SUM(K42:K46)</f>
        <v>2334.21</v>
      </c>
      <c r="L47" s="6" t="s">
        <v>7</v>
      </c>
    </row>
    <row r="48" spans="2:41" x14ac:dyDescent="0.2">
      <c r="B48" s="54" t="s">
        <v>249</v>
      </c>
      <c r="C48" s="54"/>
      <c r="D48" s="54"/>
    </row>
    <row r="49" spans="2:4" x14ac:dyDescent="0.2">
      <c r="B49" s="6" t="s">
        <v>250</v>
      </c>
      <c r="C49" s="17">
        <v>4.3036300000000001</v>
      </c>
    </row>
    <row r="50" spans="2:4" x14ac:dyDescent="0.2">
      <c r="B50" s="6" t="s">
        <v>251</v>
      </c>
      <c r="C50" s="17">
        <f>39.5112*0.3048^2</f>
        <v>3.6707105940480003</v>
      </c>
      <c r="D50" s="6" t="s">
        <v>11</v>
      </c>
    </row>
    <row r="51" spans="2:4" x14ac:dyDescent="0.2">
      <c r="B51" s="6" t="s">
        <v>252</v>
      </c>
      <c r="C51" s="17">
        <f>0.15*3.7875*0.3048</f>
        <v>0.1731645</v>
      </c>
      <c r="D51" s="6" t="s">
        <v>8</v>
      </c>
    </row>
    <row r="53" spans="2:4" x14ac:dyDescent="0.2">
      <c r="B53" s="54" t="s">
        <v>253</v>
      </c>
      <c r="C53" s="54"/>
      <c r="D53" s="54"/>
    </row>
    <row r="54" spans="2:4" x14ac:dyDescent="0.2">
      <c r="B54" s="6" t="s">
        <v>254</v>
      </c>
      <c r="C54" s="17">
        <v>1.1798999999999999</v>
      </c>
    </row>
    <row r="55" spans="2:4" x14ac:dyDescent="0.2">
      <c r="B55" s="6" t="s">
        <v>255</v>
      </c>
      <c r="C55" s="17">
        <f>27.34325*0.3048^2</f>
        <v>2.5402710484800002</v>
      </c>
      <c r="D55" s="6" t="s">
        <v>11</v>
      </c>
    </row>
    <row r="56" spans="2:4" x14ac:dyDescent="0.2">
      <c r="B56" s="6" t="s">
        <v>256</v>
      </c>
      <c r="C56" s="17">
        <f>0.115*9.73719*0.3048</f>
        <v>0.34130798388000005</v>
      </c>
      <c r="D56" s="6" t="s">
        <v>8</v>
      </c>
    </row>
    <row r="57" spans="2:4" x14ac:dyDescent="0.2">
      <c r="B57" s="6" t="s">
        <v>257</v>
      </c>
      <c r="C57" s="17">
        <v>35</v>
      </c>
      <c r="D57" s="6" t="s">
        <v>43</v>
      </c>
    </row>
    <row r="59" spans="2:4" x14ac:dyDescent="0.2">
      <c r="B59" s="57" t="s">
        <v>2</v>
      </c>
      <c r="C59" s="58"/>
      <c r="D59" s="58"/>
    </row>
    <row r="60" spans="2:4" x14ac:dyDescent="0.2">
      <c r="B60" s="6" t="s">
        <v>3</v>
      </c>
      <c r="C60" s="17">
        <v>250</v>
      </c>
      <c r="D60" s="6" t="s">
        <v>4</v>
      </c>
    </row>
    <row r="61" spans="2:4" x14ac:dyDescent="0.2">
      <c r="B61" s="6" t="s">
        <v>5</v>
      </c>
      <c r="C61" s="17">
        <v>0.85</v>
      </c>
    </row>
    <row r="62" spans="2:4" x14ac:dyDescent="0.2">
      <c r="B62" s="6" t="s">
        <v>6</v>
      </c>
      <c r="C62" s="17">
        <v>0.8</v>
      </c>
    </row>
    <row r="64" spans="2:4" x14ac:dyDescent="0.2">
      <c r="B64" s="54" t="s">
        <v>272</v>
      </c>
      <c r="C64" s="55"/>
      <c r="D64" s="55"/>
    </row>
    <row r="65" spans="2:4" x14ac:dyDescent="0.2">
      <c r="B65" s="6" t="s">
        <v>15</v>
      </c>
      <c r="C65" s="17">
        <v>1.0397562309141399</v>
      </c>
      <c r="D65" s="6" t="s">
        <v>16</v>
      </c>
    </row>
    <row r="66" spans="2:4" x14ac:dyDescent="0.2">
      <c r="B66" s="6" t="s">
        <v>214</v>
      </c>
      <c r="C66" s="41">
        <v>1.7363179204150701E-5</v>
      </c>
      <c r="D66" s="6" t="s">
        <v>210</v>
      </c>
    </row>
    <row r="67" spans="2:4" x14ac:dyDescent="0.2">
      <c r="B67" s="6" t="s">
        <v>132</v>
      </c>
      <c r="C67" s="17">
        <v>333.91694458017901</v>
      </c>
      <c r="D67" s="6" t="s">
        <v>10</v>
      </c>
    </row>
    <row r="68" spans="2:4" x14ac:dyDescent="0.2">
      <c r="B68" s="6" t="s">
        <v>17</v>
      </c>
      <c r="C68" s="1">
        <v>9.80149119240094</v>
      </c>
      <c r="D68" s="6" t="s">
        <v>18</v>
      </c>
    </row>
    <row r="70" spans="2:4" x14ac:dyDescent="0.2">
      <c r="B70" s="54" t="s">
        <v>273</v>
      </c>
      <c r="C70" s="55"/>
      <c r="D70" s="55"/>
    </row>
    <row r="71" spans="2:4" x14ac:dyDescent="0.2">
      <c r="B71" s="6" t="s">
        <v>15</v>
      </c>
      <c r="C71" s="17">
        <v>1.00854450666398</v>
      </c>
      <c r="D71" s="6" t="s">
        <v>16</v>
      </c>
    </row>
    <row r="72" spans="2:4" x14ac:dyDescent="0.2">
      <c r="B72" s="6" t="s">
        <v>214</v>
      </c>
      <c r="C72" s="41">
        <v>1.7265641515845801E-5</v>
      </c>
      <c r="D72" s="6" t="s">
        <v>210</v>
      </c>
    </row>
    <row r="73" spans="2:4" x14ac:dyDescent="0.2">
      <c r="B73" s="6" t="s">
        <v>132</v>
      </c>
      <c r="C73" s="17">
        <v>332.721752148093</v>
      </c>
      <c r="D73" s="6" t="s">
        <v>10</v>
      </c>
    </row>
    <row r="74" spans="2:4" x14ac:dyDescent="0.2">
      <c r="B74" s="6" t="s">
        <v>17</v>
      </c>
      <c r="C74" s="1">
        <v>9.8005536647414697</v>
      </c>
      <c r="D74" s="6" t="s">
        <v>18</v>
      </c>
    </row>
    <row r="76" spans="2:4" x14ac:dyDescent="0.2">
      <c r="B76" s="54" t="s">
        <v>74</v>
      </c>
      <c r="C76" s="54"/>
      <c r="D76" s="54"/>
    </row>
    <row r="77" spans="2:4" x14ac:dyDescent="0.2">
      <c r="B77" s="6" t="s">
        <v>264</v>
      </c>
      <c r="C77" s="17">
        <v>30</v>
      </c>
    </row>
    <row r="78" spans="2:4" x14ac:dyDescent="0.2">
      <c r="B78" s="6" t="s">
        <v>266</v>
      </c>
      <c r="C78" s="17">
        <v>0.8</v>
      </c>
    </row>
    <row r="79" spans="2:4" x14ac:dyDescent="0.2">
      <c r="B79" s="6" t="s">
        <v>267</v>
      </c>
      <c r="C79" s="17">
        <v>0.8</v>
      </c>
    </row>
    <row r="80" spans="2:4" x14ac:dyDescent="0.2">
      <c r="B80" s="6" t="s">
        <v>268</v>
      </c>
      <c r="C80" s="17">
        <v>0.8</v>
      </c>
    </row>
    <row r="81" spans="2:4" x14ac:dyDescent="0.2">
      <c r="B81" s="6" t="s">
        <v>258</v>
      </c>
      <c r="C81" s="17">
        <v>5</v>
      </c>
      <c r="D81" s="6" t="s">
        <v>43</v>
      </c>
    </row>
  </sheetData>
  <mergeCells count="22">
    <mergeCell ref="B48:D48"/>
    <mergeCell ref="B53:D53"/>
    <mergeCell ref="B76:D76"/>
    <mergeCell ref="B59:D59"/>
    <mergeCell ref="B64:D64"/>
    <mergeCell ref="B70:D70"/>
    <mergeCell ref="F22:H22"/>
    <mergeCell ref="B27:D27"/>
    <mergeCell ref="B39:D39"/>
    <mergeCell ref="J41:L41"/>
    <mergeCell ref="B45:D45"/>
    <mergeCell ref="B34:D34"/>
    <mergeCell ref="J9:L9"/>
    <mergeCell ref="F12:H12"/>
    <mergeCell ref="B15:D15"/>
    <mergeCell ref="N18:P18"/>
    <mergeCell ref="B20:D20"/>
    <mergeCell ref="B1:D1"/>
    <mergeCell ref="B3:D3"/>
    <mergeCell ref="F3:H3"/>
    <mergeCell ref="J3:L3"/>
    <mergeCell ref="N3:P3"/>
  </mergeCells>
  <conditionalFormatting sqref="K31">
    <cfRule type="containsText" dxfId="23" priority="7" operator="containsText" text="FALSE">
      <formula>NOT(ISERROR(SEARCH("FALSE",K31)))</formula>
    </cfRule>
    <cfRule type="containsText" dxfId="22" priority="8" operator="containsText" text="TRUE">
      <formula>NOT(ISERROR(SEARCH("TRUE",K31)))</formula>
    </cfRule>
    <cfRule type="cellIs" dxfId="21" priority="9" operator="equal">
      <formula>1</formula>
    </cfRule>
    <cfRule type="cellIs" dxfId="20" priority="10" operator="equal">
      <formula>TRUE</formula>
    </cfRule>
    <cfRule type="containsText" dxfId="19" priority="11" operator="containsText" text="YES">
      <formula>NOT(ISERROR(SEARCH("YES",K31)))</formula>
    </cfRule>
    <cfRule type="cellIs" dxfId="18" priority="12" operator="equal">
      <formula>"""YES"""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31E77-07DC-9243-A410-566ED0D9F438}">
  <dimension ref="B1:AS82"/>
  <sheetViews>
    <sheetView topLeftCell="A2" zoomScale="88" workbookViewId="0">
      <selection activeCell="E17" sqref="E17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2.1640625" style="6" bestFit="1" customWidth="1"/>
    <col min="4" max="4" width="7.1640625" style="6" customWidth="1"/>
    <col min="5" max="5" width="5.6640625" style="6" customWidth="1"/>
    <col min="6" max="6" width="20.332031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4.33203125" style="6" customWidth="1"/>
    <col min="12" max="12" width="5" style="6" customWidth="1"/>
    <col min="13" max="13" width="6" style="6" customWidth="1"/>
    <col min="14" max="14" width="15.33203125" style="6" customWidth="1"/>
    <col min="15" max="15" width="13.1640625" style="6" customWidth="1"/>
    <col min="16" max="16" width="6.6640625" style="6" customWidth="1"/>
    <col min="17" max="17" width="6" style="6" customWidth="1"/>
    <col min="18" max="18" width="15.1640625" style="6" customWidth="1"/>
    <col min="19" max="19" width="11.6640625" style="6" customWidth="1"/>
    <col min="20" max="20" width="6.33203125" style="6" customWidth="1"/>
    <col min="21" max="21" width="7.1640625" style="6" customWidth="1"/>
    <col min="22" max="22" width="4" style="6" customWidth="1"/>
    <col min="23" max="24" width="3.83203125" style="6" customWidth="1"/>
    <col min="25" max="25" width="5.5" style="6" customWidth="1"/>
    <col min="26" max="26" width="9" style="6" customWidth="1"/>
    <col min="27" max="27" width="11.1640625" style="6" customWidth="1"/>
    <col min="28" max="28" width="6.6640625" style="6" customWidth="1"/>
    <col min="29" max="29" width="10.83203125" style="6" customWidth="1"/>
    <col min="30" max="30" width="14.6640625" style="6" customWidth="1"/>
    <col min="31" max="31" width="11.5" style="6" customWidth="1"/>
    <col min="32" max="32" width="10" style="6" customWidth="1"/>
    <col min="33" max="33" width="9.5" style="6" customWidth="1"/>
    <col min="34" max="34" width="13.6640625" style="6" customWidth="1"/>
    <col min="35" max="35" width="10.83203125" style="6"/>
    <col min="36" max="40" width="10.83203125" style="2"/>
    <col min="41" max="42" width="11" style="2" bestFit="1" customWidth="1"/>
    <col min="43" max="45" width="11.1640625" style="2" bestFit="1" customWidth="1"/>
    <col min="46" max="16384" width="10.83203125" style="6"/>
  </cols>
  <sheetData>
    <row r="1" spans="2:45" x14ac:dyDescent="0.2">
      <c r="B1" s="60" t="s">
        <v>0</v>
      </c>
      <c r="C1" s="60"/>
      <c r="D1" s="60"/>
    </row>
    <row r="2" spans="2:45" x14ac:dyDescent="0.2">
      <c r="Y2" s="16" t="s">
        <v>278</v>
      </c>
      <c r="AJ2" s="48" t="s">
        <v>226</v>
      </c>
    </row>
    <row r="3" spans="2:45" x14ac:dyDescent="0.2">
      <c r="B3" s="54" t="s">
        <v>127</v>
      </c>
      <c r="C3" s="55"/>
      <c r="D3" s="55"/>
      <c r="F3" s="57" t="s">
        <v>83</v>
      </c>
      <c r="G3" s="58"/>
      <c r="H3" s="58"/>
      <c r="J3" s="54" t="s">
        <v>101</v>
      </c>
      <c r="K3" s="54"/>
      <c r="L3" s="54"/>
      <c r="N3" s="54" t="s">
        <v>279</v>
      </c>
      <c r="O3" s="54"/>
      <c r="P3" s="54"/>
      <c r="R3" s="54" t="s">
        <v>95</v>
      </c>
      <c r="S3" s="54"/>
      <c r="T3" s="54"/>
      <c r="Y3" s="7" t="s">
        <v>44</v>
      </c>
      <c r="Z3" s="7" t="s">
        <v>45</v>
      </c>
      <c r="AA3" s="7" t="s">
        <v>46</v>
      </c>
      <c r="AB3" s="7" t="s">
        <v>47</v>
      </c>
      <c r="AC3" s="7" t="s">
        <v>48</v>
      </c>
      <c r="AD3" s="7" t="s">
        <v>49</v>
      </c>
      <c r="AE3" s="7" t="s">
        <v>50</v>
      </c>
      <c r="AF3" s="7" t="s">
        <v>51</v>
      </c>
      <c r="AG3" s="7" t="s">
        <v>52</v>
      </c>
      <c r="AH3" s="7" t="s">
        <v>53</v>
      </c>
      <c r="AJ3" s="7" t="s">
        <v>44</v>
      </c>
      <c r="AK3" s="7" t="s">
        <v>45</v>
      </c>
      <c r="AL3" s="7" t="s">
        <v>46</v>
      </c>
      <c r="AM3" s="7" t="s">
        <v>47</v>
      </c>
      <c r="AN3" s="7" t="s">
        <v>48</v>
      </c>
      <c r="AO3" s="7" t="s">
        <v>49</v>
      </c>
      <c r="AP3" s="7" t="s">
        <v>50</v>
      </c>
      <c r="AQ3" s="7" t="s">
        <v>51</v>
      </c>
      <c r="AR3" s="7" t="s">
        <v>52</v>
      </c>
      <c r="AS3" s="7" t="s">
        <v>53</v>
      </c>
    </row>
    <row r="4" spans="2:45" x14ac:dyDescent="0.2">
      <c r="B4" s="6" t="s">
        <v>39</v>
      </c>
      <c r="C4" s="3" t="s">
        <v>227</v>
      </c>
      <c r="F4" s="6" t="s">
        <v>87</v>
      </c>
      <c r="G4" s="17">
        <f>500*0.3048/60</f>
        <v>2.54</v>
      </c>
      <c r="H4" s="6" t="s">
        <v>10</v>
      </c>
      <c r="J4" s="6" t="s">
        <v>102</v>
      </c>
      <c r="K4" s="6">
        <f>(1+$C$26/100)*MAX(G14,G33)</f>
        <v>677.70762212254783</v>
      </c>
      <c r="L4" s="6" t="s">
        <v>104</v>
      </c>
      <c r="N4" s="6" t="s">
        <v>228</v>
      </c>
      <c r="O4" s="6">
        <v>0</v>
      </c>
      <c r="P4" s="6" t="s">
        <v>22</v>
      </c>
      <c r="R4" s="6" t="s">
        <v>228</v>
      </c>
      <c r="S4" s="6">
        <f xml:space="preserve"> $C$5 * $C$75</f>
        <v>22782.17801135001</v>
      </c>
      <c r="T4" s="6" t="s">
        <v>22</v>
      </c>
      <c r="Y4" s="2">
        <v>0</v>
      </c>
      <c r="Z4" s="3">
        <v>1.0000000000000001E-15</v>
      </c>
      <c r="AA4" s="2">
        <f xml:space="preserve"> $O$22 * TAN($O$19/180*PI()) + $O$23 / (2 * SQRT($O$22^2 + Z4^2)) - Z4</f>
        <v>9098148465135.1836</v>
      </c>
      <c r="AB4" s="3">
        <v>1</v>
      </c>
      <c r="AC4" s="2">
        <f xml:space="preserve"> $O$22 * TAN($O$19/180*PI()) + $O$23 / (2 * SQRT($O$22^2 + AB4^2)) - AB4</f>
        <v>-0.97321796363526025</v>
      </c>
      <c r="AD4" s="2">
        <f xml:space="preserve"> (Z4 + AB4)/2</f>
        <v>0.50000000000000056</v>
      </c>
      <c r="AE4" s="2">
        <f xml:space="preserve"> $O$22 * TAN($O$19/180*PI()) + $O$23 / (2 * SQRT($O$22^2 + AD4^2)) - AD4</f>
        <v>-0.46411980983628731</v>
      </c>
      <c r="AF4" s="2">
        <f>AA4*AE4</f>
        <v>-4222630935500.8506</v>
      </c>
      <c r="AG4" s="2">
        <f>AC4*AE4</f>
        <v>0.45168973621165576</v>
      </c>
      <c r="AH4" s="2">
        <f>AB4-Z4</f>
        <v>0.999999999999999</v>
      </c>
      <c r="AJ4" s="2">
        <v>0</v>
      </c>
      <c r="AL4" s="2">
        <f>K30</f>
        <v>-8.3809936768375337E-10</v>
      </c>
      <c r="AN4" s="2">
        <f>K30</f>
        <v>-8.3809936768375337E-10</v>
      </c>
      <c r="AP4" s="2">
        <f>K30</f>
        <v>-8.3809936768375337E-10</v>
      </c>
    </row>
    <row r="5" spans="2:45" x14ac:dyDescent="0.2">
      <c r="B5" s="10" t="s">
        <v>40</v>
      </c>
      <c r="C5" s="10">
        <f>AO44</f>
        <v>2324.5807115276875</v>
      </c>
      <c r="D5" s="10" t="s">
        <v>7</v>
      </c>
      <c r="F5" s="6" t="s">
        <v>90</v>
      </c>
      <c r="G5" s="17">
        <f>1000*0.3048</f>
        <v>304.8</v>
      </c>
      <c r="H5" s="6" t="s">
        <v>8</v>
      </c>
      <c r="J5" s="6" t="s">
        <v>103</v>
      </c>
      <c r="K5" s="6">
        <f>K4/$C$22</f>
        <v>84.713452765318479</v>
      </c>
      <c r="L5" s="6" t="s">
        <v>104</v>
      </c>
      <c r="N5" s="6" t="s">
        <v>25</v>
      </c>
      <c r="O5" s="6">
        <f xml:space="preserve"> 0.5 * $C$66 * $C$8^2</f>
        <v>1299.695288642675</v>
      </c>
      <c r="P5" s="6" t="s">
        <v>26</v>
      </c>
      <c r="R5" s="6" t="s">
        <v>25</v>
      </c>
      <c r="S5" s="6">
        <f xml:space="preserve"> 0.5 * $C$72 * $C$8^2</f>
        <v>1260.6806333299751</v>
      </c>
      <c r="T5" s="6" t="s">
        <v>26</v>
      </c>
      <c r="Y5" s="2">
        <v>1</v>
      </c>
      <c r="Z5" s="2">
        <f>IF(AF4&gt;0, AD4, Z4)</f>
        <v>1.0000000000000001E-15</v>
      </c>
      <c r="AA5" s="2">
        <f t="shared" ref="AA5:AA34" si="0" xml:space="preserve"> $O$22 * TAN($O$19/180*PI()) + $O$23 / (2 * SQRT($O$22^2 + Z5^2)) - Z5</f>
        <v>9098148465135.1836</v>
      </c>
      <c r="AB5" s="2">
        <f>IF(AG4&gt;0, AD4, AB4)</f>
        <v>0.50000000000000056</v>
      </c>
      <c r="AC5" s="2">
        <f t="shared" ref="AC5:AC34" si="1" xml:space="preserve"> $O$22 * TAN($O$19/180*PI()) + $O$23 / (2 * SQRT($O$22^2 + AB5^2)) - AB5</f>
        <v>-0.46411980983628731</v>
      </c>
      <c r="AD5" s="2">
        <f t="shared" ref="AD5:AD34" si="2" xml:space="preserve"> (Z5 + AB5)/2</f>
        <v>0.25000000000000078</v>
      </c>
      <c r="AE5" s="2">
        <f t="shared" ref="AE5:AE34" si="3" xml:space="preserve"> $O$22 * TAN($O$19/180*PI()) + $O$23 / (2 * SQRT($O$22^2 + AD5^2)) - AD5</f>
        <v>-0.19592350223834049</v>
      </c>
      <c r="AF5" s="2">
        <f t="shared" ref="AF5:AF34" si="4">AA5*AE5</f>
        <v>-1782541111173.6672</v>
      </c>
      <c r="AG5" s="2">
        <f t="shared" ref="AG5:AG34" si="5">AC5*AE5</f>
        <v>9.0931978601317992E-2</v>
      </c>
      <c r="AH5" s="2">
        <f t="shared" ref="AH5:AH34" si="6">AB5-Z5</f>
        <v>0.49999999999999956</v>
      </c>
      <c r="AJ5" s="2">
        <v>1</v>
      </c>
      <c r="AK5" s="3">
        <v>500</v>
      </c>
      <c r="AL5" s="2">
        <f t="dataTable" ref="AL5:AL44" dt2D="0" dtr="0" r1="C5" ca="1"/>
        <v>-774.43516898975736</v>
      </c>
      <c r="AM5" s="3">
        <v>5000</v>
      </c>
      <c r="AN5" s="2">
        <f t="dataTable" ref="AN5:AN44" dt2D="0" dtr="0" r1="C5" ca="1"/>
        <v>1156.1860098727479</v>
      </c>
      <c r="AO5" s="2">
        <f>(AK5+AM5)/2</f>
        <v>2750</v>
      </c>
      <c r="AP5" s="2">
        <f t="dataTable" ref="AP5:AP44" dt2D="0" dtr="0" r1="C5"/>
        <v>135.30310996841581</v>
      </c>
      <c r="AQ5" s="2">
        <f>AL5*AP5</f>
        <v>-104783.48683322982</v>
      </c>
      <c r="AR5" s="2">
        <f>AN5*AP5</f>
        <v>156435.5628377563</v>
      </c>
      <c r="AS5" s="2">
        <f>AM5-AK5</f>
        <v>4500</v>
      </c>
    </row>
    <row r="6" spans="2:45" x14ac:dyDescent="0.2">
      <c r="B6" s="6" t="s">
        <v>270</v>
      </c>
      <c r="C6" s="22">
        <v>900</v>
      </c>
      <c r="D6" s="6" t="s">
        <v>134</v>
      </c>
      <c r="F6" s="6" t="s">
        <v>91</v>
      </c>
      <c r="G6" s="6">
        <f xml:space="preserve"> $G$5/$G$4</f>
        <v>120</v>
      </c>
      <c r="H6" s="6" t="s">
        <v>14</v>
      </c>
      <c r="J6" s="6" t="s">
        <v>229</v>
      </c>
      <c r="K6" s="6">
        <f>(1+$C$33/100)*MAX(G24)</f>
        <v>133.97946396771272</v>
      </c>
      <c r="L6" s="6" t="s">
        <v>104</v>
      </c>
      <c r="N6" s="6" t="s">
        <v>119</v>
      </c>
      <c r="O6" s="6">
        <v>0</v>
      </c>
      <c r="P6" s="6" t="s">
        <v>120</v>
      </c>
      <c r="R6" s="6" t="s">
        <v>119</v>
      </c>
      <c r="S6" s="6">
        <f xml:space="preserve"> ($C$22+$C$29) * 0.4 * ($C$5/($C$22+$C$29) *2.20462/1000)^(2/3) * 0.3048^2</f>
        <v>0.22976806580911094</v>
      </c>
      <c r="T6" s="6" t="s">
        <v>120</v>
      </c>
      <c r="Y6" s="2">
        <v>2</v>
      </c>
      <c r="Z6" s="2">
        <f t="shared" ref="Z6:Z29" si="7">IF(AF5&gt;0, AD5, Z5)</f>
        <v>1.0000000000000001E-15</v>
      </c>
      <c r="AA6" s="2">
        <f t="shared" si="0"/>
        <v>9098148465135.1836</v>
      </c>
      <c r="AB6" s="2">
        <f t="shared" ref="AB6:AB34" si="8">IF(AG5&gt;0, AD5, AB5)</f>
        <v>0.25000000000000078</v>
      </c>
      <c r="AC6" s="2">
        <f t="shared" si="1"/>
        <v>-0.19592350223834049</v>
      </c>
      <c r="AD6" s="2">
        <f t="shared" si="2"/>
        <v>0.12500000000000089</v>
      </c>
      <c r="AE6" s="2">
        <f t="shared" si="3"/>
        <v>-3.4530887042446778E-2</v>
      </c>
      <c r="AF6" s="2">
        <f t="shared" si="4"/>
        <v>-314167136944.99353</v>
      </c>
      <c r="AG6" s="2">
        <f t="shared" si="5"/>
        <v>6.7654123247527041E-3</v>
      </c>
      <c r="AH6" s="2">
        <f t="shared" si="6"/>
        <v>0.24999999999999978</v>
      </c>
      <c r="AJ6" s="2">
        <v>2</v>
      </c>
      <c r="AK6" s="2">
        <f>IF(AQ5&gt;0,AO5,AK5)</f>
        <v>500</v>
      </c>
      <c r="AL6" s="2">
        <v>-774.43516898975736</v>
      </c>
      <c r="AM6" s="2">
        <f>IF(AR5&gt;0,AO5,AM5)</f>
        <v>2750</v>
      </c>
      <c r="AN6" s="2">
        <v>135.30310996841581</v>
      </c>
      <c r="AO6" s="2">
        <f t="shared" ref="AO6:AO44" si="9">(AK6+AM6)/2</f>
        <v>1625</v>
      </c>
      <c r="AP6" s="2">
        <v>-267.87230076948526</v>
      </c>
      <c r="AQ6" s="2">
        <f t="shared" ref="AQ6:AQ44" si="10">AL6*AP6</f>
        <v>207449.73051409144</v>
      </c>
      <c r="AR6" s="2">
        <f t="shared" ref="AR6:AR44" si="11">AN6*AP6</f>
        <v>-36243.95536850622</v>
      </c>
      <c r="AS6" s="2">
        <f t="shared" ref="AS6:AS44" si="12">AM6-AK6</f>
        <v>2250</v>
      </c>
    </row>
    <row r="7" spans="2:45" x14ac:dyDescent="0.2">
      <c r="B7" s="6" t="s">
        <v>271</v>
      </c>
      <c r="C7" s="17">
        <v>370</v>
      </c>
      <c r="D7" s="6" t="s">
        <v>134</v>
      </c>
      <c r="F7" t="s">
        <v>130</v>
      </c>
      <c r="G7" s="8">
        <f>$C$6*2*PI()/60*$C$9</f>
        <v>143.63361612212535</v>
      </c>
      <c r="H7" s="6" t="s">
        <v>10</v>
      </c>
      <c r="J7" s="6" t="s">
        <v>230</v>
      </c>
      <c r="K7" s="6">
        <f>K6/$C$29</f>
        <v>133.97946396771272</v>
      </c>
      <c r="L7" s="6" t="s">
        <v>104</v>
      </c>
      <c r="N7" s="6" t="s">
        <v>121</v>
      </c>
      <c r="O7" s="6">
        <f xml:space="preserve"> O6 / $C$13</f>
        <v>0</v>
      </c>
      <c r="R7" s="6" t="s">
        <v>121</v>
      </c>
      <c r="S7" s="6">
        <f xml:space="preserve"> S6 / $C$13</f>
        <v>1.1488403290455546E-2</v>
      </c>
      <c r="Y7" s="2">
        <v>3</v>
      </c>
      <c r="Z7" s="2">
        <f t="shared" si="7"/>
        <v>1.0000000000000001E-15</v>
      </c>
      <c r="AA7" s="2">
        <f t="shared" si="0"/>
        <v>9098148465135.1836</v>
      </c>
      <c r="AB7" s="2">
        <f t="shared" si="8"/>
        <v>0.12500000000000089</v>
      </c>
      <c r="AC7" s="2">
        <f t="shared" si="1"/>
        <v>-3.4530887042446778E-2</v>
      </c>
      <c r="AD7" s="2">
        <f t="shared" si="2"/>
        <v>6.2500000000000944E-2</v>
      </c>
      <c r="AE7" s="2">
        <f t="shared" si="3"/>
        <v>0.10075434334933994</v>
      </c>
      <c r="AF7" s="2">
        <f t="shared" si="4"/>
        <v>916677974299.50049</v>
      </c>
      <c r="AG7" s="2">
        <f t="shared" si="5"/>
        <v>-3.4791368492319563E-3</v>
      </c>
      <c r="AH7" s="2">
        <f t="shared" si="6"/>
        <v>0.12499999999999989</v>
      </c>
      <c r="AJ7" s="2">
        <v>3</v>
      </c>
      <c r="AK7" s="2">
        <f t="shared" ref="AK7:AK44" si="13">IF(AQ6&gt;0,AO6,AK6)</f>
        <v>1625</v>
      </c>
      <c r="AL7" s="2">
        <v>-267.87230076948526</v>
      </c>
      <c r="AM7" s="2">
        <f t="shared" ref="AM7:AM44" si="14">IF(AR6&gt;0,AO6,AM6)</f>
        <v>2750</v>
      </c>
      <c r="AN7" s="2">
        <v>135.30310996841581</v>
      </c>
      <c r="AO7" s="2">
        <f t="shared" si="9"/>
        <v>2187.5</v>
      </c>
      <c r="AP7" s="2">
        <v>-48.229612966482819</v>
      </c>
      <c r="AQ7" s="2">
        <f t="shared" si="10"/>
        <v>12919.377390553553</v>
      </c>
      <c r="AR7" s="2">
        <f t="shared" si="11"/>
        <v>-6525.6166269381583</v>
      </c>
      <c r="AS7" s="2">
        <f t="shared" si="12"/>
        <v>1125</v>
      </c>
    </row>
    <row r="8" spans="2:45" x14ac:dyDescent="0.2">
      <c r="B8" s="6" t="s">
        <v>9</v>
      </c>
      <c r="C8" s="17">
        <v>50</v>
      </c>
      <c r="D8" s="6" t="s">
        <v>10</v>
      </c>
      <c r="F8" t="s">
        <v>133</v>
      </c>
      <c r="G8" s="6">
        <f>G7/$C$68</f>
        <v>0.43014773120516658</v>
      </c>
      <c r="H8" s="6" t="s">
        <v>131</v>
      </c>
      <c r="N8" s="6" t="s">
        <v>123</v>
      </c>
      <c r="O8" s="17">
        <v>0</v>
      </c>
      <c r="R8" s="6" t="s">
        <v>123</v>
      </c>
      <c r="S8" s="17">
        <v>2.3739199999999998E-2</v>
      </c>
      <c r="Y8" s="2">
        <v>4</v>
      </c>
      <c r="Z8" s="2">
        <f t="shared" si="7"/>
        <v>6.2500000000000944E-2</v>
      </c>
      <c r="AA8" s="2">
        <f t="shared" si="0"/>
        <v>0.10075434334933994</v>
      </c>
      <c r="AB8" s="2">
        <f t="shared" si="8"/>
        <v>0.12500000000000089</v>
      </c>
      <c r="AC8" s="2">
        <f t="shared" si="1"/>
        <v>-3.4530887042446778E-2</v>
      </c>
      <c r="AD8" s="2">
        <f t="shared" si="2"/>
        <v>9.3750000000000916E-2</v>
      </c>
      <c r="AE8" s="2">
        <f t="shared" si="3"/>
        <v>2.0980856421482244E-2</v>
      </c>
      <c r="AF8" s="2">
        <f t="shared" si="4"/>
        <v>2.1139124116532257E-3</v>
      </c>
      <c r="AG8" s="2">
        <f t="shared" si="5"/>
        <v>-7.244875831439975E-4</v>
      </c>
      <c r="AH8" s="2">
        <f t="shared" si="6"/>
        <v>6.2499999999999944E-2</v>
      </c>
      <c r="AJ8" s="2">
        <v>4</v>
      </c>
      <c r="AK8" s="2">
        <f t="shared" si="13"/>
        <v>2187.5</v>
      </c>
      <c r="AL8" s="2">
        <v>-48.229612966482819</v>
      </c>
      <c r="AM8" s="2">
        <f t="shared" si="14"/>
        <v>2750</v>
      </c>
      <c r="AN8" s="2">
        <v>135.30310996841581</v>
      </c>
      <c r="AO8" s="2">
        <f t="shared" si="9"/>
        <v>2468.75</v>
      </c>
      <c r="AP8" s="2">
        <v>48.276754863527913</v>
      </c>
      <c r="AQ8" s="2">
        <f t="shared" si="10"/>
        <v>-2328.3692023457183</v>
      </c>
      <c r="AR8" s="2">
        <f t="shared" si="11"/>
        <v>6531.9950722181702</v>
      </c>
      <c r="AS8" s="2">
        <f t="shared" si="12"/>
        <v>562.5</v>
      </c>
    </row>
    <row r="9" spans="2:45" x14ac:dyDescent="0.2">
      <c r="B9" s="6" t="s">
        <v>98</v>
      </c>
      <c r="C9" s="17">
        <v>1.524</v>
      </c>
      <c r="D9" s="6" t="s">
        <v>8</v>
      </c>
      <c r="F9" s="6" t="s">
        <v>21</v>
      </c>
      <c r="G9" s="6">
        <f xml:space="preserve"> $C$5 * $C$69 / $C$22</f>
        <v>2848.0446712579674</v>
      </c>
      <c r="H9" s="6" t="s">
        <v>22</v>
      </c>
      <c r="J9" s="54" t="s">
        <v>23</v>
      </c>
      <c r="K9" s="54"/>
      <c r="L9" s="54"/>
      <c r="N9" s="6" t="s">
        <v>122</v>
      </c>
      <c r="O9" s="6">
        <f xml:space="preserve"> $O$8 + O7</f>
        <v>0</v>
      </c>
      <c r="R9" s="6" t="s">
        <v>122</v>
      </c>
      <c r="S9" s="6">
        <f xml:space="preserve"> $S$8 + S7</f>
        <v>3.5227603290455545E-2</v>
      </c>
      <c r="Y9" s="2">
        <v>5</v>
      </c>
      <c r="Z9" s="2">
        <f t="shared" si="7"/>
        <v>9.3750000000000916E-2</v>
      </c>
      <c r="AA9" s="2">
        <f t="shared" si="0"/>
        <v>2.0980856421482244E-2</v>
      </c>
      <c r="AB9" s="2">
        <f t="shared" si="8"/>
        <v>0.12500000000000089</v>
      </c>
      <c r="AC9" s="2">
        <f t="shared" si="1"/>
        <v>-3.4530887042446778E-2</v>
      </c>
      <c r="AD9" s="2">
        <f t="shared" si="2"/>
        <v>0.1093750000000009</v>
      </c>
      <c r="AE9" s="2">
        <f t="shared" si="3"/>
        <v>-8.5079969864771815E-3</v>
      </c>
      <c r="AF9" s="2">
        <f t="shared" si="4"/>
        <v>-1.7850506320768136E-4</v>
      </c>
      <c r="AG9" s="2">
        <f t="shared" si="5"/>
        <v>2.9378868289752115E-4</v>
      </c>
      <c r="AH9" s="2">
        <f t="shared" si="6"/>
        <v>3.1249999999999972E-2</v>
      </c>
      <c r="AJ9" s="2">
        <v>5</v>
      </c>
      <c r="AK9" s="2">
        <f t="shared" si="13"/>
        <v>2187.5</v>
      </c>
      <c r="AL9" s="2">
        <v>-48.229612966482819</v>
      </c>
      <c r="AM9" s="2">
        <f t="shared" si="14"/>
        <v>2468.75</v>
      </c>
      <c r="AN9" s="2">
        <v>48.276754863527913</v>
      </c>
      <c r="AO9" s="2">
        <f t="shared" si="9"/>
        <v>2328.125</v>
      </c>
      <c r="AP9" s="2">
        <v>1.2169886140989092</v>
      </c>
      <c r="AQ9" s="2">
        <f t="shared" si="10"/>
        <v>-58.694889842606706</v>
      </c>
      <c r="AR9" s="2">
        <f t="shared" si="11"/>
        <v>58.752260994557609</v>
      </c>
      <c r="AS9" s="2">
        <f t="shared" si="12"/>
        <v>281.25</v>
      </c>
    </row>
    <row r="10" spans="2:45" x14ac:dyDescent="0.2">
      <c r="B10" s="6" t="s">
        <v>224</v>
      </c>
      <c r="C10" s="17">
        <f>(0.548288+0.530863+0.513438+0.496013+0.478588+0.461163+0.443738+0.426313)/8</f>
        <v>0.48730050000000003</v>
      </c>
      <c r="D10" s="6" t="s">
        <v>8</v>
      </c>
      <c r="F10" t="s">
        <v>100</v>
      </c>
      <c r="G10" s="6">
        <f xml:space="preserve"> 1/1000 * (O25 + O20 * (O27 * O30 + $G$4 * SIN(O19/180*PI())))</f>
        <v>56.475635176878988</v>
      </c>
      <c r="H10" s="6" t="s">
        <v>104</v>
      </c>
      <c r="J10" s="6" t="s">
        <v>99</v>
      </c>
      <c r="K10" s="6">
        <f xml:space="preserve"> $C$19 * (G14*G6 + G24*G17 + G33*G29)/3600</f>
        <v>85.819863167244819</v>
      </c>
      <c r="L10" s="6" t="s">
        <v>105</v>
      </c>
      <c r="N10" s="6" t="s">
        <v>41</v>
      </c>
      <c r="O10" s="6">
        <f xml:space="preserve"> O5 * $C$13 * O9</f>
        <v>0</v>
      </c>
      <c r="P10" s="6" t="s">
        <v>22</v>
      </c>
      <c r="R10" s="6" t="s">
        <v>41</v>
      </c>
      <c r="S10" s="6">
        <f xml:space="preserve"> S5 * $C$13 * S9</f>
        <v>888.21514453817224</v>
      </c>
      <c r="T10" s="6" t="s">
        <v>22</v>
      </c>
      <c r="Y10" s="2">
        <v>6</v>
      </c>
      <c r="Z10" s="2">
        <f t="shared" si="7"/>
        <v>9.3750000000000916E-2</v>
      </c>
      <c r="AA10" s="2">
        <f t="shared" si="0"/>
        <v>2.0980856421482244E-2</v>
      </c>
      <c r="AB10" s="2">
        <f t="shared" si="8"/>
        <v>0.1093750000000009</v>
      </c>
      <c r="AC10" s="2">
        <f t="shared" si="1"/>
        <v>-8.5079969864771815E-3</v>
      </c>
      <c r="AD10" s="2">
        <f t="shared" si="2"/>
        <v>0.10156250000000092</v>
      </c>
      <c r="AE10" s="2">
        <f t="shared" si="3"/>
        <v>5.7032045864271602E-3</v>
      </c>
      <c r="AF10" s="2">
        <f t="shared" si="4"/>
        <v>1.1965811657016727E-4</v>
      </c>
      <c r="AG10" s="2">
        <f t="shared" si="5"/>
        <v>-4.8522847434585118E-5</v>
      </c>
      <c r="AH10" s="2">
        <f t="shared" si="6"/>
        <v>1.5624999999999986E-2</v>
      </c>
      <c r="AJ10" s="2">
        <v>6</v>
      </c>
      <c r="AK10" s="2">
        <f t="shared" si="13"/>
        <v>2187.5</v>
      </c>
      <c r="AL10" s="2">
        <v>-48.229612966482819</v>
      </c>
      <c r="AM10" s="2">
        <f t="shared" si="14"/>
        <v>2328.125</v>
      </c>
      <c r="AN10" s="2">
        <v>1.2169886140989092</v>
      </c>
      <c r="AO10" s="2">
        <f t="shared" si="9"/>
        <v>2257.8125</v>
      </c>
      <c r="AP10" s="2">
        <v>-23.209414339225987</v>
      </c>
      <c r="AQ10" s="2">
        <f t="shared" si="10"/>
        <v>1119.3810707596058</v>
      </c>
      <c r="AR10" s="2">
        <f t="shared" si="11"/>
        <v>-28.245592990741986</v>
      </c>
      <c r="AS10" s="2">
        <f t="shared" si="12"/>
        <v>140.625</v>
      </c>
    </row>
    <row r="11" spans="2:45" x14ac:dyDescent="0.2">
      <c r="B11" s="6" t="s">
        <v>231</v>
      </c>
      <c r="C11" s="17">
        <v>1.37</v>
      </c>
      <c r="D11" s="6" t="s">
        <v>8</v>
      </c>
      <c r="F11" t="s">
        <v>274</v>
      </c>
      <c r="G11" s="6">
        <f xml:space="preserve"> (G9/$C$69*1000) / (G10*1000)</f>
        <v>5.1450964301844762</v>
      </c>
      <c r="H11" s="6" t="s">
        <v>275</v>
      </c>
      <c r="J11" s="6" t="s">
        <v>24</v>
      </c>
      <c r="K11" s="6">
        <f xml:space="preserve"> (G6 + G17 + G29)/60</f>
        <v>37.333333333333336</v>
      </c>
      <c r="L11" s="6" t="s">
        <v>106</v>
      </c>
      <c r="N11" s="6" t="s">
        <v>234</v>
      </c>
      <c r="O11" s="6">
        <v>0</v>
      </c>
      <c r="R11" s="6" t="s">
        <v>234</v>
      </c>
      <c r="S11" s="6">
        <f xml:space="preserve"> 1.78 * (1 - 0.045 * $C$14^0.68) - 0.64</f>
        <v>0.70601395642148124</v>
      </c>
      <c r="Y11" s="2">
        <v>7</v>
      </c>
      <c r="Z11" s="2">
        <f t="shared" si="7"/>
        <v>0.10156250000000092</v>
      </c>
      <c r="AA11" s="2">
        <f t="shared" si="0"/>
        <v>5.7032045864271602E-3</v>
      </c>
      <c r="AB11" s="2">
        <f t="shared" si="8"/>
        <v>0.1093750000000009</v>
      </c>
      <c r="AC11" s="2">
        <f t="shared" si="1"/>
        <v>-8.5079969864771815E-3</v>
      </c>
      <c r="AD11" s="2">
        <f t="shared" si="2"/>
        <v>0.10546875000000092</v>
      </c>
      <c r="AE11" s="2">
        <f t="shared" si="3"/>
        <v>-1.5208906735973277E-3</v>
      </c>
      <c r="AF11" s="2">
        <f t="shared" si="4"/>
        <v>-8.6739506651145717E-6</v>
      </c>
      <c r="AG11" s="2">
        <f t="shared" si="5"/>
        <v>1.2939733267727314E-5</v>
      </c>
      <c r="AH11" s="2">
        <f t="shared" si="6"/>
        <v>7.8124999999999861E-3</v>
      </c>
      <c r="AJ11" s="2">
        <v>7</v>
      </c>
      <c r="AK11" s="2">
        <f t="shared" si="13"/>
        <v>2257.8125</v>
      </c>
      <c r="AL11" s="2">
        <v>-23.209414339225987</v>
      </c>
      <c r="AM11" s="2">
        <f t="shared" si="14"/>
        <v>2328.125</v>
      </c>
      <c r="AN11" s="2">
        <v>1.2169886140989092</v>
      </c>
      <c r="AO11" s="2">
        <f t="shared" si="9"/>
        <v>2292.96875</v>
      </c>
      <c r="AP11" s="2">
        <v>-10.921635880605663</v>
      </c>
      <c r="AQ11" s="2">
        <f t="shared" si="10"/>
        <v>253.4847724151341</v>
      </c>
      <c r="AR11" s="2">
        <f t="shared" si="11"/>
        <v>-13.291506514031207</v>
      </c>
      <c r="AS11" s="2">
        <f t="shared" si="12"/>
        <v>70.3125</v>
      </c>
    </row>
    <row r="12" spans="2:45" x14ac:dyDescent="0.2">
      <c r="B12" s="6" t="s">
        <v>259</v>
      </c>
      <c r="C12" s="17">
        <f>(0.500656+0.484769+0.468881+0.452994+0.437106+0.421219+0.405331+0.389444)/8</f>
        <v>0.44505</v>
      </c>
      <c r="D12" s="6" t="s">
        <v>8</v>
      </c>
      <c r="F12" t="s">
        <v>281</v>
      </c>
      <c r="G12" s="6">
        <f>G13/G14</f>
        <v>0.75791282789792336</v>
      </c>
      <c r="N12" s="6" t="s">
        <v>235</v>
      </c>
      <c r="O12" s="6">
        <f xml:space="preserve"> O4 / (O5 * $C$13)</f>
        <v>0</v>
      </c>
      <c r="R12" s="6" t="s">
        <v>235</v>
      </c>
      <c r="S12" s="6">
        <f xml:space="preserve"> S4 / (S5 * $C$13)</f>
        <v>0.90356658970689996</v>
      </c>
      <c r="Y12" s="2">
        <v>8</v>
      </c>
      <c r="Z12" s="2">
        <f t="shared" si="7"/>
        <v>0.10156250000000092</v>
      </c>
      <c r="AA12" s="2">
        <f t="shared" si="0"/>
        <v>5.7032045864271602E-3</v>
      </c>
      <c r="AB12" s="2">
        <f t="shared" si="8"/>
        <v>0.10546875000000092</v>
      </c>
      <c r="AC12" s="2">
        <f t="shared" si="1"/>
        <v>-1.5208906735973277E-3</v>
      </c>
      <c r="AD12" s="2">
        <f t="shared" si="2"/>
        <v>0.10351562500000092</v>
      </c>
      <c r="AE12" s="2">
        <f t="shared" si="3"/>
        <v>2.0598565294335514E-3</v>
      </c>
      <c r="AF12" s="2">
        <f t="shared" si="4"/>
        <v>1.1747783206047363E-5</v>
      </c>
      <c r="AG12" s="2">
        <f t="shared" si="5"/>
        <v>-3.1328165845640476E-6</v>
      </c>
      <c r="AH12" s="2">
        <f t="shared" si="6"/>
        <v>3.90625E-3</v>
      </c>
      <c r="AJ12" s="2">
        <v>8</v>
      </c>
      <c r="AK12" s="2">
        <f t="shared" si="13"/>
        <v>2292.96875</v>
      </c>
      <c r="AL12" s="2">
        <v>-10.921635880605663</v>
      </c>
      <c r="AM12" s="2">
        <f t="shared" si="14"/>
        <v>2328.125</v>
      </c>
      <c r="AN12" s="2">
        <v>1.2169886140989092</v>
      </c>
      <c r="AO12" s="2">
        <f t="shared" si="9"/>
        <v>2310.546875</v>
      </c>
      <c r="AP12" s="2">
        <v>-4.8336523360262618</v>
      </c>
      <c r="AQ12" s="2">
        <f t="shared" si="10"/>
        <v>52.791390787517805</v>
      </c>
      <c r="AR12" s="2">
        <f t="shared" si="11"/>
        <v>-5.8824998574565557</v>
      </c>
      <c r="AS12" s="2">
        <f t="shared" si="12"/>
        <v>35.15625</v>
      </c>
    </row>
    <row r="13" spans="2:45" x14ac:dyDescent="0.2">
      <c r="B13" s="6" t="s">
        <v>232</v>
      </c>
      <c r="C13" s="17">
        <v>20</v>
      </c>
      <c r="D13" s="6" t="s">
        <v>11</v>
      </c>
      <c r="F13" t="s">
        <v>282</v>
      </c>
      <c r="G13" s="6">
        <f xml:space="preserve"> 1/1000 * (($C$5*$C$69) * ( ($G$4/2) + SQRT( ($G$4/2)^2 + ($C$5*$C$69) / (2*$C$66*PI()*$C$9^2 * $C$22) ) ) )</f>
        <v>342.42886691391834</v>
      </c>
      <c r="H13" s="6" t="s">
        <v>104</v>
      </c>
      <c r="J13" s="45" t="s">
        <v>54</v>
      </c>
      <c r="K13" s="45"/>
      <c r="L13" s="45"/>
      <c r="N13" s="6" t="s">
        <v>236</v>
      </c>
      <c r="O13" s="6">
        <v>0</v>
      </c>
      <c r="R13" s="6" t="s">
        <v>236</v>
      </c>
      <c r="S13" s="6">
        <f xml:space="preserve"> S9 + S12^2 / ( PI() * S11 * $C$14 )</f>
        <v>6.5901992455671771E-2</v>
      </c>
      <c r="Y13" s="2">
        <v>9</v>
      </c>
      <c r="Z13" s="2">
        <f t="shared" si="7"/>
        <v>0.10351562500000092</v>
      </c>
      <c r="AA13" s="2">
        <f t="shared" si="0"/>
        <v>2.0598565294335514E-3</v>
      </c>
      <c r="AB13" s="2">
        <f t="shared" si="8"/>
        <v>0.10546875000000092</v>
      </c>
      <c r="AC13" s="2">
        <f t="shared" si="1"/>
        <v>-1.5208906735973277E-3</v>
      </c>
      <c r="AD13" s="2">
        <f t="shared" si="2"/>
        <v>0.10449218750000092</v>
      </c>
      <c r="AE13" s="2">
        <f t="shared" si="3"/>
        <v>2.6187721668899377E-4</v>
      </c>
      <c r="AF13" s="2">
        <f t="shared" si="4"/>
        <v>5.3942949470670883E-7</v>
      </c>
      <c r="AG13" s="2">
        <f t="shared" si="5"/>
        <v>-3.9828661648991709E-7</v>
      </c>
      <c r="AH13" s="2">
        <f t="shared" si="6"/>
        <v>1.953125E-3</v>
      </c>
      <c r="AJ13" s="2">
        <v>9</v>
      </c>
      <c r="AK13" s="2">
        <f t="shared" si="13"/>
        <v>2310.546875</v>
      </c>
      <c r="AL13" s="2">
        <v>-4.8336523360262618</v>
      </c>
      <c r="AM13" s="2">
        <f t="shared" si="14"/>
        <v>2328.125</v>
      </c>
      <c r="AN13" s="2">
        <v>1.2169886140989092</v>
      </c>
      <c r="AO13" s="2">
        <f t="shared" si="9"/>
        <v>2319.3359375</v>
      </c>
      <c r="AP13" s="2">
        <v>-1.8036609798448353</v>
      </c>
      <c r="AQ13" s="2">
        <f t="shared" si="10"/>
        <v>8.7182701086264043</v>
      </c>
      <c r="AR13" s="2">
        <f t="shared" si="11"/>
        <v>-2.1950348761656469</v>
      </c>
      <c r="AS13" s="2">
        <f t="shared" si="12"/>
        <v>17.578125</v>
      </c>
    </row>
    <row r="14" spans="2:45" x14ac:dyDescent="0.2">
      <c r="B14" s="6" t="s">
        <v>233</v>
      </c>
      <c r="C14" s="17">
        <v>12</v>
      </c>
      <c r="F14" s="43" t="s">
        <v>85</v>
      </c>
      <c r="G14" s="43">
        <f xml:space="preserve"> $C$22 * G10</f>
        <v>451.80508141503191</v>
      </c>
      <c r="H14" s="43" t="s">
        <v>104</v>
      </c>
      <c r="J14" s="10" t="s">
        <v>82</v>
      </c>
      <c r="K14" s="18">
        <f>C5</f>
        <v>2324.5807115276875</v>
      </c>
      <c r="L14" s="6" t="s">
        <v>7</v>
      </c>
      <c r="N14" s="6" t="s">
        <v>42</v>
      </c>
      <c r="O14" s="6">
        <f xml:space="preserve"> O5 * O13 * $C$13</f>
        <v>0</v>
      </c>
      <c r="P14" s="6" t="s">
        <v>22</v>
      </c>
      <c r="R14" s="6" t="s">
        <v>42</v>
      </c>
      <c r="S14" s="6">
        <f xml:space="preserve"> S5 * S13 * $C$13</f>
        <v>1661.6273117344704</v>
      </c>
      <c r="T14" s="6" t="s">
        <v>22</v>
      </c>
      <c r="Y14" s="2">
        <v>10</v>
      </c>
      <c r="Z14" s="2">
        <f t="shared" si="7"/>
        <v>0.10449218750000092</v>
      </c>
      <c r="AA14" s="2">
        <f t="shared" si="0"/>
        <v>2.6187721668899377E-4</v>
      </c>
      <c r="AB14" s="2">
        <f t="shared" si="8"/>
        <v>0.10546875000000092</v>
      </c>
      <c r="AC14" s="2">
        <f t="shared" si="1"/>
        <v>-1.5208906735973277E-3</v>
      </c>
      <c r="AD14" s="2">
        <f t="shared" si="2"/>
        <v>0.10498046875000092</v>
      </c>
      <c r="AE14" s="2">
        <f t="shared" si="3"/>
        <v>-6.3138162471064463E-4</v>
      </c>
      <c r="AF14" s="2">
        <f t="shared" si="4"/>
        <v>-1.6534446254779842E-7</v>
      </c>
      <c r="AG14" s="2">
        <f t="shared" si="5"/>
        <v>9.6026242450314753E-7</v>
      </c>
      <c r="AH14" s="2">
        <f t="shared" si="6"/>
        <v>9.765625E-4</v>
      </c>
      <c r="AJ14" s="2">
        <v>10</v>
      </c>
      <c r="AK14" s="2">
        <f t="shared" si="13"/>
        <v>2319.3359375</v>
      </c>
      <c r="AL14" s="2">
        <v>-1.8036609798448353</v>
      </c>
      <c r="AM14" s="2">
        <f t="shared" si="14"/>
        <v>2328.125</v>
      </c>
      <c r="AN14" s="2">
        <v>1.2169886140989092</v>
      </c>
      <c r="AO14" s="2">
        <f t="shared" si="9"/>
        <v>2323.73046875</v>
      </c>
      <c r="AP14" s="2">
        <v>-0.29217034424141275</v>
      </c>
      <c r="AQ14" s="2">
        <f t="shared" si="10"/>
        <v>0.52697624937606935</v>
      </c>
      <c r="AR14" s="2">
        <f t="shared" si="11"/>
        <v>-0.35556798231915815</v>
      </c>
      <c r="AS14" s="2">
        <f t="shared" si="12"/>
        <v>8.7890625</v>
      </c>
    </row>
    <row r="15" spans="2:45" x14ac:dyDescent="0.2">
      <c r="J15" s="11" t="s">
        <v>55</v>
      </c>
      <c r="K15" s="6">
        <f xml:space="preserve"> 1000 * K10 / ($C$61 * $C$62 * $C$63)</f>
        <v>504.82272451320483</v>
      </c>
      <c r="L15" s="6" t="s">
        <v>7</v>
      </c>
      <c r="N15" s="6" t="s">
        <v>237</v>
      </c>
      <c r="O15" s="6">
        <v>0</v>
      </c>
      <c r="R15" s="6" t="s">
        <v>237</v>
      </c>
      <c r="S15" s="6">
        <f>S4/S14</f>
        <v>13.710762847036438</v>
      </c>
      <c r="Y15" s="2">
        <v>11</v>
      </c>
      <c r="Z15" s="2">
        <f t="shared" si="7"/>
        <v>0.10449218750000092</v>
      </c>
      <c r="AA15" s="2">
        <f t="shared" si="0"/>
        <v>2.6187721668899377E-4</v>
      </c>
      <c r="AB15" s="2">
        <f t="shared" si="8"/>
        <v>0.10498046875000092</v>
      </c>
      <c r="AC15" s="2">
        <f t="shared" si="1"/>
        <v>-6.3138162471064463E-4</v>
      </c>
      <c r="AD15" s="2">
        <f t="shared" si="2"/>
        <v>0.10473632812500092</v>
      </c>
      <c r="AE15" s="2">
        <f t="shared" si="3"/>
        <v>-1.8522420586560007E-4</v>
      </c>
      <c r="AF15" s="2">
        <f t="shared" si="4"/>
        <v>-4.8505999495512541E-8</v>
      </c>
      <c r="AG15" s="2">
        <f t="shared" si="5"/>
        <v>1.1694716003516148E-7</v>
      </c>
      <c r="AH15" s="2">
        <f t="shared" si="6"/>
        <v>4.8828125E-4</v>
      </c>
      <c r="AJ15" s="2">
        <v>11</v>
      </c>
      <c r="AK15" s="2">
        <f t="shared" si="13"/>
        <v>2323.73046875</v>
      </c>
      <c r="AL15" s="2">
        <v>-0.29217034424141275</v>
      </c>
      <c r="AM15" s="2">
        <f t="shared" si="14"/>
        <v>2328.125</v>
      </c>
      <c r="AN15" s="2">
        <v>1.2169886140989092</v>
      </c>
      <c r="AO15" s="2">
        <f t="shared" si="9"/>
        <v>2325.927734375</v>
      </c>
      <c r="AP15" s="2">
        <v>0.46270058542268089</v>
      </c>
      <c r="AQ15" s="2">
        <f t="shared" si="10"/>
        <v>-0.13518738932364788</v>
      </c>
      <c r="AR15" s="2">
        <f t="shared" si="11"/>
        <v>0.56310134419630242</v>
      </c>
      <c r="AS15" s="2">
        <f t="shared" si="12"/>
        <v>4.39453125</v>
      </c>
    </row>
    <row r="16" spans="2:45" x14ac:dyDescent="0.2">
      <c r="B16" s="54" t="s">
        <v>12</v>
      </c>
      <c r="C16" s="54"/>
      <c r="D16" s="54"/>
      <c r="F16" s="57" t="s">
        <v>89</v>
      </c>
      <c r="G16" s="58"/>
      <c r="H16" s="58"/>
      <c r="J16" s="12" t="s">
        <v>135</v>
      </c>
      <c r="K16" s="6">
        <f xml:space="preserve"> $C$79 * ( $C$22 * (0.0095 * MAX(G9,G30) - 1.9275) +  $C$29 * (0.0095 * MAX(S20) - 1.9275) )</f>
        <v>171.9114835816664</v>
      </c>
      <c r="L16" s="6" t="s">
        <v>7</v>
      </c>
      <c r="N16" s="6" t="s">
        <v>118</v>
      </c>
      <c r="O16" s="6">
        <f>(O13*$C$13)/(0.3048^2)/($C$5*2.20462/1000)^(2/3)</f>
        <v>0</v>
      </c>
      <c r="R16" s="6" t="s">
        <v>118</v>
      </c>
      <c r="S16" s="6">
        <f>(S13*$C$13)/(0.3048^2)/($C$5*2.20462/1000)^(2/3)</f>
        <v>4.7728710404105534</v>
      </c>
      <c r="Y16" s="2">
        <v>12</v>
      </c>
      <c r="Z16" s="2">
        <f t="shared" si="7"/>
        <v>0.10449218750000092</v>
      </c>
      <c r="AA16" s="2">
        <f t="shared" si="0"/>
        <v>2.6187721668899377E-4</v>
      </c>
      <c r="AB16" s="2">
        <f t="shared" si="8"/>
        <v>0.10473632812500092</v>
      </c>
      <c r="AC16" s="2">
        <f t="shared" si="1"/>
        <v>-1.8522420586560007E-4</v>
      </c>
      <c r="AD16" s="2">
        <f t="shared" si="2"/>
        <v>0.10461425781250092</v>
      </c>
      <c r="AE16" s="2">
        <f t="shared" si="3"/>
        <v>3.8208091877531269E-5</v>
      </c>
      <c r="AF16" s="2">
        <f t="shared" si="4"/>
        <v>1.0005828755885239E-8</v>
      </c>
      <c r="AG16" s="2">
        <f t="shared" si="5"/>
        <v>-7.0770634756556137E-9</v>
      </c>
      <c r="AH16" s="2">
        <f t="shared" si="6"/>
        <v>2.44140625E-4</v>
      </c>
      <c r="AJ16" s="2">
        <v>12</v>
      </c>
      <c r="AK16" s="2">
        <f t="shared" si="13"/>
        <v>2323.73046875</v>
      </c>
      <c r="AL16" s="2">
        <v>-0.29217034424141275</v>
      </c>
      <c r="AM16" s="2">
        <f t="shared" si="14"/>
        <v>2325.927734375</v>
      </c>
      <c r="AN16" s="2">
        <v>0.46270058542268089</v>
      </c>
      <c r="AO16" s="2">
        <f t="shared" si="9"/>
        <v>2324.8291015625</v>
      </c>
      <c r="AP16" s="2">
        <v>8.533904965952388E-2</v>
      </c>
      <c r="AQ16" s="2">
        <f t="shared" si="10"/>
        <v>-2.493353951625811E-2</v>
      </c>
      <c r="AR16" s="2">
        <f t="shared" si="11"/>
        <v>3.9486428236876939E-2</v>
      </c>
      <c r="AS16" s="2">
        <f t="shared" si="12"/>
        <v>2.197265625</v>
      </c>
    </row>
    <row r="17" spans="2:45" x14ac:dyDescent="0.2">
      <c r="B17" s="6" t="s">
        <v>71</v>
      </c>
      <c r="C17" s="6">
        <f>C36*100</f>
        <v>600</v>
      </c>
      <c r="D17" s="6" t="s">
        <v>7</v>
      </c>
      <c r="F17" s="9" t="s">
        <v>92</v>
      </c>
      <c r="G17" s="6">
        <f xml:space="preserve"> $C$18/$C$8</f>
        <v>1920</v>
      </c>
      <c r="H17" s="6" t="s">
        <v>14</v>
      </c>
      <c r="J17" s="12" t="s">
        <v>136</v>
      </c>
      <c r="K17" s="6">
        <v>0</v>
      </c>
      <c r="L17" s="6" t="s">
        <v>7</v>
      </c>
      <c r="Y17" s="2">
        <v>13</v>
      </c>
      <c r="Z17" s="2">
        <f t="shared" si="7"/>
        <v>0.10461425781250092</v>
      </c>
      <c r="AA17" s="2">
        <f t="shared" si="0"/>
        <v>3.8208091877531269E-5</v>
      </c>
      <c r="AB17" s="2">
        <f t="shared" si="8"/>
        <v>0.10473632812500092</v>
      </c>
      <c r="AC17" s="2">
        <f t="shared" si="1"/>
        <v>-1.8522420586560007E-4</v>
      </c>
      <c r="AD17" s="2">
        <f t="shared" si="2"/>
        <v>0.10467529296875092</v>
      </c>
      <c r="AE17" s="2">
        <f t="shared" si="3"/>
        <v>-7.3537608593229886E-5</v>
      </c>
      <c r="AF17" s="2">
        <f t="shared" si="4"/>
        <v>-2.8097317055840607E-9</v>
      </c>
      <c r="AG17" s="2">
        <f t="shared" si="5"/>
        <v>1.3620945152936332E-8</v>
      </c>
      <c r="AH17" s="2">
        <f t="shared" si="6"/>
        <v>1.220703125E-4</v>
      </c>
      <c r="AJ17" s="2">
        <v>13</v>
      </c>
      <c r="AK17" s="2">
        <f t="shared" si="13"/>
        <v>2323.73046875</v>
      </c>
      <c r="AL17" s="2">
        <v>-0.29217034424141275</v>
      </c>
      <c r="AM17" s="2">
        <f t="shared" si="14"/>
        <v>2324.8291015625</v>
      </c>
      <c r="AN17" s="2">
        <v>8.533904965952388E-2</v>
      </c>
      <c r="AO17" s="2">
        <f t="shared" si="9"/>
        <v>2324.27978515625</v>
      </c>
      <c r="AP17" s="2">
        <v>-0.10339813642167428</v>
      </c>
      <c r="AQ17" s="2">
        <f t="shared" si="10"/>
        <v>3.0209869112241133E-2</v>
      </c>
      <c r="AR17" s="2">
        <f t="shared" si="11"/>
        <v>-8.8238986987914866E-3</v>
      </c>
      <c r="AS17" s="2">
        <f t="shared" si="12"/>
        <v>1.0986328125</v>
      </c>
    </row>
    <row r="18" spans="2:45" x14ac:dyDescent="0.2">
      <c r="B18" s="6" t="s">
        <v>13</v>
      </c>
      <c r="C18" s="17">
        <v>96000</v>
      </c>
      <c r="D18" s="6" t="s">
        <v>8</v>
      </c>
      <c r="F18" s="6" t="s">
        <v>239</v>
      </c>
      <c r="G18" s="6">
        <f>S21*$C$11</f>
        <v>53.082443870155544</v>
      </c>
      <c r="H18" s="6" t="s">
        <v>10</v>
      </c>
      <c r="J18" s="13" t="s">
        <v>56</v>
      </c>
      <c r="K18" s="6">
        <f xml:space="preserve"> $C$79 * (0.2138 * K4 + 0.2138 * K6)</f>
        <v>138.83095920487816</v>
      </c>
      <c r="L18" s="6" t="s">
        <v>7</v>
      </c>
      <c r="N18" s="57" t="s">
        <v>238</v>
      </c>
      <c r="O18" s="59"/>
      <c r="P18" s="59"/>
      <c r="R18" s="57" t="s">
        <v>238</v>
      </c>
      <c r="S18" s="59"/>
      <c r="T18" s="59"/>
      <c r="Y18" s="2">
        <v>14</v>
      </c>
      <c r="Z18" s="2">
        <f t="shared" si="7"/>
        <v>0.10461425781250092</v>
      </c>
      <c r="AA18" s="2">
        <f t="shared" si="0"/>
        <v>3.8208091877531269E-5</v>
      </c>
      <c r="AB18" s="2">
        <f t="shared" si="8"/>
        <v>0.10467529296875092</v>
      </c>
      <c r="AC18" s="2">
        <f t="shared" si="1"/>
        <v>-7.3537608593229886E-5</v>
      </c>
      <c r="AD18" s="2">
        <f t="shared" si="2"/>
        <v>0.10464477539062592</v>
      </c>
      <c r="AE18" s="2">
        <f t="shared" si="3"/>
        <v>-1.7672152721248668E-5</v>
      </c>
      <c r="AF18" s="2">
        <f t="shared" si="4"/>
        <v>-6.7521923484723336E-10</v>
      </c>
      <c r="AG18" s="2">
        <f t="shared" si="5"/>
        <v>1.299567849814967E-9</v>
      </c>
      <c r="AH18" s="2">
        <f t="shared" si="6"/>
        <v>6.103515625E-5</v>
      </c>
      <c r="AJ18" s="2">
        <v>14</v>
      </c>
      <c r="AK18" s="2">
        <f t="shared" si="13"/>
        <v>2324.27978515625</v>
      </c>
      <c r="AL18" s="2">
        <v>-0.10339813642167428</v>
      </c>
      <c r="AM18" s="2">
        <f t="shared" si="14"/>
        <v>2324.8291015625</v>
      </c>
      <c r="AN18" s="2">
        <v>8.533904965952388E-2</v>
      </c>
      <c r="AO18" s="2">
        <f t="shared" si="9"/>
        <v>2324.554443359375</v>
      </c>
      <c r="AP18" s="2">
        <v>-9.0233163541597605E-3</v>
      </c>
      <c r="AQ18" s="2">
        <f t="shared" si="10"/>
        <v>9.3299409536333553E-4</v>
      </c>
      <c r="AR18" s="2">
        <f t="shared" si="11"/>
        <v>-7.7004124244123382E-4</v>
      </c>
      <c r="AS18" s="2">
        <f t="shared" si="12"/>
        <v>0.54931640625</v>
      </c>
    </row>
    <row r="19" spans="2:45" x14ac:dyDescent="0.2">
      <c r="B19" s="6" t="s">
        <v>263</v>
      </c>
      <c r="C19" s="17">
        <v>1</v>
      </c>
      <c r="F19" s="6" t="s">
        <v>240</v>
      </c>
      <c r="G19" s="6">
        <f>G18/$C$74</f>
        <v>0.15954004668299768</v>
      </c>
      <c r="H19" s="6" t="s">
        <v>131</v>
      </c>
      <c r="J19" s="13" t="s">
        <v>80</v>
      </c>
      <c r="K19" s="6">
        <f xml:space="preserve"> $C$79 * (0.1149 * K4 + 0.1149 * K6)</f>
        <v>74.610276953416744</v>
      </c>
      <c r="L19" s="6" t="s">
        <v>7</v>
      </c>
      <c r="N19" s="6" t="s">
        <v>28</v>
      </c>
      <c r="O19" s="6">
        <f xml:space="preserve"> 90</f>
        <v>90</v>
      </c>
      <c r="P19" s="6" t="s">
        <v>43</v>
      </c>
      <c r="R19" s="6" t="s">
        <v>28</v>
      </c>
      <c r="S19" s="6">
        <f xml:space="preserve"> 90 - $C$82</f>
        <v>85</v>
      </c>
      <c r="T19" s="6" t="s">
        <v>43</v>
      </c>
      <c r="Y19" s="2">
        <v>15</v>
      </c>
      <c r="Z19" s="2">
        <f t="shared" si="7"/>
        <v>0.10461425781250092</v>
      </c>
      <c r="AA19" s="2">
        <f t="shared" si="0"/>
        <v>3.8208091877531269E-5</v>
      </c>
      <c r="AB19" s="2">
        <f t="shared" si="8"/>
        <v>0.10464477539062592</v>
      </c>
      <c r="AC19" s="2">
        <f t="shared" si="1"/>
        <v>-1.7672152721248668E-5</v>
      </c>
      <c r="AD19" s="2">
        <f t="shared" si="2"/>
        <v>0.10462951660156342</v>
      </c>
      <c r="AE19" s="2">
        <f t="shared" si="3"/>
        <v>1.0266120178514804E-5</v>
      </c>
      <c r="AF19" s="2">
        <f t="shared" si="4"/>
        <v>3.9224886300647133E-10</v>
      </c>
      <c r="AG19" s="2">
        <f t="shared" si="5"/>
        <v>-1.8142444364940626E-10</v>
      </c>
      <c r="AH19" s="2">
        <f t="shared" si="6"/>
        <v>3.0517578125E-5</v>
      </c>
      <c r="AJ19" s="2">
        <v>15</v>
      </c>
      <c r="AK19" s="2">
        <f t="shared" si="13"/>
        <v>2324.554443359375</v>
      </c>
      <c r="AL19" s="2">
        <v>-9.0233163541597605E-3</v>
      </c>
      <c r="AM19" s="2">
        <f t="shared" si="14"/>
        <v>2324.8291015625</v>
      </c>
      <c r="AN19" s="2">
        <v>8.533904965952388E-2</v>
      </c>
      <c r="AO19" s="2">
        <f t="shared" si="9"/>
        <v>2324.6917724609375</v>
      </c>
      <c r="AP19" s="2">
        <v>3.8157913406394073E-2</v>
      </c>
      <c r="AQ19" s="2">
        <f t="shared" si="10"/>
        <v>-3.4431092408052761E-4</v>
      </c>
      <c r="AR19" s="2">
        <f t="shared" si="11"/>
        <v>3.2563600670920756E-3</v>
      </c>
      <c r="AS19" s="2">
        <f t="shared" si="12"/>
        <v>0.274658203125</v>
      </c>
    </row>
    <row r="20" spans="2:45" x14ac:dyDescent="0.2">
      <c r="F20" s="9" t="s">
        <v>21</v>
      </c>
      <c r="G20" s="6">
        <f>S20</f>
        <v>1661.6273117344704</v>
      </c>
      <c r="H20" s="6" t="s">
        <v>22</v>
      </c>
      <c r="J20" s="14" t="s">
        <v>63</v>
      </c>
      <c r="K20" s="6">
        <f xml:space="preserve"> $C$80 * (14.86 * ($C$5*2.20462)^0.144 * ($C$37/(PI()*$C$38))^0.778 * ($C$37*3.28084)^0.383 * $C$36^0.455 * 0.453592)</f>
        <v>216.62030217217463</v>
      </c>
      <c r="L20" s="6" t="s">
        <v>7</v>
      </c>
      <c r="N20" s="6" t="s">
        <v>21</v>
      </c>
      <c r="O20" s="6">
        <f xml:space="preserve"> $C$5 * $C$69 / $C$22</f>
        <v>2848.0446712579674</v>
      </c>
      <c r="P20" s="6" t="s">
        <v>22</v>
      </c>
      <c r="R20" s="6" t="s">
        <v>21</v>
      </c>
      <c r="S20" s="6">
        <f xml:space="preserve"> S14 / $C$29</f>
        <v>1661.6273117344704</v>
      </c>
      <c r="T20" s="6" t="s">
        <v>22</v>
      </c>
      <c r="Y20" s="2">
        <v>16</v>
      </c>
      <c r="Z20" s="2">
        <f t="shared" si="7"/>
        <v>0.10462951660156342</v>
      </c>
      <c r="AA20" s="2">
        <f t="shared" si="0"/>
        <v>1.0266120178514804E-5</v>
      </c>
      <c r="AB20" s="2">
        <f t="shared" si="8"/>
        <v>0.10464477539062592</v>
      </c>
      <c r="AC20" s="2">
        <f t="shared" si="1"/>
        <v>-1.7672152721248668E-5</v>
      </c>
      <c r="AD20" s="2">
        <f t="shared" si="2"/>
        <v>0.10463714599609467</v>
      </c>
      <c r="AE20" s="2">
        <f t="shared" si="3"/>
        <v>-3.7034785201339737E-6</v>
      </c>
      <c r="AF20" s="2">
        <f t="shared" si="4"/>
        <v>-3.8020355566243528E-11</v>
      </c>
      <c r="AG20" s="2">
        <f t="shared" si="5"/>
        <v>6.544843800767159E-11</v>
      </c>
      <c r="AH20" s="2">
        <f t="shared" si="6"/>
        <v>1.52587890625E-5</v>
      </c>
      <c r="AJ20" s="2">
        <v>16</v>
      </c>
      <c r="AK20" s="2">
        <f t="shared" si="13"/>
        <v>2324.554443359375</v>
      </c>
      <c r="AL20" s="2">
        <v>-9.0233163541597605E-3</v>
      </c>
      <c r="AM20" s="2">
        <f t="shared" si="14"/>
        <v>2324.6917724609375</v>
      </c>
      <c r="AN20" s="2">
        <v>3.8157913406394073E-2</v>
      </c>
      <c r="AO20" s="2">
        <f t="shared" si="9"/>
        <v>2324.6231079101562</v>
      </c>
      <c r="AP20" s="2">
        <v>1.4566432283345421E-2</v>
      </c>
      <c r="AQ20" s="2">
        <f t="shared" si="10"/>
        <v>-1.3143752664407143E-4</v>
      </c>
      <c r="AR20" s="2">
        <f t="shared" si="11"/>
        <v>5.5582466170799765E-4</v>
      </c>
      <c r="AS20" s="2">
        <f t="shared" si="12"/>
        <v>0.1373291015625</v>
      </c>
    </row>
    <row r="21" spans="2:45" x14ac:dyDescent="0.2">
      <c r="B21" s="54" t="s">
        <v>115</v>
      </c>
      <c r="C21" s="54"/>
      <c r="D21" s="54"/>
      <c r="F21" s="9" t="s">
        <v>100</v>
      </c>
      <c r="G21" s="6">
        <f xml:space="preserve"> 1/1000 * (S25 + S20 * (S30 * S27 + $C$8 * SIN(S19/180*PI())))</f>
        <v>89.319642645141812</v>
      </c>
      <c r="H21" s="6" t="s">
        <v>104</v>
      </c>
      <c r="J21" s="14" t="s">
        <v>64</v>
      </c>
      <c r="K21" s="6">
        <f xml:space="preserve"> $C$80 * C42 * $C$5</f>
        <v>60.439098499719883</v>
      </c>
      <c r="L21" s="6" t="s">
        <v>7</v>
      </c>
      <c r="N21" s="6" t="s">
        <v>29</v>
      </c>
      <c r="O21" s="6">
        <f>$C$6*2*PI()/60</f>
        <v>94.247779607693786</v>
      </c>
      <c r="P21" s="6" t="s">
        <v>30</v>
      </c>
      <c r="R21" s="6" t="s">
        <v>29</v>
      </c>
      <c r="S21" s="6">
        <f>$C$7*2*PI()/60</f>
        <v>38.746309394274114</v>
      </c>
      <c r="T21" s="6" t="s">
        <v>30</v>
      </c>
      <c r="Y21" s="2">
        <v>17</v>
      </c>
      <c r="Z21" s="2">
        <f t="shared" si="7"/>
        <v>0.10462951660156342</v>
      </c>
      <c r="AA21" s="2">
        <f t="shared" si="0"/>
        <v>1.0266120178514804E-5</v>
      </c>
      <c r="AB21" s="2">
        <f t="shared" si="8"/>
        <v>0.10463714599609467</v>
      </c>
      <c r="AC21" s="2">
        <f t="shared" si="1"/>
        <v>-3.7034785201339737E-6</v>
      </c>
      <c r="AD21" s="2">
        <f t="shared" si="2"/>
        <v>0.10463333129882904</v>
      </c>
      <c r="AE21" s="2">
        <f t="shared" si="3"/>
        <v>3.2812052543629289E-6</v>
      </c>
      <c r="AF21" s="2">
        <f t="shared" si="4"/>
        <v>3.3685247471664064E-11</v>
      </c>
      <c r="AG21" s="2">
        <f t="shared" si="5"/>
        <v>-1.2151873179683839E-11</v>
      </c>
      <c r="AH21" s="2">
        <f t="shared" si="6"/>
        <v>7.62939453125E-6</v>
      </c>
      <c r="AJ21" s="2">
        <v>17</v>
      </c>
      <c r="AK21" s="2">
        <f t="shared" si="13"/>
        <v>2324.554443359375</v>
      </c>
      <c r="AL21" s="2">
        <v>-9.0233163541597605E-3</v>
      </c>
      <c r="AM21" s="2">
        <f t="shared" si="14"/>
        <v>2324.6231079101562</v>
      </c>
      <c r="AN21" s="2">
        <v>1.4566432283345421E-2</v>
      </c>
      <c r="AO21" s="2">
        <f t="shared" si="9"/>
        <v>2324.5887756347656</v>
      </c>
      <c r="AP21" s="2">
        <v>2.7702763975412381E-3</v>
      </c>
      <c r="AQ21" s="2">
        <f t="shared" si="10"/>
        <v>-2.4997080323476641E-5</v>
      </c>
      <c r="AR21" s="2">
        <f t="shared" si="11"/>
        <v>4.0353043550934545E-5</v>
      </c>
      <c r="AS21" s="2">
        <f t="shared" si="12"/>
        <v>6.866455078125E-2</v>
      </c>
    </row>
    <row r="22" spans="2:45" x14ac:dyDescent="0.2">
      <c r="B22" s="6" t="s">
        <v>97</v>
      </c>
      <c r="C22" s="17">
        <v>8</v>
      </c>
      <c r="F22" t="s">
        <v>274</v>
      </c>
      <c r="G22" s="6">
        <f xml:space="preserve"> (G20/$C$75*1000) / (G21*1000)</f>
        <v>1.8981740595906083</v>
      </c>
      <c r="H22" s="6" t="s">
        <v>275</v>
      </c>
      <c r="J22" s="14" t="s">
        <v>241</v>
      </c>
      <c r="K22" s="6">
        <f xml:space="preserve"> $C$80 * (0.04674 * ($C$5*2.20462)^0.397 * ($C$13*3.28084^2)^0.36 * $C$47^0.397 * $C$14^1.712 * 0.453592)</f>
        <v>379.35154925690915</v>
      </c>
      <c r="L22" s="6" t="s">
        <v>7</v>
      </c>
      <c r="N22" s="6" t="s">
        <v>31</v>
      </c>
      <c r="O22" s="6">
        <f xml:space="preserve"> $G$4 * COS(O19/180*PI()) / (O21 * $C$9)</f>
        <v>1.0828255090331599E-18</v>
      </c>
      <c r="R22" s="6" t="s">
        <v>31</v>
      </c>
      <c r="S22" s="6">
        <f xml:space="preserve"> $C$8 * COS(S19/180*PI()) / (S21 * $C$11)</f>
        <v>8.2094696846333207E-2</v>
      </c>
      <c r="Y22" s="2">
        <v>18</v>
      </c>
      <c r="Z22" s="2">
        <f t="shared" si="7"/>
        <v>0.10463333129882904</v>
      </c>
      <c r="AA22" s="2">
        <f t="shared" si="0"/>
        <v>3.2812052543629289E-6</v>
      </c>
      <c r="AB22" s="2">
        <f t="shared" si="8"/>
        <v>0.10463714599609467</v>
      </c>
      <c r="AC22" s="2">
        <f t="shared" si="1"/>
        <v>-3.7034785201339737E-6</v>
      </c>
      <c r="AD22" s="2">
        <f t="shared" si="2"/>
        <v>0.10463523864746185</v>
      </c>
      <c r="AE22" s="2">
        <f t="shared" si="3"/>
        <v>-2.1116552502420394E-7</v>
      </c>
      <c r="AF22" s="2">
        <f t="shared" si="4"/>
        <v>-6.9287743024972448E-13</v>
      </c>
      <c r="AG22" s="2">
        <f t="shared" si="5"/>
        <v>7.8204698611995241E-13</v>
      </c>
      <c r="AH22" s="2">
        <f t="shared" si="6"/>
        <v>3.814697265625E-6</v>
      </c>
      <c r="AJ22" s="2">
        <v>18</v>
      </c>
      <c r="AK22" s="2">
        <f t="shared" si="13"/>
        <v>2324.554443359375</v>
      </c>
      <c r="AL22" s="2">
        <v>-9.0233163541597605E-3</v>
      </c>
      <c r="AM22" s="2">
        <f t="shared" si="14"/>
        <v>2324.5887756347656</v>
      </c>
      <c r="AN22" s="2">
        <v>2.7702763975412381E-3</v>
      </c>
      <c r="AO22" s="2">
        <f t="shared" si="9"/>
        <v>2324.5716094970703</v>
      </c>
      <c r="AP22" s="2">
        <v>-3.1263138725989847E-3</v>
      </c>
      <c r="AQ22" s="2">
        <f t="shared" si="10"/>
        <v>2.8209719094858953E-5</v>
      </c>
      <c r="AR22" s="2">
        <f t="shared" si="11"/>
        <v>-8.6607535325667122E-6</v>
      </c>
      <c r="AS22" s="2">
        <f t="shared" si="12"/>
        <v>3.4332275390625E-2</v>
      </c>
    </row>
    <row r="23" spans="2:45" x14ac:dyDescent="0.2">
      <c r="B23" s="6" t="s">
        <v>114</v>
      </c>
      <c r="C23" s="17">
        <v>2</v>
      </c>
      <c r="F23" s="9" t="s">
        <v>276</v>
      </c>
      <c r="G23" s="6">
        <f>S23 / ($C$30*$C$12/PI())</f>
        <v>0.11666364608403632</v>
      </c>
      <c r="J23" s="14" t="s">
        <v>65</v>
      </c>
      <c r="K23" s="6">
        <f xml:space="preserve"> $C$80 * (3.184 * ($C$5*2.20462)^0.887 * ($C$51*3.28084*3.28084)^0.101 * ($C$50)^0.138 ) / ( 174.04 * ($C$52*3.28084)^0.223 ) * 0.453592</f>
        <v>26.065199082185558</v>
      </c>
      <c r="L23" s="6" t="s">
        <v>7</v>
      </c>
      <c r="N23" s="6" t="s">
        <v>32</v>
      </c>
      <c r="O23" s="6">
        <f xml:space="preserve"> O20 / ( $C$66 * PI() * $C$9^2 * O21^2 * $C$9^2)</f>
        <v>1.8196307597947117E-2</v>
      </c>
      <c r="R23" s="6" t="s">
        <v>32</v>
      </c>
      <c r="S23" s="6">
        <f xml:space="preserve"> S20 / ( $C$72 * PI() * $C$11^2 * S21^2 * $C$11^2)</f>
        <v>9.9162102948716385E-2</v>
      </c>
      <c r="Y23" s="2">
        <v>19</v>
      </c>
      <c r="Z23" s="2">
        <f t="shared" si="7"/>
        <v>0.10463333129882904</v>
      </c>
      <c r="AA23" s="2">
        <f t="shared" si="0"/>
        <v>3.2812052543629289E-6</v>
      </c>
      <c r="AB23" s="2">
        <f t="shared" si="8"/>
        <v>0.10463523864746185</v>
      </c>
      <c r="AC23" s="2">
        <f t="shared" si="1"/>
        <v>-2.1116552502420394E-7</v>
      </c>
      <c r="AD23" s="2">
        <f t="shared" si="2"/>
        <v>0.10463428497314545</v>
      </c>
      <c r="AE23" s="2">
        <f t="shared" si="3"/>
        <v>1.5350126414404031E-6</v>
      </c>
      <c r="AF23" s="2">
        <f t="shared" si="4"/>
        <v>5.0366915446077688E-12</v>
      </c>
      <c r="AG23" s="2">
        <f t="shared" si="5"/>
        <v>-3.241417503485528E-13</v>
      </c>
      <c r="AH23" s="2">
        <f t="shared" si="6"/>
        <v>1.9073486328125E-6</v>
      </c>
      <c r="AJ23" s="2">
        <v>19</v>
      </c>
      <c r="AK23" s="2">
        <f t="shared" si="13"/>
        <v>2324.5716094970703</v>
      </c>
      <c r="AL23" s="2">
        <v>-3.1263138725989847E-3</v>
      </c>
      <c r="AM23" s="2">
        <f t="shared" si="14"/>
        <v>2324.5887756347656</v>
      </c>
      <c r="AN23" s="2">
        <v>2.7702763975412381E-3</v>
      </c>
      <c r="AO23" s="2">
        <f t="shared" si="9"/>
        <v>2324.580192565918</v>
      </c>
      <c r="AP23" s="2">
        <v>-1.7684339309198549E-4</v>
      </c>
      <c r="AQ23" s="2">
        <f t="shared" si="10"/>
        <v>5.5286795310094974E-7</v>
      </c>
      <c r="AR23" s="2">
        <f t="shared" si="11"/>
        <v>-4.8990507794383468E-7</v>
      </c>
      <c r="AS23" s="2">
        <f t="shared" si="12"/>
        <v>1.71661376953125E-2</v>
      </c>
    </row>
    <row r="24" spans="2:45" x14ac:dyDescent="0.2">
      <c r="B24" s="6" t="s">
        <v>128</v>
      </c>
      <c r="C24" s="6">
        <f>$C$23*$C$10/PI()</f>
        <v>0.31022513338460861</v>
      </c>
      <c r="F24" s="44" t="s">
        <v>225</v>
      </c>
      <c r="G24" s="43">
        <f xml:space="preserve"> $C$29 * G21</f>
        <v>89.319642645141812</v>
      </c>
      <c r="H24" s="43" t="s">
        <v>104</v>
      </c>
      <c r="J24" s="14" t="s">
        <v>66</v>
      </c>
      <c r="K24" s="6">
        <f xml:space="preserve"> $C$80 * ( 1.68 * ($C$5*2.20462)^0.567 * ($C$56*3.28084*3.28084)^1.249 * ($C$55)^0.482 ) / (639.95 * ($C$57*3.28084)^0.747 * (COS($C$58/180*PI()))^0.882 ) * 0.453592</f>
        <v>8.9386668568760488</v>
      </c>
      <c r="L24" s="6" t="s">
        <v>7</v>
      </c>
      <c r="N24" s="6" t="s">
        <v>1</v>
      </c>
      <c r="O24" s="17">
        <v>8.8999999999999999E-3</v>
      </c>
      <c r="R24" s="6" t="s">
        <v>1</v>
      </c>
      <c r="S24" s="17">
        <v>8.8999999999999999E-3</v>
      </c>
      <c r="Y24" s="2">
        <v>20</v>
      </c>
      <c r="Z24" s="2">
        <f t="shared" si="7"/>
        <v>0.10463428497314545</v>
      </c>
      <c r="AA24" s="2">
        <f t="shared" si="0"/>
        <v>1.5350126414404031E-6</v>
      </c>
      <c r="AB24" s="2">
        <f t="shared" si="8"/>
        <v>0.10463523864746185</v>
      </c>
      <c r="AC24" s="2">
        <f t="shared" si="1"/>
        <v>-2.1116552502420394E-7</v>
      </c>
      <c r="AD24" s="2">
        <f t="shared" si="2"/>
        <v>0.10463476181030365</v>
      </c>
      <c r="AE24" s="2">
        <f t="shared" si="3"/>
        <v>6.6192175242341111E-7</v>
      </c>
      <c r="AF24" s="2">
        <f t="shared" si="4"/>
        <v>1.0160582576143207E-12</v>
      </c>
      <c r="AG24" s="2">
        <f t="shared" si="5"/>
        <v>-1.3977505437543075E-13</v>
      </c>
      <c r="AH24" s="2">
        <f t="shared" si="6"/>
        <v>9.5367431640625E-7</v>
      </c>
      <c r="AJ24" s="2">
        <v>20</v>
      </c>
      <c r="AK24" s="2">
        <f t="shared" si="13"/>
        <v>2324.580192565918</v>
      </c>
      <c r="AL24" s="2">
        <v>-1.7684339309198549E-4</v>
      </c>
      <c r="AM24" s="2">
        <f t="shared" si="14"/>
        <v>2324.5887756347656</v>
      </c>
      <c r="AN24" s="2">
        <v>2.7702763975412381E-3</v>
      </c>
      <c r="AO24" s="2">
        <f t="shared" si="9"/>
        <v>2324.5844841003418</v>
      </c>
      <c r="AP24" s="2">
        <v>1.2978882823517779E-3</v>
      </c>
      <c r="AQ24" s="2">
        <f t="shared" si="10"/>
        <v>-2.2952296770541732E-7</v>
      </c>
      <c r="AR24" s="2">
        <f t="shared" si="11"/>
        <v>3.5955092752444685E-6</v>
      </c>
      <c r="AS24" s="2">
        <f t="shared" si="12"/>
        <v>8.58306884765625E-3</v>
      </c>
    </row>
    <row r="25" spans="2:45" x14ac:dyDescent="0.2">
      <c r="B25" s="6" t="s">
        <v>242</v>
      </c>
      <c r="C25" s="17">
        <v>0.75</v>
      </c>
      <c r="J25" s="14" t="s">
        <v>117</v>
      </c>
      <c r="K25" s="6">
        <f>$C$80*(0.14*$G$14*1000/745.7)*0.453592</f>
        <v>30.780124842149927</v>
      </c>
      <c r="L25" s="6" t="s">
        <v>7</v>
      </c>
      <c r="N25" s="6" t="s">
        <v>33</v>
      </c>
      <c r="O25" s="6">
        <f xml:space="preserve"> ($C$24 * $O$24 / 8) * (1 + 4.65 * O22^2) * ( PI() * $C$66 * O21^3 * $C$9^5)</f>
        <v>7758.8368753729947</v>
      </c>
      <c r="P25" s="6" t="s">
        <v>20</v>
      </c>
      <c r="R25" s="6" t="s">
        <v>33</v>
      </c>
      <c r="S25" s="6">
        <f xml:space="preserve"> ($C$31 * $S$24 / 8) * (1 + 4.65 * S22^2) * ( PI() * $C$72 * S21^3 * $C$11^5)</f>
        <v>867.46185459393394</v>
      </c>
      <c r="T25" s="6" t="s">
        <v>20</v>
      </c>
      <c r="Y25" s="2">
        <v>21</v>
      </c>
      <c r="Z25" s="2">
        <f t="shared" si="7"/>
        <v>0.10463476181030365</v>
      </c>
      <c r="AA25" s="2">
        <f t="shared" si="0"/>
        <v>6.6192175242341111E-7</v>
      </c>
      <c r="AB25" s="2">
        <f t="shared" si="8"/>
        <v>0.10463523864746185</v>
      </c>
      <c r="AC25" s="2">
        <f t="shared" si="1"/>
        <v>-2.1116552502420394E-7</v>
      </c>
      <c r="AD25" s="2">
        <f t="shared" si="2"/>
        <v>0.10463500022888275</v>
      </c>
      <c r="AE25" s="2">
        <f t="shared" si="3"/>
        <v>2.253776622551662E-7</v>
      </c>
      <c r="AF25" s="2">
        <f t="shared" si="4"/>
        <v>1.4918237715703128E-13</v>
      </c>
      <c r="AG25" s="2">
        <f t="shared" si="5"/>
        <v>-4.7591992378839882E-14</v>
      </c>
      <c r="AH25" s="2">
        <f t="shared" si="6"/>
        <v>4.76837158203125E-7</v>
      </c>
      <c r="AJ25" s="2">
        <v>21</v>
      </c>
      <c r="AK25" s="2">
        <f t="shared" si="13"/>
        <v>2324.580192565918</v>
      </c>
      <c r="AL25" s="2">
        <v>-1.7684339309198549E-4</v>
      </c>
      <c r="AM25" s="2">
        <f t="shared" si="14"/>
        <v>2324.5844841003418</v>
      </c>
      <c r="AN25" s="2">
        <v>1.2978882823517779E-3</v>
      </c>
      <c r="AO25" s="2">
        <f t="shared" si="9"/>
        <v>2324.5823383331299</v>
      </c>
      <c r="AP25" s="2">
        <v>5.6070981781886076E-4</v>
      </c>
      <c r="AQ25" s="2">
        <f t="shared" si="10"/>
        <v>-9.9157826723076357E-8</v>
      </c>
      <c r="AR25" s="2">
        <f t="shared" si="11"/>
        <v>7.2773870234669951E-7</v>
      </c>
      <c r="AS25" s="2">
        <f t="shared" si="12"/>
        <v>4.291534423828125E-3</v>
      </c>
    </row>
    <row r="26" spans="2:45" x14ac:dyDescent="0.2">
      <c r="B26" s="6" t="s">
        <v>288</v>
      </c>
      <c r="C26" s="17">
        <v>50</v>
      </c>
      <c r="D26" s="6" t="s">
        <v>61</v>
      </c>
      <c r="F26" s="54" t="s">
        <v>84</v>
      </c>
      <c r="G26" s="54"/>
      <c r="H26" s="54"/>
      <c r="J26" s="15" t="s">
        <v>67</v>
      </c>
      <c r="K26" s="6">
        <f xml:space="preserve"> $C$81 * (0.0268 * $C$5)</f>
        <v>49.839010455153627</v>
      </c>
      <c r="L26" s="6" t="s">
        <v>7</v>
      </c>
      <c r="N26" s="6" t="s">
        <v>34</v>
      </c>
      <c r="O26" s="18">
        <f>AD34</f>
        <v>0.10463512362912389</v>
      </c>
      <c r="R26" s="6" t="s">
        <v>34</v>
      </c>
      <c r="S26" s="18">
        <f>AD68</f>
        <v>0.98834047233685851</v>
      </c>
      <c r="Y26" s="2">
        <v>22</v>
      </c>
      <c r="Z26" s="2">
        <f t="shared" si="7"/>
        <v>0.10463500022888275</v>
      </c>
      <c r="AA26" s="2">
        <f t="shared" si="0"/>
        <v>2.253776622551662E-7</v>
      </c>
      <c r="AB26" s="2">
        <f t="shared" si="8"/>
        <v>0.10463523864746185</v>
      </c>
      <c r="AC26" s="2">
        <f t="shared" si="1"/>
        <v>-2.1116552502420394E-7</v>
      </c>
      <c r="AD26" s="2">
        <f t="shared" si="2"/>
        <v>0.1046351194381723</v>
      </c>
      <c r="AE26" s="2">
        <f t="shared" si="3"/>
        <v>7.1059557543717844E-9</v>
      </c>
      <c r="AF26" s="2">
        <f t="shared" si="4"/>
        <v>1.6015236960089588E-15</v>
      </c>
      <c r="AG26" s="2">
        <f t="shared" si="5"/>
        <v>-1.5005328776706809E-15</v>
      </c>
      <c r="AH26" s="2">
        <f t="shared" si="6"/>
        <v>2.384185791015625E-7</v>
      </c>
      <c r="AJ26" s="2">
        <v>22</v>
      </c>
      <c r="AK26" s="2">
        <f t="shared" si="13"/>
        <v>2324.580192565918</v>
      </c>
      <c r="AL26" s="2">
        <v>-1.7684339309198549E-4</v>
      </c>
      <c r="AM26" s="2">
        <f t="shared" si="14"/>
        <v>2324.5823383331299</v>
      </c>
      <c r="AN26" s="2">
        <v>5.6070981781886076E-4</v>
      </c>
      <c r="AO26" s="2">
        <f t="shared" si="9"/>
        <v>2324.5812654495239</v>
      </c>
      <c r="AP26" s="2">
        <v>1.9057562303714803E-4</v>
      </c>
      <c r="AQ26" s="2">
        <f t="shared" si="10"/>
        <v>-3.3702039818508413E-8</v>
      </c>
      <c r="AR26" s="2">
        <f t="shared" si="11"/>
        <v>1.0685762287387515E-7</v>
      </c>
      <c r="AS26" s="2">
        <f t="shared" si="12"/>
        <v>2.1457672119140625E-3</v>
      </c>
    </row>
    <row r="27" spans="2:45" x14ac:dyDescent="0.2">
      <c r="F27" s="6" t="s">
        <v>88</v>
      </c>
      <c r="G27" s="17">
        <f>300*0.3048/60</f>
        <v>1.524</v>
      </c>
      <c r="H27" s="6" t="s">
        <v>10</v>
      </c>
      <c r="J27" s="15" t="s">
        <v>68</v>
      </c>
      <c r="K27" s="6">
        <f xml:space="preserve"> $C$81 * (11.5 * ($C$5*2.20462/1000)^0.4 * 0.453592)</f>
        <v>8.0227740812210353</v>
      </c>
      <c r="L27" s="6" t="s">
        <v>7</v>
      </c>
      <c r="N27" s="6" t="s">
        <v>35</v>
      </c>
      <c r="O27" s="6">
        <f xml:space="preserve"> O21 * $C$9 * O26 - $G$4 * SIN(O19/180*PI())</f>
        <v>12.489121180236708</v>
      </c>
      <c r="P27" s="6" t="s">
        <v>10</v>
      </c>
      <c r="R27" s="6" t="s">
        <v>35</v>
      </c>
      <c r="S27" s="6">
        <f xml:space="preserve"> S21 * $C$11 * S26 - $C$8 * SIN(S19/180*PI())</f>
        <v>2.6537927428370267</v>
      </c>
      <c r="T27" s="6" t="s">
        <v>10</v>
      </c>
      <c r="Y27" s="2">
        <v>23</v>
      </c>
      <c r="Z27" s="2">
        <f t="shared" si="7"/>
        <v>0.1046351194381723</v>
      </c>
      <c r="AA27" s="2">
        <f t="shared" si="0"/>
        <v>7.1059557543717844E-9</v>
      </c>
      <c r="AB27" s="2">
        <f t="shared" si="8"/>
        <v>0.10463523864746185</v>
      </c>
      <c r="AC27" s="2">
        <f t="shared" si="1"/>
        <v>-2.1116552502420394E-7</v>
      </c>
      <c r="AD27" s="2">
        <f t="shared" si="2"/>
        <v>0.10463517904281708</v>
      </c>
      <c r="AE27" s="2">
        <f t="shared" si="3"/>
        <v>-1.0202981284845869E-7</v>
      </c>
      <c r="AF27" s="2">
        <f t="shared" si="4"/>
        <v>-7.2501933572798127E-16</v>
      </c>
      <c r="AG27" s="2">
        <f t="shared" si="5"/>
        <v>2.1545178998266046E-14</v>
      </c>
      <c r="AH27" s="2">
        <f t="shared" si="6"/>
        <v>1.1920928955078125E-7</v>
      </c>
      <c r="AJ27" s="2">
        <v>23</v>
      </c>
      <c r="AK27" s="2">
        <f t="shared" si="13"/>
        <v>2324.580192565918</v>
      </c>
      <c r="AL27" s="2">
        <v>-1.7684339309198549E-4</v>
      </c>
      <c r="AM27" s="2">
        <f t="shared" si="14"/>
        <v>2324.5812654495239</v>
      </c>
      <c r="AN27" s="2">
        <v>1.9057562303714803E-4</v>
      </c>
      <c r="AO27" s="2">
        <f t="shared" si="9"/>
        <v>2324.5807290077209</v>
      </c>
      <c r="AP27" s="2">
        <v>7.0532098561670864E-6</v>
      </c>
      <c r="AQ27" s="2">
        <f t="shared" si="10"/>
        <v>-1.2473135631544225E-9</v>
      </c>
      <c r="AR27" s="2">
        <f t="shared" si="11"/>
        <v>1.3441698627507959E-9</v>
      </c>
      <c r="AS27" s="2">
        <f t="shared" si="12"/>
        <v>1.0728836059570312E-3</v>
      </c>
    </row>
    <row r="28" spans="2:45" x14ac:dyDescent="0.2">
      <c r="B28" s="54" t="s">
        <v>243</v>
      </c>
      <c r="C28" s="54"/>
      <c r="D28" s="54"/>
      <c r="F28" s="6" t="s">
        <v>94</v>
      </c>
      <c r="G28" s="17">
        <f>1000*0.3048</f>
        <v>304.8</v>
      </c>
      <c r="H28" s="6" t="s">
        <v>8</v>
      </c>
      <c r="J28" s="15" t="s">
        <v>69</v>
      </c>
      <c r="K28" s="6">
        <f xml:space="preserve"> $C$81 * (8 * ($C$5/1000))</f>
        <v>14.877316553777201</v>
      </c>
      <c r="L28" s="6" t="s">
        <v>7</v>
      </c>
      <c r="N28" s="6" t="s">
        <v>36</v>
      </c>
      <c r="O28" s="6">
        <f xml:space="preserve"> 1/$C$25 - O25 * SQRT( (2*$C$66*PI()*$C$9^2) / O20^3 )</f>
        <v>1.134487226301462</v>
      </c>
      <c r="R28" s="6" t="s">
        <v>36</v>
      </c>
      <c r="S28" s="6">
        <f xml:space="preserve"> 1/$C$32 - S25 * SQRT( (2*$C$72*PI()*$C$11^2) / S20^3 )</f>
        <v>1.2891653074249165</v>
      </c>
      <c r="Y28" s="2">
        <v>24</v>
      </c>
      <c r="Z28" s="2">
        <f t="shared" si="7"/>
        <v>0.1046351194381723</v>
      </c>
      <c r="AA28" s="2">
        <f t="shared" si="0"/>
        <v>7.1059557543717844E-9</v>
      </c>
      <c r="AB28" s="2">
        <f t="shared" si="8"/>
        <v>0.10463517904281708</v>
      </c>
      <c r="AC28" s="2">
        <f t="shared" si="1"/>
        <v>-1.0202981284845869E-7</v>
      </c>
      <c r="AD28" s="2">
        <f t="shared" si="2"/>
        <v>0.10463514924049469</v>
      </c>
      <c r="AE28" s="2">
        <f t="shared" si="3"/>
        <v>-4.7461935590020765E-8</v>
      </c>
      <c r="AF28" s="2">
        <f t="shared" si="4"/>
        <v>-3.3726241431953104E-16</v>
      </c>
      <c r="AG28" s="2">
        <f t="shared" si="5"/>
        <v>4.8425324056754193E-15</v>
      </c>
      <c r="AH28" s="2">
        <f t="shared" si="6"/>
        <v>5.9604644775390625E-8</v>
      </c>
      <c r="AJ28" s="2">
        <v>24</v>
      </c>
      <c r="AK28" s="2">
        <f t="shared" si="13"/>
        <v>2324.580192565918</v>
      </c>
      <c r="AL28" s="2">
        <v>-1.7684339309198549E-4</v>
      </c>
      <c r="AM28" s="2">
        <f t="shared" si="14"/>
        <v>2324.5807290077209</v>
      </c>
      <c r="AN28" s="2">
        <v>7.0532098561670864E-6</v>
      </c>
      <c r="AO28" s="2">
        <f t="shared" si="9"/>
        <v>2324.5804607868195</v>
      </c>
      <c r="AP28" s="2">
        <v>-8.4895086502001504E-5</v>
      </c>
      <c r="AQ28" s="2">
        <f t="shared" si="10"/>
        <v>1.5013135153851564E-8</v>
      </c>
      <c r="AR28" s="2">
        <f t="shared" si="11"/>
        <v>-5.9878286085607444E-10</v>
      </c>
      <c r="AS28" s="2">
        <f t="shared" si="12"/>
        <v>5.3644180297851562E-4</v>
      </c>
    </row>
    <row r="29" spans="2:45" x14ac:dyDescent="0.2">
      <c r="B29" s="6" t="s">
        <v>244</v>
      </c>
      <c r="C29" s="17">
        <v>1</v>
      </c>
      <c r="F29" s="6" t="s">
        <v>93</v>
      </c>
      <c r="G29" s="6">
        <f xml:space="preserve"> $G$28/$G$27</f>
        <v>200</v>
      </c>
      <c r="H29" s="6" t="s">
        <v>14</v>
      </c>
      <c r="J29" s="15" t="s">
        <v>70</v>
      </c>
      <c r="K29" s="6">
        <f xml:space="preserve"> $C$81 * (13 * ($C$5*2.20462/1000)^1.3 * 0.453592)</f>
        <v>39.471225475192334</v>
      </c>
      <c r="L29" s="6" t="s">
        <v>7</v>
      </c>
      <c r="N29" s="6" t="s">
        <v>37</v>
      </c>
      <c r="O29" s="17">
        <v>1.1499999999999999</v>
      </c>
      <c r="R29" s="6" t="s">
        <v>37</v>
      </c>
      <c r="S29" s="17">
        <v>1.1499999999999999</v>
      </c>
      <c r="Y29" s="2">
        <v>25</v>
      </c>
      <c r="Z29" s="2">
        <f t="shared" si="7"/>
        <v>0.1046351194381723</v>
      </c>
      <c r="AA29" s="2">
        <f t="shared" si="0"/>
        <v>7.1059557543717844E-9</v>
      </c>
      <c r="AB29" s="2">
        <f t="shared" si="8"/>
        <v>0.10463514924049469</v>
      </c>
      <c r="AC29" s="2">
        <f t="shared" si="1"/>
        <v>-4.7461935590020765E-8</v>
      </c>
      <c r="AD29" s="2">
        <f t="shared" si="2"/>
        <v>0.1046351343393335</v>
      </c>
      <c r="AE29" s="2">
        <f t="shared" si="3"/>
        <v>-2.0177991680303542E-8</v>
      </c>
      <c r="AF29" s="2">
        <f t="shared" si="4"/>
        <v>-1.4338391609231894E-16</v>
      </c>
      <c r="AG29" s="2">
        <f t="shared" si="5"/>
        <v>9.5768654146654155E-16</v>
      </c>
      <c r="AH29" s="2">
        <f t="shared" si="6"/>
        <v>2.9802322387695312E-8</v>
      </c>
      <c r="AJ29" s="2">
        <v>25</v>
      </c>
      <c r="AK29" s="2">
        <f t="shared" si="13"/>
        <v>2324.5804607868195</v>
      </c>
      <c r="AL29" s="2">
        <v>-8.4895086502001504E-5</v>
      </c>
      <c r="AM29" s="2">
        <f t="shared" si="14"/>
        <v>2324.5807290077209</v>
      </c>
      <c r="AN29" s="2">
        <v>7.0532098561670864E-6</v>
      </c>
      <c r="AO29" s="2">
        <f t="shared" si="9"/>
        <v>2324.5805948972702</v>
      </c>
      <c r="AP29" s="2">
        <v>-3.8920937186048832E-5</v>
      </c>
      <c r="AQ29" s="2">
        <f t="shared" si="10"/>
        <v>3.3041963291485824E-9</v>
      </c>
      <c r="AR29" s="2">
        <f t="shared" si="11"/>
        <v>-2.7451753777189969E-10</v>
      </c>
      <c r="AS29" s="2">
        <f t="shared" si="12"/>
        <v>2.6822090148925781E-4</v>
      </c>
    </row>
    <row r="30" spans="2:45" x14ac:dyDescent="0.2">
      <c r="B30" s="6" t="s">
        <v>245</v>
      </c>
      <c r="C30" s="17">
        <v>6</v>
      </c>
      <c r="F30" s="6" t="s">
        <v>21</v>
      </c>
      <c r="G30" s="6">
        <f xml:space="preserve"> $C$5 * $C$69 / $C$22</f>
        <v>2848.0446712579674</v>
      </c>
      <c r="H30" s="6" t="s">
        <v>22</v>
      </c>
      <c r="J30" s="10" t="s">
        <v>57</v>
      </c>
      <c r="K30" s="10">
        <f>$C$5 - $C$17 - SUM(K15:K29)</f>
        <v>-8.3809936768375337E-10</v>
      </c>
      <c r="L30" s="10" t="s">
        <v>7</v>
      </c>
      <c r="N30" s="6" t="s">
        <v>38</v>
      </c>
      <c r="O30" s="6">
        <f xml:space="preserve"> 1/$C$78 * LN( EXP($C$78 * O28) + EXP($C$78 * O29) )</f>
        <v>1.16624291423524</v>
      </c>
      <c r="R30" s="6" t="s">
        <v>38</v>
      </c>
      <c r="S30" s="6">
        <f xml:space="preserve"> 1/$C$78 * LN( EXP($C$78 * S28) + EXP($C$78 * S29) )</f>
        <v>1.2896739343788748</v>
      </c>
      <c r="Y30" s="2">
        <v>26</v>
      </c>
      <c r="Z30" s="2">
        <f>IF(AF29&gt;0, AD29, Z29)</f>
        <v>0.1046351194381723</v>
      </c>
      <c r="AA30" s="2">
        <f t="shared" si="0"/>
        <v>7.1059557543717844E-9</v>
      </c>
      <c r="AB30" s="2">
        <f t="shared" si="8"/>
        <v>0.1046351343393335</v>
      </c>
      <c r="AC30" s="2">
        <f t="shared" si="1"/>
        <v>-2.0177991680303542E-8</v>
      </c>
      <c r="AD30" s="2">
        <f t="shared" si="2"/>
        <v>0.1046351268887529</v>
      </c>
      <c r="AE30" s="2">
        <f t="shared" si="3"/>
        <v>-6.5360184070550886E-9</v>
      </c>
      <c r="AF30" s="2">
        <f t="shared" si="4"/>
        <v>-4.6444657610293012E-17</v>
      </c>
      <c r="AG30" s="2">
        <f t="shared" si="5"/>
        <v>1.3188372503986839E-16</v>
      </c>
      <c r="AH30" s="2">
        <f t="shared" si="6"/>
        <v>1.4901161193847656E-8</v>
      </c>
      <c r="AJ30" s="2">
        <v>26</v>
      </c>
      <c r="AK30" s="2">
        <f t="shared" si="13"/>
        <v>2324.5805948972702</v>
      </c>
      <c r="AL30" s="2">
        <v>-3.8920937186048832E-5</v>
      </c>
      <c r="AM30" s="2">
        <f t="shared" si="14"/>
        <v>2324.5807290077209</v>
      </c>
      <c r="AN30" s="2">
        <v>7.0532098561670864E-6</v>
      </c>
      <c r="AO30" s="2">
        <f t="shared" si="9"/>
        <v>2324.5806619524956</v>
      </c>
      <c r="AP30" s="2">
        <v>-1.7291525864493451E-5</v>
      </c>
      <c r="AQ30" s="2">
        <f t="shared" si="10"/>
        <v>6.7300239202288833E-10</v>
      </c>
      <c r="AR30" s="2">
        <f t="shared" si="11"/>
        <v>-1.2196076065561331E-10</v>
      </c>
      <c r="AS30" s="2">
        <f t="shared" si="12"/>
        <v>1.3411045074462891E-4</v>
      </c>
    </row>
    <row r="31" spans="2:45" x14ac:dyDescent="0.2">
      <c r="B31" s="6" t="s">
        <v>246</v>
      </c>
      <c r="C31" s="6">
        <f>$C$30*$C$12/PI()</f>
        <v>0.84998288907657626</v>
      </c>
      <c r="F31" t="s">
        <v>100</v>
      </c>
      <c r="G31" s="6">
        <f>G33/$C$17</f>
        <v>0.69367653128004381</v>
      </c>
      <c r="H31" t="s">
        <v>104</v>
      </c>
      <c r="J31" s="6" t="s">
        <v>58</v>
      </c>
      <c r="K31" s="4" t="str">
        <f>IF(ABS(K30)&lt;1, "TRUE", "FALSE")</f>
        <v>TRUE</v>
      </c>
      <c r="Y31" s="2">
        <v>27</v>
      </c>
      <c r="Z31" s="2">
        <f t="shared" ref="Z31:Z34" si="15">IF(AF30&gt;0, AD30, Z30)</f>
        <v>0.1046351194381723</v>
      </c>
      <c r="AA31" s="2">
        <f t="shared" si="0"/>
        <v>7.1059557543717844E-9</v>
      </c>
      <c r="AB31" s="2">
        <f t="shared" si="8"/>
        <v>0.1046351268887529</v>
      </c>
      <c r="AC31" s="2">
        <f t="shared" si="1"/>
        <v>-6.5360184070550886E-9</v>
      </c>
      <c r="AD31" s="2">
        <f t="shared" si="2"/>
        <v>0.1046351231634626</v>
      </c>
      <c r="AE31" s="2">
        <f t="shared" si="3"/>
        <v>2.8496857651383323E-10</v>
      </c>
      <c r="AF31" s="2">
        <f t="shared" si="4"/>
        <v>2.0249740960936094E-18</v>
      </c>
      <c r="AG31" s="2">
        <f t="shared" si="5"/>
        <v>-1.8625598615267004E-18</v>
      </c>
      <c r="AH31" s="2">
        <f t="shared" si="6"/>
        <v>7.4505805969238281E-9</v>
      </c>
      <c r="AJ31" s="2">
        <v>27</v>
      </c>
      <c r="AK31" s="2">
        <f t="shared" si="13"/>
        <v>2324.5806619524956</v>
      </c>
      <c r="AL31" s="2">
        <v>-1.7291525864493451E-5</v>
      </c>
      <c r="AM31" s="2">
        <f t="shared" si="14"/>
        <v>2324.5807290077209</v>
      </c>
      <c r="AN31" s="2">
        <v>7.0532098561670864E-6</v>
      </c>
      <c r="AO31" s="2">
        <f t="shared" si="9"/>
        <v>2324.5806954801083</v>
      </c>
      <c r="AP31" s="2">
        <v>-4.1356468045705697E-6</v>
      </c>
      <c r="AQ31" s="2">
        <f t="shared" si="10"/>
        <v>7.1511643687641698E-11</v>
      </c>
      <c r="AR31" s="2">
        <f t="shared" si="11"/>
        <v>-2.9169584803623058E-11</v>
      </c>
      <c r="AS31" s="2">
        <f t="shared" si="12"/>
        <v>6.7055225372314453E-5</v>
      </c>
    </row>
    <row r="32" spans="2:45" x14ac:dyDescent="0.2">
      <c r="B32" s="6" t="s">
        <v>247</v>
      </c>
      <c r="C32" s="17">
        <v>0.75</v>
      </c>
      <c r="F32" t="s">
        <v>274</v>
      </c>
      <c r="G32" s="6">
        <f xml:space="preserve"> (G30/$C$69*1000) / (G31*1000)</f>
        <v>418.88773201648655</v>
      </c>
      <c r="H32" s="6" t="s">
        <v>275</v>
      </c>
      <c r="Y32" s="2">
        <v>28</v>
      </c>
      <c r="Z32" s="2">
        <f t="shared" si="15"/>
        <v>0.1046351231634626</v>
      </c>
      <c r="AA32" s="2">
        <f t="shared" si="0"/>
        <v>2.8496857651383323E-10</v>
      </c>
      <c r="AB32" s="2">
        <f t="shared" si="8"/>
        <v>0.1046351268887529</v>
      </c>
      <c r="AC32" s="2">
        <f t="shared" si="1"/>
        <v>-6.5360184070550886E-9</v>
      </c>
      <c r="AD32" s="2">
        <f t="shared" si="2"/>
        <v>0.10463512502610775</v>
      </c>
      <c r="AE32" s="2">
        <f t="shared" si="3"/>
        <v>-3.1255249360873094E-9</v>
      </c>
      <c r="AF32" s="2">
        <f t="shared" si="4"/>
        <v>-8.9067639189529014E-19</v>
      </c>
      <c r="AG32" s="2">
        <f t="shared" si="5"/>
        <v>2.0428488513976334E-17</v>
      </c>
      <c r="AH32" s="2">
        <f t="shared" si="6"/>
        <v>3.7252902984619141E-9</v>
      </c>
      <c r="AJ32" s="2">
        <v>28</v>
      </c>
      <c r="AK32" s="2">
        <f t="shared" si="13"/>
        <v>2324.5806954801083</v>
      </c>
      <c r="AL32" s="2">
        <v>-4.1356468045705697E-6</v>
      </c>
      <c r="AM32" s="2">
        <f t="shared" si="14"/>
        <v>2324.5807290077209</v>
      </c>
      <c r="AN32" s="2">
        <v>7.0532098561670864E-6</v>
      </c>
      <c r="AO32" s="2">
        <f t="shared" si="9"/>
        <v>2324.5807122439146</v>
      </c>
      <c r="AP32" s="2">
        <v>2.8819431463489309E-7</v>
      </c>
      <c r="AQ32" s="2">
        <f t="shared" si="10"/>
        <v>-1.191869896415201E-12</v>
      </c>
      <c r="AR32" s="2">
        <f t="shared" si="11"/>
        <v>2.0326949804741463E-12</v>
      </c>
      <c r="AS32" s="2">
        <f t="shared" si="12"/>
        <v>3.3527612686157227E-5</v>
      </c>
    </row>
    <row r="33" spans="2:45" x14ac:dyDescent="0.2">
      <c r="B33" s="6" t="s">
        <v>288</v>
      </c>
      <c r="C33" s="17">
        <v>50</v>
      </c>
      <c r="D33" s="6" t="s">
        <v>61</v>
      </c>
      <c r="F33" s="43" t="s">
        <v>86</v>
      </c>
      <c r="G33" s="43">
        <f xml:space="preserve"> 1/1000 * IF( $G$27&gt;=2*SQRT(($C$5*$C$69)/(2*$C$66*$C$22*PI()*$C$9*$C$9)), ($C$5*$C$69)/$C$25 * ( ($G$27/2) - SQRT( ($G$27/2)^2 - ($C$5*$C$69)/(2*$C$66*$C$22*PI()*$C$9*$C$9 ) ) ), 1/$C$25 * SQRT(($C$5*$C$69)^3/(2*$C$66*$C$22*PI()*$C$9*$C$9)) )</f>
        <v>416.20591876802627</v>
      </c>
      <c r="H33" s="43" t="s">
        <v>104</v>
      </c>
      <c r="J33" s="46" t="s">
        <v>59</v>
      </c>
      <c r="K33" s="46"/>
      <c r="L33" s="46"/>
      <c r="Y33" s="2">
        <v>29</v>
      </c>
      <c r="Z33" s="2">
        <f t="shared" si="15"/>
        <v>0.1046351231634626</v>
      </c>
      <c r="AA33" s="2">
        <f t="shared" si="0"/>
        <v>2.8496857651383323E-10</v>
      </c>
      <c r="AB33" s="2">
        <f t="shared" si="8"/>
        <v>0.10463512502610775</v>
      </c>
      <c r="AC33" s="2">
        <f t="shared" si="1"/>
        <v>-3.1255249360873094E-9</v>
      </c>
      <c r="AD33" s="2">
        <f t="shared" si="2"/>
        <v>0.10463512409478518</v>
      </c>
      <c r="AE33" s="2">
        <f t="shared" si="3"/>
        <v>-1.420278186725632E-9</v>
      </c>
      <c r="AF33" s="2">
        <f t="shared" si="4"/>
        <v>-4.0473465312485158E-19</v>
      </c>
      <c r="AG33" s="2">
        <f t="shared" si="5"/>
        <v>4.4391148887918308E-18</v>
      </c>
      <c r="AH33" s="2">
        <f t="shared" si="6"/>
        <v>1.862645149230957E-9</v>
      </c>
      <c r="AJ33" s="2">
        <v>29</v>
      </c>
      <c r="AK33" s="2">
        <f t="shared" si="13"/>
        <v>2324.5806954801083</v>
      </c>
      <c r="AL33" s="2">
        <v>-4.1356468045705697E-6</v>
      </c>
      <c r="AM33" s="2">
        <f t="shared" si="14"/>
        <v>2324.5807122439146</v>
      </c>
      <c r="AN33" s="2">
        <v>2.8819431463489309E-7</v>
      </c>
      <c r="AO33" s="2">
        <f t="shared" si="9"/>
        <v>2324.5807038620114</v>
      </c>
      <c r="AP33" s="2">
        <v>-7.5313892011763528E-7</v>
      </c>
      <c r="AQ33" s="2">
        <f t="shared" si="10"/>
        <v>3.1147165683822279E-12</v>
      </c>
      <c r="AR33" s="2">
        <f t="shared" si="11"/>
        <v>-2.1705035490816539E-13</v>
      </c>
      <c r="AS33" s="2">
        <f t="shared" si="12"/>
        <v>1.6763806343078613E-5</v>
      </c>
    </row>
    <row r="34" spans="2:45" x14ac:dyDescent="0.2">
      <c r="J34" s="6" t="s">
        <v>60</v>
      </c>
      <c r="K34" s="6">
        <f>ROUND($C$17/$C$5 * 100, 2)</f>
        <v>25.81</v>
      </c>
      <c r="L34" s="6" t="s">
        <v>61</v>
      </c>
      <c r="Y34" s="2">
        <v>30</v>
      </c>
      <c r="Z34" s="2">
        <f t="shared" si="15"/>
        <v>0.1046351231634626</v>
      </c>
      <c r="AA34" s="2">
        <f t="shared" si="0"/>
        <v>2.8496857651383323E-10</v>
      </c>
      <c r="AB34" s="2">
        <f t="shared" si="8"/>
        <v>0.10463512409478518</v>
      </c>
      <c r="AC34" s="2">
        <f t="shared" si="1"/>
        <v>-1.420278186725632E-9</v>
      </c>
      <c r="AD34" s="5">
        <f t="shared" si="2"/>
        <v>0.10463512362912389</v>
      </c>
      <c r="AE34" s="2">
        <f t="shared" si="3"/>
        <v>-5.6765481204479329E-10</v>
      </c>
      <c r="AF34" s="2">
        <f t="shared" si="4"/>
        <v>-1.617637837396323E-19</v>
      </c>
      <c r="AG34" s="2">
        <f t="shared" si="5"/>
        <v>8.0622774713705846E-19</v>
      </c>
      <c r="AH34" s="2">
        <f t="shared" si="6"/>
        <v>9.3132257461547852E-10</v>
      </c>
      <c r="AJ34" s="2">
        <v>30</v>
      </c>
      <c r="AK34" s="2">
        <f t="shared" si="13"/>
        <v>2324.5807038620114</v>
      </c>
      <c r="AL34" s="2">
        <v>-7.5313892011763528E-7</v>
      </c>
      <c r="AM34" s="2">
        <f t="shared" si="14"/>
        <v>2324.5807122439146</v>
      </c>
      <c r="AN34" s="2">
        <v>2.8819431463489309E-7</v>
      </c>
      <c r="AO34" s="2">
        <f t="shared" si="9"/>
        <v>2324.580708052963</v>
      </c>
      <c r="AP34" s="2">
        <v>-1.4030595139047364E-6</v>
      </c>
      <c r="AQ34" s="2">
        <f t="shared" si="10"/>
        <v>1.0566987271629874E-12</v>
      </c>
      <c r="AR34" s="2">
        <f t="shared" si="11"/>
        <v>-4.0435377500174175E-13</v>
      </c>
      <c r="AS34" s="2">
        <f t="shared" si="12"/>
        <v>8.3819031715393066E-6</v>
      </c>
    </row>
    <row r="35" spans="2:45" x14ac:dyDescent="0.2">
      <c r="B35" s="54" t="s">
        <v>107</v>
      </c>
      <c r="C35" s="54"/>
      <c r="D35" s="54"/>
      <c r="J35" s="11" t="s">
        <v>55</v>
      </c>
      <c r="K35" s="6">
        <f>ROUND(K15/$C$5 * 100, 2)</f>
        <v>21.72</v>
      </c>
      <c r="L35" s="6" t="s">
        <v>61</v>
      </c>
      <c r="AJ35" s="2">
        <v>31</v>
      </c>
      <c r="AK35" s="2">
        <f t="shared" si="13"/>
        <v>2324.580708052963</v>
      </c>
      <c r="AL35" s="2">
        <v>-1.4030595139047364E-6</v>
      </c>
      <c r="AM35" s="2">
        <f t="shared" si="14"/>
        <v>2324.5807122439146</v>
      </c>
      <c r="AN35" s="2">
        <v>2.8819431463489309E-7</v>
      </c>
      <c r="AO35" s="2">
        <f t="shared" si="9"/>
        <v>2324.5807101484388</v>
      </c>
      <c r="AP35" s="2">
        <v>-5.5743248594808392E-7</v>
      </c>
      <c r="AQ35" s="2">
        <f t="shared" si="10"/>
        <v>7.8211095276902742E-13</v>
      </c>
      <c r="AR35" s="2">
        <f t="shared" si="11"/>
        <v>-1.6064887324303272E-13</v>
      </c>
      <c r="AS35" s="2">
        <f t="shared" si="12"/>
        <v>4.1909515857696533E-6</v>
      </c>
    </row>
    <row r="36" spans="2:45" x14ac:dyDescent="0.2">
      <c r="B36" s="6" t="s">
        <v>108</v>
      </c>
      <c r="C36" s="17">
        <v>6</v>
      </c>
      <c r="J36" s="19" t="s">
        <v>81</v>
      </c>
      <c r="K36" s="6">
        <f>ROUND(SUM(K16:K19)/$C$5 * 100, 2)</f>
        <v>16.579999999999998</v>
      </c>
      <c r="L36" s="6" t="s">
        <v>61</v>
      </c>
      <c r="Y36" s="16" t="s">
        <v>96</v>
      </c>
      <c r="AJ36" s="2">
        <v>32</v>
      </c>
      <c r="AK36" s="2">
        <f t="shared" si="13"/>
        <v>2324.5807101484388</v>
      </c>
      <c r="AL36" s="2">
        <v>-5.5743248594808392E-7</v>
      </c>
      <c r="AM36" s="2">
        <f t="shared" si="14"/>
        <v>2324.5807122439146</v>
      </c>
      <c r="AN36" s="2">
        <v>2.8819431463489309E-7</v>
      </c>
      <c r="AO36" s="2">
        <f t="shared" si="9"/>
        <v>2324.5807111961767</v>
      </c>
      <c r="AP36" s="2">
        <v>-1.3461863090924453E-7</v>
      </c>
      <c r="AQ36" s="2">
        <f t="shared" si="10"/>
        <v>7.5040798082667747E-14</v>
      </c>
      <c r="AR36" s="2">
        <f t="shared" si="11"/>
        <v>-3.8796324071977362E-14</v>
      </c>
      <c r="AS36" s="2">
        <f t="shared" si="12"/>
        <v>2.0954757928848267E-6</v>
      </c>
    </row>
    <row r="37" spans="2:45" x14ac:dyDescent="0.2">
      <c r="B37" s="6" t="s">
        <v>109</v>
      </c>
      <c r="C37" s="17">
        <v>9.1440000000000001</v>
      </c>
      <c r="D37" s="6" t="s">
        <v>8</v>
      </c>
      <c r="J37" s="20" t="s">
        <v>72</v>
      </c>
      <c r="K37" s="6">
        <f>ROUND(SUM(K20:K25)/$C$5 * 100, 2)</f>
        <v>31.07</v>
      </c>
      <c r="L37" s="6" t="s">
        <v>61</v>
      </c>
      <c r="Y37" s="7" t="s">
        <v>44</v>
      </c>
      <c r="Z37" s="7" t="s">
        <v>45</v>
      </c>
      <c r="AA37" s="7" t="s">
        <v>46</v>
      </c>
      <c r="AB37" s="7" t="s">
        <v>47</v>
      </c>
      <c r="AC37" s="7" t="s">
        <v>48</v>
      </c>
      <c r="AD37" s="7" t="s">
        <v>49</v>
      </c>
      <c r="AE37" s="7" t="s">
        <v>50</v>
      </c>
      <c r="AF37" s="7" t="s">
        <v>51</v>
      </c>
      <c r="AG37" s="7" t="s">
        <v>52</v>
      </c>
      <c r="AH37" s="7" t="s">
        <v>53</v>
      </c>
      <c r="AJ37" s="2">
        <v>33</v>
      </c>
      <c r="AK37" s="2">
        <f t="shared" si="13"/>
        <v>2324.5807111961767</v>
      </c>
      <c r="AL37" s="2">
        <v>-1.3461863090924453E-7</v>
      </c>
      <c r="AM37" s="2">
        <f t="shared" si="14"/>
        <v>2324.5807122439146</v>
      </c>
      <c r="AN37" s="2">
        <v>2.8819431463489309E-7</v>
      </c>
      <c r="AO37" s="2">
        <f t="shared" si="9"/>
        <v>2324.5807117200457</v>
      </c>
      <c r="AP37" s="2">
        <v>7.6787955549662001E-8</v>
      </c>
      <c r="AQ37" s="2">
        <f t="shared" si="10"/>
        <v>-1.0337089446415424E-14</v>
      </c>
      <c r="AR37" s="2">
        <f t="shared" si="11"/>
        <v>2.2129852221849476E-14</v>
      </c>
      <c r="AS37" s="2">
        <f t="shared" si="12"/>
        <v>1.0477378964424133E-6</v>
      </c>
    </row>
    <row r="38" spans="2:45" x14ac:dyDescent="0.2">
      <c r="B38" s="6" t="s">
        <v>110</v>
      </c>
      <c r="C38" s="17">
        <v>1.8675309360000001</v>
      </c>
      <c r="D38" s="6" t="s">
        <v>8</v>
      </c>
      <c r="J38" s="15" t="s">
        <v>73</v>
      </c>
      <c r="K38" s="6">
        <f>ROUND(SUM(K26:K29)/$C$5*100, 2)</f>
        <v>4.83</v>
      </c>
      <c r="L38" s="6" t="s">
        <v>61</v>
      </c>
      <c r="Y38" s="2">
        <v>0</v>
      </c>
      <c r="Z38" s="3">
        <v>0</v>
      </c>
      <c r="AA38" s="2">
        <f t="shared" ref="AA38:AA68" si="16" xml:space="preserve"> $S$22 * TAN($S$19/180*PI()) + $S$23 / (2 * SQRT($S$22^2 + Z38^2)) - Z38</f>
        <v>1.5422961831347139</v>
      </c>
      <c r="AB38" s="3">
        <v>1</v>
      </c>
      <c r="AC38" s="2">
        <f t="shared" ref="AC38:AC68" si="17" xml:space="preserve"> $S$22 * TAN($S$19/180*PI()) + $S$23 / (2 * SQRT($S$22^2 + AB38^2)) - AB38</f>
        <v>-1.2238506714103092E-2</v>
      </c>
      <c r="AD38" s="2">
        <f xml:space="preserve"> (Z38 + AB38)/2</f>
        <v>0.5</v>
      </c>
      <c r="AE38" s="2">
        <f t="shared" ref="AE38:AE68" si="18" xml:space="preserve"> $S$22 * TAN($S$19/180*PI()) + $S$23 / (2 * SQRT($S$22^2 + AD38^2)) - AD38</f>
        <v>0.53619859926769586</v>
      </c>
      <c r="AF38" s="2">
        <f>AA38*AE38</f>
        <v>0.82697705305274738</v>
      </c>
      <c r="AG38" s="2">
        <f>AC38*AE38</f>
        <v>-6.5622701572303696E-3</v>
      </c>
      <c r="AH38" s="2">
        <f>AB38-Z38</f>
        <v>1</v>
      </c>
      <c r="AJ38" s="2">
        <v>34</v>
      </c>
      <c r="AK38" s="2">
        <f t="shared" si="13"/>
        <v>2324.5807111961767</v>
      </c>
      <c r="AL38" s="2">
        <v>-1.3461863090924453E-7</v>
      </c>
      <c r="AM38" s="2">
        <f t="shared" si="14"/>
        <v>2324.5807117200457</v>
      </c>
      <c r="AN38" s="2">
        <v>7.6787955549662001E-8</v>
      </c>
      <c r="AO38" s="2">
        <f t="shared" si="9"/>
        <v>2324.5807114581112</v>
      </c>
      <c r="AP38" s="2">
        <v>-2.8915565053466707E-8</v>
      </c>
      <c r="AQ38" s="2">
        <f t="shared" si="10"/>
        <v>3.8925737794648843E-15</v>
      </c>
      <c r="AR38" s="2">
        <f t="shared" si="11"/>
        <v>-2.2203671240189615E-15</v>
      </c>
      <c r="AS38" s="2">
        <f t="shared" si="12"/>
        <v>5.2386894822120667E-7</v>
      </c>
    </row>
    <row r="39" spans="2:45" x14ac:dyDescent="0.2">
      <c r="J39" s="10" t="s">
        <v>62</v>
      </c>
      <c r="K39" s="10">
        <f>SUM(K34:K38)</f>
        <v>100.01</v>
      </c>
      <c r="L39" s="10" t="s">
        <v>61</v>
      </c>
      <c r="Y39" s="2">
        <v>1</v>
      </c>
      <c r="Z39" s="2">
        <f>IF(AF38&gt;0, AD38, Z38)</f>
        <v>0.5</v>
      </c>
      <c r="AA39" s="2">
        <f t="shared" si="16"/>
        <v>0.53619859926769586</v>
      </c>
      <c r="AB39" s="2">
        <f>IF(AG38&gt;0, AD38, AB38)</f>
        <v>1</v>
      </c>
      <c r="AC39" s="2">
        <f t="shared" si="17"/>
        <v>-1.2238506714103092E-2</v>
      </c>
      <c r="AD39" s="2">
        <f t="shared" ref="AD39:AD68" si="19" xml:space="preserve"> (Z39 + AB39)/2</f>
        <v>0.75</v>
      </c>
      <c r="AE39" s="2">
        <f t="shared" si="18"/>
        <v>0.25406223727132971</v>
      </c>
      <c r="AF39" s="2">
        <f t="shared" ref="AF39:AF68" si="20">AA39*AE39</f>
        <v>0.13622781575170398</v>
      </c>
      <c r="AG39" s="2">
        <f t="shared" ref="AG39:AG68" si="21">AC39*AE39</f>
        <v>-3.1093423966452216E-3</v>
      </c>
      <c r="AH39" s="2">
        <f t="shared" ref="AH39:AH68" si="22">AB39-Z39</f>
        <v>0.5</v>
      </c>
      <c r="AJ39" s="2">
        <v>35</v>
      </c>
      <c r="AK39" s="2">
        <f t="shared" si="13"/>
        <v>2324.5807114581112</v>
      </c>
      <c r="AL39" s="2">
        <v>-2.8915565053466707E-8</v>
      </c>
      <c r="AM39" s="2">
        <f t="shared" si="14"/>
        <v>2324.5807117200457</v>
      </c>
      <c r="AN39" s="2">
        <v>7.6787955549662001E-8</v>
      </c>
      <c r="AO39" s="2">
        <f t="shared" si="9"/>
        <v>2324.5807115890784</v>
      </c>
      <c r="AP39" s="2">
        <v>2.3936081561259925E-8</v>
      </c>
      <c r="AQ39" s="2">
        <f t="shared" si="10"/>
        <v>-6.9212532350969632E-16</v>
      </c>
      <c r="AR39" s="2">
        <f t="shared" si="11"/>
        <v>1.8380027669591114E-15</v>
      </c>
      <c r="AS39" s="2">
        <f t="shared" si="12"/>
        <v>2.6193447411060333E-7</v>
      </c>
    </row>
    <row r="40" spans="2:45" x14ac:dyDescent="0.2">
      <c r="B40" s="54" t="s">
        <v>111</v>
      </c>
      <c r="C40" s="54"/>
      <c r="D40" s="54"/>
      <c r="Y40" s="2">
        <v>2</v>
      </c>
      <c r="Z40" s="2">
        <f t="shared" ref="Z40:Z68" si="23">IF(AF39&gt;0, AD39, Z39)</f>
        <v>0.75</v>
      </c>
      <c r="AA40" s="2">
        <f t="shared" si="16"/>
        <v>0.25406223727132971</v>
      </c>
      <c r="AB40" s="2">
        <f t="shared" ref="AB40:AB68" si="24">IF(AG39&gt;0, AD39, AB39)</f>
        <v>1</v>
      </c>
      <c r="AC40" s="2">
        <f t="shared" si="17"/>
        <v>-1.2238506714103092E-2</v>
      </c>
      <c r="AD40" s="2">
        <f t="shared" si="19"/>
        <v>0.875</v>
      </c>
      <c r="AE40" s="2">
        <f t="shared" si="18"/>
        <v>0.11976297477394504</v>
      </c>
      <c r="AF40" s="2">
        <f t="shared" si="20"/>
        <v>3.04272493133383E-2</v>
      </c>
      <c r="AG40" s="2">
        <f t="shared" si="21"/>
        <v>-1.4657199708718856E-3</v>
      </c>
      <c r="AH40" s="2">
        <f t="shared" si="22"/>
        <v>0.25</v>
      </c>
      <c r="AJ40" s="2">
        <v>36</v>
      </c>
      <c r="AK40" s="2">
        <f t="shared" si="13"/>
        <v>2324.5807114581112</v>
      </c>
      <c r="AL40" s="2">
        <v>-2.8915565053466707E-8</v>
      </c>
      <c r="AM40" s="2">
        <f t="shared" si="14"/>
        <v>2324.5807115890784</v>
      </c>
      <c r="AN40" s="2">
        <v>2.3936081561259925E-8</v>
      </c>
      <c r="AO40" s="2">
        <f t="shared" si="9"/>
        <v>2324.5807115235948</v>
      </c>
      <c r="AP40" s="2">
        <v>-2.4897417461033911E-9</v>
      </c>
      <c r="AQ40" s="2">
        <f t="shared" si="10"/>
        <v>7.1992289425784394E-17</v>
      </c>
      <c r="AR40" s="2">
        <f t="shared" si="11"/>
        <v>-5.9594661501204469E-17</v>
      </c>
      <c r="AS40" s="2">
        <f t="shared" si="12"/>
        <v>1.3096723705530167E-7</v>
      </c>
    </row>
    <row r="41" spans="2:45" x14ac:dyDescent="0.2">
      <c r="B41" s="6" t="s">
        <v>124</v>
      </c>
      <c r="C41" s="22" t="s">
        <v>125</v>
      </c>
      <c r="J41" s="54" t="s">
        <v>116</v>
      </c>
      <c r="K41" s="54"/>
      <c r="L41" s="54"/>
      <c r="Y41" s="2">
        <v>3</v>
      </c>
      <c r="Z41" s="2">
        <f t="shared" si="23"/>
        <v>0.875</v>
      </c>
      <c r="AA41" s="2">
        <f t="shared" si="16"/>
        <v>0.11976297477394504</v>
      </c>
      <c r="AB41" s="2">
        <f t="shared" si="24"/>
        <v>1</v>
      </c>
      <c r="AC41" s="2">
        <f t="shared" si="17"/>
        <v>-1.2238506714103092E-2</v>
      </c>
      <c r="AD41" s="2">
        <f t="shared" si="19"/>
        <v>0.9375</v>
      </c>
      <c r="AE41" s="2">
        <f t="shared" si="18"/>
        <v>5.3531523118418245E-2</v>
      </c>
      <c r="AF41" s="2">
        <f t="shared" si="20"/>
        <v>6.4110944528419801E-3</v>
      </c>
      <c r="AG41" s="2">
        <f t="shared" si="21"/>
        <v>-6.551459051009266E-4</v>
      </c>
      <c r="AH41" s="2">
        <f t="shared" si="22"/>
        <v>0.125</v>
      </c>
      <c r="AJ41" s="2">
        <v>37</v>
      </c>
      <c r="AK41" s="2">
        <f t="shared" si="13"/>
        <v>2324.5807115235948</v>
      </c>
      <c r="AL41" s="2">
        <v>-2.4897417461033911E-9</v>
      </c>
      <c r="AM41" s="2">
        <f t="shared" si="14"/>
        <v>2324.5807115890784</v>
      </c>
      <c r="AN41" s="2">
        <v>2.3936081561259925E-8</v>
      </c>
      <c r="AO41" s="2">
        <f t="shared" si="9"/>
        <v>2324.5807115563366</v>
      </c>
      <c r="AP41" s="2">
        <v>1.0722942533902824E-8</v>
      </c>
      <c r="AQ41" s="2">
        <f t="shared" si="10"/>
        <v>-2.6697357667725537E-17</v>
      </c>
      <c r="AR41" s="2">
        <f t="shared" si="11"/>
        <v>2.5666522706820117E-16</v>
      </c>
      <c r="AS41" s="2">
        <f t="shared" si="12"/>
        <v>6.5483618527650833E-8</v>
      </c>
    </row>
    <row r="42" spans="2:45" x14ac:dyDescent="0.2">
      <c r="B42" s="6" t="s">
        <v>126</v>
      </c>
      <c r="C42" s="6">
        <f>IF(C41="wheeled",0.0325,0.014)</f>
        <v>3.2500000000000001E-2</v>
      </c>
      <c r="J42" s="6" t="s">
        <v>60</v>
      </c>
      <c r="K42" s="6">
        <f>ROUND(C17,2)</f>
        <v>600</v>
      </c>
      <c r="L42" s="6" t="s">
        <v>7</v>
      </c>
      <c r="Y42" s="2">
        <v>4</v>
      </c>
      <c r="Z42" s="2">
        <f t="shared" si="23"/>
        <v>0.9375</v>
      </c>
      <c r="AA42" s="2">
        <f t="shared" si="16"/>
        <v>5.3531523118418245E-2</v>
      </c>
      <c r="AB42" s="2">
        <f t="shared" si="24"/>
        <v>1</v>
      </c>
      <c r="AC42" s="2">
        <f t="shared" si="17"/>
        <v>-1.2238506714103092E-2</v>
      </c>
      <c r="AD42" s="2">
        <f t="shared" si="19"/>
        <v>0.96875</v>
      </c>
      <c r="AE42" s="2">
        <f t="shared" si="18"/>
        <v>2.0594330265272243E-2</v>
      </c>
      <c r="AF42" s="2">
        <f t="shared" si="20"/>
        <v>1.1024458667037616E-3</v>
      </c>
      <c r="AG42" s="2">
        <f t="shared" si="21"/>
        <v>-2.5204384922399085E-4</v>
      </c>
      <c r="AH42" s="2">
        <f t="shared" si="22"/>
        <v>6.25E-2</v>
      </c>
      <c r="AJ42" s="2">
        <v>38</v>
      </c>
      <c r="AK42" s="2">
        <f t="shared" si="13"/>
        <v>2324.5807115235948</v>
      </c>
      <c r="AL42" s="2">
        <v>-2.4897417461033911E-9</v>
      </c>
      <c r="AM42" s="2">
        <f t="shared" si="14"/>
        <v>2324.5807115563366</v>
      </c>
      <c r="AN42" s="2">
        <v>1.0722942533902824E-8</v>
      </c>
      <c r="AO42" s="2">
        <f t="shared" si="9"/>
        <v>2324.5807115399657</v>
      </c>
      <c r="AP42" s="2">
        <v>4.1166003938997164E-9</v>
      </c>
      <c r="AQ42" s="2">
        <f t="shared" si="10"/>
        <v>-1.0249271852717787E-17</v>
      </c>
      <c r="AR42" s="2">
        <f t="shared" si="11"/>
        <v>4.4142069458828388E-17</v>
      </c>
      <c r="AS42" s="2">
        <f t="shared" si="12"/>
        <v>3.2741809263825417E-8</v>
      </c>
    </row>
    <row r="43" spans="2:45" x14ac:dyDescent="0.2">
      <c r="B43" s="6" t="s">
        <v>112</v>
      </c>
      <c r="C43" s="17">
        <v>0.30480000000000002</v>
      </c>
      <c r="D43" s="6" t="s">
        <v>8</v>
      </c>
      <c r="J43" s="11" t="s">
        <v>55</v>
      </c>
      <c r="K43" s="6">
        <f>ROUND(K15, 2)</f>
        <v>504.82</v>
      </c>
      <c r="L43" s="6" t="s">
        <v>7</v>
      </c>
      <c r="Y43" s="2">
        <v>5</v>
      </c>
      <c r="Z43" s="2">
        <f t="shared" si="23"/>
        <v>0.96875</v>
      </c>
      <c r="AA43" s="2">
        <f t="shared" si="16"/>
        <v>2.0594330265272243E-2</v>
      </c>
      <c r="AB43" s="2">
        <f t="shared" si="24"/>
        <v>1</v>
      </c>
      <c r="AC43" s="2">
        <f t="shared" si="17"/>
        <v>-1.2238506714103092E-2</v>
      </c>
      <c r="AD43" s="2">
        <f t="shared" si="19"/>
        <v>0.984375</v>
      </c>
      <c r="AE43" s="2">
        <f t="shared" si="18"/>
        <v>4.1654797524462994E-3</v>
      </c>
      <c r="AF43" s="2">
        <f t="shared" si="20"/>
        <v>8.5785265735183552E-5</v>
      </c>
      <c r="AG43" s="2">
        <f t="shared" si="21"/>
        <v>-5.0979251917774524E-5</v>
      </c>
      <c r="AH43" s="2">
        <f t="shared" si="22"/>
        <v>3.125E-2</v>
      </c>
      <c r="AJ43" s="2">
        <v>39</v>
      </c>
      <c r="AK43" s="2">
        <f t="shared" si="13"/>
        <v>2324.5807115235948</v>
      </c>
      <c r="AL43" s="2">
        <v>-2.4897417461033911E-9</v>
      </c>
      <c r="AM43" s="2">
        <f t="shared" si="14"/>
        <v>2324.5807115399657</v>
      </c>
      <c r="AN43" s="2">
        <v>4.1166003938997164E-9</v>
      </c>
      <c r="AO43" s="2">
        <f t="shared" si="9"/>
        <v>2324.5807115317803</v>
      </c>
      <c r="AP43" s="2">
        <v>8.1354301073588431E-10</v>
      </c>
      <c r="AQ43" s="2">
        <f t="shared" si="10"/>
        <v>-2.0255119960797704E-18</v>
      </c>
      <c r="AR43" s="2">
        <f t="shared" si="11"/>
        <v>3.3490314784497026E-18</v>
      </c>
      <c r="AS43" s="2">
        <f t="shared" si="12"/>
        <v>1.6370904631912708E-8</v>
      </c>
    </row>
    <row r="44" spans="2:45" x14ac:dyDescent="0.2">
      <c r="B44" s="6" t="s">
        <v>113</v>
      </c>
      <c r="C44" s="17">
        <v>5.7</v>
      </c>
      <c r="J44" s="19" t="s">
        <v>81</v>
      </c>
      <c r="K44" s="6">
        <f>ROUND(SUM(K16:K19), 2)</f>
        <v>385.35</v>
      </c>
      <c r="L44" s="6" t="s">
        <v>7</v>
      </c>
      <c r="Y44" s="2">
        <v>6</v>
      </c>
      <c r="Z44" s="2">
        <f t="shared" si="23"/>
        <v>0.984375</v>
      </c>
      <c r="AA44" s="2">
        <f t="shared" si="16"/>
        <v>4.1654797524462994E-3</v>
      </c>
      <c r="AB44" s="2">
        <f t="shared" si="24"/>
        <v>1</v>
      </c>
      <c r="AC44" s="2">
        <f t="shared" si="17"/>
        <v>-1.2238506714103092E-2</v>
      </c>
      <c r="AD44" s="2">
        <f t="shared" si="19"/>
        <v>0.9921875</v>
      </c>
      <c r="AE44" s="2">
        <f t="shared" si="18"/>
        <v>-4.0395490753786234E-3</v>
      </c>
      <c r="AF44" s="2">
        <f t="shared" si="20"/>
        <v>-1.6826659882502825E-5</v>
      </c>
      <c r="AG44" s="2">
        <f t="shared" si="21"/>
        <v>4.9438048480970218E-5</v>
      </c>
      <c r="AH44" s="2">
        <f t="shared" si="22"/>
        <v>1.5625E-2</v>
      </c>
      <c r="AJ44" s="2">
        <v>40</v>
      </c>
      <c r="AK44" s="2">
        <f t="shared" si="13"/>
        <v>2324.5807115235948</v>
      </c>
      <c r="AL44" s="2">
        <v>-2.4897417461033911E-9</v>
      </c>
      <c r="AM44" s="2">
        <f t="shared" si="14"/>
        <v>2324.5807115317803</v>
      </c>
      <c r="AN44" s="2">
        <v>8.1354301073588431E-10</v>
      </c>
      <c r="AO44" s="5">
        <f t="shared" si="9"/>
        <v>2324.5807115276875</v>
      </c>
      <c r="AP44" s="2">
        <v>-8.3809936768375337E-10</v>
      </c>
      <c r="AQ44" s="2">
        <f t="shared" si="10"/>
        <v>2.0866509831050961E-18</v>
      </c>
      <c r="AR44" s="2">
        <f t="shared" si="11"/>
        <v>-6.8182988288128162E-19</v>
      </c>
      <c r="AS44" s="2">
        <f t="shared" si="12"/>
        <v>8.1854523159563541E-9</v>
      </c>
    </row>
    <row r="45" spans="2:45" x14ac:dyDescent="0.2">
      <c r="J45" s="20" t="s">
        <v>72</v>
      </c>
      <c r="K45" s="6">
        <f>ROUND(SUM(K20:K25), 2)</f>
        <v>722.19</v>
      </c>
      <c r="L45" s="6" t="s">
        <v>7</v>
      </c>
      <c r="Y45" s="2">
        <v>7</v>
      </c>
      <c r="Z45" s="2">
        <f t="shared" si="23"/>
        <v>0.984375</v>
      </c>
      <c r="AA45" s="2">
        <f t="shared" si="16"/>
        <v>4.1654797524462994E-3</v>
      </c>
      <c r="AB45" s="2">
        <f t="shared" si="24"/>
        <v>0.9921875</v>
      </c>
      <c r="AC45" s="2">
        <f t="shared" si="17"/>
        <v>-4.0395490753786234E-3</v>
      </c>
      <c r="AD45" s="2">
        <f t="shared" si="19"/>
        <v>0.98828125</v>
      </c>
      <c r="AE45" s="2">
        <f t="shared" si="18"/>
        <v>6.219756428749168E-5</v>
      </c>
      <c r="AF45" s="2">
        <f t="shared" si="20"/>
        <v>2.5908269469102366E-7</v>
      </c>
      <c r="AG45" s="2">
        <f t="shared" si="21"/>
        <v>-2.5125011330833949E-7</v>
      </c>
      <c r="AH45" s="2">
        <f t="shared" si="22"/>
        <v>7.8125E-3</v>
      </c>
    </row>
    <row r="46" spans="2:45" x14ac:dyDescent="0.2">
      <c r="B46" s="54" t="s">
        <v>248</v>
      </c>
      <c r="C46" s="54"/>
      <c r="D46" s="54"/>
      <c r="J46" s="15" t="s">
        <v>73</v>
      </c>
      <c r="K46" s="6">
        <f>ROUND(SUM(K26:K29), 2)</f>
        <v>112.21</v>
      </c>
      <c r="L46" s="6" t="s">
        <v>7</v>
      </c>
      <c r="Y46" s="2">
        <v>8</v>
      </c>
      <c r="Z46" s="2">
        <f t="shared" si="23"/>
        <v>0.98828125</v>
      </c>
      <c r="AA46" s="2">
        <f t="shared" si="16"/>
        <v>6.219756428749168E-5</v>
      </c>
      <c r="AB46" s="2">
        <f t="shared" si="24"/>
        <v>0.9921875</v>
      </c>
      <c r="AC46" s="2">
        <f t="shared" si="17"/>
        <v>-4.0395490753786234E-3</v>
      </c>
      <c r="AD46" s="2">
        <f t="shared" si="19"/>
        <v>0.990234375</v>
      </c>
      <c r="AE46" s="2">
        <f t="shared" si="18"/>
        <v>-1.988866578902293E-3</v>
      </c>
      <c r="AF46" s="2">
        <f t="shared" si="20"/>
        <v>-1.23702656900519E-7</v>
      </c>
      <c r="AG46" s="2">
        <f t="shared" si="21"/>
        <v>8.0341241498562039E-6</v>
      </c>
      <c r="AH46" s="2">
        <f t="shared" si="22"/>
        <v>3.90625E-3</v>
      </c>
    </row>
    <row r="47" spans="2:45" x14ac:dyDescent="0.2">
      <c r="B47" s="6" t="s">
        <v>113</v>
      </c>
      <c r="C47" s="17">
        <v>3</v>
      </c>
      <c r="J47" s="10" t="s">
        <v>62</v>
      </c>
      <c r="K47" s="10">
        <f>SUM(K42:K46)</f>
        <v>2324.5700000000002</v>
      </c>
      <c r="L47" s="6" t="s">
        <v>7</v>
      </c>
      <c r="Y47" s="2">
        <v>9</v>
      </c>
      <c r="Z47" s="2">
        <f t="shared" si="23"/>
        <v>0.98828125</v>
      </c>
      <c r="AA47" s="2">
        <f t="shared" si="16"/>
        <v>6.219756428749168E-5</v>
      </c>
      <c r="AB47" s="2">
        <f t="shared" si="24"/>
        <v>0.990234375</v>
      </c>
      <c r="AC47" s="2">
        <f t="shared" si="17"/>
        <v>-1.988866578902293E-3</v>
      </c>
      <c r="AD47" s="2">
        <f t="shared" si="19"/>
        <v>0.9892578125</v>
      </c>
      <c r="AE47" s="2">
        <f t="shared" si="18"/>
        <v>-9.6338235249293636E-4</v>
      </c>
      <c r="AF47" s="2">
        <f t="shared" si="20"/>
        <v>-5.9920035802614385E-8</v>
      </c>
      <c r="AG47" s="2">
        <f t="shared" si="21"/>
        <v>1.9160389635774693E-6</v>
      </c>
      <c r="AH47" s="2">
        <f t="shared" si="22"/>
        <v>1.953125E-3</v>
      </c>
    </row>
    <row r="48" spans="2:45" x14ac:dyDescent="0.2">
      <c r="Y48" s="2">
        <v>10</v>
      </c>
      <c r="Z48" s="2">
        <f t="shared" si="23"/>
        <v>0.98828125</v>
      </c>
      <c r="AA48" s="2">
        <f t="shared" si="16"/>
        <v>6.219756428749168E-5</v>
      </c>
      <c r="AB48" s="2">
        <f t="shared" si="24"/>
        <v>0.9892578125</v>
      </c>
      <c r="AC48" s="2">
        <f t="shared" si="17"/>
        <v>-9.6338235249293636E-4</v>
      </c>
      <c r="AD48" s="2">
        <f t="shared" si="19"/>
        <v>0.98876953125</v>
      </c>
      <c r="AE48" s="2">
        <f t="shared" si="18"/>
        <v>-4.5060437287658406E-4</v>
      </c>
      <c r="AF48" s="2">
        <f t="shared" si="20"/>
        <v>-2.802649445021621E-8</v>
      </c>
      <c r="AG48" s="2">
        <f t="shared" si="21"/>
        <v>4.3410430078544781E-7</v>
      </c>
      <c r="AH48" s="2">
        <f t="shared" si="22"/>
        <v>9.765625E-4</v>
      </c>
    </row>
    <row r="49" spans="2:34" x14ac:dyDescent="0.2">
      <c r="B49" s="54" t="s">
        <v>249</v>
      </c>
      <c r="C49" s="54"/>
      <c r="D49" s="54"/>
      <c r="Y49" s="2">
        <v>11</v>
      </c>
      <c r="Z49" s="2">
        <f t="shared" si="23"/>
        <v>0.98828125</v>
      </c>
      <c r="AA49" s="2">
        <f t="shared" si="16"/>
        <v>6.219756428749168E-5</v>
      </c>
      <c r="AB49" s="2">
        <f t="shared" si="24"/>
        <v>0.98876953125</v>
      </c>
      <c r="AC49" s="2">
        <f t="shared" si="17"/>
        <v>-4.5060437287658406E-4</v>
      </c>
      <c r="AD49" s="2">
        <f t="shared" si="19"/>
        <v>0.988525390625</v>
      </c>
      <c r="AE49" s="2">
        <f t="shared" si="18"/>
        <v>-1.9420640117639998E-4</v>
      </c>
      <c r="AF49" s="2">
        <f t="shared" si="20"/>
        <v>-1.2079165122211538E-8</v>
      </c>
      <c r="AG49" s="2">
        <f t="shared" si="21"/>
        <v>8.7510253610710013E-8</v>
      </c>
      <c r="AH49" s="2">
        <f t="shared" si="22"/>
        <v>4.8828125E-4</v>
      </c>
    </row>
    <row r="50" spans="2:34" x14ac:dyDescent="0.2">
      <c r="B50" s="6" t="s">
        <v>250</v>
      </c>
      <c r="C50" s="17">
        <v>4.3036300000000001</v>
      </c>
      <c r="Y50" s="2">
        <v>12</v>
      </c>
      <c r="Z50" s="2">
        <f t="shared" si="23"/>
        <v>0.98828125</v>
      </c>
      <c r="AA50" s="2">
        <f t="shared" si="16"/>
        <v>6.219756428749168E-5</v>
      </c>
      <c r="AB50" s="2">
        <f t="shared" si="24"/>
        <v>0.988525390625</v>
      </c>
      <c r="AC50" s="2">
        <f t="shared" si="17"/>
        <v>-1.9420640117639998E-4</v>
      </c>
      <c r="AD50" s="2">
        <f t="shared" si="19"/>
        <v>0.9884033203125</v>
      </c>
      <c r="AE50" s="2">
        <f t="shared" si="18"/>
        <v>-6.6005167938754106E-5</v>
      </c>
      <c r="AF50" s="2">
        <f t="shared" si="20"/>
        <v>-4.1053606761773433E-9</v>
      </c>
      <c r="AG50" s="2">
        <f t="shared" si="21"/>
        <v>1.2818626124429334E-8</v>
      </c>
      <c r="AH50" s="2">
        <f t="shared" si="22"/>
        <v>2.44140625E-4</v>
      </c>
    </row>
    <row r="51" spans="2:34" x14ac:dyDescent="0.2">
      <c r="B51" s="6" t="s">
        <v>251</v>
      </c>
      <c r="C51" s="17">
        <f>39.5112*0.3048^2</f>
        <v>3.6707105940480003</v>
      </c>
      <c r="D51" s="6" t="s">
        <v>11</v>
      </c>
      <c r="Y51" s="2">
        <v>13</v>
      </c>
      <c r="Z51" s="2">
        <f t="shared" si="23"/>
        <v>0.98828125</v>
      </c>
      <c r="AA51" s="2">
        <f t="shared" si="16"/>
        <v>6.219756428749168E-5</v>
      </c>
      <c r="AB51" s="2">
        <f t="shared" si="24"/>
        <v>0.9884033203125</v>
      </c>
      <c r="AC51" s="2">
        <f t="shared" si="17"/>
        <v>-6.6005167938754106E-5</v>
      </c>
      <c r="AD51" s="2">
        <f t="shared" si="19"/>
        <v>0.98834228515625</v>
      </c>
      <c r="AE51" s="2">
        <f t="shared" si="18"/>
        <v>-1.9039892333871933E-6</v>
      </c>
      <c r="AF51" s="2">
        <f t="shared" si="20"/>
        <v>-1.1842349274629195E-10</v>
      </c>
      <c r="AG51" s="2">
        <f t="shared" si="21"/>
        <v>1.2567312910330137E-10</v>
      </c>
      <c r="AH51" s="2">
        <f t="shared" si="22"/>
        <v>1.220703125E-4</v>
      </c>
    </row>
    <row r="52" spans="2:34" x14ac:dyDescent="0.2">
      <c r="B52" s="6" t="s">
        <v>252</v>
      </c>
      <c r="C52" s="17">
        <f>0.15*3.7875*0.3048</f>
        <v>0.1731645</v>
      </c>
      <c r="D52" s="6" t="s">
        <v>8</v>
      </c>
      <c r="Y52" s="2">
        <v>14</v>
      </c>
      <c r="Z52" s="2">
        <f t="shared" si="23"/>
        <v>0.98828125</v>
      </c>
      <c r="AA52" s="2">
        <f t="shared" si="16"/>
        <v>6.219756428749168E-5</v>
      </c>
      <c r="AB52" s="2">
        <f t="shared" si="24"/>
        <v>0.98834228515625</v>
      </c>
      <c r="AC52" s="2">
        <f t="shared" si="17"/>
        <v>-1.9039892333871933E-6</v>
      </c>
      <c r="AD52" s="2">
        <f t="shared" si="19"/>
        <v>0.988311767578125</v>
      </c>
      <c r="AE52" s="2">
        <f t="shared" si="18"/>
        <v>3.0146740670811134E-5</v>
      </c>
      <c r="AF52" s="2">
        <f t="shared" si="20"/>
        <v>1.8750538409311156E-9</v>
      </c>
      <c r="AG52" s="2">
        <f t="shared" si="21"/>
        <v>-5.7399069658940214E-11</v>
      </c>
      <c r="AH52" s="2">
        <f t="shared" si="22"/>
        <v>6.103515625E-5</v>
      </c>
    </row>
    <row r="53" spans="2:34" x14ac:dyDescent="0.2">
      <c r="Y53" s="2">
        <v>15</v>
      </c>
      <c r="Z53" s="2">
        <f t="shared" si="23"/>
        <v>0.988311767578125</v>
      </c>
      <c r="AA53" s="2">
        <f t="shared" si="16"/>
        <v>3.0146740670811134E-5</v>
      </c>
      <c r="AB53" s="2">
        <f t="shared" si="24"/>
        <v>0.98834228515625</v>
      </c>
      <c r="AC53" s="2">
        <f t="shared" si="17"/>
        <v>-1.9039892333871933E-6</v>
      </c>
      <c r="AD53" s="2">
        <f t="shared" si="19"/>
        <v>0.9883270263671875</v>
      </c>
      <c r="AE53" s="2">
        <f t="shared" si="18"/>
        <v>1.4121364005137416E-5</v>
      </c>
      <c r="AF53" s="2">
        <f t="shared" si="20"/>
        <v>4.2571309858100452E-10</v>
      </c>
      <c r="AG53" s="2">
        <f t="shared" si="21"/>
        <v>-2.6886925026523093E-11</v>
      </c>
      <c r="AH53" s="2">
        <f t="shared" si="22"/>
        <v>3.0517578125E-5</v>
      </c>
    </row>
    <row r="54" spans="2:34" x14ac:dyDescent="0.2">
      <c r="B54" s="54" t="s">
        <v>253</v>
      </c>
      <c r="C54" s="54"/>
      <c r="D54" s="54"/>
      <c r="Y54" s="2">
        <v>16</v>
      </c>
      <c r="Z54" s="2">
        <f t="shared" si="23"/>
        <v>0.9883270263671875</v>
      </c>
      <c r="AA54" s="2">
        <f t="shared" si="16"/>
        <v>1.4121364005137416E-5</v>
      </c>
      <c r="AB54" s="2">
        <f t="shared" si="24"/>
        <v>0.98834228515625</v>
      </c>
      <c r="AC54" s="2">
        <f t="shared" si="17"/>
        <v>-1.9039892333871933E-6</v>
      </c>
      <c r="AD54" s="2">
        <f t="shared" si="19"/>
        <v>0.98833465576171875</v>
      </c>
      <c r="AE54" s="2">
        <f t="shared" si="18"/>
        <v>6.1086844576063726E-6</v>
      </c>
      <c r="AF54" s="2">
        <f t="shared" si="20"/>
        <v>8.6262956818385002E-11</v>
      </c>
      <c r="AG54" s="2">
        <f t="shared" si="21"/>
        <v>-1.163086943744222E-11</v>
      </c>
      <c r="AH54" s="2">
        <f t="shared" si="22"/>
        <v>1.52587890625E-5</v>
      </c>
    </row>
    <row r="55" spans="2:34" x14ac:dyDescent="0.2">
      <c r="B55" s="6" t="s">
        <v>254</v>
      </c>
      <c r="C55" s="17">
        <v>1.1798999999999999</v>
      </c>
      <c r="Y55" s="2">
        <v>17</v>
      </c>
      <c r="Z55" s="2">
        <f t="shared" si="23"/>
        <v>0.98833465576171875</v>
      </c>
      <c r="AA55" s="2">
        <f t="shared" si="16"/>
        <v>6.1086844576063726E-6</v>
      </c>
      <c r="AB55" s="2">
        <f t="shared" si="24"/>
        <v>0.98834228515625</v>
      </c>
      <c r="AC55" s="2">
        <f t="shared" si="17"/>
        <v>-1.9039892333871933E-6</v>
      </c>
      <c r="AD55" s="2">
        <f t="shared" si="19"/>
        <v>0.98833847045898438</v>
      </c>
      <c r="AE55" s="2">
        <f t="shared" si="18"/>
        <v>2.1023468800285272E-6</v>
      </c>
      <c r="AF55" s="2">
        <f t="shared" si="20"/>
        <v>1.2842573710527514E-11</v>
      </c>
      <c r="AG55" s="2">
        <f t="shared" si="21"/>
        <v>-4.0028458244194732E-12</v>
      </c>
      <c r="AH55" s="2">
        <f t="shared" si="22"/>
        <v>7.62939453125E-6</v>
      </c>
    </row>
    <row r="56" spans="2:34" x14ac:dyDescent="0.2">
      <c r="B56" s="6" t="s">
        <v>255</v>
      </c>
      <c r="C56" s="17">
        <f>27.34325*0.3048^2</f>
        <v>2.5402710484800002</v>
      </c>
      <c r="D56" s="6" t="s">
        <v>11</v>
      </c>
      <c r="Y56" s="2">
        <v>18</v>
      </c>
      <c r="Z56" s="2">
        <f t="shared" si="23"/>
        <v>0.98833847045898438</v>
      </c>
      <c r="AA56" s="2">
        <f t="shared" si="16"/>
        <v>2.1023468800285272E-6</v>
      </c>
      <c r="AB56" s="2">
        <f t="shared" si="24"/>
        <v>0.98834228515625</v>
      </c>
      <c r="AC56" s="2">
        <f t="shared" si="17"/>
        <v>-1.9039892333871933E-6</v>
      </c>
      <c r="AD56" s="2">
        <f t="shared" si="19"/>
        <v>0.98834037780761719</v>
      </c>
      <c r="AE56" s="2">
        <f t="shared" si="18"/>
        <v>9.9178640300401355E-8</v>
      </c>
      <c r="AF56" s="2">
        <f t="shared" si="20"/>
        <v>2.0850790500102035E-13</v>
      </c>
      <c r="AG56" s="2">
        <f t="shared" si="21"/>
        <v>-1.8883506331394538E-13</v>
      </c>
      <c r="AH56" s="2">
        <f t="shared" si="22"/>
        <v>3.814697265625E-6</v>
      </c>
    </row>
    <row r="57" spans="2:34" x14ac:dyDescent="0.2">
      <c r="B57" s="6" t="s">
        <v>256</v>
      </c>
      <c r="C57" s="17">
        <f>0.115*9.73719*0.3048</f>
        <v>0.34130798388000005</v>
      </c>
      <c r="D57" s="6" t="s">
        <v>8</v>
      </c>
      <c r="Y57" s="2">
        <v>19</v>
      </c>
      <c r="Z57" s="2">
        <f t="shared" si="23"/>
        <v>0.98834037780761719</v>
      </c>
      <c r="AA57" s="2">
        <f t="shared" si="16"/>
        <v>9.9178640300401355E-8</v>
      </c>
      <c r="AB57" s="2">
        <f t="shared" si="24"/>
        <v>0.98834228515625</v>
      </c>
      <c r="AC57" s="2">
        <f t="shared" si="17"/>
        <v>-1.9039892333871933E-6</v>
      </c>
      <c r="AD57" s="2">
        <f t="shared" si="19"/>
        <v>0.98834133148193359</v>
      </c>
      <c r="AE57" s="2">
        <f t="shared" si="18"/>
        <v>-9.0240534234009573E-7</v>
      </c>
      <c r="AF57" s="2">
        <f t="shared" si="20"/>
        <v>-8.9499334853108896E-14</v>
      </c>
      <c r="AG57" s="2">
        <f t="shared" si="21"/>
        <v>1.7181700559666266E-12</v>
      </c>
      <c r="AH57" s="2">
        <f t="shared" si="22"/>
        <v>1.9073486328125E-6</v>
      </c>
    </row>
    <row r="58" spans="2:34" x14ac:dyDescent="0.2">
      <c r="B58" s="6" t="s">
        <v>257</v>
      </c>
      <c r="C58" s="17">
        <v>35</v>
      </c>
      <c r="D58" s="6" t="s">
        <v>43</v>
      </c>
      <c r="Y58" s="2">
        <v>20</v>
      </c>
      <c r="Z58" s="2">
        <f t="shared" si="23"/>
        <v>0.98834037780761719</v>
      </c>
      <c r="AA58" s="2">
        <f t="shared" si="16"/>
        <v>9.9178640300401355E-8</v>
      </c>
      <c r="AB58" s="2">
        <f t="shared" si="24"/>
        <v>0.98834133148193359</v>
      </c>
      <c r="AC58" s="2">
        <f t="shared" si="17"/>
        <v>-9.0240534234009573E-7</v>
      </c>
      <c r="AD58" s="2">
        <f t="shared" si="19"/>
        <v>0.98834085464477539</v>
      </c>
      <c r="AE58" s="2">
        <f t="shared" si="18"/>
        <v>-4.0161336245514434E-7</v>
      </c>
      <c r="AF58" s="2">
        <f t="shared" si="20"/>
        <v>-3.9831467214773478E-14</v>
      </c>
      <c r="AG58" s="2">
        <f t="shared" si="21"/>
        <v>3.6241804383469147E-13</v>
      </c>
      <c r="AH58" s="2">
        <f t="shared" si="22"/>
        <v>9.5367431640625E-7</v>
      </c>
    </row>
    <row r="59" spans="2:34" x14ac:dyDescent="0.2">
      <c r="Y59" s="2">
        <v>21</v>
      </c>
      <c r="Z59" s="2">
        <f t="shared" si="23"/>
        <v>0.98834037780761719</v>
      </c>
      <c r="AA59" s="2">
        <f t="shared" si="16"/>
        <v>9.9178640300401355E-8</v>
      </c>
      <c r="AB59" s="2">
        <f t="shared" si="24"/>
        <v>0.98834085464477539</v>
      </c>
      <c r="AC59" s="2">
        <f t="shared" si="17"/>
        <v>-4.0161336245514434E-7</v>
      </c>
      <c r="AD59" s="2">
        <f t="shared" si="19"/>
        <v>0.98834061622619629</v>
      </c>
      <c r="AE59" s="2">
        <f t="shared" si="18"/>
        <v>-1.5121736396395136E-7</v>
      </c>
      <c r="AF59" s="2">
        <f t="shared" si="20"/>
        <v>-1.4997532547755606E-14</v>
      </c>
      <c r="AG59" s="2">
        <f t="shared" si="21"/>
        <v>6.0730914003165879E-14</v>
      </c>
      <c r="AH59" s="2">
        <f t="shared" si="22"/>
        <v>4.76837158203125E-7</v>
      </c>
    </row>
    <row r="60" spans="2:34" x14ac:dyDescent="0.2">
      <c r="B60" s="57" t="s">
        <v>2</v>
      </c>
      <c r="C60" s="58"/>
      <c r="D60" s="58"/>
      <c r="Y60" s="2">
        <v>22</v>
      </c>
      <c r="Z60" s="2">
        <f t="shared" si="23"/>
        <v>0.98834037780761719</v>
      </c>
      <c r="AA60" s="2">
        <f t="shared" si="16"/>
        <v>9.9178640300401355E-8</v>
      </c>
      <c r="AB60" s="2">
        <f t="shared" si="24"/>
        <v>0.98834061622619629</v>
      </c>
      <c r="AC60" s="2">
        <f t="shared" si="17"/>
        <v>-1.5121736396395136E-7</v>
      </c>
      <c r="AD60" s="2">
        <f t="shared" si="19"/>
        <v>0.98834049701690674</v>
      </c>
      <c r="AE60" s="2">
        <f t="shared" si="18"/>
        <v>-2.6019362553419967E-8</v>
      </c>
      <c r="AF60" s="2">
        <f t="shared" si="20"/>
        <v>-2.5805649995313714E-15</v>
      </c>
      <c r="AG60" s="2">
        <f t="shared" si="21"/>
        <v>3.9345794173505139E-15</v>
      </c>
      <c r="AH60" s="2">
        <f t="shared" si="22"/>
        <v>2.384185791015625E-7</v>
      </c>
    </row>
    <row r="61" spans="2:34" x14ac:dyDescent="0.2">
      <c r="B61" s="6" t="s">
        <v>3</v>
      </c>
      <c r="C61" s="17">
        <v>250</v>
      </c>
      <c r="D61" s="6" t="s">
        <v>4</v>
      </c>
      <c r="Y61" s="2">
        <v>23</v>
      </c>
      <c r="Z61" s="2">
        <f t="shared" si="23"/>
        <v>0.98834037780761719</v>
      </c>
      <c r="AA61" s="2">
        <f t="shared" si="16"/>
        <v>9.9178640300401355E-8</v>
      </c>
      <c r="AB61" s="2">
        <f t="shared" si="24"/>
        <v>0.98834049701690674</v>
      </c>
      <c r="AC61" s="2">
        <f t="shared" si="17"/>
        <v>-2.6019362553419967E-8</v>
      </c>
      <c r="AD61" s="2">
        <f t="shared" si="19"/>
        <v>0.98834043741226196</v>
      </c>
      <c r="AE61" s="2">
        <f t="shared" si="18"/>
        <v>3.6579638651446089E-8</v>
      </c>
      <c r="AF61" s="2">
        <f t="shared" si="20"/>
        <v>3.6279188241304302E-15</v>
      </c>
      <c r="AG61" s="2">
        <f t="shared" si="21"/>
        <v>-9.5177888014507E-16</v>
      </c>
      <c r="AH61" s="2">
        <f t="shared" si="22"/>
        <v>1.1920928955078125E-7</v>
      </c>
    </row>
    <row r="62" spans="2:34" x14ac:dyDescent="0.2">
      <c r="B62" s="6" t="s">
        <v>5</v>
      </c>
      <c r="C62" s="17">
        <v>0.85</v>
      </c>
      <c r="Y62" s="2">
        <v>24</v>
      </c>
      <c r="Z62" s="2">
        <f t="shared" si="23"/>
        <v>0.98834043741226196</v>
      </c>
      <c r="AA62" s="2">
        <f t="shared" si="16"/>
        <v>3.6579638651446089E-8</v>
      </c>
      <c r="AB62" s="2">
        <f t="shared" si="24"/>
        <v>0.98834049701690674</v>
      </c>
      <c r="AC62" s="2">
        <f t="shared" si="17"/>
        <v>-2.6019362553419967E-8</v>
      </c>
      <c r="AD62" s="2">
        <f t="shared" si="19"/>
        <v>0.98834046721458435</v>
      </c>
      <c r="AE62" s="2">
        <f t="shared" si="18"/>
        <v>5.2801379935019099E-9</v>
      </c>
      <c r="AF62" s="2">
        <f t="shared" si="20"/>
        <v>1.9314553983207146E-16</v>
      </c>
      <c r="AG62" s="2">
        <f t="shared" si="21"/>
        <v>-1.3738582478501362E-16</v>
      </c>
      <c r="AH62" s="2">
        <f t="shared" si="22"/>
        <v>5.9604644775390625E-8</v>
      </c>
    </row>
    <row r="63" spans="2:34" x14ac:dyDescent="0.2">
      <c r="B63" s="6" t="s">
        <v>6</v>
      </c>
      <c r="C63" s="17">
        <v>0.8</v>
      </c>
      <c r="Y63" s="2">
        <v>25</v>
      </c>
      <c r="Z63" s="2">
        <f t="shared" si="23"/>
        <v>0.98834046721458435</v>
      </c>
      <c r="AA63" s="2">
        <f t="shared" si="16"/>
        <v>5.2801379935019099E-9</v>
      </c>
      <c r="AB63" s="2">
        <f t="shared" si="24"/>
        <v>0.98834049701690674</v>
      </c>
      <c r="AC63" s="2">
        <f t="shared" si="17"/>
        <v>-2.6019362553419967E-8</v>
      </c>
      <c r="AD63" s="2">
        <f t="shared" si="19"/>
        <v>0.98834048211574554</v>
      </c>
      <c r="AE63" s="2">
        <f t="shared" si="18"/>
        <v>-1.0369612279959028E-8</v>
      </c>
      <c r="AF63" s="2">
        <f t="shared" si="20"/>
        <v>-5.475298377729563E-17</v>
      </c>
      <c r="AG63" s="2">
        <f t="shared" si="21"/>
        <v>2.6981070145064979E-16</v>
      </c>
      <c r="AH63" s="2">
        <f t="shared" si="22"/>
        <v>2.9802322387695312E-8</v>
      </c>
    </row>
    <row r="64" spans="2:34" x14ac:dyDescent="0.2">
      <c r="Y64" s="2">
        <v>26</v>
      </c>
      <c r="Z64" s="2">
        <f>IF(AF63&gt;0, AD63, Z63)</f>
        <v>0.98834046721458435</v>
      </c>
      <c r="AA64" s="2">
        <f t="shared" si="16"/>
        <v>5.2801379935019099E-9</v>
      </c>
      <c r="AB64" s="2">
        <f t="shared" si="24"/>
        <v>0.98834048211574554</v>
      </c>
      <c r="AC64" s="2">
        <f t="shared" si="17"/>
        <v>-1.0369612279959028E-8</v>
      </c>
      <c r="AD64" s="2">
        <f t="shared" si="19"/>
        <v>0.98834047466516495</v>
      </c>
      <c r="AE64" s="2">
        <f t="shared" si="18"/>
        <v>-2.544737087717408E-9</v>
      </c>
      <c r="AF64" s="2">
        <f t="shared" si="20"/>
        <v>-1.3436562980330089E-17</v>
      </c>
      <c r="AG64" s="2">
        <f t="shared" si="21"/>
        <v>2.638793695406161E-17</v>
      </c>
      <c r="AH64" s="2">
        <f t="shared" si="22"/>
        <v>1.4901161193847656E-8</v>
      </c>
    </row>
    <row r="65" spans="2:34" x14ac:dyDescent="0.2">
      <c r="B65" s="54" t="s">
        <v>272</v>
      </c>
      <c r="C65" s="55"/>
      <c r="D65" s="55"/>
      <c r="Y65" s="2">
        <v>27</v>
      </c>
      <c r="Z65" s="2">
        <f t="shared" si="23"/>
        <v>0.98834046721458435</v>
      </c>
      <c r="AA65" s="2">
        <f t="shared" si="16"/>
        <v>5.2801379935019099E-9</v>
      </c>
      <c r="AB65" s="2">
        <f t="shared" si="24"/>
        <v>0.98834047466516495</v>
      </c>
      <c r="AC65" s="2">
        <f t="shared" si="17"/>
        <v>-2.544737087717408E-9</v>
      </c>
      <c r="AD65" s="2">
        <f t="shared" si="19"/>
        <v>0.98834047093987465</v>
      </c>
      <c r="AE65" s="2">
        <f t="shared" si="18"/>
        <v>1.3677003973810997E-9</v>
      </c>
      <c r="AF65" s="2">
        <f t="shared" si="20"/>
        <v>7.2216468319396047E-18</v>
      </c>
      <c r="AG65" s="2">
        <f t="shared" si="21"/>
        <v>-3.4804379261015214E-18</v>
      </c>
      <c r="AH65" s="2">
        <f t="shared" si="22"/>
        <v>7.4505805969238281E-9</v>
      </c>
    </row>
    <row r="66" spans="2:34" x14ac:dyDescent="0.2">
      <c r="B66" s="6" t="s">
        <v>15</v>
      </c>
      <c r="C66" s="17">
        <v>1.0397562309141399</v>
      </c>
      <c r="D66" s="6" t="s">
        <v>16</v>
      </c>
      <c r="Y66" s="2">
        <v>28</v>
      </c>
      <c r="Z66" s="2">
        <f t="shared" si="23"/>
        <v>0.98834047093987465</v>
      </c>
      <c r="AA66" s="2">
        <f t="shared" si="16"/>
        <v>1.3677003973810997E-9</v>
      </c>
      <c r="AB66" s="2">
        <f t="shared" si="24"/>
        <v>0.98834047466516495</v>
      </c>
      <c r="AC66" s="2">
        <f t="shared" si="17"/>
        <v>-2.544737087717408E-9</v>
      </c>
      <c r="AD66" s="2">
        <f t="shared" si="19"/>
        <v>0.9883404728025198</v>
      </c>
      <c r="AE66" s="2">
        <f t="shared" si="18"/>
        <v>-5.8851834516815416E-10</v>
      </c>
      <c r="AF66" s="2">
        <f t="shared" si="20"/>
        <v>-8.0491677455255165E-19</v>
      </c>
      <c r="AG66" s="2">
        <f t="shared" si="21"/>
        <v>1.4976244597514769E-18</v>
      </c>
      <c r="AH66" s="2">
        <f t="shared" si="22"/>
        <v>3.7252902984619141E-9</v>
      </c>
    </row>
    <row r="67" spans="2:34" x14ac:dyDescent="0.2">
      <c r="B67" s="6" t="s">
        <v>214</v>
      </c>
      <c r="C67" s="41">
        <v>1.7363179204150701E-5</v>
      </c>
      <c r="D67" s="6" t="s">
        <v>210</v>
      </c>
      <c r="Y67" s="2">
        <v>29</v>
      </c>
      <c r="Z67" s="2">
        <f t="shared" si="23"/>
        <v>0.98834047093987465</v>
      </c>
      <c r="AA67" s="2">
        <f t="shared" si="16"/>
        <v>1.3677003973810997E-9</v>
      </c>
      <c r="AB67" s="2">
        <f t="shared" si="24"/>
        <v>0.9883404728025198</v>
      </c>
      <c r="AC67" s="2">
        <f t="shared" si="17"/>
        <v>-5.8851834516815416E-10</v>
      </c>
      <c r="AD67" s="2">
        <f t="shared" si="19"/>
        <v>0.98834047187119722</v>
      </c>
      <c r="AE67" s="2">
        <f t="shared" si="18"/>
        <v>3.8959102610647278E-10</v>
      </c>
      <c r="AF67" s="2">
        <f t="shared" si="20"/>
        <v>5.3284380122193322E-19</v>
      </c>
      <c r="AG67" s="2">
        <f t="shared" si="21"/>
        <v>-2.2928146597654451E-19</v>
      </c>
      <c r="AH67" s="2">
        <f t="shared" si="22"/>
        <v>1.862645149230957E-9</v>
      </c>
    </row>
    <row r="68" spans="2:34" x14ac:dyDescent="0.2">
      <c r="B68" s="6" t="s">
        <v>132</v>
      </c>
      <c r="C68" s="17">
        <v>333.91694458017901</v>
      </c>
      <c r="D68" s="6" t="s">
        <v>10</v>
      </c>
      <c r="Y68" s="2">
        <v>30</v>
      </c>
      <c r="Z68" s="2">
        <f t="shared" si="23"/>
        <v>0.98834047187119722</v>
      </c>
      <c r="AA68" s="2">
        <f t="shared" si="16"/>
        <v>3.8959102610647278E-10</v>
      </c>
      <c r="AB68" s="2">
        <f t="shared" si="24"/>
        <v>0.9883404728025198</v>
      </c>
      <c r="AC68" s="2">
        <f t="shared" si="17"/>
        <v>-5.8851834516815416E-10</v>
      </c>
      <c r="AD68" s="5">
        <f t="shared" si="19"/>
        <v>0.98834047233685851</v>
      </c>
      <c r="AE68" s="2">
        <f t="shared" si="18"/>
        <v>-9.9463659530840687E-11</v>
      </c>
      <c r="AF68" s="2">
        <f t="shared" si="20"/>
        <v>-3.8750149176925074E-20</v>
      </c>
      <c r="AG68" s="2">
        <f t="shared" si="21"/>
        <v>5.8536188311459065E-20</v>
      </c>
      <c r="AH68" s="2">
        <f t="shared" si="22"/>
        <v>9.3132257461547852E-10</v>
      </c>
    </row>
    <row r="69" spans="2:34" x14ac:dyDescent="0.2">
      <c r="B69" s="6" t="s">
        <v>17</v>
      </c>
      <c r="C69" s="1">
        <v>9.80149119240094</v>
      </c>
      <c r="D69" s="6" t="s">
        <v>18</v>
      </c>
    </row>
    <row r="71" spans="2:34" x14ac:dyDescent="0.2">
      <c r="B71" s="54" t="s">
        <v>273</v>
      </c>
      <c r="C71" s="55"/>
      <c r="D71" s="55"/>
    </row>
    <row r="72" spans="2:34" x14ac:dyDescent="0.2">
      <c r="B72" s="6" t="s">
        <v>15</v>
      </c>
      <c r="C72" s="17">
        <v>1.00854450666398</v>
      </c>
      <c r="D72" s="6" t="s">
        <v>16</v>
      </c>
    </row>
    <row r="73" spans="2:34" x14ac:dyDescent="0.2">
      <c r="B73" s="6" t="s">
        <v>214</v>
      </c>
      <c r="C73" s="41">
        <v>1.7265641515845801E-5</v>
      </c>
      <c r="D73" s="6" t="s">
        <v>210</v>
      </c>
    </row>
    <row r="74" spans="2:34" x14ac:dyDescent="0.2">
      <c r="B74" s="6" t="s">
        <v>132</v>
      </c>
      <c r="C74" s="17">
        <v>332.721752148093</v>
      </c>
      <c r="D74" s="6" t="s">
        <v>10</v>
      </c>
    </row>
    <row r="75" spans="2:34" x14ac:dyDescent="0.2">
      <c r="B75" s="6" t="s">
        <v>17</v>
      </c>
      <c r="C75" s="1">
        <v>9.8005536647414697</v>
      </c>
      <c r="D75" s="6" t="s">
        <v>18</v>
      </c>
    </row>
    <row r="77" spans="2:34" x14ac:dyDescent="0.2">
      <c r="B77" s="54" t="s">
        <v>74</v>
      </c>
      <c r="C77" s="54"/>
      <c r="D77" s="54"/>
    </row>
    <row r="78" spans="2:34" x14ac:dyDescent="0.2">
      <c r="B78" s="6" t="s">
        <v>264</v>
      </c>
      <c r="C78" s="17">
        <v>30</v>
      </c>
    </row>
    <row r="79" spans="2:34" x14ac:dyDescent="0.2">
      <c r="B79" s="6" t="s">
        <v>266</v>
      </c>
      <c r="C79" s="17">
        <v>0.8</v>
      </c>
    </row>
    <row r="80" spans="2:34" x14ac:dyDescent="0.2">
      <c r="B80" s="6" t="s">
        <v>267</v>
      </c>
      <c r="C80" s="17">
        <v>0.8</v>
      </c>
    </row>
    <row r="81" spans="2:4" x14ac:dyDescent="0.2">
      <c r="B81" s="6" t="s">
        <v>268</v>
      </c>
      <c r="C81" s="17">
        <v>0.8</v>
      </c>
    </row>
    <row r="82" spans="2:4" x14ac:dyDescent="0.2">
      <c r="B82" s="6" t="s">
        <v>258</v>
      </c>
      <c r="C82" s="17">
        <v>5</v>
      </c>
      <c r="D82" s="6" t="s">
        <v>43</v>
      </c>
    </row>
  </sheetData>
  <mergeCells count="24">
    <mergeCell ref="R18:T18"/>
    <mergeCell ref="B21:D21"/>
    <mergeCell ref="F26:H26"/>
    <mergeCell ref="B28:D28"/>
    <mergeCell ref="B1:D1"/>
    <mergeCell ref="B3:D3"/>
    <mergeCell ref="F3:H3"/>
    <mergeCell ref="J3:L3"/>
    <mergeCell ref="R3:T3"/>
    <mergeCell ref="J9:L9"/>
    <mergeCell ref="B60:D60"/>
    <mergeCell ref="B65:D65"/>
    <mergeCell ref="B71:D71"/>
    <mergeCell ref="B77:D77"/>
    <mergeCell ref="N3:P3"/>
    <mergeCell ref="N18:P18"/>
    <mergeCell ref="B35:D35"/>
    <mergeCell ref="B40:D40"/>
    <mergeCell ref="J41:L41"/>
    <mergeCell ref="B46:D46"/>
    <mergeCell ref="B49:D49"/>
    <mergeCell ref="B54:D54"/>
    <mergeCell ref="F16:H16"/>
    <mergeCell ref="B16:D16"/>
  </mergeCells>
  <conditionalFormatting sqref="K31">
    <cfRule type="containsText" dxfId="17" priority="1" operator="containsText" text="FALSE">
      <formula>NOT(ISERROR(SEARCH("FALSE",K31)))</formula>
    </cfRule>
    <cfRule type="containsText" dxfId="16" priority="2" operator="containsText" text="TRUE">
      <formula>NOT(ISERROR(SEARCH("TRUE",K31)))</formula>
    </cfRule>
    <cfRule type="cellIs" dxfId="15" priority="3" operator="equal">
      <formula>1</formula>
    </cfRule>
    <cfRule type="cellIs" dxfId="14" priority="4" operator="equal">
      <formula>TRUE</formula>
    </cfRule>
    <cfRule type="containsText" dxfId="13" priority="5" operator="containsText" text="YES">
      <formula>NOT(ISERROR(SEARCH("YES",K31)))</formula>
    </cfRule>
    <cfRule type="cellIs" dxfId="12" priority="6" operator="equal">
      <formula>"""YES"""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5AA02-1E62-EB44-9405-A51AF8F8C1C2}">
  <dimension ref="B1:CI136"/>
  <sheetViews>
    <sheetView tabSelected="1" zoomScale="88" workbookViewId="0">
      <selection activeCell="N18" sqref="N18:P18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2.1640625" style="6" bestFit="1" customWidth="1"/>
    <col min="4" max="4" width="7.1640625" style="6" customWidth="1"/>
    <col min="5" max="5" width="5.6640625" style="6" customWidth="1"/>
    <col min="6" max="6" width="20.332031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4.33203125" style="6" customWidth="1"/>
    <col min="12" max="12" width="5" style="6" customWidth="1"/>
    <col min="13" max="13" width="6" style="6" customWidth="1"/>
    <col min="14" max="14" width="15.1640625" style="6" customWidth="1"/>
    <col min="15" max="15" width="11.6640625" style="6" customWidth="1"/>
    <col min="16" max="16" width="6.33203125" style="6" customWidth="1"/>
    <col min="17" max="17" width="7.1640625" style="6" customWidth="1"/>
    <col min="18" max="18" width="4" style="6" customWidth="1"/>
    <col min="19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8.5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6" width="10.83203125" style="2"/>
    <col min="37" max="38" width="11" style="2" bestFit="1" customWidth="1"/>
    <col min="39" max="41" width="11.1640625" style="2" bestFit="1" customWidth="1"/>
    <col min="42" max="42" width="10.83203125" style="6"/>
    <col min="43" max="43" width="12" style="6" customWidth="1"/>
    <col min="44" max="44" width="11.33203125" style="6" customWidth="1"/>
    <col min="45" max="45" width="6.6640625" style="6" customWidth="1"/>
    <col min="46" max="46" width="11" style="6" bestFit="1" customWidth="1"/>
    <col min="47" max="47" width="13.1640625" style="6" bestFit="1" customWidth="1"/>
    <col min="48" max="48" width="18.33203125" style="6" customWidth="1"/>
    <col min="49" max="49" width="12.83203125" style="6" bestFit="1" customWidth="1"/>
    <col min="50" max="51" width="12.6640625" style="6" bestFit="1" customWidth="1"/>
    <col min="52" max="52" width="12.1640625" style="6" bestFit="1" customWidth="1"/>
    <col min="53" max="53" width="12.83203125" style="6" bestFit="1" customWidth="1"/>
    <col min="54" max="54" width="12.1640625" style="6" bestFit="1" customWidth="1"/>
    <col min="55" max="56" width="12.83203125" style="6" bestFit="1" customWidth="1"/>
    <col min="57" max="57" width="11.1640625" style="6" bestFit="1" customWidth="1"/>
    <col min="58" max="59" width="10.83203125" style="6"/>
    <col min="60" max="60" width="11.1640625" style="6" bestFit="1" customWidth="1"/>
    <col min="61" max="63" width="10.83203125" style="6"/>
    <col min="64" max="64" width="11" style="6" bestFit="1" customWidth="1"/>
    <col min="65" max="16384" width="10.83203125" style="6"/>
  </cols>
  <sheetData>
    <row r="1" spans="2:87" x14ac:dyDescent="0.2">
      <c r="B1" s="60" t="s">
        <v>0</v>
      </c>
      <c r="C1" s="60"/>
      <c r="D1" s="60"/>
    </row>
    <row r="2" spans="2:87" x14ac:dyDescent="0.2">
      <c r="U2" s="16" t="s">
        <v>96</v>
      </c>
      <c r="AF2" s="48" t="s">
        <v>226</v>
      </c>
      <c r="AQ2" s="61" t="s">
        <v>137</v>
      </c>
      <c r="AR2" s="61"/>
      <c r="AS2" s="61"/>
      <c r="AU2" s="61" t="s">
        <v>138</v>
      </c>
      <c r="AV2" s="61"/>
      <c r="AW2" s="61"/>
      <c r="AY2" s="61" t="s">
        <v>139</v>
      </c>
      <c r="AZ2" s="61"/>
      <c r="BA2" s="61"/>
      <c r="BB2" s="61"/>
      <c r="BC2" s="61"/>
      <c r="BD2" s="61"/>
      <c r="BE2" s="61"/>
      <c r="BG2" s="61" t="s">
        <v>140</v>
      </c>
      <c r="BH2" s="61"/>
      <c r="BI2" s="61"/>
      <c r="BJ2" s="61"/>
      <c r="BK2" s="61"/>
      <c r="BL2" s="61"/>
      <c r="BM2" s="61"/>
      <c r="BO2" s="61" t="s">
        <v>141</v>
      </c>
      <c r="BP2" s="61"/>
      <c r="BQ2" s="61"/>
      <c r="BR2" s="61"/>
      <c r="BS2" s="61"/>
      <c r="BT2" s="61"/>
      <c r="BU2" s="61"/>
      <c r="BV2" s="61"/>
      <c r="BW2" s="61"/>
      <c r="BX2" s="61"/>
      <c r="BZ2" s="61" t="s">
        <v>142</v>
      </c>
      <c r="CA2" s="61"/>
      <c r="CB2" s="61"/>
      <c r="CC2" s="61"/>
      <c r="CD2" s="61"/>
      <c r="CE2" s="61"/>
      <c r="CF2" s="61"/>
      <c r="CG2" s="61"/>
      <c r="CH2" s="61"/>
      <c r="CI2" s="61"/>
    </row>
    <row r="3" spans="2:87" x14ac:dyDescent="0.2">
      <c r="B3" s="54" t="s">
        <v>127</v>
      </c>
      <c r="C3" s="55"/>
      <c r="D3" s="55"/>
      <c r="F3" s="57" t="s">
        <v>83</v>
      </c>
      <c r="G3" s="58"/>
      <c r="H3" s="58"/>
      <c r="J3" s="54" t="s">
        <v>101</v>
      </c>
      <c r="K3" s="54"/>
      <c r="L3" s="54"/>
      <c r="N3" s="54" t="s">
        <v>95</v>
      </c>
      <c r="O3" s="54"/>
      <c r="P3" s="54"/>
      <c r="U3" s="7" t="s">
        <v>44</v>
      </c>
      <c r="V3" s="7" t="s">
        <v>45</v>
      </c>
      <c r="W3" s="7" t="s">
        <v>46</v>
      </c>
      <c r="X3" s="7" t="s">
        <v>47</v>
      </c>
      <c r="Y3" s="7" t="s">
        <v>48</v>
      </c>
      <c r="Z3" s="7" t="s">
        <v>49</v>
      </c>
      <c r="AA3" s="7" t="s">
        <v>50</v>
      </c>
      <c r="AB3" s="7" t="s">
        <v>51</v>
      </c>
      <c r="AC3" s="7" t="s">
        <v>52</v>
      </c>
      <c r="AD3" s="7" t="s">
        <v>53</v>
      </c>
      <c r="AF3" s="7" t="s">
        <v>44</v>
      </c>
      <c r="AG3" s="7" t="s">
        <v>45</v>
      </c>
      <c r="AH3" s="7" t="s">
        <v>46</v>
      </c>
      <c r="AI3" s="7" t="s">
        <v>47</v>
      </c>
      <c r="AJ3" s="7" t="s">
        <v>48</v>
      </c>
      <c r="AK3" s="7" t="s">
        <v>49</v>
      </c>
      <c r="AL3" s="7" t="s">
        <v>50</v>
      </c>
      <c r="AM3" s="7" t="s">
        <v>51</v>
      </c>
      <c r="AN3" s="7" t="s">
        <v>52</v>
      </c>
      <c r="AO3" s="7" t="s">
        <v>53</v>
      </c>
      <c r="AQ3" s="2" t="s">
        <v>144</v>
      </c>
      <c r="AR3" s="2">
        <f>$G$4</f>
        <v>2.54</v>
      </c>
      <c r="AS3" s="26" t="s">
        <v>10</v>
      </c>
      <c r="AU3" s="2" t="s">
        <v>145</v>
      </c>
      <c r="AV3" s="2">
        <f>0.5*AR9</f>
        <v>1.524</v>
      </c>
      <c r="AW3" s="26" t="s">
        <v>8</v>
      </c>
      <c r="AY3" s="63" t="s">
        <v>146</v>
      </c>
      <c r="AZ3" s="63"/>
      <c r="BA3" s="63"/>
      <c r="BC3" s="63" t="s">
        <v>147</v>
      </c>
      <c r="BD3" s="63"/>
      <c r="BE3" s="63"/>
      <c r="BG3" s="63" t="s">
        <v>146</v>
      </c>
      <c r="BH3" s="63"/>
      <c r="BI3" s="63"/>
      <c r="BJ3" s="2"/>
      <c r="BK3" s="63" t="s">
        <v>147</v>
      </c>
      <c r="BL3" s="63"/>
      <c r="BM3" s="63"/>
      <c r="BO3" s="7" t="s">
        <v>44</v>
      </c>
      <c r="BP3" s="7" t="s">
        <v>45</v>
      </c>
      <c r="BQ3" s="7" t="s">
        <v>46</v>
      </c>
      <c r="BR3" s="7" t="s">
        <v>47</v>
      </c>
      <c r="BS3" s="7" t="s">
        <v>48</v>
      </c>
      <c r="BT3" s="7" t="s">
        <v>49</v>
      </c>
      <c r="BU3" s="7" t="s">
        <v>50</v>
      </c>
      <c r="BV3" s="7" t="s">
        <v>51</v>
      </c>
      <c r="BW3" s="7" t="s">
        <v>52</v>
      </c>
      <c r="BX3" s="7" t="s">
        <v>53</v>
      </c>
      <c r="BZ3" s="7" t="s">
        <v>44</v>
      </c>
      <c r="CA3" s="7" t="s">
        <v>45</v>
      </c>
      <c r="CB3" s="7" t="s">
        <v>46</v>
      </c>
      <c r="CC3" s="7" t="s">
        <v>47</v>
      </c>
      <c r="CD3" s="7" t="s">
        <v>48</v>
      </c>
      <c r="CE3" s="7" t="s">
        <v>49</v>
      </c>
      <c r="CF3" s="7" t="s">
        <v>50</v>
      </c>
      <c r="CG3" s="7" t="s">
        <v>51</v>
      </c>
      <c r="CH3" s="7" t="s">
        <v>52</v>
      </c>
      <c r="CI3" s="7" t="s">
        <v>53</v>
      </c>
    </row>
    <row r="4" spans="2:87" x14ac:dyDescent="0.2">
      <c r="B4" s="6" t="s">
        <v>39</v>
      </c>
      <c r="C4" s="3" t="s">
        <v>227</v>
      </c>
      <c r="F4" s="6" t="s">
        <v>87</v>
      </c>
      <c r="G4" s="17">
        <f>500*0.3048/60</f>
        <v>2.54</v>
      </c>
      <c r="H4" s="6" t="s">
        <v>10</v>
      </c>
      <c r="J4" s="6" t="s">
        <v>102</v>
      </c>
      <c r="K4" s="6">
        <f>(1+$C$26/100)*MAX(G13,G27)</f>
        <v>1181.6167673410989</v>
      </c>
      <c r="L4" s="6" t="s">
        <v>104</v>
      </c>
      <c r="N4" s="6" t="s">
        <v>228</v>
      </c>
      <c r="O4" s="6">
        <f xml:space="preserve"> $C$5 * $C$69</f>
        <v>27121.817716742786</v>
      </c>
      <c r="P4" s="6" t="s">
        <v>22</v>
      </c>
      <c r="U4" s="2">
        <v>0</v>
      </c>
      <c r="V4" s="3">
        <v>0</v>
      </c>
      <c r="W4" s="2">
        <f t="shared" ref="W4:W34" si="0" xml:space="preserve"> $O$22 * TAN($O$19/180*PI()) + $O$23 / (2 * SQRT($O$22^2 + V4^2)) - V4</f>
        <v>1.6725606890889162</v>
      </c>
      <c r="X4" s="3">
        <v>1</v>
      </c>
      <c r="Y4" s="2">
        <f t="shared" ref="Y4:Y34" si="1" xml:space="preserve"> $O$22 * TAN($O$19/180*PI()) + $O$23 / (2 * SQRT($O$22^2 + X4^2)) - X4</f>
        <v>-1.5803368544599072E-3</v>
      </c>
      <c r="Z4" s="2">
        <f xml:space="preserve"> (V4 + X4)/2</f>
        <v>0.5</v>
      </c>
      <c r="AA4" s="2">
        <f t="shared" ref="AA4:AA34" si="2" xml:space="preserve"> $O$22 * TAN($O$19/180*PI()) + $O$23 / (2 * SQRT($O$22^2 + Z4^2)) - Z4</f>
        <v>0.55730405923120307</v>
      </c>
      <c r="AB4" s="2">
        <f>W4*AA4</f>
        <v>0.93212486133979122</v>
      </c>
      <c r="AC4" s="2">
        <f>Y4*AA4</f>
        <v>-8.8072814394317726E-4</v>
      </c>
      <c r="AD4" s="2">
        <f>X4-V4</f>
        <v>1</v>
      </c>
      <c r="AF4" s="2">
        <v>0</v>
      </c>
      <c r="AH4" s="2">
        <f>K30</f>
        <v>-5.7158404622441594E-2</v>
      </c>
      <c r="AJ4" s="2">
        <f>K30</f>
        <v>-5.7158404622441594E-2</v>
      </c>
      <c r="AL4" s="2">
        <f>K30</f>
        <v>-5.7158404622441594E-2</v>
      </c>
      <c r="AQ4" s="2" t="s">
        <v>151</v>
      </c>
      <c r="AR4" s="2">
        <f>$C$6</f>
        <v>715.01380922507701</v>
      </c>
      <c r="AS4" s="26" t="s">
        <v>134</v>
      </c>
      <c r="AU4" s="2" t="s">
        <v>152</v>
      </c>
      <c r="AV4" s="2">
        <f>PI()*AV3^2</f>
        <v>7.2965876990039682</v>
      </c>
      <c r="AW4" s="26" t="s">
        <v>11</v>
      </c>
      <c r="AY4" s="2" t="s">
        <v>153</v>
      </c>
      <c r="AZ4" s="2">
        <f>2*($AR$19 - $AR$10)</f>
        <v>0.15049500000000005</v>
      </c>
      <c r="BA4" s="26" t="s">
        <v>8</v>
      </c>
      <c r="BC4" s="2" t="s">
        <v>153</v>
      </c>
      <c r="BD4" s="2">
        <f>$AR$20-$AR$19</f>
        <v>0.15049500000000005</v>
      </c>
      <c r="BE4" s="26" t="s">
        <v>8</v>
      </c>
      <c r="BG4" s="28" t="s">
        <v>154</v>
      </c>
      <c r="BH4" s="29">
        <f>BT34</f>
        <v>0.43754530364021932</v>
      </c>
      <c r="BI4" s="5" t="s">
        <v>155</v>
      </c>
      <c r="BJ4" s="2"/>
      <c r="BK4" s="28" t="s">
        <v>154</v>
      </c>
      <c r="BL4" s="29">
        <f>CE34</f>
        <v>0.3731178420742966</v>
      </c>
      <c r="BM4" s="5" t="s">
        <v>155</v>
      </c>
      <c r="BO4" s="30">
        <v>0</v>
      </c>
      <c r="BP4" s="30"/>
      <c r="BQ4" s="30">
        <f>$BH$20</f>
        <v>9.5666461558119309E-9</v>
      </c>
      <c r="BR4" s="30"/>
      <c r="BS4" s="30">
        <f>$BH$20</f>
        <v>9.5666461558119309E-9</v>
      </c>
      <c r="BT4" s="30"/>
      <c r="BU4" s="30">
        <f>$BH$20</f>
        <v>9.5666461558119309E-9</v>
      </c>
      <c r="BV4" s="30"/>
      <c r="BW4" s="30"/>
      <c r="BX4" s="30"/>
      <c r="BZ4" s="30">
        <v>0</v>
      </c>
      <c r="CA4" s="30"/>
      <c r="CB4" s="30">
        <f>$BL$20</f>
        <v>-8.0443028627197322E-10</v>
      </c>
      <c r="CC4" s="30"/>
      <c r="CD4" s="30">
        <f>$BL$20</f>
        <v>-8.0443028627197322E-10</v>
      </c>
      <c r="CE4" s="30"/>
      <c r="CF4" s="30">
        <f>$BL$20</f>
        <v>-8.0443028627197322E-10</v>
      </c>
      <c r="CG4" s="30"/>
      <c r="CH4" s="30"/>
      <c r="CI4" s="30"/>
    </row>
    <row r="5" spans="2:87" x14ac:dyDescent="0.2">
      <c r="B5" s="10" t="s">
        <v>40</v>
      </c>
      <c r="C5" s="10">
        <v>2767.1113695200002</v>
      </c>
      <c r="D5" s="10" t="s">
        <v>7</v>
      </c>
      <c r="F5" s="6" t="s">
        <v>90</v>
      </c>
      <c r="G5" s="17">
        <f>1000*0.3048</f>
        <v>304.8</v>
      </c>
      <c r="H5" s="6" t="s">
        <v>8</v>
      </c>
      <c r="J5" s="6" t="s">
        <v>103</v>
      </c>
      <c r="K5" s="6">
        <f>K4/$C$22</f>
        <v>147.70209591763737</v>
      </c>
      <c r="L5" s="6" t="s">
        <v>104</v>
      </c>
      <c r="N5" s="6" t="s">
        <v>25</v>
      </c>
      <c r="O5" s="6">
        <f xml:space="preserve"> 0.5 * $C$72 * $C$8^2</f>
        <v>1260.6806333299751</v>
      </c>
      <c r="P5" s="6" t="s">
        <v>26</v>
      </c>
      <c r="U5" s="2">
        <v>1</v>
      </c>
      <c r="V5" s="2">
        <f>IF(AB4&gt;0, Z4, V4)</f>
        <v>0.5</v>
      </c>
      <c r="W5" s="2">
        <f t="shared" si="0"/>
        <v>0.55730405923120307</v>
      </c>
      <c r="X5" s="2">
        <f>IF(AC4&gt;0, Z4, X4)</f>
        <v>1</v>
      </c>
      <c r="Y5" s="2">
        <f t="shared" si="1"/>
        <v>-1.5803368544599072E-3</v>
      </c>
      <c r="Z5" s="2">
        <f t="shared" ref="Z5:Z34" si="3" xml:space="preserve"> (V5 + X5)/2</f>
        <v>0.75</v>
      </c>
      <c r="AA5" s="2">
        <f t="shared" si="2"/>
        <v>0.26823627782292991</v>
      </c>
      <c r="AB5" s="2">
        <f t="shared" ref="AB5:AB34" si="4">W5*AA5</f>
        <v>0.14948916646378757</v>
      </c>
      <c r="AC5" s="2">
        <f t="shared" ref="AC5:AC34" si="5">Y5*AA5</f>
        <v>-4.2390367554672283E-4</v>
      </c>
      <c r="AD5" s="2">
        <f t="shared" ref="AD5:AD34" si="6">X5-V5</f>
        <v>0.5</v>
      </c>
      <c r="AF5" s="2">
        <v>1</v>
      </c>
      <c r="AG5" s="3">
        <v>500</v>
      </c>
      <c r="AH5" s="2">
        <f t="dataTable" ref="AH5:AH44" dt2D="0" dtr="0" r1="C5"/>
        <v>-1224.8611032856479</v>
      </c>
      <c r="AI5" s="3">
        <v>5000</v>
      </c>
      <c r="AJ5" s="2">
        <f t="dataTable" ref="AJ5:AJ44" dt2D="0" dtr="0" r1="C5" ca="1"/>
        <v>1326.9958523060213</v>
      </c>
      <c r="AK5" s="2">
        <f>(AG5+AI5)/2</f>
        <v>2750</v>
      </c>
      <c r="AL5" s="2">
        <f t="dataTable" ref="AL5:AL44" dt2D="0" dtr="0" r1="C5" ca="1"/>
        <v>-8.3610610358596205</v>
      </c>
      <c r="AM5" s="2">
        <f>AH5*AL5</f>
        <v>10241.138445021657</v>
      </c>
      <c r="AN5" s="2">
        <f>AJ5*AL5</f>
        <v>-11095.093315463202</v>
      </c>
      <c r="AO5" s="2">
        <f>AI5-AG5</f>
        <v>4500</v>
      </c>
      <c r="AQ5" s="2" t="s">
        <v>157</v>
      </c>
      <c r="AR5" s="3">
        <v>21.026164792798301</v>
      </c>
      <c r="AS5" s="26" t="s">
        <v>43</v>
      </c>
      <c r="AU5" s="2" t="s">
        <v>29</v>
      </c>
      <c r="AV5" s="2">
        <f>AR4*2*PI()/60</f>
        <v>74.876071009225186</v>
      </c>
      <c r="AW5" s="26" t="s">
        <v>30</v>
      </c>
      <c r="AY5" s="2" t="s">
        <v>158</v>
      </c>
      <c r="AZ5" s="2">
        <f>(1+$BH$18)*$AR$3</f>
        <v>11.211241845385157</v>
      </c>
      <c r="BA5" s="26" t="s">
        <v>10</v>
      </c>
      <c r="BC5" s="2" t="s">
        <v>158</v>
      </c>
      <c r="BD5" s="2">
        <f>(1+$BL$18)*$AR$3</f>
        <v>13.864204586466526</v>
      </c>
      <c r="BE5" s="26" t="s">
        <v>10</v>
      </c>
      <c r="BG5" s="2" t="s">
        <v>159</v>
      </c>
      <c r="BH5" s="2">
        <f>($AR$35+$AR$5)/180*PI()</f>
        <v>0.49542112934019933</v>
      </c>
      <c r="BI5" s="2" t="s">
        <v>155</v>
      </c>
      <c r="BJ5" s="2"/>
      <c r="BK5" s="2" t="s">
        <v>159</v>
      </c>
      <c r="BL5" s="2">
        <f>($AR$36+$AR$5)/180*PI()</f>
        <v>0.46956843979503338</v>
      </c>
      <c r="BM5" s="2" t="s">
        <v>155</v>
      </c>
      <c r="BO5" s="2">
        <v>1</v>
      </c>
      <c r="BP5" s="3">
        <f>0.01*PI()</f>
        <v>3.1415926535897934E-2</v>
      </c>
      <c r="BQ5" s="2">
        <f t="dataTable" ref="BQ5:BQ34" dt2D="0" dtr="0" r1="BH4" ca="1"/>
        <v>-6.5382402506035238</v>
      </c>
      <c r="BR5" s="3">
        <f>0.9*PI()</f>
        <v>2.8274333882308138</v>
      </c>
      <c r="BS5" s="2">
        <f t="dataTable" ref="BS5:BS34" dt2D="0" dtr="0" r1="BH4" ca="1"/>
        <v>0.96107472847316744</v>
      </c>
      <c r="BT5" s="2">
        <f t="shared" ref="BT5:BT34" si="7">(BP5+BR5)/2</f>
        <v>1.4294246573833558</v>
      </c>
      <c r="BU5" s="2">
        <f t="dataTable" ref="BU5:BU34" dt2D="0" dtr="0" r1="BH4" ca="1"/>
        <v>1.3750910818798281</v>
      </c>
      <c r="BV5" s="2">
        <f t="shared" ref="BV5:BV34" si="8">BQ5*BU5</f>
        <v>-8.9906758597926384</v>
      </c>
      <c r="BW5" s="2">
        <f t="shared" ref="BW5:BW34" si="9">BS5*BU5</f>
        <v>1.3215652881435298</v>
      </c>
      <c r="BX5" s="2">
        <f t="shared" ref="BX5:BX34" si="10">BR5-BP5</f>
        <v>2.7960174616949161</v>
      </c>
      <c r="BZ5" s="2">
        <v>1</v>
      </c>
      <c r="CA5" s="3">
        <f>0.01*PI()</f>
        <v>3.1415926535897934E-2</v>
      </c>
      <c r="CB5" s="2">
        <f t="dataTable" ref="CB5:CB34" dt2D="0" dtr="0" r1="BL4" ca="1"/>
        <v>-4.5935628458208937</v>
      </c>
      <c r="CC5" s="3">
        <f>0.9*PI()</f>
        <v>2.8274333882308138</v>
      </c>
      <c r="CD5" s="2">
        <f t="dataTable" ref="CD5:CD34" dt2D="0" dtr="0" r1="BL4" ca="1"/>
        <v>0.67109589326360564</v>
      </c>
      <c r="CE5" s="2">
        <f t="shared" ref="CE5:CE34" si="11">(CA5+CC5)/2</f>
        <v>1.4294246573833558</v>
      </c>
      <c r="CF5" s="2">
        <f t="dataTable" ref="CF5:CF34" dt2D="0" dtr="0" r1="BL4" ca="1"/>
        <v>1.1955258556239099</v>
      </c>
      <c r="CG5" s="2">
        <f t="shared" ref="CG5:CG34" si="12">CB5*CF5</f>
        <v>-5.4917231516122262</v>
      </c>
      <c r="CH5" s="2">
        <f t="shared" ref="CH5:CH34" si="13">CD5*CF5</f>
        <v>0.80231249199966426</v>
      </c>
      <c r="CI5" s="2">
        <f t="shared" ref="CI5:CI34" si="14">CC5-CA5</f>
        <v>2.7960174616949161</v>
      </c>
    </row>
    <row r="6" spans="2:87" x14ac:dyDescent="0.2">
      <c r="B6" s="10" t="s">
        <v>270</v>
      </c>
      <c r="C6" s="10">
        <v>715.01380922507701</v>
      </c>
      <c r="D6" s="10" t="s">
        <v>134</v>
      </c>
      <c r="F6" s="6" t="s">
        <v>91</v>
      </c>
      <c r="G6" s="6">
        <f xml:space="preserve"> $G$5/$G$4</f>
        <v>120</v>
      </c>
      <c r="H6" s="6" t="s">
        <v>14</v>
      </c>
      <c r="J6" s="6" t="s">
        <v>229</v>
      </c>
      <c r="K6" s="6">
        <f>(1+$C$33/100)*MAX(G20)</f>
        <v>164.8129212685034</v>
      </c>
      <c r="L6" s="6" t="s">
        <v>104</v>
      </c>
      <c r="N6" s="6" t="s">
        <v>119</v>
      </c>
      <c r="O6" s="6">
        <f xml:space="preserve"> ($C$22+$C$29) * 0.4 * ($C$5/($C$22+$C$29) *2.20462/1000)^(2/3) * 0.3048^2</f>
        <v>0.2580740521660691</v>
      </c>
      <c r="P6" s="6" t="s">
        <v>120</v>
      </c>
      <c r="U6" s="2">
        <v>2</v>
      </c>
      <c r="V6" s="2">
        <f t="shared" ref="V6:V34" si="15">IF(AB5&gt;0, Z5, V5)</f>
        <v>0.75</v>
      </c>
      <c r="W6" s="2">
        <f t="shared" si="0"/>
        <v>0.26823627782292991</v>
      </c>
      <c r="X6" s="2">
        <f t="shared" ref="X6:X34" si="16">IF(AC5&gt;0, Z5, X5)</f>
        <v>1</v>
      </c>
      <c r="Y6" s="2">
        <f t="shared" si="1"/>
        <v>-1.5803368544599072E-3</v>
      </c>
      <c r="Z6" s="2">
        <f t="shared" si="3"/>
        <v>0.875</v>
      </c>
      <c r="AA6" s="2">
        <f t="shared" si="2"/>
        <v>0.13193127837877849</v>
      </c>
      <c r="AB6" s="2">
        <f t="shared" si="4"/>
        <v>3.5388755040744332E-2</v>
      </c>
      <c r="AC6" s="2">
        <f t="shared" si="5"/>
        <v>-2.0849586147799316E-4</v>
      </c>
      <c r="AD6" s="2">
        <f t="shared" si="6"/>
        <v>0.25</v>
      </c>
      <c r="AF6" s="2">
        <v>2</v>
      </c>
      <c r="AG6" s="2">
        <f>IF(AM5&gt;0,AK5,AG5)</f>
        <v>2750</v>
      </c>
      <c r="AH6" s="2">
        <v>-8.3610610358596205</v>
      </c>
      <c r="AI6" s="2">
        <f>IF(AN5&gt;0,AK5,AI5)</f>
        <v>5000</v>
      </c>
      <c r="AJ6" s="2">
        <v>1326.9958523060213</v>
      </c>
      <c r="AK6" s="2">
        <f t="shared" ref="AK6:AK44" si="17">(AG6+AI6)/2</f>
        <v>3875</v>
      </c>
      <c r="AL6" s="2">
        <v>859.37489266780494</v>
      </c>
      <c r="AM6" s="2">
        <f t="shared" ref="AM6:AM44" si="18">AH6*AL6</f>
        <v>-7185.2859302808274</v>
      </c>
      <c r="AN6" s="2">
        <f t="shared" ref="AN6:AN44" si="19">AJ6*AL6</f>
        <v>1140386.9181461094</v>
      </c>
      <c r="AO6" s="2">
        <f t="shared" ref="AO6:AO44" si="20">AI6-AG6</f>
        <v>2250</v>
      </c>
      <c r="AQ6" s="2"/>
      <c r="AR6" s="2"/>
      <c r="AS6" s="26"/>
      <c r="AU6" s="2" t="s">
        <v>161</v>
      </c>
      <c r="AV6" s="2">
        <f>$AR$4/60</f>
        <v>11.91689682041795</v>
      </c>
      <c r="AW6" s="26" t="s">
        <v>162</v>
      </c>
      <c r="AY6" s="2" t="s">
        <v>163</v>
      </c>
      <c r="AZ6" s="2">
        <f>(1-$BH$19)*$AV$5*$AR$19</f>
        <v>23.966645311515055</v>
      </c>
      <c r="BA6" s="26" t="s">
        <v>10</v>
      </c>
      <c r="BC6" s="2" t="s">
        <v>163</v>
      </c>
      <c r="BD6" s="2">
        <f>(1-$BL$19)*$AV$5*$AR$20</f>
        <v>35.417163358561332</v>
      </c>
      <c r="BE6" s="26" t="s">
        <v>10</v>
      </c>
      <c r="BG6" s="2" t="s">
        <v>28</v>
      </c>
      <c r="BH6" s="2">
        <f>BH5-BH4</f>
        <v>5.787582569998001E-2</v>
      </c>
      <c r="BI6" s="2" t="s">
        <v>155</v>
      </c>
      <c r="BJ6" s="2"/>
      <c r="BK6" s="2" t="s">
        <v>28</v>
      </c>
      <c r="BL6" s="2">
        <f>BL5-BL4</f>
        <v>9.6450597720736775E-2</v>
      </c>
      <c r="BM6" s="2" t="s">
        <v>155</v>
      </c>
      <c r="BO6" s="2">
        <v>2</v>
      </c>
      <c r="BP6" s="2">
        <f t="shared" ref="BP6:BP34" si="21">IF(BV5&gt;0,BT5,BP5)</f>
        <v>3.1415926535897934E-2</v>
      </c>
      <c r="BQ6" s="2">
        <v>-6.5382402506035238</v>
      </c>
      <c r="BR6" s="2">
        <f t="shared" ref="BR6:BR34" si="22">IF(BW5&gt;0,BT5,BR5)</f>
        <v>1.4294246573833558</v>
      </c>
      <c r="BS6" s="2">
        <v>1.3750910818798281</v>
      </c>
      <c r="BT6" s="2">
        <f t="shared" si="7"/>
        <v>0.73042029195962688</v>
      </c>
      <c r="BU6" s="2">
        <v>1.1168262772774644</v>
      </c>
      <c r="BV6" s="2">
        <f t="shared" si="8"/>
        <v>-7.3020785190272095</v>
      </c>
      <c r="BW6" s="2">
        <f t="shared" si="9"/>
        <v>1.5357378538932893</v>
      </c>
      <c r="BX6" s="2">
        <f t="shared" si="10"/>
        <v>1.3980087308474578</v>
      </c>
      <c r="BZ6" s="2">
        <v>2</v>
      </c>
      <c r="CA6" s="2">
        <f t="shared" ref="CA6:CA34" si="23">IF(CG5&gt;0,CE5,CA5)</f>
        <v>3.1415926535897934E-2</v>
      </c>
      <c r="CB6" s="2">
        <v>-4.5935628458208937</v>
      </c>
      <c r="CC6" s="2">
        <f t="shared" ref="CC6:CC34" si="24">IF(CH5&gt;0,CE5,CC5)</f>
        <v>1.4294246573833558</v>
      </c>
      <c r="CD6" s="2">
        <v>1.1955258556239099</v>
      </c>
      <c r="CE6" s="2">
        <f t="shared" si="11"/>
        <v>0.73042029195962688</v>
      </c>
      <c r="CF6" s="2">
        <v>0.87175077281743318</v>
      </c>
      <c r="CG6" s="2">
        <f t="shared" si="12"/>
        <v>-4.0044419608298121</v>
      </c>
      <c r="CH6" s="2">
        <f t="shared" si="13"/>
        <v>1.0422005885633665</v>
      </c>
      <c r="CI6" s="2">
        <f t="shared" si="14"/>
        <v>1.3980087308474578</v>
      </c>
    </row>
    <row r="7" spans="2:87" x14ac:dyDescent="0.2">
      <c r="B7" s="6" t="s">
        <v>271</v>
      </c>
      <c r="C7" s="17">
        <v>370</v>
      </c>
      <c r="D7" s="6" t="s">
        <v>134</v>
      </c>
      <c r="F7" s="6" t="s">
        <v>130</v>
      </c>
      <c r="G7" s="6">
        <f>$C$6*2*PI()*$C$9/60</f>
        <v>114.11113221805918</v>
      </c>
      <c r="H7" s="6" t="s">
        <v>10</v>
      </c>
      <c r="J7" s="6" t="s">
        <v>230</v>
      </c>
      <c r="K7" s="6">
        <f>K6/$C$29</f>
        <v>164.8129212685034</v>
      </c>
      <c r="L7" s="6" t="s">
        <v>104</v>
      </c>
      <c r="N7" s="6" t="s">
        <v>121</v>
      </c>
      <c r="O7" s="6">
        <f xml:space="preserve"> O6 / $C$13</f>
        <v>1.2903702608303456E-2</v>
      </c>
      <c r="U7" s="2">
        <v>3</v>
      </c>
      <c r="V7" s="2">
        <f t="shared" si="15"/>
        <v>0.875</v>
      </c>
      <c r="W7" s="2">
        <f t="shared" si="0"/>
        <v>0.13193127837877849</v>
      </c>
      <c r="X7" s="2">
        <f t="shared" si="16"/>
        <v>1</v>
      </c>
      <c r="Y7" s="2">
        <f t="shared" si="1"/>
        <v>-1.5803368544599072E-3</v>
      </c>
      <c r="Z7" s="2">
        <f t="shared" si="3"/>
        <v>0.9375</v>
      </c>
      <c r="AA7" s="2">
        <f t="shared" si="2"/>
        <v>6.4894998334691811E-2</v>
      </c>
      <c r="AB7" s="2">
        <f t="shared" si="4"/>
        <v>8.5616800906845921E-3</v>
      </c>
      <c r="AC7" s="2">
        <f t="shared" si="5"/>
        <v>-1.0255595753842778E-4</v>
      </c>
      <c r="AD7" s="2">
        <f t="shared" si="6"/>
        <v>0.125</v>
      </c>
      <c r="AF7" s="2">
        <v>3</v>
      </c>
      <c r="AG7" s="2">
        <f t="shared" ref="AG7:AG44" si="25">IF(AM6&gt;0,AK6,AG6)</f>
        <v>2750</v>
      </c>
      <c r="AH7" s="2">
        <v>-8.3610610358596205</v>
      </c>
      <c r="AI7" s="2">
        <f t="shared" ref="AI7:AI44" si="26">IF(AN6&gt;0,AK6,AI6)</f>
        <v>3875</v>
      </c>
      <c r="AJ7" s="2">
        <v>859.37489266780494</v>
      </c>
      <c r="AK7" s="2">
        <f t="shared" si="17"/>
        <v>3312.5</v>
      </c>
      <c r="AL7" s="2">
        <v>572.66695902138554</v>
      </c>
      <c r="AM7" s="2">
        <f t="shared" si="18"/>
        <v>-4788.1033975979244</v>
      </c>
      <c r="AN7" s="2">
        <f t="shared" si="19"/>
        <v>492135.60644340143</v>
      </c>
      <c r="AO7" s="2">
        <f t="shared" si="20"/>
        <v>1125</v>
      </c>
      <c r="AQ7" s="61" t="s">
        <v>165</v>
      </c>
      <c r="AR7" s="61"/>
      <c r="AS7" s="61"/>
      <c r="AU7" s="2" t="s">
        <v>166</v>
      </c>
      <c r="AV7" s="2">
        <f>$AR$3/(AV6*AR9)</f>
        <v>6.9928719354650462E-2</v>
      </c>
      <c r="AY7" s="2" t="s">
        <v>167</v>
      </c>
      <c r="AZ7" s="2">
        <f>SQRT(AZ5^2 + AZ6^2)</f>
        <v>26.459252279754274</v>
      </c>
      <c r="BA7" s="26" t="s">
        <v>10</v>
      </c>
      <c r="BC7" s="2" t="s">
        <v>167</v>
      </c>
      <c r="BD7" s="2">
        <f>SQRT(BD5^2 + BD6^2)</f>
        <v>38.034085097217982</v>
      </c>
      <c r="BE7" s="26" t="s">
        <v>10</v>
      </c>
      <c r="BG7" s="2" t="s">
        <v>168</v>
      </c>
      <c r="BH7" s="2">
        <f>BH6/PI()*180</f>
        <v>3.3160405484436382</v>
      </c>
      <c r="BI7" s="2" t="s">
        <v>43</v>
      </c>
      <c r="BJ7" s="2"/>
      <c r="BK7" s="2" t="s">
        <v>168</v>
      </c>
      <c r="BL7" s="2">
        <f>BL6/PI()*180</f>
        <v>5.526212180912335</v>
      </c>
      <c r="BM7" s="2" t="s">
        <v>43</v>
      </c>
      <c r="BO7" s="2">
        <v>3</v>
      </c>
      <c r="BP7" s="2">
        <f t="shared" si="21"/>
        <v>3.1415926535897934E-2</v>
      </c>
      <c r="BQ7" s="2">
        <v>-6.5382402506035238</v>
      </c>
      <c r="BR7" s="2">
        <f t="shared" si="22"/>
        <v>0.73042029195962688</v>
      </c>
      <c r="BS7" s="2">
        <v>1.1168262772774644</v>
      </c>
      <c r="BT7" s="2">
        <f t="shared" si="7"/>
        <v>0.38091810924776243</v>
      </c>
      <c r="BU7" s="2">
        <v>-0.37062204897394951</v>
      </c>
      <c r="BV7" s="2">
        <f t="shared" si="8"/>
        <v>2.4232159983626271</v>
      </c>
      <c r="BW7" s="2">
        <f t="shared" si="9"/>
        <v>-0.41392044323252214</v>
      </c>
      <c r="BX7" s="2">
        <f t="shared" si="10"/>
        <v>0.6990043654237289</v>
      </c>
      <c r="BZ7" s="2">
        <v>3</v>
      </c>
      <c r="CA7" s="2">
        <f t="shared" si="23"/>
        <v>3.1415926535897934E-2</v>
      </c>
      <c r="CB7" s="2">
        <v>-4.5935628458208937</v>
      </c>
      <c r="CC7" s="2">
        <f t="shared" si="24"/>
        <v>0.73042029195962688</v>
      </c>
      <c r="CD7" s="2">
        <v>0.87175077281743318</v>
      </c>
      <c r="CE7" s="2">
        <f t="shared" si="11"/>
        <v>0.38091810924776243</v>
      </c>
      <c r="CF7" s="2">
        <v>3.2432218053505574E-2</v>
      </c>
      <c r="CG7" s="2">
        <f t="shared" si="12"/>
        <v>-0.14897943185814483</v>
      </c>
      <c r="CH7" s="2">
        <f t="shared" si="13"/>
        <v>2.8272811152326993E-2</v>
      </c>
      <c r="CI7" s="2">
        <f t="shared" si="14"/>
        <v>0.6990043654237289</v>
      </c>
    </row>
    <row r="8" spans="2:87" x14ac:dyDescent="0.2">
      <c r="B8" s="6" t="s">
        <v>9</v>
      </c>
      <c r="C8" s="17">
        <v>50</v>
      </c>
      <c r="D8" s="6" t="s">
        <v>10</v>
      </c>
      <c r="F8" s="6" t="s">
        <v>133</v>
      </c>
      <c r="G8" s="6">
        <f>G7/$C$68</f>
        <v>0.34173507535392295</v>
      </c>
      <c r="H8" s="6" t="s">
        <v>131</v>
      </c>
      <c r="N8" s="6" t="s">
        <v>123</v>
      </c>
      <c r="O8" s="17">
        <v>2.3739199999999998E-2</v>
      </c>
      <c r="U8" s="2">
        <v>4</v>
      </c>
      <c r="V8" s="2">
        <f t="shared" si="15"/>
        <v>0.9375</v>
      </c>
      <c r="W8" s="2">
        <f t="shared" si="0"/>
        <v>6.4894998334691811E-2</v>
      </c>
      <c r="X8" s="2">
        <f t="shared" si="16"/>
        <v>1</v>
      </c>
      <c r="Y8" s="2">
        <f t="shared" si="1"/>
        <v>-1.5803368544599072E-3</v>
      </c>
      <c r="Z8" s="2">
        <f t="shared" si="3"/>
        <v>0.96875</v>
      </c>
      <c r="AA8" s="2">
        <f t="shared" si="2"/>
        <v>3.1593898661749442E-2</v>
      </c>
      <c r="AB8" s="2">
        <f t="shared" si="4"/>
        <v>2.0502860010406521E-3</v>
      </c>
      <c r="AC8" s="2">
        <f t="shared" si="5"/>
        <v>-4.9929002431234185E-5</v>
      </c>
      <c r="AD8" s="2">
        <f t="shared" si="6"/>
        <v>6.25E-2</v>
      </c>
      <c r="AF8" s="2">
        <v>4</v>
      </c>
      <c r="AG8" s="2">
        <f t="shared" si="25"/>
        <v>2750</v>
      </c>
      <c r="AH8" s="2">
        <v>-8.3610610358596205</v>
      </c>
      <c r="AI8" s="2">
        <f t="shared" si="26"/>
        <v>3312.5</v>
      </c>
      <c r="AJ8" s="2">
        <v>572.66695902138554</v>
      </c>
      <c r="AK8" s="2">
        <f t="shared" si="17"/>
        <v>3031.25</v>
      </c>
      <c r="AL8" s="2">
        <v>404.87709243871427</v>
      </c>
      <c r="AM8" s="2">
        <f t="shared" si="18"/>
        <v>-3385.2020819014679</v>
      </c>
      <c r="AN8" s="2">
        <f t="shared" si="19"/>
        <v>231859.73330429892</v>
      </c>
      <c r="AO8" s="2">
        <f t="shared" si="20"/>
        <v>562.5</v>
      </c>
      <c r="AQ8" s="2" t="s">
        <v>169</v>
      </c>
      <c r="AR8" s="2">
        <f>$C$23</f>
        <v>2</v>
      </c>
      <c r="AS8" s="26"/>
      <c r="AY8" s="2" t="s">
        <v>170</v>
      </c>
      <c r="AZ8" s="37">
        <f>$AR$45*AZ7*$AR$27/$AR$46</f>
        <v>1323956.0212451564</v>
      </c>
      <c r="BA8" s="26"/>
      <c r="BC8" s="2" t="s">
        <v>170</v>
      </c>
      <c r="BD8" s="37">
        <f>$AR$45*BD7*$AR$27/$AR$46</f>
        <v>1903132.2368675822</v>
      </c>
      <c r="BE8" s="26"/>
      <c r="BG8" s="2" t="s">
        <v>171</v>
      </c>
      <c r="BH8" s="2">
        <f xml:space="preserve"> $AR$8*$AR$27 / (2*PI()*$AR$19)</f>
        <v>0.67286936241325579</v>
      </c>
      <c r="BI8" s="2"/>
      <c r="BJ8" s="2"/>
      <c r="BK8" s="2" t="s">
        <v>171</v>
      </c>
      <c r="BL8" s="2">
        <f xml:space="preserve"> $AR$8*$AR$28 / (2*PI()*$AR$20)</f>
        <v>0.47184346557538748</v>
      </c>
      <c r="BM8" s="2"/>
      <c r="BO8" s="2">
        <v>4</v>
      </c>
      <c r="BP8" s="2">
        <f t="shared" si="21"/>
        <v>0.38091810924776243</v>
      </c>
      <c r="BQ8" s="2">
        <v>-0.37062204897394951</v>
      </c>
      <c r="BR8" s="2">
        <f t="shared" si="22"/>
        <v>0.73042029195962688</v>
      </c>
      <c r="BS8" s="2">
        <v>1.1168262772774644</v>
      </c>
      <c r="BT8" s="2">
        <f t="shared" si="7"/>
        <v>0.55566920060369462</v>
      </c>
      <c r="BU8" s="2">
        <v>0.64459134573714127</v>
      </c>
      <c r="BV8" s="2">
        <f t="shared" si="8"/>
        <v>-0.2388997653079748</v>
      </c>
      <c r="BW8" s="2">
        <f t="shared" si="9"/>
        <v>0.71989655302488242</v>
      </c>
      <c r="BX8" s="2">
        <f t="shared" si="10"/>
        <v>0.34950218271186445</v>
      </c>
      <c r="BZ8" s="2">
        <v>4</v>
      </c>
      <c r="CA8" s="2">
        <f t="shared" si="23"/>
        <v>3.1415926535897934E-2</v>
      </c>
      <c r="CB8" s="2">
        <v>-4.5935628458208937</v>
      </c>
      <c r="CC8" s="2">
        <f t="shared" si="24"/>
        <v>0.38091810924776243</v>
      </c>
      <c r="CD8" s="2">
        <v>3.2432218053505574E-2</v>
      </c>
      <c r="CE8" s="2">
        <f t="shared" si="11"/>
        <v>0.20616701789183017</v>
      </c>
      <c r="CF8" s="2">
        <v>-0.82128479329982429</v>
      </c>
      <c r="CG8" s="2">
        <f t="shared" si="12"/>
        <v>3.7726233123397654</v>
      </c>
      <c r="CH8" s="2">
        <f t="shared" si="13"/>
        <v>-2.6636087500328153E-2</v>
      </c>
      <c r="CI8" s="2">
        <f t="shared" si="14"/>
        <v>0.34950218271186451</v>
      </c>
    </row>
    <row r="9" spans="2:87" x14ac:dyDescent="0.2">
      <c r="B9" s="6" t="s">
        <v>98</v>
      </c>
      <c r="C9" s="17">
        <v>1.524</v>
      </c>
      <c r="D9" s="6" t="s">
        <v>8</v>
      </c>
      <c r="F9" s="6" t="s">
        <v>21</v>
      </c>
      <c r="G9" s="6">
        <f xml:space="preserve"> $C$5 * $C$69 / $C$22</f>
        <v>3390.2272145928482</v>
      </c>
      <c r="H9" s="6" t="s">
        <v>22</v>
      </c>
      <c r="J9" s="54" t="s">
        <v>23</v>
      </c>
      <c r="K9" s="54"/>
      <c r="L9" s="54"/>
      <c r="N9" s="6" t="s">
        <v>122</v>
      </c>
      <c r="O9" s="6">
        <f xml:space="preserve"> $O$8 + O7</f>
        <v>3.6642902608303454E-2</v>
      </c>
      <c r="U9" s="2">
        <v>5</v>
      </c>
      <c r="V9" s="2">
        <f t="shared" si="15"/>
        <v>0.96875</v>
      </c>
      <c r="W9" s="2">
        <f t="shared" si="0"/>
        <v>3.1593898661749442E-2</v>
      </c>
      <c r="X9" s="2">
        <f t="shared" si="16"/>
        <v>1</v>
      </c>
      <c r="Y9" s="2">
        <f t="shared" si="1"/>
        <v>-1.5803368544599072E-3</v>
      </c>
      <c r="Z9" s="2">
        <f t="shared" si="3"/>
        <v>0.984375</v>
      </c>
      <c r="AA9" s="2">
        <f t="shared" si="2"/>
        <v>1.4991667445485413E-2</v>
      </c>
      <c r="AB9" s="2">
        <f t="shared" si="4"/>
        <v>4.7364522204331426E-4</v>
      </c>
      <c r="AC9" s="2">
        <f t="shared" si="5"/>
        <v>-2.3691884573907409E-5</v>
      </c>
      <c r="AD9" s="2">
        <f t="shared" si="6"/>
        <v>3.125E-2</v>
      </c>
      <c r="AF9" s="2">
        <v>5</v>
      </c>
      <c r="AG9" s="2">
        <f t="shared" si="25"/>
        <v>2750</v>
      </c>
      <c r="AH9" s="2">
        <v>-8.3610610358596205</v>
      </c>
      <c r="AI9" s="2">
        <f t="shared" si="26"/>
        <v>3031.25</v>
      </c>
      <c r="AJ9" s="2">
        <v>404.87709243871427</v>
      </c>
      <c r="AK9" s="2">
        <f t="shared" si="17"/>
        <v>2890.625</v>
      </c>
      <c r="AL9" s="2">
        <v>320.23694170573026</v>
      </c>
      <c r="AM9" s="2">
        <f t="shared" si="18"/>
        <v>-2677.52061553863</v>
      </c>
      <c r="AN9" s="2">
        <f t="shared" si="19"/>
        <v>129656.6018492821</v>
      </c>
      <c r="AO9" s="2">
        <f t="shared" si="20"/>
        <v>281.25</v>
      </c>
      <c r="AQ9" s="2" t="s">
        <v>172</v>
      </c>
      <c r="AR9" s="2">
        <f>2*$C$9</f>
        <v>3.048</v>
      </c>
      <c r="AS9" s="26" t="s">
        <v>8</v>
      </c>
      <c r="AU9" s="61" t="s">
        <v>173</v>
      </c>
      <c r="AV9" s="61"/>
      <c r="AW9" s="61"/>
      <c r="AY9" s="2" t="s">
        <v>174</v>
      </c>
      <c r="AZ9" s="2">
        <f xml:space="preserve"> $BH$8 * PI() * $AR$45 * AZ7^2 *$BH$14 * $AR$19 * AZ4</f>
        <v>42.241635586180486</v>
      </c>
      <c r="BA9" s="26" t="s">
        <v>22</v>
      </c>
      <c r="BC9" s="2" t="s">
        <v>174</v>
      </c>
      <c r="BD9" s="2">
        <f xml:space="preserve"> $BL$8 * PI() * $AR$45 * BD7^2 * $BL$14 * $AR$20 * BD4</f>
        <v>132.75992661966026</v>
      </c>
      <c r="BE9" s="26" t="s">
        <v>22</v>
      </c>
      <c r="BG9" s="2" t="s">
        <v>175</v>
      </c>
      <c r="BH9" s="2">
        <f>IF(-$AR$8*($AV$3-$AR$19)/(2*$AR$19*SIN(BH4))&gt;500, 1, 2*ACOS(MIN(1, EXP(-$AR$8*($AV$3-$AR$19)/(2*$AR$19*SIN(BH4)))))/PI() )</f>
        <v>0.99924633370575011</v>
      </c>
      <c r="BI9" s="2"/>
      <c r="BJ9" s="2"/>
      <c r="BK9" s="2" t="s">
        <v>175</v>
      </c>
      <c r="BL9" s="2">
        <f>IF(-$AR$8*($AV$3-$AR$20)/(2*$AR$20*SIN(BL4))&gt;500, 1, 2*ACOS(MIN(1, EXP(-$AR$8*($AV$3-$AR$20)/(2*$AR$20*SIN(BL4)))))/PI() )</f>
        <v>0.99533889012702437</v>
      </c>
      <c r="BM9" s="2"/>
      <c r="BO9" s="2">
        <v>5</v>
      </c>
      <c r="BP9" s="2">
        <f t="shared" si="21"/>
        <v>0.38091810924776243</v>
      </c>
      <c r="BQ9" s="2">
        <v>-0.37062204897394951</v>
      </c>
      <c r="BR9" s="2">
        <f t="shared" si="22"/>
        <v>0.55566920060369462</v>
      </c>
      <c r="BS9" s="2">
        <v>0.64459134573714127</v>
      </c>
      <c r="BT9" s="2">
        <f t="shared" si="7"/>
        <v>0.4682936549257285</v>
      </c>
      <c r="BU9" s="2">
        <v>0.18482991702145923</v>
      </c>
      <c r="BV9" s="2">
        <f t="shared" si="8"/>
        <v>-6.8502042558178294E-2</v>
      </c>
      <c r="BW9" s="2">
        <f t="shared" si="9"/>
        <v>0.11913976494534656</v>
      </c>
      <c r="BX9" s="2">
        <f t="shared" si="10"/>
        <v>0.1747510913559322</v>
      </c>
      <c r="BZ9" s="2">
        <v>5</v>
      </c>
      <c r="CA9" s="2">
        <f t="shared" si="23"/>
        <v>0.20616701789183017</v>
      </c>
      <c r="CB9" s="2">
        <v>-0.82128479329982429</v>
      </c>
      <c r="CC9" s="2">
        <f t="shared" si="24"/>
        <v>0.38091810924776243</v>
      </c>
      <c r="CD9" s="2">
        <v>3.2432218053505574E-2</v>
      </c>
      <c r="CE9" s="2">
        <f t="shared" si="11"/>
        <v>0.2935425635697963</v>
      </c>
      <c r="CF9" s="2">
        <v>-0.36251436652481422</v>
      </c>
      <c r="CG9" s="2">
        <f t="shared" si="12"/>
        <v>0.29772753657954881</v>
      </c>
      <c r="CH9" s="2">
        <f t="shared" si="13"/>
        <v>-1.1757144982661217E-2</v>
      </c>
      <c r="CI9" s="2">
        <f t="shared" si="14"/>
        <v>0.17475109135593225</v>
      </c>
    </row>
    <row r="10" spans="2:87" x14ac:dyDescent="0.2">
      <c r="B10" s="6" t="s">
        <v>224</v>
      </c>
      <c r="C10" s="17">
        <f>(0.548288+0.530863+0.513438+0.496013+0.478588+0.461163+0.443738+0.426313)/8</f>
        <v>0.48730050000000003</v>
      </c>
      <c r="D10" s="6" t="s">
        <v>8</v>
      </c>
      <c r="F10" s="47" t="s">
        <v>215</v>
      </c>
      <c r="G10" s="6">
        <f>AV10</f>
        <v>3389.9565211199597</v>
      </c>
      <c r="H10" s="6" t="s">
        <v>22</v>
      </c>
      <c r="J10" s="6" t="s">
        <v>99</v>
      </c>
      <c r="K10" s="6">
        <f xml:space="preserve"> $C$19 * (G13*G6 + G20*G16 + G27*G25)/3600</f>
        <v>114.88853720490278</v>
      </c>
      <c r="L10" s="6" t="s">
        <v>105</v>
      </c>
      <c r="N10" s="6" t="s">
        <v>41</v>
      </c>
      <c r="O10" s="6">
        <f xml:space="preserve"> O5 * $C$13 * O9</f>
        <v>923.89995334569198</v>
      </c>
      <c r="P10" s="6" t="s">
        <v>22</v>
      </c>
      <c r="U10" s="2">
        <v>6</v>
      </c>
      <c r="V10" s="2">
        <f t="shared" si="15"/>
        <v>0.984375</v>
      </c>
      <c r="W10" s="2">
        <f t="shared" si="0"/>
        <v>1.4991667445485413E-2</v>
      </c>
      <c r="X10" s="2">
        <f t="shared" si="16"/>
        <v>1</v>
      </c>
      <c r="Y10" s="2">
        <f t="shared" si="1"/>
        <v>-1.5803368544599072E-3</v>
      </c>
      <c r="Z10" s="2">
        <f t="shared" si="3"/>
        <v>0.9921875</v>
      </c>
      <c r="AA10" s="2">
        <f t="shared" si="2"/>
        <v>6.7019749604229073E-3</v>
      </c>
      <c r="AB10" s="2">
        <f t="shared" si="4"/>
        <v>1.0047377983463049E-4</v>
      </c>
      <c r="AC10" s="2">
        <f t="shared" si="5"/>
        <v>-1.0591378027623799E-5</v>
      </c>
      <c r="AD10" s="2">
        <f t="shared" si="6"/>
        <v>1.5625E-2</v>
      </c>
      <c r="AF10" s="2">
        <v>6</v>
      </c>
      <c r="AG10" s="2">
        <f t="shared" si="25"/>
        <v>2750</v>
      </c>
      <c r="AH10" s="2">
        <v>-8.3610610358596205</v>
      </c>
      <c r="AI10" s="2">
        <f t="shared" si="26"/>
        <v>2890.625</v>
      </c>
      <c r="AJ10" s="2">
        <v>320.23694170573026</v>
      </c>
      <c r="AK10" s="2">
        <f t="shared" si="17"/>
        <v>2820.3125</v>
      </c>
      <c r="AL10" s="2">
        <v>25.626424423096978</v>
      </c>
      <c r="AM10" s="2">
        <f t="shared" si="18"/>
        <v>-214.2640987323575</v>
      </c>
      <c r="AN10" s="2">
        <f t="shared" si="19"/>
        <v>8206.5277841056086</v>
      </c>
      <c r="AO10" s="2">
        <f t="shared" si="20"/>
        <v>140.625</v>
      </c>
      <c r="AQ10" s="2" t="s">
        <v>176</v>
      </c>
      <c r="AR10" s="3">
        <f>0.21*($AR$9/2)</f>
        <v>0.32003999999999999</v>
      </c>
      <c r="AS10" s="26" t="s">
        <v>8</v>
      </c>
      <c r="AU10" s="4" t="s">
        <v>177</v>
      </c>
      <c r="AV10" s="38">
        <f>AZ9+BD9+AZ18+BD18+AZ27+BD27+AZ36+BD36</f>
        <v>3389.9565211199597</v>
      </c>
      <c r="AW10" s="26" t="s">
        <v>22</v>
      </c>
      <c r="AY10" s="2" t="s">
        <v>178</v>
      </c>
      <c r="AZ10" s="2">
        <f xml:space="preserve"> $BH$8 * PI() * $AR$45 * AZ7^2 * $BH$15 * $AR$19^2 * AZ4</f>
        <v>10.843077517430219</v>
      </c>
      <c r="BA10" s="26" t="s">
        <v>179</v>
      </c>
      <c r="BC10" s="2" t="s">
        <v>178</v>
      </c>
      <c r="BD10" s="2">
        <f xml:space="preserve"> $BL$8 * PI() * $AR$45 * BD7^2 * $BL$15 * $AR$20^2 * BD4</f>
        <v>34.864755152456752</v>
      </c>
      <c r="BE10" s="26" t="s">
        <v>179</v>
      </c>
      <c r="BG10" s="2" t="s">
        <v>180</v>
      </c>
      <c r="BH10" s="2">
        <f>IF(-$AR$8*($AR$19-$AR$10)/(2*$AR$19*SIN(BH4))&gt;500, 1, 2*ACOS(MIN(1, EXP(-$AR$8*($AR$19-$AR$10)/(2*$AR$19*SIN(BH4)))))/PI() )</f>
        <v>0.55944387435898324</v>
      </c>
      <c r="BI10" s="2"/>
      <c r="BJ10" s="2"/>
      <c r="BK10" s="2" t="s">
        <v>180</v>
      </c>
      <c r="BL10" s="2">
        <f>IF(-$AR$8*($AR$20-$AR$10)/(2*$AR$20*SIN(BL4))&gt;500, 1, 2*ACOS(MIN(1, EXP(-$AR$8*($AR$20-$AR$10)/(2*$AR$20*SIN(BL4)))))/PI() )</f>
        <v>0.79160823045737472</v>
      </c>
      <c r="BM10" s="2"/>
      <c r="BO10" s="2">
        <v>6</v>
      </c>
      <c r="BP10" s="2">
        <f t="shared" si="21"/>
        <v>0.38091810924776243</v>
      </c>
      <c r="BQ10" s="2">
        <v>-0.37062204897394951</v>
      </c>
      <c r="BR10" s="2">
        <f t="shared" si="22"/>
        <v>0.4682936549257285</v>
      </c>
      <c r="BS10" s="2">
        <v>0.18482991702145923</v>
      </c>
      <c r="BT10" s="2">
        <f t="shared" si="7"/>
        <v>0.42460588208674543</v>
      </c>
      <c r="BU10" s="2">
        <v>-8.1341280159642079E-2</v>
      </c>
      <c r="BV10" s="2">
        <f t="shared" si="8"/>
        <v>3.0146871918930614E-2</v>
      </c>
      <c r="BW10" s="2">
        <f t="shared" si="9"/>
        <v>-1.5034302062325913E-2</v>
      </c>
      <c r="BX10" s="2">
        <f t="shared" si="10"/>
        <v>8.7375545677966071E-2</v>
      </c>
      <c r="BZ10" s="2">
        <v>6</v>
      </c>
      <c r="CA10" s="2">
        <f t="shared" si="23"/>
        <v>0.2935425635697963</v>
      </c>
      <c r="CB10" s="2">
        <v>-0.36251436652481422</v>
      </c>
      <c r="CC10" s="2">
        <f t="shared" si="24"/>
        <v>0.38091810924776243</v>
      </c>
      <c r="CD10" s="2">
        <v>3.2432218053505574E-2</v>
      </c>
      <c r="CE10" s="2">
        <f t="shared" si="11"/>
        <v>0.33723033640877936</v>
      </c>
      <c r="CF10" s="2">
        <v>-0.15637665191841693</v>
      </c>
      <c r="CG10" s="2">
        <f t="shared" si="12"/>
        <v>5.6688782909476286E-2</v>
      </c>
      <c r="CH10" s="2">
        <f t="shared" si="13"/>
        <v>-5.0716416734952387E-3</v>
      </c>
      <c r="CI10" s="2">
        <f t="shared" si="14"/>
        <v>8.7375545677966127E-2</v>
      </c>
    </row>
    <row r="11" spans="2:87" x14ac:dyDescent="0.2">
      <c r="B11" s="6" t="s">
        <v>231</v>
      </c>
      <c r="C11" s="17">
        <v>1.37</v>
      </c>
      <c r="D11" s="6" t="s">
        <v>8</v>
      </c>
      <c r="F11" s="47" t="s">
        <v>216</v>
      </c>
      <c r="G11" s="6">
        <f>G9-G10</f>
        <v>0.27069347288852441</v>
      </c>
      <c r="H11" s="6" t="s">
        <v>22</v>
      </c>
      <c r="J11" s="6" t="s">
        <v>24</v>
      </c>
      <c r="K11" s="6">
        <f xml:space="preserve"> (G6 + G16 + G25)/60</f>
        <v>37.333333333333336</v>
      </c>
      <c r="L11" s="6" t="s">
        <v>106</v>
      </c>
      <c r="N11" s="6" t="s">
        <v>234</v>
      </c>
      <c r="O11" s="6">
        <f xml:space="preserve"> 1.78 * (1 - 0.045 * $C$14^0.68) - 0.64</f>
        <v>0.70601395642148124</v>
      </c>
      <c r="U11" s="2">
        <v>7</v>
      </c>
      <c r="V11" s="2">
        <f t="shared" si="15"/>
        <v>0.9921875</v>
      </c>
      <c r="W11" s="2">
        <f t="shared" si="0"/>
        <v>6.7019749604229073E-3</v>
      </c>
      <c r="X11" s="2">
        <f t="shared" si="16"/>
        <v>1</v>
      </c>
      <c r="Y11" s="2">
        <f t="shared" si="1"/>
        <v>-1.5803368544599072E-3</v>
      </c>
      <c r="Z11" s="2">
        <f t="shared" si="3"/>
        <v>0.99609375</v>
      </c>
      <c r="AA11" s="2">
        <f t="shared" si="2"/>
        <v>2.559907175991194E-3</v>
      </c>
      <c r="AB11" s="2">
        <f t="shared" si="4"/>
        <v>1.71564337944999E-5</v>
      </c>
      <c r="AC11" s="2">
        <f t="shared" si="5"/>
        <v>-4.0455156542152674E-6</v>
      </c>
      <c r="AD11" s="2">
        <f t="shared" si="6"/>
        <v>7.8125E-3</v>
      </c>
      <c r="AF11" s="2">
        <v>7</v>
      </c>
      <c r="AG11" s="2">
        <f t="shared" si="25"/>
        <v>2750</v>
      </c>
      <c r="AH11" s="2">
        <v>-8.3610610358596205</v>
      </c>
      <c r="AI11" s="2">
        <f t="shared" si="26"/>
        <v>2820.3125</v>
      </c>
      <c r="AJ11" s="2">
        <v>25.626424423096978</v>
      </c>
      <c r="AK11" s="2">
        <f t="shared" si="17"/>
        <v>2785.15625</v>
      </c>
      <c r="AL11" s="2">
        <v>8.6770711540975753</v>
      </c>
      <c r="AM11" s="2">
        <f t="shared" si="18"/>
        <v>-72.549521531906706</v>
      </c>
      <c r="AN11" s="2">
        <f t="shared" si="19"/>
        <v>222.36230814431639</v>
      </c>
      <c r="AO11" s="2">
        <f t="shared" si="20"/>
        <v>70.3125</v>
      </c>
      <c r="AQ11" s="67" t="s">
        <v>181</v>
      </c>
      <c r="AR11" s="3" t="s">
        <v>219</v>
      </c>
      <c r="AS11" s="26"/>
      <c r="AU11" s="4" t="s">
        <v>182</v>
      </c>
      <c r="AV11" s="38">
        <f>AZ10+BD10+AZ19+BD19+AZ28+BD28+AZ37+BD37</f>
        <v>1315.0805406571042</v>
      </c>
      <c r="AW11" s="26" t="s">
        <v>179</v>
      </c>
      <c r="AZ11" s="2"/>
      <c r="BG11" s="2" t="s">
        <v>183</v>
      </c>
      <c r="BH11" s="2">
        <f>IF(BH4=0,1,BH9*BH10)</f>
        <v>0.55902224036735426</v>
      </c>
      <c r="BI11" s="2"/>
      <c r="BJ11" s="2"/>
      <c r="BK11" s="2" t="s">
        <v>183</v>
      </c>
      <c r="BL11" s="2">
        <f>IF(BL4=0,1,BL9*BL10)</f>
        <v>0.78791845751886103</v>
      </c>
      <c r="BM11" s="2"/>
      <c r="BO11" s="2">
        <v>7</v>
      </c>
      <c r="BP11" s="2">
        <f t="shared" si="21"/>
        <v>0.42460588208674543</v>
      </c>
      <c r="BQ11" s="2">
        <v>-8.1341280159642079E-2</v>
      </c>
      <c r="BR11" s="2">
        <f t="shared" si="22"/>
        <v>0.4682936549257285</v>
      </c>
      <c r="BS11" s="2">
        <v>0.18482991702145923</v>
      </c>
      <c r="BT11" s="2">
        <f t="shared" si="7"/>
        <v>0.44644976850623697</v>
      </c>
      <c r="BU11" s="2">
        <v>5.4760456714590428E-2</v>
      </c>
      <c r="BV11" s="2">
        <f t="shared" si="8"/>
        <v>-4.4542856512914536E-3</v>
      </c>
      <c r="BW11" s="2">
        <f t="shared" si="9"/>
        <v>1.0121370670614959E-2</v>
      </c>
      <c r="BX11" s="2">
        <f t="shared" si="10"/>
        <v>4.3687772838983063E-2</v>
      </c>
      <c r="BZ11" s="2">
        <v>7</v>
      </c>
      <c r="CA11" s="2">
        <f t="shared" si="23"/>
        <v>0.33723033640877936</v>
      </c>
      <c r="CB11" s="2">
        <v>-0.15637665191841693</v>
      </c>
      <c r="CC11" s="2">
        <f t="shared" si="24"/>
        <v>0.38091810924776243</v>
      </c>
      <c r="CD11" s="2">
        <v>3.2432218053505574E-2</v>
      </c>
      <c r="CE11" s="2">
        <f t="shared" si="11"/>
        <v>0.35907422282827089</v>
      </c>
      <c r="CF11" s="2">
        <v>-5.978927900313178E-2</v>
      </c>
      <c r="CG11" s="2">
        <f t="shared" si="12"/>
        <v>9.3496472711258518E-3</v>
      </c>
      <c r="CH11" s="2">
        <f t="shared" si="13"/>
        <v>-1.9390989338914522E-3</v>
      </c>
      <c r="CI11" s="2">
        <f t="shared" si="14"/>
        <v>4.3687772838983063E-2</v>
      </c>
    </row>
    <row r="12" spans="2:87" x14ac:dyDescent="0.2">
      <c r="B12" s="6" t="s">
        <v>259</v>
      </c>
      <c r="C12" s="17">
        <f>(0.500656+0.484769+0.468881+0.452994+0.437106+0.421219+0.405331+0.389444)/8</f>
        <v>0.44505</v>
      </c>
      <c r="D12" s="6" t="s">
        <v>8</v>
      </c>
      <c r="F12" s="47" t="s">
        <v>217</v>
      </c>
      <c r="G12" s="4" t="str">
        <f>IF(ABS(G11)&lt;1, "TRUE", "FALSE")</f>
        <v>TRUE</v>
      </c>
      <c r="N12" s="6" t="s">
        <v>235</v>
      </c>
      <c r="O12" s="6">
        <f xml:space="preserve"> O4 / (O5 * $C$13)</f>
        <v>1.075681540577923</v>
      </c>
      <c r="U12" s="2">
        <v>8</v>
      </c>
      <c r="V12" s="2">
        <f t="shared" si="15"/>
        <v>0.99609375</v>
      </c>
      <c r="W12" s="2">
        <f t="shared" si="0"/>
        <v>2.559907175991194E-3</v>
      </c>
      <c r="X12" s="2">
        <f t="shared" si="16"/>
        <v>1</v>
      </c>
      <c r="Y12" s="2">
        <f t="shared" si="1"/>
        <v>-1.5803368544599072E-3</v>
      </c>
      <c r="Z12" s="2">
        <f t="shared" si="3"/>
        <v>0.998046875</v>
      </c>
      <c r="AA12" s="2">
        <f t="shared" si="2"/>
        <v>4.8955851184318E-4</v>
      </c>
      <c r="AB12" s="2">
        <f t="shared" si="4"/>
        <v>1.2532243475349263E-6</v>
      </c>
      <c r="AC12" s="2">
        <f t="shared" si="5"/>
        <v>-7.7366735868032433E-7</v>
      </c>
      <c r="AD12" s="2">
        <f t="shared" si="6"/>
        <v>3.90625E-3</v>
      </c>
      <c r="AF12" s="2">
        <v>8</v>
      </c>
      <c r="AG12" s="2">
        <f t="shared" si="25"/>
        <v>2750</v>
      </c>
      <c r="AH12" s="2">
        <v>-8.3610610358596205</v>
      </c>
      <c r="AI12" s="2">
        <f t="shared" si="26"/>
        <v>2785.15625</v>
      </c>
      <c r="AJ12" s="2">
        <v>8.6770711540975753</v>
      </c>
      <c r="AK12" s="2">
        <f t="shared" si="17"/>
        <v>2767.578125</v>
      </c>
      <c r="AL12" s="2">
        <v>0.16905798470725131</v>
      </c>
      <c r="AM12" s="2">
        <f t="shared" si="18"/>
        <v>-1.4135041287367505</v>
      </c>
      <c r="AN12" s="2">
        <f t="shared" si="19"/>
        <v>1.4669281624731594</v>
      </c>
      <c r="AO12" s="2">
        <f t="shared" si="20"/>
        <v>35.15625</v>
      </c>
      <c r="AQ12" s="67"/>
      <c r="AR12" s="3" t="s">
        <v>219</v>
      </c>
      <c r="AS12" s="26"/>
      <c r="AU12" s="4" t="s">
        <v>184</v>
      </c>
      <c r="AV12" s="38">
        <f>AV11*AV5/1000</f>
        <v>98.468063945091572</v>
      </c>
      <c r="AW12" s="26" t="s">
        <v>104</v>
      </c>
      <c r="AY12" s="63" t="s">
        <v>185</v>
      </c>
      <c r="AZ12" s="63"/>
      <c r="BA12" s="63"/>
      <c r="BC12" s="63" t="s">
        <v>186</v>
      </c>
      <c r="BD12" s="63"/>
      <c r="BE12" s="63"/>
      <c r="BG12" s="2" t="s">
        <v>187</v>
      </c>
      <c r="BH12" s="2">
        <f>IF(BH7&lt;$AZ$49, $AV$50*BH7^6 + $AW$50*BH7^5 + $AX$50*BH7^4 + $AV$51*BH7^3 + $AW$51*BH7^2 + $AX$51*BH7 + $AV$52, IF(BH7&gt;$BA$49, $BB$50*BH7^6 + $BC$50*BH7^5 + $BD$50*BH7^4 + $BB$51*BH7^3 + $BC$51*BH7^2 + $BD$51*BH7 + $BB$52, $AY$50*BH7^6 + $AZ$50*BH7^5 + $BA$50*BH7^4 + $AY$51*BH7^3 + $AZ$51*BH7^2 + $BA$51*BH7 + $AY$52) )</f>
        <v>0.54496552441985402</v>
      </c>
      <c r="BI12" s="2"/>
      <c r="BJ12" s="2"/>
      <c r="BK12" s="2" t="s">
        <v>187</v>
      </c>
      <c r="BL12" s="2">
        <f>IF(BL7&lt;$AZ$49, $AV$50*BL7^6 + $AW$50*BL7^5 + $AX$50*BL7^4 + $AV$51*BL7^3 + $AW$51*BL7^2 + $AX$51*BL7 + $AV$52, IF(BL7&gt;$BA$49, $BB$50*BL7^6 + $BC$50*BL7^5 + $BD$50*BL7^4 + $BB$51*BL7^3 + $BC$51*BL7^2 + $BD$51*BL7 + $BB$52, $AY$50*BL7^6 + $AZ$50*BL7^5 + $BA$50*BL7^4 + $AY$51*BL7^3 + $AZ$51*BL7^2 + $BA$51*BL7 + $AY$52) )</f>
        <v>0.80220925457563708</v>
      </c>
      <c r="BM12" s="2"/>
      <c r="BO12" s="2">
        <v>8</v>
      </c>
      <c r="BP12" s="2">
        <f t="shared" si="21"/>
        <v>0.42460588208674543</v>
      </c>
      <c r="BQ12" s="2">
        <v>-8.1341280159642079E-2</v>
      </c>
      <c r="BR12" s="2">
        <f t="shared" si="22"/>
        <v>0.44644976850623697</v>
      </c>
      <c r="BS12" s="2">
        <v>5.4760456714590428E-2</v>
      </c>
      <c r="BT12" s="2">
        <f t="shared" si="7"/>
        <v>0.4355278252964912</v>
      </c>
      <c r="BU12" s="2">
        <v>-1.2545526469040724E-2</v>
      </c>
      <c r="BV12" s="2">
        <f t="shared" si="8"/>
        <v>1.0204691832684468E-3</v>
      </c>
      <c r="BW12" s="2">
        <f t="shared" si="9"/>
        <v>-6.8699875916965311E-4</v>
      </c>
      <c r="BX12" s="2">
        <f t="shared" si="10"/>
        <v>2.1843886419491532E-2</v>
      </c>
      <c r="BZ12" s="2">
        <v>8</v>
      </c>
      <c r="CA12" s="2">
        <f t="shared" si="23"/>
        <v>0.35907422282827089</v>
      </c>
      <c r="CB12" s="2">
        <v>-5.978927900313178E-2</v>
      </c>
      <c r="CC12" s="2">
        <f t="shared" si="24"/>
        <v>0.38091810924776243</v>
      </c>
      <c r="CD12" s="2">
        <v>3.2432218053505574E-2</v>
      </c>
      <c r="CE12" s="2">
        <f t="shared" si="11"/>
        <v>0.36999616603801666</v>
      </c>
      <c r="CF12" s="2">
        <v>-1.3134501561754441E-2</v>
      </c>
      <c r="CG12" s="2">
        <f t="shared" si="12"/>
        <v>7.8530237844280637E-4</v>
      </c>
      <c r="CH12" s="2">
        <f t="shared" si="13"/>
        <v>-4.2598101867492952E-4</v>
      </c>
      <c r="CI12" s="2">
        <f t="shared" si="14"/>
        <v>2.1843886419491532E-2</v>
      </c>
    </row>
    <row r="13" spans="2:87" x14ac:dyDescent="0.2">
      <c r="B13" s="6" t="s">
        <v>232</v>
      </c>
      <c r="C13" s="17">
        <v>20</v>
      </c>
      <c r="D13" s="6" t="s">
        <v>11</v>
      </c>
      <c r="F13" s="43" t="s">
        <v>85</v>
      </c>
      <c r="G13" s="43">
        <f xml:space="preserve"> $C$22 * AV12</f>
        <v>787.74451156073258</v>
      </c>
      <c r="H13" s="43" t="s">
        <v>104</v>
      </c>
      <c r="J13" s="45" t="s">
        <v>54</v>
      </c>
      <c r="K13" s="45"/>
      <c r="L13" s="45"/>
      <c r="N13" s="6" t="s">
        <v>236</v>
      </c>
      <c r="O13" s="6">
        <f xml:space="preserve"> O9 + O12^2 / ( PI() * O11 * $C$14 )</f>
        <v>8.0116244518248975E-2</v>
      </c>
      <c r="U13" s="2">
        <v>9</v>
      </c>
      <c r="V13" s="2">
        <f t="shared" si="15"/>
        <v>0.998046875</v>
      </c>
      <c r="W13" s="2">
        <f t="shared" si="0"/>
        <v>4.8955851184318E-4</v>
      </c>
      <c r="X13" s="2">
        <f t="shared" si="16"/>
        <v>1</v>
      </c>
      <c r="Y13" s="2">
        <f t="shared" si="1"/>
        <v>-1.5803368544599072E-3</v>
      </c>
      <c r="Z13" s="2">
        <f t="shared" si="3"/>
        <v>0.9990234375</v>
      </c>
      <c r="AA13" s="2">
        <f t="shared" si="2"/>
        <v>-5.4544566960856855E-4</v>
      </c>
      <c r="AB13" s="2">
        <f t="shared" si="4"/>
        <v>-2.6702757030487765E-7</v>
      </c>
      <c r="AC13" s="2">
        <f t="shared" si="5"/>
        <v>8.6198789378798309E-7</v>
      </c>
      <c r="AD13" s="2">
        <f t="shared" si="6"/>
        <v>1.953125E-3</v>
      </c>
      <c r="AF13" s="2">
        <v>9</v>
      </c>
      <c r="AG13" s="2">
        <f t="shared" si="25"/>
        <v>2750</v>
      </c>
      <c r="AH13" s="2">
        <v>-8.3610610358596205</v>
      </c>
      <c r="AI13" s="2">
        <f t="shared" si="26"/>
        <v>2767.578125</v>
      </c>
      <c r="AJ13" s="2">
        <v>0.16905798470725131</v>
      </c>
      <c r="AK13" s="2">
        <f t="shared" si="17"/>
        <v>2758.7890625</v>
      </c>
      <c r="AL13" s="2">
        <v>-4.0932435455915765</v>
      </c>
      <c r="AM13" s="2">
        <f t="shared" si="18"/>
        <v>34.22385911932961</v>
      </c>
      <c r="AN13" s="2">
        <f t="shared" si="19"/>
        <v>-0.69199550473367588</v>
      </c>
      <c r="AO13" s="2">
        <f t="shared" si="20"/>
        <v>17.578125</v>
      </c>
      <c r="AQ13" s="67"/>
      <c r="AR13" s="3" t="s">
        <v>219</v>
      </c>
      <c r="AS13" s="26"/>
      <c r="AY13" s="2" t="s">
        <v>153</v>
      </c>
      <c r="AZ13" s="2">
        <f>$AR$21-$AR$20</f>
        <v>0.15049499999999993</v>
      </c>
      <c r="BA13" s="26" t="s">
        <v>8</v>
      </c>
      <c r="BC13" s="2" t="s">
        <v>153</v>
      </c>
      <c r="BD13" s="2">
        <f>$AR$22-$AR$21</f>
        <v>0.15049500000000005</v>
      </c>
      <c r="BE13" s="26" t="s">
        <v>8</v>
      </c>
      <c r="BG13" s="2" t="s">
        <v>188</v>
      </c>
      <c r="BH13" s="2">
        <f>IF(BH7&lt;$AZ$49, $AV$53*BH7^6 + $AW$53*BH7^5 + $AX$53*BH7^4 + $AV$54*BH7^3 + $AW$54*BH7^2 + $AX$54*BH7 + $AV$55, IF(BH7&gt;$BA$49, $BB$53*BH7^6 + $BC$53*BH7^5 + $BD$53*BH7^4 + $BB$54*BH7^3 + $BC$54*BH7^2 + $BD$54*BH7 + $BB$55, $AY$53*BH7^6 + $AZ$53*BH7^5 + $BA$53*BH7^4 + $AY$54*BH7^3 + $AZ$54*BH7^2 + $BA$54*BH7 + $AY$55) )</f>
        <v>7.59050580133519E-2</v>
      </c>
      <c r="BI13" s="2"/>
      <c r="BJ13" s="2"/>
      <c r="BK13" s="2" t="s">
        <v>188</v>
      </c>
      <c r="BL13" s="2">
        <f>IF(BL7&lt;$AZ$49, $AV$53*BL7^6 + $AW$53*BL7^5 + $AX$53*BL7^4 + $AV$54*BL7^3 + $AW$54*BL7^2 + $AX$54*BL7 + $AV$55, IF(BL7&gt;$BA$49, $BB$53*BL7^6 + $BC$53*BL7^5 + $BD$53*BL7^4 + $BB$54*BL7^3 + $BC$54*BL7^2 + $BD$54*BL7 + $BB$55, $AY$53*BL7^6 + $AZ$53*BL7^5 + $BA$53*BL7^4 + $AY$54*BL7^3 + $AZ$54*BL7^2 + $BA$54*BL7 + $AY$55) )</f>
        <v>6.0564295350578772E-2</v>
      </c>
      <c r="BM13" s="2"/>
      <c r="BO13" s="2">
        <v>9</v>
      </c>
      <c r="BP13" s="2">
        <f t="shared" si="21"/>
        <v>0.4355278252964912</v>
      </c>
      <c r="BQ13" s="2">
        <v>-1.2545526469040724E-2</v>
      </c>
      <c r="BR13" s="2">
        <f t="shared" si="22"/>
        <v>0.44644976850623697</v>
      </c>
      <c r="BS13" s="2">
        <v>5.4760456714590428E-2</v>
      </c>
      <c r="BT13" s="2">
        <f t="shared" si="7"/>
        <v>0.44098879690136406</v>
      </c>
      <c r="BU13" s="2">
        <v>2.1295190157208266E-2</v>
      </c>
      <c r="BV13" s="2">
        <f t="shared" si="8"/>
        <v>-2.6715937178051181E-4</v>
      </c>
      <c r="BW13" s="2">
        <f t="shared" si="9"/>
        <v>1.1661343388327753E-3</v>
      </c>
      <c r="BX13" s="2">
        <f t="shared" si="10"/>
        <v>1.0921943209745766E-2</v>
      </c>
      <c r="BZ13" s="2">
        <v>9</v>
      </c>
      <c r="CA13" s="2">
        <f t="shared" si="23"/>
        <v>0.36999616603801666</v>
      </c>
      <c r="CB13" s="2">
        <v>-1.3134501561754441E-2</v>
      </c>
      <c r="CC13" s="2">
        <f t="shared" si="24"/>
        <v>0.38091810924776243</v>
      </c>
      <c r="CD13" s="2">
        <v>3.2432218053505574E-2</v>
      </c>
      <c r="CE13" s="2">
        <f t="shared" si="11"/>
        <v>0.37545713764288957</v>
      </c>
      <c r="CF13" s="2">
        <v>9.7844413817810422E-3</v>
      </c>
      <c r="CG13" s="2">
        <f t="shared" si="12"/>
        <v>-1.2851376060989789E-4</v>
      </c>
      <c r="CH13" s="2">
        <f t="shared" si="13"/>
        <v>3.1733113642566613E-4</v>
      </c>
      <c r="CI13" s="2">
        <f t="shared" si="14"/>
        <v>1.0921943209745766E-2</v>
      </c>
    </row>
    <row r="14" spans="2:87" x14ac:dyDescent="0.2">
      <c r="B14" s="6" t="s">
        <v>233</v>
      </c>
      <c r="C14" s="17">
        <v>12</v>
      </c>
      <c r="J14" s="10" t="s">
        <v>82</v>
      </c>
      <c r="K14" s="18">
        <f>C5</f>
        <v>2767.1113695200002</v>
      </c>
      <c r="L14" s="6" t="s">
        <v>7</v>
      </c>
      <c r="N14" s="6" t="s">
        <v>42</v>
      </c>
      <c r="O14" s="6">
        <f xml:space="preserve"> O5 * O13 * $C$13</f>
        <v>2020.0199575857052</v>
      </c>
      <c r="P14" s="6" t="s">
        <v>22</v>
      </c>
      <c r="U14" s="2">
        <v>10</v>
      </c>
      <c r="V14" s="2">
        <f t="shared" si="15"/>
        <v>0.998046875</v>
      </c>
      <c r="W14" s="2">
        <f t="shared" si="0"/>
        <v>4.8955851184318E-4</v>
      </c>
      <c r="X14" s="2">
        <f t="shared" si="16"/>
        <v>0.9990234375</v>
      </c>
      <c r="Y14" s="2">
        <f t="shared" si="1"/>
        <v>-5.4544566960856855E-4</v>
      </c>
      <c r="Z14" s="2">
        <f t="shared" si="3"/>
        <v>0.99853515625</v>
      </c>
      <c r="AA14" s="2">
        <f t="shared" si="2"/>
        <v>-2.795772389985185E-5</v>
      </c>
      <c r="AB14" s="2">
        <f t="shared" si="4"/>
        <v>-1.3686941706933979E-8</v>
      </c>
      <c r="AC14" s="2">
        <f t="shared" si="5"/>
        <v>1.5249419433286172E-8</v>
      </c>
      <c r="AD14" s="2">
        <f t="shared" si="6"/>
        <v>9.765625E-4</v>
      </c>
      <c r="AF14" s="2">
        <v>10</v>
      </c>
      <c r="AG14" s="2">
        <f t="shared" si="25"/>
        <v>2758.7890625</v>
      </c>
      <c r="AH14" s="2">
        <v>-4.0932435455915765</v>
      </c>
      <c r="AI14" s="2">
        <f t="shared" si="26"/>
        <v>2767.578125</v>
      </c>
      <c r="AJ14" s="2">
        <v>0.16905798470725131</v>
      </c>
      <c r="AK14" s="2">
        <f t="shared" si="17"/>
        <v>2763.18359375</v>
      </c>
      <c r="AL14" s="2">
        <v>-1.9614026843860302</v>
      </c>
      <c r="AM14" s="2">
        <f t="shared" si="18"/>
        <v>8.0284988781691098</v>
      </c>
      <c r="AN14" s="2">
        <f t="shared" si="19"/>
        <v>-0.33159078502169514</v>
      </c>
      <c r="AO14" s="2">
        <f t="shared" si="20"/>
        <v>8.7890625</v>
      </c>
      <c r="AQ14" s="67"/>
      <c r="AR14" s="3" t="s">
        <v>219</v>
      </c>
      <c r="AS14" s="26"/>
      <c r="AU14" s="61" t="s">
        <v>189</v>
      </c>
      <c r="AV14" s="61"/>
      <c r="AW14" s="61"/>
      <c r="AY14" s="2" t="s">
        <v>158</v>
      </c>
      <c r="AZ14" s="2">
        <f>(1+$BH$37)*$AR$3</f>
        <v>15.93453606652675</v>
      </c>
      <c r="BA14" s="26" t="s">
        <v>10</v>
      </c>
      <c r="BC14" s="2" t="s">
        <v>158</v>
      </c>
      <c r="BD14" s="2">
        <f>(1+$BL$37)*$AR$3</f>
        <v>17.634131159058281</v>
      </c>
      <c r="BE14" s="26" t="s">
        <v>10</v>
      </c>
      <c r="BG14" s="2" t="s">
        <v>190</v>
      </c>
      <c r="BH14" s="2">
        <f xml:space="preserve"> BH12*COS(BH4) - BH13*SIN(BH4)</f>
        <v>0.46146448265944601</v>
      </c>
      <c r="BI14" s="2"/>
      <c r="BJ14" s="2"/>
      <c r="BK14" s="2" t="s">
        <v>190</v>
      </c>
      <c r="BL14" s="2">
        <f xml:space="preserve"> BL12*COS(BL4) - BL13*SIN(BL4)</f>
        <v>0.72493660408678273</v>
      </c>
      <c r="BM14" s="2"/>
      <c r="BO14" s="2">
        <v>10</v>
      </c>
      <c r="BP14" s="2">
        <f t="shared" si="21"/>
        <v>0.4355278252964912</v>
      </c>
      <c r="BQ14" s="2">
        <v>-1.2545526469040724E-2</v>
      </c>
      <c r="BR14" s="2">
        <f t="shared" si="22"/>
        <v>0.44098879690136406</v>
      </c>
      <c r="BS14" s="2">
        <v>2.1295190157208266E-2</v>
      </c>
      <c r="BT14" s="2">
        <f t="shared" si="7"/>
        <v>0.43825831109892766</v>
      </c>
      <c r="BU14" s="2">
        <v>4.4215996063482338E-3</v>
      </c>
      <c r="BV14" s="2">
        <f t="shared" si="8"/>
        <v>-5.5471294896941811E-5</v>
      </c>
      <c r="BW14" s="2">
        <f t="shared" si="9"/>
        <v>9.4158804416222857E-5</v>
      </c>
      <c r="BX14" s="2">
        <f t="shared" si="10"/>
        <v>5.4609716048728552E-3</v>
      </c>
      <c r="BZ14" s="2">
        <v>10</v>
      </c>
      <c r="CA14" s="2">
        <f t="shared" si="23"/>
        <v>0.36999616603801666</v>
      </c>
      <c r="CB14" s="2">
        <v>-1.3134501561754441E-2</v>
      </c>
      <c r="CC14" s="2">
        <f t="shared" si="24"/>
        <v>0.37545713764288957</v>
      </c>
      <c r="CD14" s="2">
        <v>9.7844413817810422E-3</v>
      </c>
      <c r="CE14" s="2">
        <f t="shared" si="11"/>
        <v>0.37272665184045312</v>
      </c>
      <c r="CF14" s="2">
        <v>-1.6410724768708418E-3</v>
      </c>
      <c r="CG14" s="2">
        <f t="shared" si="12"/>
        <v>2.1554669010412302E-5</v>
      </c>
      <c r="CH14" s="2">
        <f t="shared" si="13"/>
        <v>-1.6056977453196975E-5</v>
      </c>
      <c r="CI14" s="2">
        <f t="shared" si="14"/>
        <v>5.4609716048729107E-3</v>
      </c>
    </row>
    <row r="15" spans="2:87" x14ac:dyDescent="0.2">
      <c r="F15" s="57" t="s">
        <v>89</v>
      </c>
      <c r="G15" s="58"/>
      <c r="H15" s="58"/>
      <c r="J15" s="11" t="s">
        <v>55</v>
      </c>
      <c r="K15" s="6">
        <f xml:space="preserve"> 1000 * K10 / ($C$61 * $C$62 * $C$63)</f>
        <v>675.81492473472224</v>
      </c>
      <c r="L15" s="6" t="s">
        <v>7</v>
      </c>
      <c r="N15" s="6" t="s">
        <v>237</v>
      </c>
      <c r="O15" s="6">
        <f>O4/O14</f>
        <v>13.426509780209468</v>
      </c>
      <c r="U15" s="2">
        <v>11</v>
      </c>
      <c r="V15" s="2">
        <f t="shared" si="15"/>
        <v>0.998046875</v>
      </c>
      <c r="W15" s="2">
        <f t="shared" si="0"/>
        <v>4.8955851184318E-4</v>
      </c>
      <c r="X15" s="2">
        <f t="shared" si="16"/>
        <v>0.99853515625</v>
      </c>
      <c r="Y15" s="2">
        <f t="shared" si="1"/>
        <v>-2.795772389985185E-5</v>
      </c>
      <c r="Z15" s="2">
        <f t="shared" si="3"/>
        <v>0.998291015625</v>
      </c>
      <c r="AA15" s="2">
        <f t="shared" si="2"/>
        <v>2.3079685515781101E-4</v>
      </c>
      <c r="AB15" s="2">
        <f t="shared" si="4"/>
        <v>1.1298856494914392E-7</v>
      </c>
      <c r="AC15" s="2">
        <f t="shared" si="5"/>
        <v>-6.4525547534561784E-9</v>
      </c>
      <c r="AD15" s="2">
        <f t="shared" si="6"/>
        <v>4.8828125E-4</v>
      </c>
      <c r="AF15" s="2">
        <v>11</v>
      </c>
      <c r="AG15" s="2">
        <f t="shared" si="25"/>
        <v>2763.18359375</v>
      </c>
      <c r="AH15" s="2">
        <v>-1.9614026843860302</v>
      </c>
      <c r="AI15" s="2">
        <f t="shared" si="26"/>
        <v>2767.578125</v>
      </c>
      <c r="AJ15" s="2">
        <v>0.16905798470725131</v>
      </c>
      <c r="AK15" s="2">
        <f t="shared" si="17"/>
        <v>2765.380859375</v>
      </c>
      <c r="AL15" s="2">
        <v>-0.89599985118275072</v>
      </c>
      <c r="AM15" s="2">
        <f t="shared" si="18"/>
        <v>1.7574165133193307</v>
      </c>
      <c r="AN15" s="2">
        <f t="shared" si="19"/>
        <v>-0.15147592913895291</v>
      </c>
      <c r="AO15" s="2">
        <f t="shared" si="20"/>
        <v>4.39453125</v>
      </c>
      <c r="AQ15" s="67"/>
      <c r="AR15" s="3" t="s">
        <v>219</v>
      </c>
      <c r="AS15" s="26"/>
      <c r="AU15" s="2" t="s">
        <v>191</v>
      </c>
      <c r="AV15" s="2">
        <f>AV10*(AR3/2 + SQRT( (AR3/2)^2 + AV10/(2*AR45*PI()*AV3^2) ) )/1000</f>
        <v>55.15777224429376</v>
      </c>
      <c r="AW15" s="26" t="s">
        <v>104</v>
      </c>
      <c r="AY15" s="2" t="s">
        <v>163</v>
      </c>
      <c r="AZ15" s="2">
        <f>(1-$BH$38)*$AV$5*$AR$21</f>
        <v>46.633904795288835</v>
      </c>
      <c r="BA15" s="26" t="s">
        <v>10</v>
      </c>
      <c r="BC15" s="2" t="s">
        <v>163</v>
      </c>
      <c r="BD15" s="2">
        <f>(1-$BL$38)*$AV$5*$AR$22</f>
        <v>57.868929577480841</v>
      </c>
      <c r="BE15" s="26" t="s">
        <v>10</v>
      </c>
      <c r="BG15" s="2" t="s">
        <v>192</v>
      </c>
      <c r="BH15" s="2">
        <f xml:space="preserve"> BH12*SIN(BH4) + BH13*COS(BH4)</f>
        <v>0.29966570020952787</v>
      </c>
      <c r="BI15" s="2"/>
      <c r="BJ15" s="2"/>
      <c r="BK15" s="2" t="s">
        <v>192</v>
      </c>
      <c r="BL15" s="2">
        <f xml:space="preserve"> BL12*SIN(BL4) + BL13*COS(BL4)</f>
        <v>0.34881892444825102</v>
      </c>
      <c r="BM15" s="2"/>
      <c r="BO15" s="2">
        <v>11</v>
      </c>
      <c r="BP15" s="2">
        <f t="shared" si="21"/>
        <v>0.4355278252964912</v>
      </c>
      <c r="BQ15" s="2">
        <v>-1.2545526469040724E-2</v>
      </c>
      <c r="BR15" s="2">
        <f t="shared" si="22"/>
        <v>0.43825831109892766</v>
      </c>
      <c r="BS15" s="2">
        <v>4.4215996063482338E-3</v>
      </c>
      <c r="BT15" s="2">
        <f t="shared" si="7"/>
        <v>0.43689306819770946</v>
      </c>
      <c r="BU15" s="2">
        <v>-4.0502939980200381E-3</v>
      </c>
      <c r="BV15" s="2">
        <f t="shared" si="8"/>
        <v>5.0813070559557169E-5</v>
      </c>
      <c r="BW15" s="2">
        <f t="shared" si="9"/>
        <v>-1.7908778347240015E-5</v>
      </c>
      <c r="BX15" s="2">
        <f t="shared" si="10"/>
        <v>2.7304858024364553E-3</v>
      </c>
      <c r="BZ15" s="2">
        <v>11</v>
      </c>
      <c r="CA15" s="2">
        <f t="shared" si="23"/>
        <v>0.37272665184045312</v>
      </c>
      <c r="CB15" s="2">
        <v>-1.6410724768708418E-3</v>
      </c>
      <c r="CC15" s="2">
        <f t="shared" si="24"/>
        <v>0.37545713764288957</v>
      </c>
      <c r="CD15" s="2">
        <v>9.7844413817810422E-3</v>
      </c>
      <c r="CE15" s="2">
        <f t="shared" si="11"/>
        <v>0.37409189474167137</v>
      </c>
      <c r="CF15" s="2">
        <v>4.0801666616704785E-3</v>
      </c>
      <c r="CG15" s="2">
        <f t="shared" si="12"/>
        <v>-6.6958492095134057E-6</v>
      </c>
      <c r="CH15" s="2">
        <f t="shared" si="13"/>
        <v>3.9922151529012037E-5</v>
      </c>
      <c r="CI15" s="2">
        <f t="shared" si="14"/>
        <v>2.7304858024364553E-3</v>
      </c>
    </row>
    <row r="16" spans="2:87" x14ac:dyDescent="0.2">
      <c r="B16" s="54" t="s">
        <v>12</v>
      </c>
      <c r="C16" s="54"/>
      <c r="D16" s="54"/>
      <c r="F16" s="9" t="s">
        <v>92</v>
      </c>
      <c r="G16" s="6">
        <f xml:space="preserve"> $C$18/$C$8</f>
        <v>1920</v>
      </c>
      <c r="H16" s="6" t="s">
        <v>14</v>
      </c>
      <c r="J16" s="12" t="s">
        <v>135</v>
      </c>
      <c r="K16" s="6">
        <f xml:space="preserve"> $C$79 * ( $C$22 * (0.0095 * MAX(G9,G26) - 1.9275) +  $C$29 * (0.0095 * MAX(O20) - 1.9275) )</f>
        <v>207.59996632489657</v>
      </c>
      <c r="L16" s="6" t="s">
        <v>7</v>
      </c>
      <c r="N16" s="6" t="s">
        <v>118</v>
      </c>
      <c r="O16" s="6">
        <f>(O13*$C$13)/(0.3048^2)/($C$5*2.20462/1000)^(2/3)</f>
        <v>5.1659127382195917</v>
      </c>
      <c r="U16" s="2">
        <v>12</v>
      </c>
      <c r="V16" s="2">
        <f t="shared" si="15"/>
        <v>0.998291015625</v>
      </c>
      <c r="W16" s="2">
        <f t="shared" si="0"/>
        <v>2.3079685515781101E-4</v>
      </c>
      <c r="X16" s="2">
        <f t="shared" si="16"/>
        <v>0.99853515625</v>
      </c>
      <c r="Y16" s="2">
        <f t="shared" si="1"/>
        <v>-2.795772389985185E-5</v>
      </c>
      <c r="Z16" s="2">
        <f t="shared" si="3"/>
        <v>0.9984130859375</v>
      </c>
      <c r="AA16" s="2">
        <f t="shared" si="2"/>
        <v>1.0141868124569076E-4</v>
      </c>
      <c r="AB16" s="2">
        <f t="shared" si="4"/>
        <v>2.3407112685757892E-8</v>
      </c>
      <c r="AC16" s="2">
        <f t="shared" si="5"/>
        <v>-2.8354354885541051E-9</v>
      </c>
      <c r="AD16" s="2">
        <f t="shared" si="6"/>
        <v>2.44140625E-4</v>
      </c>
      <c r="AF16" s="2">
        <v>12</v>
      </c>
      <c r="AG16" s="2">
        <f t="shared" si="25"/>
        <v>2765.380859375</v>
      </c>
      <c r="AH16" s="2">
        <v>-0.89599985118275072</v>
      </c>
      <c r="AI16" s="2">
        <f t="shared" si="26"/>
        <v>2767.578125</v>
      </c>
      <c r="AJ16" s="2">
        <v>0.16905798470725131</v>
      </c>
      <c r="AK16" s="2">
        <f t="shared" si="17"/>
        <v>2766.4794921875</v>
      </c>
      <c r="AL16" s="2">
        <v>-0.36342745349747929</v>
      </c>
      <c r="AM16" s="2">
        <f t="shared" si="18"/>
        <v>0.32563094424946748</v>
      </c>
      <c r="AN16" s="2">
        <f t="shared" si="19"/>
        <v>-6.1440312875572139E-2</v>
      </c>
      <c r="AO16" s="2">
        <f t="shared" si="20"/>
        <v>2.197265625</v>
      </c>
      <c r="AQ16" s="67"/>
      <c r="AR16" s="3" t="s">
        <v>219</v>
      </c>
      <c r="AS16" s="26"/>
      <c r="AU16" s="2" t="s">
        <v>193</v>
      </c>
      <c r="AV16" s="2">
        <f>AV15/AV12</f>
        <v>0.56015900013075515</v>
      </c>
      <c r="AW16" s="26"/>
      <c r="AY16" s="2" t="s">
        <v>167</v>
      </c>
      <c r="AZ16" s="2">
        <f>SQRT(AZ14^2 + AZ15^2)</f>
        <v>49.281137528586989</v>
      </c>
      <c r="BA16" s="26" t="s">
        <v>10</v>
      </c>
      <c r="BC16" s="2" t="s">
        <v>167</v>
      </c>
      <c r="BD16" s="2">
        <f>SQRT(BD14^2 + BD15^2)</f>
        <v>60.496079147150581</v>
      </c>
      <c r="BE16" s="26" t="s">
        <v>10</v>
      </c>
      <c r="BG16" s="2" t="s">
        <v>38</v>
      </c>
      <c r="BH16" s="2">
        <f xml:space="preserve"> 4*BH11*SIN(BH4)*SIN(BH4) / (BH8*BH14)</f>
        <v>1.2929222878671975</v>
      </c>
      <c r="BI16" s="2"/>
      <c r="BJ16" s="2"/>
      <c r="BK16" s="2" t="s">
        <v>38</v>
      </c>
      <c r="BL16" s="2">
        <f xml:space="preserve"> 4*BL11*SIN(BL4)*SIN(BL4) / (BL8*BL14)</f>
        <v>1.2242983143412594</v>
      </c>
      <c r="BM16" s="2"/>
      <c r="BO16" s="2">
        <v>12</v>
      </c>
      <c r="BP16" s="2">
        <f t="shared" si="21"/>
        <v>0.43689306819770946</v>
      </c>
      <c r="BQ16" s="2">
        <v>-4.0502939980200381E-3</v>
      </c>
      <c r="BR16" s="2">
        <f t="shared" si="22"/>
        <v>0.43825831109892766</v>
      </c>
      <c r="BS16" s="2">
        <v>4.4215996063482338E-3</v>
      </c>
      <c r="BT16" s="2">
        <f t="shared" si="7"/>
        <v>0.43757568964831856</v>
      </c>
      <c r="BU16" s="2">
        <v>1.8857307059697015E-4</v>
      </c>
      <c r="BV16" s="2">
        <f t="shared" si="8"/>
        <v>-7.6377637602711708E-7</v>
      </c>
      <c r="BW16" s="2">
        <f t="shared" si="9"/>
        <v>8.3379461471944089E-7</v>
      </c>
      <c r="BX16" s="2">
        <f t="shared" si="10"/>
        <v>1.3652429012181999E-3</v>
      </c>
      <c r="BZ16" s="2">
        <v>12</v>
      </c>
      <c r="CA16" s="2">
        <f t="shared" si="23"/>
        <v>0.37272665184045312</v>
      </c>
      <c r="CB16" s="2">
        <v>-1.6410724768708418E-3</v>
      </c>
      <c r="CC16" s="2">
        <f t="shared" si="24"/>
        <v>0.37409189474167137</v>
      </c>
      <c r="CD16" s="2">
        <v>4.0801666616704785E-3</v>
      </c>
      <c r="CE16" s="2">
        <f t="shared" si="11"/>
        <v>0.37340927329106222</v>
      </c>
      <c r="CF16" s="2">
        <v>1.221668577897031E-3</v>
      </c>
      <c r="CG16" s="2">
        <f t="shared" si="12"/>
        <v>-2.0048466790447596E-6</v>
      </c>
      <c r="CH16" s="2">
        <f t="shared" si="13"/>
        <v>4.9846114031458494E-6</v>
      </c>
      <c r="CI16" s="2">
        <f t="shared" si="14"/>
        <v>1.3652429012182554E-3</v>
      </c>
    </row>
    <row r="17" spans="2:87" x14ac:dyDescent="0.2">
      <c r="B17" s="6" t="s">
        <v>71</v>
      </c>
      <c r="C17" s="6">
        <f>C36*100</f>
        <v>600</v>
      </c>
      <c r="D17" s="6" t="s">
        <v>7</v>
      </c>
      <c r="F17" s="6" t="s">
        <v>239</v>
      </c>
      <c r="G17" s="6">
        <f>O21*$C$11</f>
        <v>53.082443870155544</v>
      </c>
      <c r="H17" s="6" t="s">
        <v>10</v>
      </c>
      <c r="J17" s="12" t="s">
        <v>136</v>
      </c>
      <c r="K17" s="6">
        <v>0</v>
      </c>
      <c r="L17" s="6" t="s">
        <v>7</v>
      </c>
      <c r="U17" s="2">
        <v>13</v>
      </c>
      <c r="V17" s="2">
        <f t="shared" si="15"/>
        <v>0.9984130859375</v>
      </c>
      <c r="W17" s="2">
        <f t="shared" si="0"/>
        <v>1.0141868124569076E-4</v>
      </c>
      <c r="X17" s="2">
        <f t="shared" si="16"/>
        <v>0.99853515625</v>
      </c>
      <c r="Y17" s="2">
        <f t="shared" si="1"/>
        <v>-2.795772389985185E-5</v>
      </c>
      <c r="Z17" s="2">
        <f t="shared" si="3"/>
        <v>0.99847412109375</v>
      </c>
      <c r="AA17" s="2">
        <f t="shared" si="2"/>
        <v>3.6730257617079154E-5</v>
      </c>
      <c r="AB17" s="2">
        <f t="shared" si="4"/>
        <v>3.7251342893386557E-9</v>
      </c>
      <c r="AC17" s="2">
        <f t="shared" si="5"/>
        <v>-1.0268944012287294E-9</v>
      </c>
      <c r="AD17" s="2">
        <f t="shared" si="6"/>
        <v>1.220703125E-4</v>
      </c>
      <c r="AF17" s="2">
        <v>13</v>
      </c>
      <c r="AG17" s="2">
        <f t="shared" si="25"/>
        <v>2766.4794921875</v>
      </c>
      <c r="AH17" s="2">
        <v>-0.36342745349747929</v>
      </c>
      <c r="AI17" s="2">
        <f t="shared" si="26"/>
        <v>2767.578125</v>
      </c>
      <c r="AJ17" s="2">
        <v>0.16905798470725131</v>
      </c>
      <c r="AK17" s="2">
        <f t="shared" si="17"/>
        <v>2767.02880859375</v>
      </c>
      <c r="AL17" s="2">
        <v>-9.7173748324166809E-2</v>
      </c>
      <c r="AM17" s="2">
        <f t="shared" si="18"/>
        <v>3.5315607900256889E-2</v>
      </c>
      <c r="AN17" s="2">
        <f t="shared" si="19"/>
        <v>-1.6427998058133279E-2</v>
      </c>
      <c r="AO17" s="2">
        <f t="shared" si="20"/>
        <v>1.0986328125</v>
      </c>
      <c r="AQ17" s="67"/>
      <c r="AR17" s="3" t="s">
        <v>219</v>
      </c>
      <c r="AS17" s="26"/>
      <c r="AU17" s="2" t="s">
        <v>190</v>
      </c>
      <c r="AV17" s="2">
        <f>AV10/($AR$45*AV6^2*AR9^4)</f>
        <v>0.2659967850013481</v>
      </c>
      <c r="AW17" s="2"/>
      <c r="AY17" s="2" t="s">
        <v>170</v>
      </c>
      <c r="AZ17" s="37">
        <f>$AR$45*AZ16*$AR$27/$AR$46</f>
        <v>2465907.1267371932</v>
      </c>
      <c r="BA17" s="26"/>
      <c r="BC17" s="2" t="s">
        <v>170</v>
      </c>
      <c r="BD17" s="37">
        <f>$AR$45*BD16*$AR$27/$AR$46</f>
        <v>3027075.2703725831</v>
      </c>
      <c r="BE17" s="26"/>
      <c r="BG17" s="2" t="s">
        <v>194</v>
      </c>
      <c r="BH17" s="2">
        <f xml:space="preserve"> 4*BH11*SIN(BH4)*COS(BH4) / (BH8*BH15)</f>
        <v>4.2562502076754249</v>
      </c>
      <c r="BI17" s="2"/>
      <c r="BJ17" s="2"/>
      <c r="BK17" s="2" t="s">
        <v>194</v>
      </c>
      <c r="BL17" s="2">
        <f xml:space="preserve"> 4*BL11*SIN(BL4)*COS(BL4) / (BL8*BL15)</f>
        <v>6.4998908442651491</v>
      </c>
      <c r="BM17" s="2"/>
      <c r="BO17" s="2">
        <v>13</v>
      </c>
      <c r="BP17" s="2">
        <f t="shared" si="21"/>
        <v>0.43689306819770946</v>
      </c>
      <c r="BQ17" s="2">
        <v>-4.0502939980200381E-3</v>
      </c>
      <c r="BR17" s="2">
        <f t="shared" si="22"/>
        <v>0.43757568964831856</v>
      </c>
      <c r="BS17" s="2">
        <v>1.8857307059697015E-4</v>
      </c>
      <c r="BT17" s="2">
        <f t="shared" si="7"/>
        <v>0.43723437892301398</v>
      </c>
      <c r="BU17" s="2">
        <v>-1.9301307546372992E-3</v>
      </c>
      <c r="BV17" s="2">
        <f t="shared" si="8"/>
        <v>7.8175970109013391E-6</v>
      </c>
      <c r="BW17" s="2">
        <f t="shared" si="9"/>
        <v>-3.6397068305560267E-7</v>
      </c>
      <c r="BX17" s="2">
        <f t="shared" si="10"/>
        <v>6.8262145060909996E-4</v>
      </c>
      <c r="BZ17" s="2">
        <v>13</v>
      </c>
      <c r="CA17" s="2">
        <f t="shared" si="23"/>
        <v>0.37272665184045312</v>
      </c>
      <c r="CB17" s="2">
        <v>-1.6410724768708418E-3</v>
      </c>
      <c r="CC17" s="2">
        <f t="shared" si="24"/>
        <v>0.37340927329106222</v>
      </c>
      <c r="CD17" s="2">
        <v>1.221668577897031E-3</v>
      </c>
      <c r="CE17" s="2">
        <f t="shared" si="11"/>
        <v>0.37306796256575769</v>
      </c>
      <c r="CF17" s="2">
        <v>-2.0917146441389034E-4</v>
      </c>
      <c r="CG17" s="2">
        <f t="shared" si="12"/>
        <v>3.4326553319640415E-7</v>
      </c>
      <c r="CH17" s="2">
        <f t="shared" si="13"/>
        <v>-2.5553820546715685E-7</v>
      </c>
      <c r="CI17" s="2">
        <f t="shared" si="14"/>
        <v>6.8262145060909996E-4</v>
      </c>
    </row>
    <row r="18" spans="2:87" x14ac:dyDescent="0.2">
      <c r="B18" s="6" t="s">
        <v>13</v>
      </c>
      <c r="C18" s="17">
        <v>96000</v>
      </c>
      <c r="D18" s="6" t="s">
        <v>8</v>
      </c>
      <c r="F18" s="6" t="s">
        <v>240</v>
      </c>
      <c r="G18" s="6">
        <f>G17/$C$74</f>
        <v>0.15954004668299768</v>
      </c>
      <c r="H18" s="6" t="s">
        <v>131</v>
      </c>
      <c r="J18" s="13" t="s">
        <v>56</v>
      </c>
      <c r="K18" s="6">
        <f xml:space="preserve"> $C$79 * (0.2138 * K4 + 0.2138 * K6)</f>
        <v>230.29333393978638</v>
      </c>
      <c r="L18" s="6" t="s">
        <v>7</v>
      </c>
      <c r="N18" s="57" t="s">
        <v>238</v>
      </c>
      <c r="O18" s="59"/>
      <c r="P18" s="59"/>
      <c r="U18" s="2">
        <v>14</v>
      </c>
      <c r="V18" s="2">
        <f t="shared" si="15"/>
        <v>0.99847412109375</v>
      </c>
      <c r="W18" s="2">
        <f t="shared" si="0"/>
        <v>3.6730257617079154E-5</v>
      </c>
      <c r="X18" s="2">
        <f t="shared" si="16"/>
        <v>0.99853515625</v>
      </c>
      <c r="Y18" s="2">
        <f t="shared" si="1"/>
        <v>-2.795772389985185E-5</v>
      </c>
      <c r="Z18" s="2">
        <f t="shared" si="3"/>
        <v>0.998504638671875</v>
      </c>
      <c r="AA18" s="2">
        <f t="shared" si="2"/>
        <v>4.3862115997050921E-6</v>
      </c>
      <c r="AB18" s="2">
        <f t="shared" si="4"/>
        <v>1.611066820201889E-10</v>
      </c>
      <c r="AC18" s="2">
        <f t="shared" si="5"/>
        <v>-1.2262849287088248E-10</v>
      </c>
      <c r="AD18" s="2">
        <f t="shared" si="6"/>
        <v>6.103515625E-5</v>
      </c>
      <c r="AF18" s="2">
        <v>14</v>
      </c>
      <c r="AG18" s="2">
        <f t="shared" si="25"/>
        <v>2767.02880859375</v>
      </c>
      <c r="AH18" s="2">
        <v>-9.7173748324166809E-2</v>
      </c>
      <c r="AI18" s="2">
        <f t="shared" si="26"/>
        <v>2767.578125</v>
      </c>
      <c r="AJ18" s="2">
        <v>0.16905798470725131</v>
      </c>
      <c r="AK18" s="2">
        <f t="shared" si="17"/>
        <v>2767.303466796875</v>
      </c>
      <c r="AL18" s="2">
        <v>3.594469285235391E-2</v>
      </c>
      <c r="AM18" s="2">
        <f t="shared" si="18"/>
        <v>-3.4928805368241163E-3</v>
      </c>
      <c r="AN18" s="2">
        <f t="shared" si="19"/>
        <v>6.0767373345400923E-3</v>
      </c>
      <c r="AO18" s="2">
        <f t="shared" si="20"/>
        <v>0.54931640625</v>
      </c>
      <c r="AQ18" s="67"/>
      <c r="AR18" s="3" t="s">
        <v>219</v>
      </c>
      <c r="AU18" s="2" t="s">
        <v>192</v>
      </c>
      <c r="AV18" s="2">
        <f>AV11/($AR$45*AV6^2*AR9^5)</f>
        <v>3.3854752900228428E-2</v>
      </c>
      <c r="AW18" s="26"/>
      <c r="AY18" s="2" t="s">
        <v>174</v>
      </c>
      <c r="AZ18" s="2">
        <f xml:space="preserve"> $BH$27 * PI() * $AR$45 * AZ16^2 *$BH$33 * $AR$21 * AZ13</f>
        <v>252.89126238395704</v>
      </c>
      <c r="BA18" s="26" t="s">
        <v>22</v>
      </c>
      <c r="BC18" s="2" t="s">
        <v>174</v>
      </c>
      <c r="BD18" s="2">
        <f xml:space="preserve"> $BL$27 * PI() * $AR$45 * BD16^2 * $BL$33 * $AR$22 * BD13</f>
        <v>392.927701446036</v>
      </c>
      <c r="BE18" s="26" t="s">
        <v>22</v>
      </c>
      <c r="BG18" s="2" t="s">
        <v>45</v>
      </c>
      <c r="BH18" s="2">
        <f>1/(BH16-1)</f>
        <v>3.4138747422776206</v>
      </c>
      <c r="BI18" s="2"/>
      <c r="BJ18" s="2"/>
      <c r="BK18" s="2" t="s">
        <v>45</v>
      </c>
      <c r="BL18" s="2">
        <f>1/(BL16-1)</f>
        <v>4.4583482623883963</v>
      </c>
      <c r="BM18" s="2"/>
      <c r="BO18" s="2">
        <v>14</v>
      </c>
      <c r="BP18" s="2">
        <f t="shared" si="21"/>
        <v>0.43723437892301398</v>
      </c>
      <c r="BQ18" s="2">
        <v>-1.9301307546372992E-3</v>
      </c>
      <c r="BR18" s="2">
        <f t="shared" si="22"/>
        <v>0.43757568964831856</v>
      </c>
      <c r="BS18" s="2">
        <v>1.8857307059697015E-4</v>
      </c>
      <c r="BT18" s="2">
        <f t="shared" si="7"/>
        <v>0.43740503428566624</v>
      </c>
      <c r="BU18" s="2">
        <v>-8.7059636968826737E-4</v>
      </c>
      <c r="BV18" s="2">
        <f t="shared" si="8"/>
        <v>1.6803648280109087E-6</v>
      </c>
      <c r="BW18" s="2">
        <f t="shared" si="9"/>
        <v>-1.6417103068269156E-7</v>
      </c>
      <c r="BX18" s="2">
        <f t="shared" si="10"/>
        <v>3.4131072530457773E-4</v>
      </c>
      <c r="BZ18" s="2">
        <v>14</v>
      </c>
      <c r="CA18" s="2">
        <f t="shared" si="23"/>
        <v>0.37306796256575769</v>
      </c>
      <c r="CB18" s="2">
        <v>-2.0917146441389034E-4</v>
      </c>
      <c r="CC18" s="2">
        <f t="shared" si="24"/>
        <v>0.37340927329106222</v>
      </c>
      <c r="CD18" s="2">
        <v>1.221668577897031E-3</v>
      </c>
      <c r="CE18" s="2">
        <f t="shared" si="11"/>
        <v>0.37323861792840995</v>
      </c>
      <c r="CF18" s="2">
        <v>5.0638116392985599E-4</v>
      </c>
      <c r="CG18" s="2">
        <f t="shared" si="12"/>
        <v>-1.0592048961081825E-7</v>
      </c>
      <c r="CH18" s="2">
        <f t="shared" si="13"/>
        <v>6.1862995641203052E-7</v>
      </c>
      <c r="CI18" s="2">
        <f t="shared" si="14"/>
        <v>3.4131072530452222E-4</v>
      </c>
    </row>
    <row r="19" spans="2:87" x14ac:dyDescent="0.2">
      <c r="B19" s="6" t="s">
        <v>263</v>
      </c>
      <c r="C19" s="17">
        <v>1</v>
      </c>
      <c r="F19" s="9" t="s">
        <v>100</v>
      </c>
      <c r="G19" s="6">
        <f xml:space="preserve"> 1/1000 * (O25 + O20 * (O30 * O27 + $C$8 * SIN(O19/180*PI())))</f>
        <v>109.87528084566894</v>
      </c>
      <c r="H19" s="6" t="s">
        <v>104</v>
      </c>
      <c r="J19" s="13" t="s">
        <v>80</v>
      </c>
      <c r="K19" s="6">
        <f xml:space="preserve"> $C$79 * (0.1149 * K4 + 0.1149 * K6)</f>
        <v>123.76381697699465</v>
      </c>
      <c r="L19" s="6" t="s">
        <v>7</v>
      </c>
      <c r="N19" s="6" t="s">
        <v>28</v>
      </c>
      <c r="O19" s="6">
        <f xml:space="preserve"> 90 - $C$82</f>
        <v>85</v>
      </c>
      <c r="P19" s="6" t="s">
        <v>43</v>
      </c>
      <c r="U19" s="2">
        <v>15</v>
      </c>
      <c r="V19" s="2">
        <f t="shared" si="15"/>
        <v>0.998504638671875</v>
      </c>
      <c r="W19" s="2">
        <f t="shared" si="0"/>
        <v>4.3862115997050921E-6</v>
      </c>
      <c r="X19" s="2">
        <f t="shared" si="16"/>
        <v>0.99853515625</v>
      </c>
      <c r="Y19" s="2">
        <f t="shared" si="1"/>
        <v>-2.795772389985185E-5</v>
      </c>
      <c r="Z19" s="2">
        <f t="shared" si="3"/>
        <v>0.9985198974609375</v>
      </c>
      <c r="AA19" s="2">
        <f t="shared" si="2"/>
        <v>-1.1785769964189896E-5</v>
      </c>
      <c r="AB19" s="2">
        <f t="shared" si="4"/>
        <v>-5.1694880928385589E-11</v>
      </c>
      <c r="AC19" s="2">
        <f t="shared" si="5"/>
        <v>3.2950330260598792E-10</v>
      </c>
      <c r="AD19" s="2">
        <f t="shared" si="6"/>
        <v>3.0517578125E-5</v>
      </c>
      <c r="AF19" s="2">
        <v>15</v>
      </c>
      <c r="AG19" s="2">
        <f t="shared" si="25"/>
        <v>2767.02880859375</v>
      </c>
      <c r="AH19" s="2">
        <v>-9.7173748324166809E-2</v>
      </c>
      <c r="AI19" s="2">
        <f t="shared" si="26"/>
        <v>2767.303466796875</v>
      </c>
      <c r="AJ19" s="2">
        <v>3.594469285235391E-2</v>
      </c>
      <c r="AK19" s="2">
        <f t="shared" si="17"/>
        <v>2767.1661376953125</v>
      </c>
      <c r="AL19" s="2">
        <v>-3.0613884086960752E-2</v>
      </c>
      <c r="AM19" s="2">
        <f t="shared" si="18"/>
        <v>2.9748658674915393E-3</v>
      </c>
      <c r="AN19" s="2">
        <f t="shared" si="19"/>
        <v>-1.1004066605233692E-3</v>
      </c>
      <c r="AO19" s="2">
        <f t="shared" si="20"/>
        <v>0.274658203125</v>
      </c>
      <c r="AQ19" s="67" t="s">
        <v>195</v>
      </c>
      <c r="AR19" s="3">
        <f>0.259375*($AR$9/2)</f>
        <v>0.39528750000000001</v>
      </c>
      <c r="AS19" s="26" t="s">
        <v>8</v>
      </c>
      <c r="AU19" s="2" t="s">
        <v>196</v>
      </c>
      <c r="AV19" s="2">
        <f>2*PI()*AV18</f>
        <v>0.21271568600091076</v>
      </c>
      <c r="AW19" s="26"/>
      <c r="AY19" s="2" t="s">
        <v>178</v>
      </c>
      <c r="AZ19" s="2">
        <f xml:space="preserve"> $BH$27 * PI() * $AR$45 * AZ16^2 * $BH$34 * $AR$21^2 * AZ13</f>
        <v>72.310279963751753</v>
      </c>
      <c r="BA19" s="26" t="s">
        <v>179</v>
      </c>
      <c r="BC19" s="2" t="s">
        <v>178</v>
      </c>
      <c r="BD19" s="2">
        <f xml:space="preserve"> $BL$27 * PI() * $AR$45 * BD16^2 * $BL$34 * $AR$22^2 * BD13</f>
        <v>121.98763069648084</v>
      </c>
      <c r="BE19" s="26" t="s">
        <v>179</v>
      </c>
      <c r="BG19" s="2" t="s">
        <v>197</v>
      </c>
      <c r="BH19" s="2">
        <f>1/(BH17+1)</f>
        <v>0.19024969521803828</v>
      </c>
      <c r="BI19" s="2"/>
      <c r="BJ19" s="2"/>
      <c r="BK19" s="2" t="s">
        <v>197</v>
      </c>
      <c r="BL19" s="2">
        <f>1/(BL17+1)</f>
        <v>0.13333527390797401</v>
      </c>
      <c r="BM19" s="2"/>
      <c r="BO19" s="2">
        <v>15</v>
      </c>
      <c r="BP19" s="2">
        <f t="shared" si="21"/>
        <v>0.43740503428566624</v>
      </c>
      <c r="BQ19" s="2">
        <v>-8.7059636968826737E-4</v>
      </c>
      <c r="BR19" s="2">
        <f t="shared" si="22"/>
        <v>0.43757568964831856</v>
      </c>
      <c r="BS19" s="2">
        <v>1.8857307059697015E-4</v>
      </c>
      <c r="BT19" s="2">
        <f t="shared" si="7"/>
        <v>0.43749036196699242</v>
      </c>
      <c r="BU19" s="2">
        <v>-3.4096602586207447E-4</v>
      </c>
      <c r="BV19" s="2">
        <f t="shared" si="8"/>
        <v>2.9684378430255791E-7</v>
      </c>
      <c r="BW19" s="2">
        <f t="shared" si="9"/>
        <v>-6.429701046605732E-8</v>
      </c>
      <c r="BX19" s="2">
        <f t="shared" si="10"/>
        <v>1.7065536265231662E-4</v>
      </c>
      <c r="BZ19" s="2">
        <v>15</v>
      </c>
      <c r="CA19" s="2">
        <f t="shared" si="23"/>
        <v>0.37306796256575769</v>
      </c>
      <c r="CB19" s="2">
        <v>-2.0917146441389034E-4</v>
      </c>
      <c r="CC19" s="2">
        <f t="shared" si="24"/>
        <v>0.37323861792840995</v>
      </c>
      <c r="CD19" s="2">
        <v>5.0638116392985599E-4</v>
      </c>
      <c r="CE19" s="2">
        <f t="shared" si="11"/>
        <v>0.37315329024708382</v>
      </c>
      <c r="CF19" s="2">
        <v>1.4863800332332033E-4</v>
      </c>
      <c r="CG19" s="2">
        <f t="shared" si="12"/>
        <v>-3.1090828822695614E-8</v>
      </c>
      <c r="CH19" s="2">
        <f t="shared" si="13"/>
        <v>7.526748512707275E-8</v>
      </c>
      <c r="CI19" s="2">
        <f t="shared" si="14"/>
        <v>1.7065536265226111E-4</v>
      </c>
    </row>
    <row r="20" spans="2:87" x14ac:dyDescent="0.2">
      <c r="F20" s="44" t="s">
        <v>225</v>
      </c>
      <c r="G20" s="43">
        <f xml:space="preserve"> $C$29 * G19</f>
        <v>109.87528084566894</v>
      </c>
      <c r="H20" s="43" t="s">
        <v>104</v>
      </c>
      <c r="J20" s="14" t="s">
        <v>63</v>
      </c>
      <c r="K20" s="6">
        <f xml:space="preserve"> $C$80 * (14.86 * ($C$5*2.20462)^0.144 * ($C$37/(PI()*$C$38))^0.778 * ($C$37*3.28084)^0.383 * $C$36^0.455 * 0.453592)</f>
        <v>222.12496204125947</v>
      </c>
      <c r="L20" s="6" t="s">
        <v>7</v>
      </c>
      <c r="N20" s="6" t="s">
        <v>21</v>
      </c>
      <c r="O20" s="6">
        <f xml:space="preserve"> O14 / $C$29</f>
        <v>2020.0199575857052</v>
      </c>
      <c r="P20" s="6" t="s">
        <v>22</v>
      </c>
      <c r="U20" s="2">
        <v>16</v>
      </c>
      <c r="V20" s="2">
        <f t="shared" si="15"/>
        <v>0.998504638671875</v>
      </c>
      <c r="W20" s="2">
        <f t="shared" si="0"/>
        <v>4.3862115997050921E-6</v>
      </c>
      <c r="X20" s="2">
        <f t="shared" si="16"/>
        <v>0.9985198974609375</v>
      </c>
      <c r="Y20" s="2">
        <f t="shared" si="1"/>
        <v>-1.1785769964189896E-5</v>
      </c>
      <c r="Z20" s="2">
        <f t="shared" si="3"/>
        <v>0.99851226806640625</v>
      </c>
      <c r="AA20" s="2">
        <f t="shared" si="2"/>
        <v>-3.6997826358131647E-6</v>
      </c>
      <c r="AB20" s="2">
        <f t="shared" si="4"/>
        <v>-1.6228029513591183E-11</v>
      </c>
      <c r="AC20" s="2">
        <f t="shared" si="5"/>
        <v>4.3604787063198118E-11</v>
      </c>
      <c r="AD20" s="2">
        <f t="shared" si="6"/>
        <v>1.52587890625E-5</v>
      </c>
      <c r="AF20" s="2">
        <v>16</v>
      </c>
      <c r="AG20" s="2">
        <f t="shared" si="25"/>
        <v>2767.1661376953125</v>
      </c>
      <c r="AH20" s="2">
        <v>-3.0613884086960752E-2</v>
      </c>
      <c r="AI20" s="2">
        <f t="shared" si="26"/>
        <v>2767.303466796875</v>
      </c>
      <c r="AJ20" s="2">
        <v>3.594469285235391E-2</v>
      </c>
      <c r="AK20" s="2">
        <f t="shared" si="17"/>
        <v>2767.2348022460938</v>
      </c>
      <c r="AL20" s="2">
        <v>2.6655652973204269E-3</v>
      </c>
      <c r="AM20" s="2">
        <f t="shared" si="18"/>
        <v>-8.160330703839262E-5</v>
      </c>
      <c r="AN20" s="2">
        <f t="shared" si="19"/>
        <v>9.5812925890076181E-5</v>
      </c>
      <c r="AO20" s="2">
        <f t="shared" si="20"/>
        <v>0.1373291015625</v>
      </c>
      <c r="AQ20" s="67"/>
      <c r="AR20" s="3">
        <f>0.358125*($AR$9/2)</f>
        <v>0.54578250000000006</v>
      </c>
      <c r="AS20" s="26" t="s">
        <v>8</v>
      </c>
      <c r="AU20" s="2" t="s">
        <v>198</v>
      </c>
      <c r="AV20" s="2">
        <f>AV17/AV19*AV7</f>
        <v>8.7444489296002959E-2</v>
      </c>
      <c r="AW20" s="26"/>
      <c r="BG20" s="7" t="s">
        <v>199</v>
      </c>
      <c r="BH20" s="40">
        <f>SIN(BH4)/(1+BH18) - $AR$3*COS(BH4)/($AV$5*$AR$19*(1-BH19))</f>
        <v>9.5666461558119309E-9</v>
      </c>
      <c r="BI20" s="40"/>
      <c r="BJ20" s="2"/>
      <c r="BK20" s="7" t="s">
        <v>199</v>
      </c>
      <c r="BL20" s="40">
        <f>SIN(BL4)/(1+BL18) - $AR$3*COS(BL4)/($AV$5*$AR$20*(1-BL19))</f>
        <v>-8.0443028627197322E-10</v>
      </c>
      <c r="BM20" s="40"/>
      <c r="BO20" s="2">
        <v>16</v>
      </c>
      <c r="BP20" s="2">
        <f t="shared" si="21"/>
        <v>0.43749036196699242</v>
      </c>
      <c r="BQ20" s="2">
        <v>-3.4096602586207447E-4</v>
      </c>
      <c r="BR20" s="2">
        <f t="shared" si="22"/>
        <v>0.43757568964831856</v>
      </c>
      <c r="BS20" s="2">
        <v>1.8857307059697015E-4</v>
      </c>
      <c r="BT20" s="2">
        <f t="shared" si="7"/>
        <v>0.43753302580765552</v>
      </c>
      <c r="BU20" s="2">
        <v>-7.6185071013576411E-5</v>
      </c>
      <c r="BV20" s="2">
        <f t="shared" si="8"/>
        <v>2.5976520893519076E-8</v>
      </c>
      <c r="BW20" s="2">
        <f t="shared" si="9"/>
        <v>-1.4366452774678329E-8</v>
      </c>
      <c r="BX20" s="2">
        <f t="shared" si="10"/>
        <v>8.5327681326130556E-5</v>
      </c>
      <c r="BZ20" s="2">
        <v>16</v>
      </c>
      <c r="CA20" s="2">
        <f t="shared" si="23"/>
        <v>0.37306796256575769</v>
      </c>
      <c r="CB20" s="2">
        <v>-2.0917146441389034E-4</v>
      </c>
      <c r="CC20" s="2">
        <f t="shared" si="24"/>
        <v>0.37315329024708382</v>
      </c>
      <c r="CD20" s="2">
        <v>1.4863800332332033E-4</v>
      </c>
      <c r="CE20" s="2">
        <f t="shared" si="11"/>
        <v>0.37311062640642079</v>
      </c>
      <c r="CF20" s="2">
        <v>-3.0258441933592173E-5</v>
      </c>
      <c r="CG20" s="2">
        <f t="shared" si="12"/>
        <v>6.3292026101321428E-9</v>
      </c>
      <c r="CH20" s="2">
        <f t="shared" si="13"/>
        <v>-4.4975543926837688E-9</v>
      </c>
      <c r="CI20" s="2">
        <f t="shared" si="14"/>
        <v>8.5327681326130556E-5</v>
      </c>
    </row>
    <row r="21" spans="2:87" x14ac:dyDescent="0.2">
      <c r="B21" s="54" t="s">
        <v>115</v>
      </c>
      <c r="C21" s="54"/>
      <c r="D21" s="54"/>
      <c r="J21" s="14" t="s">
        <v>64</v>
      </c>
      <c r="K21" s="6">
        <f xml:space="preserve"> $C$80 * C42 * $C$5</f>
        <v>71.94489560752001</v>
      </c>
      <c r="L21" s="6" t="s">
        <v>7</v>
      </c>
      <c r="N21" s="6" t="s">
        <v>29</v>
      </c>
      <c r="O21" s="6">
        <f>$C$7*2*PI()/60</f>
        <v>38.746309394274114</v>
      </c>
      <c r="P21" s="6" t="s">
        <v>30</v>
      </c>
      <c r="U21" s="2">
        <v>17</v>
      </c>
      <c r="V21" s="2">
        <f t="shared" si="15"/>
        <v>0.998504638671875</v>
      </c>
      <c r="W21" s="2">
        <f t="shared" si="0"/>
        <v>4.3862115997050921E-6</v>
      </c>
      <c r="X21" s="2">
        <f t="shared" si="16"/>
        <v>0.99851226806640625</v>
      </c>
      <c r="Y21" s="2">
        <f t="shared" si="1"/>
        <v>-3.6997826358131647E-6</v>
      </c>
      <c r="Z21" s="2">
        <f t="shared" si="3"/>
        <v>0.99850845336914062</v>
      </c>
      <c r="AA21" s="2">
        <f t="shared" si="2"/>
        <v>3.4321361852551746E-7</v>
      </c>
      <c r="AB21" s="2">
        <f t="shared" si="4"/>
        <v>1.5054075547533832E-12</v>
      </c>
      <c r="AC21" s="2">
        <f t="shared" si="5"/>
        <v>-1.2698157861953129E-12</v>
      </c>
      <c r="AD21" s="2">
        <f t="shared" si="6"/>
        <v>7.62939453125E-6</v>
      </c>
      <c r="AF21" s="2">
        <v>17</v>
      </c>
      <c r="AG21" s="2">
        <f t="shared" si="25"/>
        <v>2767.1661376953125</v>
      </c>
      <c r="AH21" s="2">
        <v>-3.0613884086960752E-2</v>
      </c>
      <c r="AI21" s="2">
        <f t="shared" si="26"/>
        <v>2767.2348022460938</v>
      </c>
      <c r="AJ21" s="2">
        <v>2.6655652973204269E-3</v>
      </c>
      <c r="AK21" s="2">
        <f t="shared" si="17"/>
        <v>2767.2004699707031</v>
      </c>
      <c r="AL21" s="2">
        <v>-1.3974119166050514E-2</v>
      </c>
      <c r="AM21" s="2">
        <f t="shared" si="18"/>
        <v>4.2780206436684705E-4</v>
      </c>
      <c r="AN21" s="2">
        <f t="shared" si="19"/>
        <v>-3.7248927109644514E-5</v>
      </c>
      <c r="AO21" s="2">
        <f t="shared" si="20"/>
        <v>6.866455078125E-2</v>
      </c>
      <c r="AQ21" s="67"/>
      <c r="AR21" s="3">
        <f>0.456875*($AR$9/2)</f>
        <v>0.69627749999999999</v>
      </c>
      <c r="AS21" s="26" t="s">
        <v>8</v>
      </c>
      <c r="AW21" s="26"/>
      <c r="AY21" s="63" t="s">
        <v>200</v>
      </c>
      <c r="AZ21" s="63"/>
      <c r="BA21" s="63"/>
      <c r="BC21" s="63" t="s">
        <v>201</v>
      </c>
      <c r="BD21" s="63"/>
      <c r="BE21" s="63"/>
      <c r="BG21" s="2"/>
      <c r="BH21" s="2"/>
      <c r="BI21" s="2"/>
      <c r="BJ21" s="2"/>
      <c r="BK21" s="2"/>
      <c r="BL21" s="2"/>
      <c r="BM21" s="2"/>
      <c r="BO21" s="2">
        <v>17</v>
      </c>
      <c r="BP21" s="2">
        <f t="shared" si="21"/>
        <v>0.43753302580765552</v>
      </c>
      <c r="BQ21" s="2">
        <v>-7.6185071013576411E-5</v>
      </c>
      <c r="BR21" s="2">
        <f t="shared" si="22"/>
        <v>0.43757568964831856</v>
      </c>
      <c r="BS21" s="2">
        <v>1.8857307059697015E-4</v>
      </c>
      <c r="BT21" s="2">
        <f t="shared" si="7"/>
        <v>0.43755435772798701</v>
      </c>
      <c r="BU21" s="2">
        <v>5.6196851533421577E-5</v>
      </c>
      <c r="BV21" s="2">
        <f t="shared" si="8"/>
        <v>-4.2813611248131334E-9</v>
      </c>
      <c r="BW21" s="2">
        <f t="shared" si="9"/>
        <v>1.0597212851539356E-8</v>
      </c>
      <c r="BX21" s="2">
        <f t="shared" si="10"/>
        <v>4.2663840663037522E-5</v>
      </c>
      <c r="BZ21" s="2">
        <v>17</v>
      </c>
      <c r="CA21" s="2">
        <f t="shared" si="23"/>
        <v>0.37311062640642079</v>
      </c>
      <c r="CB21" s="2">
        <v>-3.0258441933592173E-5</v>
      </c>
      <c r="CC21" s="2">
        <f t="shared" si="24"/>
        <v>0.37315329024708382</v>
      </c>
      <c r="CD21" s="2">
        <v>1.4863800332332033E-4</v>
      </c>
      <c r="CE21" s="2">
        <f t="shared" si="11"/>
        <v>0.37313195832675228</v>
      </c>
      <c r="CF21" s="2">
        <v>5.9191852820175694E-5</v>
      </c>
      <c r="CG21" s="2">
        <f t="shared" si="12"/>
        <v>-1.7910532415010204E-9</v>
      </c>
      <c r="CH21" s="2">
        <f t="shared" si="13"/>
        <v>8.7981588161987637E-9</v>
      </c>
      <c r="CI21" s="2">
        <f t="shared" si="14"/>
        <v>4.2663840663037522E-5</v>
      </c>
    </row>
    <row r="22" spans="2:87" x14ac:dyDescent="0.2">
      <c r="B22" s="6" t="s">
        <v>97</v>
      </c>
      <c r="C22" s="17">
        <v>8</v>
      </c>
      <c r="F22" s="54" t="s">
        <v>84</v>
      </c>
      <c r="G22" s="54"/>
      <c r="H22" s="54"/>
      <c r="J22" s="14" t="s">
        <v>241</v>
      </c>
      <c r="K22" s="6">
        <f xml:space="preserve"> $C$80 * (0.04674 * ($C$5*2.20462)^0.397 * ($C$13*3.28084^2)^0.36 * $C$47^0.397 * $C$14^1.712 * 0.453592)</f>
        <v>406.52533800988567</v>
      </c>
      <c r="L22" s="6" t="s">
        <v>7</v>
      </c>
      <c r="N22" s="6" t="s">
        <v>31</v>
      </c>
      <c r="O22" s="6">
        <f xml:space="preserve"> $C$8 * COS(O19/180*PI()) / (O21 * $C$11)</f>
        <v>8.2094696846333207E-2</v>
      </c>
      <c r="U22" s="2">
        <v>18</v>
      </c>
      <c r="V22" s="2">
        <f t="shared" si="15"/>
        <v>0.99850845336914062</v>
      </c>
      <c r="W22" s="2">
        <f t="shared" si="0"/>
        <v>3.4321361852551746E-7</v>
      </c>
      <c r="X22" s="2">
        <f t="shared" si="16"/>
        <v>0.99851226806640625</v>
      </c>
      <c r="Y22" s="2">
        <f t="shared" si="1"/>
        <v>-3.6997826358131647E-6</v>
      </c>
      <c r="Z22" s="2">
        <f t="shared" si="3"/>
        <v>0.99851036071777344</v>
      </c>
      <c r="AA22" s="2">
        <f t="shared" si="2"/>
        <v>-1.6782847245266908E-6</v>
      </c>
      <c r="AB22" s="2">
        <f t="shared" si="4"/>
        <v>-5.7601017322090675E-13</v>
      </c>
      <c r="AC22" s="2">
        <f t="shared" si="5"/>
        <v>6.2092886817543313E-12</v>
      </c>
      <c r="AD22" s="2">
        <f t="shared" si="6"/>
        <v>3.814697265625E-6</v>
      </c>
      <c r="AF22" s="2">
        <v>18</v>
      </c>
      <c r="AG22" s="2">
        <f t="shared" si="25"/>
        <v>2767.2004699707031</v>
      </c>
      <c r="AH22" s="2">
        <v>-1.3974119166050514E-2</v>
      </c>
      <c r="AI22" s="2">
        <f t="shared" si="26"/>
        <v>2767.2348022460938</v>
      </c>
      <c r="AJ22" s="2">
        <v>2.6655652973204269E-3</v>
      </c>
      <c r="AK22" s="2">
        <f t="shared" si="17"/>
        <v>2767.2176361083984</v>
      </c>
      <c r="AL22" s="2">
        <v>-5.6542668771726312E-3</v>
      </c>
      <c r="AM22" s="2">
        <f t="shared" si="18"/>
        <v>7.9013399138262654E-5</v>
      </c>
      <c r="AN22" s="2">
        <f t="shared" si="19"/>
        <v>-1.5071817569579706E-5</v>
      </c>
      <c r="AO22" s="2">
        <f t="shared" si="20"/>
        <v>3.4332275390625E-2</v>
      </c>
      <c r="AQ22" s="67"/>
      <c r="AR22" s="3">
        <f>0.555625*($AR$9/2)</f>
        <v>0.84677250000000004</v>
      </c>
      <c r="AS22" s="26" t="s">
        <v>8</v>
      </c>
      <c r="AU22" s="61" t="s">
        <v>202</v>
      </c>
      <c r="AV22" s="61"/>
      <c r="AW22" s="61"/>
      <c r="AY22" s="2" t="s">
        <v>153</v>
      </c>
      <c r="AZ22" s="2">
        <f>$AR$23-$AR$22</f>
        <v>0.15049500000000005</v>
      </c>
      <c r="BA22" s="26" t="s">
        <v>8</v>
      </c>
      <c r="BC22" s="2" t="s">
        <v>153</v>
      </c>
      <c r="BD22" s="2">
        <f>$AR$24-$AR$23</f>
        <v>0.15049499999999993</v>
      </c>
      <c r="BE22" s="26" t="s">
        <v>8</v>
      </c>
      <c r="BG22" s="63" t="s">
        <v>185</v>
      </c>
      <c r="BH22" s="63"/>
      <c r="BI22" s="63"/>
      <c r="BJ22" s="2"/>
      <c r="BK22" s="63" t="s">
        <v>186</v>
      </c>
      <c r="BL22" s="63"/>
      <c r="BM22" s="63"/>
      <c r="BO22" s="2">
        <v>18</v>
      </c>
      <c r="BP22" s="2">
        <f t="shared" si="21"/>
        <v>0.43753302580765552</v>
      </c>
      <c r="BQ22" s="2">
        <v>-7.6185071013576411E-5</v>
      </c>
      <c r="BR22" s="2">
        <f t="shared" si="22"/>
        <v>0.43755435772798701</v>
      </c>
      <c r="BS22" s="2">
        <v>5.6196851533421577E-5</v>
      </c>
      <c r="BT22" s="2">
        <f t="shared" si="7"/>
        <v>0.43754369176782126</v>
      </c>
      <c r="BU22" s="2">
        <v>-9.9933968155385688E-6</v>
      </c>
      <c r="BV22" s="2">
        <f t="shared" si="8"/>
        <v>7.613476460586542E-10</v>
      </c>
      <c r="BW22" s="2">
        <f t="shared" si="9"/>
        <v>-5.6159743715738894E-10</v>
      </c>
      <c r="BX22" s="2">
        <f t="shared" si="10"/>
        <v>2.1331920331491006E-5</v>
      </c>
      <c r="BZ22" s="2">
        <v>18</v>
      </c>
      <c r="CA22" s="2">
        <f t="shared" si="23"/>
        <v>0.37311062640642079</v>
      </c>
      <c r="CB22" s="2">
        <v>-3.0258441933592173E-5</v>
      </c>
      <c r="CC22" s="2">
        <f t="shared" si="24"/>
        <v>0.37313195832675228</v>
      </c>
      <c r="CD22" s="2">
        <v>5.9191852820175694E-5</v>
      </c>
      <c r="CE22" s="2">
        <f t="shared" si="11"/>
        <v>0.37312129236658653</v>
      </c>
      <c r="CF22" s="2">
        <v>1.4467223478184521E-5</v>
      </c>
      <c r="CG22" s="2">
        <f t="shared" si="12"/>
        <v>-4.3775564155494772E-10</v>
      </c>
      <c r="CH22" s="2">
        <f t="shared" si="13"/>
        <v>8.5634176283728848E-10</v>
      </c>
      <c r="CI22" s="2">
        <f t="shared" si="14"/>
        <v>2.1331920331491006E-5</v>
      </c>
    </row>
    <row r="23" spans="2:87" x14ac:dyDescent="0.2">
      <c r="B23" s="6" t="s">
        <v>114</v>
      </c>
      <c r="C23" s="17">
        <v>2</v>
      </c>
      <c r="F23" s="6" t="s">
        <v>88</v>
      </c>
      <c r="G23" s="17">
        <f>300*0.3048/60</f>
        <v>1.524</v>
      </c>
      <c r="H23" s="6" t="s">
        <v>10</v>
      </c>
      <c r="J23" s="14" t="s">
        <v>65</v>
      </c>
      <c r="K23" s="6">
        <f xml:space="preserve"> $C$80 * (3.184 * ($C$5*2.20462)^0.887 * ($C$51*3.28084*3.28084)^0.101 * ($C$50)^0.138 ) / ( 174.04 * ($C$52*3.28084)^0.223 ) * 0.453592</f>
        <v>30.422225998214937</v>
      </c>
      <c r="L23" s="6" t="s">
        <v>7</v>
      </c>
      <c r="N23" s="6" t="s">
        <v>32</v>
      </c>
      <c r="O23" s="6">
        <f xml:space="preserve"> O20 / ( $C$72 * PI() * $C$11^2 * O21^2 * $C$11^2)</f>
        <v>0.12055015320101156</v>
      </c>
      <c r="U23" s="2">
        <v>19</v>
      </c>
      <c r="V23" s="2">
        <f t="shared" si="15"/>
        <v>0.99850845336914062</v>
      </c>
      <c r="W23" s="2">
        <f t="shared" si="0"/>
        <v>3.4321361852551746E-7</v>
      </c>
      <c r="X23" s="2">
        <f t="shared" si="16"/>
        <v>0.99851036071777344</v>
      </c>
      <c r="Y23" s="2">
        <f t="shared" si="1"/>
        <v>-1.6782847245266908E-6</v>
      </c>
      <c r="Z23" s="2">
        <f t="shared" si="3"/>
        <v>0.99850940704345703</v>
      </c>
      <c r="AA23" s="2">
        <f t="shared" si="2"/>
        <v>-6.6753560701293679E-7</v>
      </c>
      <c r="AB23" s="2">
        <f t="shared" si="4"/>
        <v>-2.2910731117753781E-13</v>
      </c>
      <c r="AC23" s="2">
        <f t="shared" si="5"/>
        <v>1.1203148123274638E-12</v>
      </c>
      <c r="AD23" s="2">
        <f t="shared" si="6"/>
        <v>1.9073486328125E-6</v>
      </c>
      <c r="AF23" s="2">
        <v>19</v>
      </c>
      <c r="AG23" s="2">
        <f t="shared" si="25"/>
        <v>2767.2176361083984</v>
      </c>
      <c r="AH23" s="2">
        <v>-5.6542668771726312E-3</v>
      </c>
      <c r="AI23" s="2">
        <f t="shared" si="26"/>
        <v>2767.2348022460938</v>
      </c>
      <c r="AJ23" s="2">
        <v>2.6655652973204269E-3</v>
      </c>
      <c r="AK23" s="2">
        <f t="shared" si="17"/>
        <v>2767.2262191772461</v>
      </c>
      <c r="AL23" s="2">
        <v>-1.4941188860575494E-3</v>
      </c>
      <c r="AM23" s="2">
        <f t="shared" si="18"/>
        <v>8.4481469279932699E-6</v>
      </c>
      <c r="AN23" s="2">
        <f t="shared" si="19"/>
        <v>-3.9826714527460567E-6</v>
      </c>
      <c r="AO23" s="2">
        <f t="shared" si="20"/>
        <v>1.71661376953125E-2</v>
      </c>
      <c r="AQ23" s="67"/>
      <c r="AR23" s="3">
        <f>0.654375*($AR$9/2)</f>
        <v>0.99726750000000008</v>
      </c>
      <c r="AS23" s="26" t="s">
        <v>8</v>
      </c>
      <c r="AU23" s="70" t="s">
        <v>203</v>
      </c>
      <c r="AV23" s="67">
        <f>BH20</f>
        <v>9.5666461558119309E-9</v>
      </c>
      <c r="AW23" s="67"/>
      <c r="AY23" s="2" t="s">
        <v>158</v>
      </c>
      <c r="AZ23" s="2">
        <f>(1+$BH$56)*$AR$3</f>
        <v>19.103323832186391</v>
      </c>
      <c r="BA23" s="26" t="s">
        <v>10</v>
      </c>
      <c r="BC23" s="2" t="s">
        <v>158</v>
      </c>
      <c r="BD23" s="2">
        <f>(1+$BL$56)*$AR$3</f>
        <v>20.511738487701429</v>
      </c>
      <c r="BE23" s="26" t="s">
        <v>10</v>
      </c>
      <c r="BG23" s="28" t="s">
        <v>154</v>
      </c>
      <c r="BH23" s="29">
        <f>BT68</f>
        <v>0.32925639844739957</v>
      </c>
      <c r="BI23" s="5" t="s">
        <v>155</v>
      </c>
      <c r="BJ23" s="2"/>
      <c r="BK23" s="28" t="s">
        <v>154</v>
      </c>
      <c r="BL23" s="29">
        <f>CE68</f>
        <v>0.29578633421585016</v>
      </c>
      <c r="BM23" s="5" t="s">
        <v>155</v>
      </c>
      <c r="BO23" s="2">
        <v>19</v>
      </c>
      <c r="BP23" s="2">
        <f t="shared" si="21"/>
        <v>0.43754369176782126</v>
      </c>
      <c r="BQ23" s="2">
        <v>-9.9933968155385688E-6</v>
      </c>
      <c r="BR23" s="2">
        <f t="shared" si="22"/>
        <v>0.43755435772798701</v>
      </c>
      <c r="BS23" s="2">
        <v>5.6196851533421577E-5</v>
      </c>
      <c r="BT23" s="2">
        <f t="shared" si="7"/>
        <v>0.43754902474790414</v>
      </c>
      <c r="BU23" s="2">
        <v>2.3101905591502159E-5</v>
      </c>
      <c r="BV23" s="2">
        <f t="shared" si="8"/>
        <v>-2.3086650977099033E-10</v>
      </c>
      <c r="BW23" s="2">
        <f t="shared" si="9"/>
        <v>1.2982543586647685E-9</v>
      </c>
      <c r="BX23" s="2">
        <f t="shared" si="10"/>
        <v>1.0665960165745503E-5</v>
      </c>
      <c r="BZ23" s="2">
        <v>19</v>
      </c>
      <c r="CA23" s="2">
        <f t="shared" si="23"/>
        <v>0.37311062640642079</v>
      </c>
      <c r="CB23" s="2">
        <v>-3.0258441933592173E-5</v>
      </c>
      <c r="CC23" s="2">
        <f t="shared" si="24"/>
        <v>0.37312129236658653</v>
      </c>
      <c r="CD23" s="2">
        <v>1.4467223478184521E-5</v>
      </c>
      <c r="CE23" s="2">
        <f t="shared" si="11"/>
        <v>0.37311595938650366</v>
      </c>
      <c r="CF23" s="2">
        <v>-7.8954797184671577E-6</v>
      </c>
      <c r="CG23" s="2">
        <f t="shared" si="12"/>
        <v>2.3890491459909316E-10</v>
      </c>
      <c r="CH23" s="2">
        <f t="shared" si="13"/>
        <v>-1.1422566955453778E-10</v>
      </c>
      <c r="CI23" s="2">
        <f t="shared" si="14"/>
        <v>1.0665960165745503E-5</v>
      </c>
    </row>
    <row r="24" spans="2:87" x14ac:dyDescent="0.2">
      <c r="B24" s="6" t="s">
        <v>128</v>
      </c>
      <c r="C24" s="6">
        <f>$C$23*$C$10/PI()</f>
        <v>0.31022513338460861</v>
      </c>
      <c r="F24" s="6" t="s">
        <v>94</v>
      </c>
      <c r="G24" s="17">
        <f>1000*0.3048</f>
        <v>304.8</v>
      </c>
      <c r="H24" s="6" t="s">
        <v>8</v>
      </c>
      <c r="J24" s="14" t="s">
        <v>66</v>
      </c>
      <c r="K24" s="6">
        <f xml:space="preserve"> $C$80 * ( 1.68 * ($C$5*2.20462)^0.567 * ($C$56*3.28084*3.28084)^1.249 * ($C$55)^0.482 ) / (639.95 * ($C$57*3.28084)^0.747 * (COS($C$58/180*PI()))^0.882 ) * 0.453592</f>
        <v>9.8669846035194197</v>
      </c>
      <c r="L24" s="6" t="s">
        <v>7</v>
      </c>
      <c r="N24" s="6" t="s">
        <v>1</v>
      </c>
      <c r="O24" s="17">
        <v>8.8999999999999999E-3</v>
      </c>
      <c r="U24" s="2">
        <v>20</v>
      </c>
      <c r="V24" s="2">
        <f t="shared" si="15"/>
        <v>0.99850845336914062</v>
      </c>
      <c r="W24" s="2">
        <f t="shared" si="0"/>
        <v>3.4321361852551746E-7</v>
      </c>
      <c r="X24" s="2">
        <f t="shared" si="16"/>
        <v>0.99850940704345703</v>
      </c>
      <c r="Y24" s="2">
        <f t="shared" si="1"/>
        <v>-6.6753560701293679E-7</v>
      </c>
      <c r="Z24" s="2">
        <f t="shared" si="3"/>
        <v>0.99850893020629883</v>
      </c>
      <c r="AA24" s="2">
        <f t="shared" si="2"/>
        <v>-1.6216100773291942E-7</v>
      </c>
      <c r="AB24" s="2">
        <f t="shared" si="4"/>
        <v>-5.5655866247759689E-14</v>
      </c>
      <c r="AC24" s="2">
        <f t="shared" si="5"/>
        <v>1.082482467308239E-13</v>
      </c>
      <c r="AD24" s="2">
        <f t="shared" si="6"/>
        <v>9.5367431640625E-7</v>
      </c>
      <c r="AF24" s="2">
        <v>20</v>
      </c>
      <c r="AG24" s="2">
        <f t="shared" si="25"/>
        <v>2767.2262191772461</v>
      </c>
      <c r="AH24" s="2">
        <v>-1.4941188860575494E-3</v>
      </c>
      <c r="AI24" s="2">
        <f t="shared" si="26"/>
        <v>2767.2348022460938</v>
      </c>
      <c r="AJ24" s="2">
        <v>2.6655652973204269E-3</v>
      </c>
      <c r="AK24" s="2">
        <f t="shared" si="17"/>
        <v>2767.2305107116699</v>
      </c>
      <c r="AL24" s="2">
        <v>5.8572383477439871E-4</v>
      </c>
      <c r="AM24" s="2">
        <f t="shared" si="18"/>
        <v>-8.7514104355048069E-7</v>
      </c>
      <c r="AN24" s="2">
        <f t="shared" si="19"/>
        <v>1.5612851277880807E-6</v>
      </c>
      <c r="AO24" s="2">
        <f t="shared" si="20"/>
        <v>8.58306884765625E-3</v>
      </c>
      <c r="AQ24" s="67"/>
      <c r="AR24" s="3">
        <f>0.753125*($AR$9/2)</f>
        <v>1.1477625</v>
      </c>
      <c r="AS24" s="26" t="s">
        <v>8</v>
      </c>
      <c r="AU24" s="70"/>
      <c r="AV24" s="67">
        <f>BL20</f>
        <v>-8.0443028627197322E-10</v>
      </c>
      <c r="AW24" s="67"/>
      <c r="AY24" s="2" t="s">
        <v>163</v>
      </c>
      <c r="AZ24" s="2">
        <f>(1-$BH$57)*$AV$5*$AR$23</f>
        <v>69.084531975801738</v>
      </c>
      <c r="BA24" s="26" t="s">
        <v>10</v>
      </c>
      <c r="BC24" s="2" t="s">
        <v>163</v>
      </c>
      <c r="BD24" s="2">
        <f>(1-$BL$57)*$AV$5*$AR$24</f>
        <v>80.183003696123961</v>
      </c>
      <c r="BE24" s="26" t="s">
        <v>10</v>
      </c>
      <c r="BG24" s="2" t="s">
        <v>159</v>
      </c>
      <c r="BH24" s="2">
        <f>($AR$37+$AR$5)/180*PI()</f>
        <v>0.44371575024986731</v>
      </c>
      <c r="BI24" s="2" t="s">
        <v>155</v>
      </c>
      <c r="BJ24" s="2"/>
      <c r="BK24" s="2" t="s">
        <v>159</v>
      </c>
      <c r="BL24" s="2">
        <f>($AR$38+$AR$5)/180*PI()</f>
        <v>0.41786306070470131</v>
      </c>
      <c r="BM24" s="2" t="s">
        <v>155</v>
      </c>
      <c r="BO24" s="2">
        <v>20</v>
      </c>
      <c r="BP24" s="2">
        <f t="shared" si="21"/>
        <v>0.43754369176782126</v>
      </c>
      <c r="BQ24" s="2">
        <v>-9.9933968155385688E-6</v>
      </c>
      <c r="BR24" s="2">
        <f t="shared" si="22"/>
        <v>0.43754902474790414</v>
      </c>
      <c r="BS24" s="2">
        <v>2.3101905591502159E-5</v>
      </c>
      <c r="BT24" s="2">
        <f t="shared" si="7"/>
        <v>0.4375463582578627</v>
      </c>
      <c r="BU24" s="2">
        <v>6.5542989459571599E-6</v>
      </c>
      <c r="BV24" s="2">
        <f t="shared" si="8"/>
        <v>-6.5499710214616075E-11</v>
      </c>
      <c r="BW24" s="2">
        <f t="shared" si="9"/>
        <v>1.5141679546798441E-10</v>
      </c>
      <c r="BX24" s="2">
        <f t="shared" si="10"/>
        <v>5.3329800828727514E-6</v>
      </c>
      <c r="BZ24" s="2">
        <v>20</v>
      </c>
      <c r="CA24" s="2">
        <f t="shared" si="23"/>
        <v>0.37311595938650366</v>
      </c>
      <c r="CB24" s="2">
        <v>-7.8954797184671577E-6</v>
      </c>
      <c r="CC24" s="2">
        <f t="shared" si="24"/>
        <v>0.37312129236658653</v>
      </c>
      <c r="CD24" s="2">
        <v>1.4467223478184521E-5</v>
      </c>
      <c r="CE24" s="2">
        <f t="shared" si="11"/>
        <v>0.3731186258765451</v>
      </c>
      <c r="CF24" s="2">
        <v>3.285904257022132E-6</v>
      </c>
      <c r="CG24" s="2">
        <f t="shared" si="12"/>
        <v>-2.5943790418143138E-11</v>
      </c>
      <c r="CH24" s="2">
        <f t="shared" si="13"/>
        <v>4.7537911214257053E-11</v>
      </c>
      <c r="CI24" s="2">
        <f t="shared" si="14"/>
        <v>5.3329800828727514E-6</v>
      </c>
    </row>
    <row r="25" spans="2:87" x14ac:dyDescent="0.2">
      <c r="B25" s="6" t="s">
        <v>242</v>
      </c>
      <c r="C25" s="17">
        <v>0.75</v>
      </c>
      <c r="F25" s="6" t="s">
        <v>93</v>
      </c>
      <c r="G25" s="6">
        <f xml:space="preserve"> $G$24/$G$23</f>
        <v>200</v>
      </c>
      <c r="H25" s="6" t="s">
        <v>14</v>
      </c>
      <c r="J25" s="14" t="s">
        <v>117</v>
      </c>
      <c r="K25" s="6">
        <f>$C$80*(0.14*$G$13*1000/745.7)*0.453592</f>
        <v>53.666670444736297</v>
      </c>
      <c r="L25" s="6" t="s">
        <v>7</v>
      </c>
      <c r="N25" s="6" t="s">
        <v>33</v>
      </c>
      <c r="O25" s="6">
        <f xml:space="preserve"> ($C$31 * $O$24 / 8) * (1 + 4.65 * O22^2) * ( PI() * $C$72 * O21^3 * $C$11^5)</f>
        <v>867.46185459393394</v>
      </c>
      <c r="P25" s="6" t="s">
        <v>20</v>
      </c>
      <c r="U25" s="2">
        <v>21</v>
      </c>
      <c r="V25" s="2">
        <f t="shared" si="15"/>
        <v>0.99850845336914062</v>
      </c>
      <c r="W25" s="2">
        <f t="shared" si="0"/>
        <v>3.4321361852551746E-7</v>
      </c>
      <c r="X25" s="2">
        <f t="shared" si="16"/>
        <v>0.99850893020629883</v>
      </c>
      <c r="Y25" s="2">
        <f t="shared" si="1"/>
        <v>-1.6216100773291942E-7</v>
      </c>
      <c r="Z25" s="2">
        <f t="shared" si="3"/>
        <v>0.99850869178771973</v>
      </c>
      <c r="AA25" s="2">
        <f t="shared" si="2"/>
        <v>9.0526302010118798E-8</v>
      </c>
      <c r="AB25" s="2">
        <f t="shared" si="4"/>
        <v>3.1069859684626695E-14</v>
      </c>
      <c r="AC25" s="2">
        <f t="shared" si="5"/>
        <v>-1.4679836360295474E-14</v>
      </c>
      <c r="AD25" s="2">
        <f t="shared" si="6"/>
        <v>4.76837158203125E-7</v>
      </c>
      <c r="AF25" s="2">
        <v>21</v>
      </c>
      <c r="AG25" s="2">
        <f t="shared" si="25"/>
        <v>2767.2262191772461</v>
      </c>
      <c r="AH25" s="2">
        <v>-1.4941188860575494E-3</v>
      </c>
      <c r="AI25" s="2">
        <f t="shared" si="26"/>
        <v>2767.2305107116699</v>
      </c>
      <c r="AJ25" s="2">
        <v>5.8572383477439871E-4</v>
      </c>
      <c r="AK25" s="2">
        <f t="shared" si="17"/>
        <v>2767.228364944458</v>
      </c>
      <c r="AL25" s="2">
        <v>-4.5442675809681532E-4</v>
      </c>
      <c r="AM25" s="2">
        <f t="shared" si="18"/>
        <v>6.7896760160235719E-7</v>
      </c>
      <c r="AN25" s="2">
        <f t="shared" si="19"/>
        <v>-2.661685833765647E-7</v>
      </c>
      <c r="AO25" s="2">
        <f t="shared" si="20"/>
        <v>4.291534423828125E-3</v>
      </c>
      <c r="AQ25" s="67"/>
      <c r="AR25" s="3">
        <f>0.851875*($AR$9/2)</f>
        <v>1.2982575000000001</v>
      </c>
      <c r="AS25" s="26" t="s">
        <v>8</v>
      </c>
      <c r="AU25" s="70"/>
      <c r="AV25" s="67">
        <f>BH39</f>
        <v>1.2487426509499855E-9</v>
      </c>
      <c r="AW25" s="67"/>
      <c r="AY25" s="2" t="s">
        <v>167</v>
      </c>
      <c r="AZ25" s="2">
        <f>SQRT(AZ23^2 + AZ24^2)</f>
        <v>71.677120057609415</v>
      </c>
      <c r="BA25" s="26" t="s">
        <v>10</v>
      </c>
      <c r="BC25" s="2" t="s">
        <v>167</v>
      </c>
      <c r="BD25" s="2">
        <f>SQRT(BD23^2 + BD24^2)</f>
        <v>82.765001646350981</v>
      </c>
      <c r="BE25" s="26" t="s">
        <v>10</v>
      </c>
      <c r="BG25" s="2" t="s">
        <v>28</v>
      </c>
      <c r="BH25" s="2">
        <f>BH24-BH23</f>
        <v>0.11445935180246775</v>
      </c>
      <c r="BI25" s="2" t="s">
        <v>155</v>
      </c>
      <c r="BJ25" s="2"/>
      <c r="BK25" s="2" t="s">
        <v>28</v>
      </c>
      <c r="BL25" s="2">
        <f>BL24-BL23</f>
        <v>0.12207672648885115</v>
      </c>
      <c r="BM25" s="2" t="s">
        <v>155</v>
      </c>
      <c r="BO25" s="2">
        <v>21</v>
      </c>
      <c r="BP25" s="2">
        <f t="shared" si="21"/>
        <v>0.43754369176782126</v>
      </c>
      <c r="BQ25" s="2">
        <v>-9.9933968155385688E-6</v>
      </c>
      <c r="BR25" s="2">
        <f t="shared" si="22"/>
        <v>0.4375463582578627</v>
      </c>
      <c r="BS25" s="2">
        <v>6.5542989459571599E-6</v>
      </c>
      <c r="BT25" s="2">
        <f t="shared" si="7"/>
        <v>0.43754502501284198</v>
      </c>
      <c r="BU25" s="2">
        <v>-1.7195377953194146E-6</v>
      </c>
      <c r="BV25" s="2">
        <f t="shared" si="8"/>
        <v>1.7184023527943249E-11</v>
      </c>
      <c r="BW25" s="2">
        <f t="shared" si="9"/>
        <v>-1.1270364759395538E-11</v>
      </c>
      <c r="BX25" s="2">
        <f t="shared" si="10"/>
        <v>2.6664900414363757E-6</v>
      </c>
      <c r="BZ25" s="2">
        <v>21</v>
      </c>
      <c r="CA25" s="2">
        <f t="shared" si="23"/>
        <v>0.37311595938650366</v>
      </c>
      <c r="CB25" s="2">
        <v>-7.8954797184671577E-6</v>
      </c>
      <c r="CC25" s="2">
        <f t="shared" si="24"/>
        <v>0.3731186258765451</v>
      </c>
      <c r="CD25" s="2">
        <v>3.285904257022132E-6</v>
      </c>
      <c r="CE25" s="2">
        <f t="shared" si="11"/>
        <v>0.37311729263152438</v>
      </c>
      <c r="CF25" s="2">
        <v>-2.3047796365999185E-6</v>
      </c>
      <c r="CG25" s="2">
        <f t="shared" si="12"/>
        <v>1.8197340876310761E-11</v>
      </c>
      <c r="CH25" s="2">
        <f t="shared" si="13"/>
        <v>-7.5732852194015948E-12</v>
      </c>
      <c r="CI25" s="2">
        <f t="shared" si="14"/>
        <v>2.6664900414363757E-6</v>
      </c>
    </row>
    <row r="26" spans="2:87" x14ac:dyDescent="0.2">
      <c r="B26" s="6" t="s">
        <v>288</v>
      </c>
      <c r="C26" s="17">
        <v>50</v>
      </c>
      <c r="D26" s="6" t="s">
        <v>61</v>
      </c>
      <c r="F26" s="6" t="s">
        <v>21</v>
      </c>
      <c r="G26" s="6">
        <f xml:space="preserve"> $C$5 * $C$69 / $C$22</f>
        <v>3390.2272145928482</v>
      </c>
      <c r="H26" s="6" t="s">
        <v>22</v>
      </c>
      <c r="J26" s="15" t="s">
        <v>67</v>
      </c>
      <c r="K26" s="6">
        <f xml:space="preserve"> $C$81 * (0.0268 * $C$5)</f>
        <v>59.326867762508805</v>
      </c>
      <c r="L26" s="6" t="s">
        <v>7</v>
      </c>
      <c r="N26" s="6" t="s">
        <v>34</v>
      </c>
      <c r="O26" s="18">
        <f>Z34</f>
        <v>0.9985087770037353</v>
      </c>
      <c r="U26" s="2">
        <v>22</v>
      </c>
      <c r="V26" s="2">
        <f t="shared" si="15"/>
        <v>0.99850869178771973</v>
      </c>
      <c r="W26" s="2">
        <f t="shared" si="0"/>
        <v>9.0526302010118798E-8</v>
      </c>
      <c r="X26" s="2">
        <f t="shared" si="16"/>
        <v>0.99850893020629883</v>
      </c>
      <c r="Y26" s="2">
        <f t="shared" si="1"/>
        <v>-1.6216100773291942E-7</v>
      </c>
      <c r="Z26" s="2">
        <f t="shared" si="3"/>
        <v>0.99850881099700928</v>
      </c>
      <c r="AA26" s="2">
        <f t="shared" si="2"/>
        <v>-3.5817353749578729E-8</v>
      </c>
      <c r="AB26" s="2">
        <f t="shared" si="4"/>
        <v>-3.2424125827376251E-15</v>
      </c>
      <c r="AC26" s="2">
        <f t="shared" si="5"/>
        <v>5.8081781783581461E-15</v>
      </c>
      <c r="AD26" s="2">
        <f t="shared" si="6"/>
        <v>2.384185791015625E-7</v>
      </c>
      <c r="AF26" s="2">
        <v>22</v>
      </c>
      <c r="AG26" s="2">
        <f t="shared" si="25"/>
        <v>2767.228364944458</v>
      </c>
      <c r="AH26" s="2">
        <v>-4.5442675809681532E-4</v>
      </c>
      <c r="AI26" s="2">
        <f t="shared" si="26"/>
        <v>2767.2305107116699</v>
      </c>
      <c r="AJ26" s="2">
        <v>5.8572383477439871E-4</v>
      </c>
      <c r="AK26" s="2">
        <f t="shared" si="17"/>
        <v>2767.229437828064</v>
      </c>
      <c r="AL26" s="2">
        <v>6.5648576764942845E-5</v>
      </c>
      <c r="AM26" s="2">
        <f t="shared" si="18"/>
        <v>-2.9832469912962894E-8</v>
      </c>
      <c r="AN26" s="2">
        <f t="shared" si="19"/>
        <v>3.8451936130243815E-8</v>
      </c>
      <c r="AO26" s="2">
        <f t="shared" si="20"/>
        <v>2.1457672119140625E-3</v>
      </c>
      <c r="AQ26" s="67"/>
      <c r="AR26" s="3">
        <f>0.950625*($AR$9/2)</f>
        <v>1.4487525000000001</v>
      </c>
      <c r="AS26" s="6" t="s">
        <v>8</v>
      </c>
      <c r="AU26" s="70"/>
      <c r="AV26" s="67">
        <f>BL39</f>
        <v>-1.062150027653086E-9</v>
      </c>
      <c r="AW26" s="67"/>
      <c r="AY26" s="2" t="s">
        <v>170</v>
      </c>
      <c r="AZ26" s="37">
        <f>$AR$45*AZ25*$AR$27/$AR$46</f>
        <v>3586547.1058075293</v>
      </c>
      <c r="BA26" s="26"/>
      <c r="BC26" s="2" t="s">
        <v>170</v>
      </c>
      <c r="BD26" s="37">
        <f>$AR$45*BD25*$AR$27/$AR$46</f>
        <v>4141357.4775087824</v>
      </c>
      <c r="BE26" s="26"/>
      <c r="BG26" s="2" t="s">
        <v>168</v>
      </c>
      <c r="BH26" s="2">
        <f>BH25/PI()*180</f>
        <v>6.5580377840845134</v>
      </c>
      <c r="BI26" s="2" t="s">
        <v>43</v>
      </c>
      <c r="BJ26" s="2"/>
      <c r="BK26" s="2" t="s">
        <v>168</v>
      </c>
      <c r="BL26" s="2">
        <f>BL25/PI()*180</f>
        <v>6.9944812045840719</v>
      </c>
      <c r="BM26" s="2" t="s">
        <v>43</v>
      </c>
      <c r="BO26" s="2">
        <v>22</v>
      </c>
      <c r="BP26" s="2">
        <f t="shared" si="21"/>
        <v>0.43754502501284198</v>
      </c>
      <c r="BQ26" s="2">
        <v>-1.7195377953194146E-6</v>
      </c>
      <c r="BR26" s="2">
        <f t="shared" si="22"/>
        <v>0.4375463582578627</v>
      </c>
      <c r="BS26" s="2">
        <v>6.5542989459571599E-6</v>
      </c>
      <c r="BT26" s="2">
        <f t="shared" si="7"/>
        <v>0.43754569163535234</v>
      </c>
      <c r="BU26" s="2">
        <v>2.417383360112102E-6</v>
      </c>
      <c r="BV26" s="2">
        <f t="shared" si="8"/>
        <v>-4.1567820534890021E-12</v>
      </c>
      <c r="BW26" s="2">
        <f t="shared" si="9"/>
        <v>1.5844253209157128E-11</v>
      </c>
      <c r="BX26" s="2">
        <f t="shared" si="10"/>
        <v>1.3332450207181878E-6</v>
      </c>
      <c r="BZ26" s="2">
        <v>22</v>
      </c>
      <c r="CA26" s="2">
        <f t="shared" si="23"/>
        <v>0.37311729263152438</v>
      </c>
      <c r="CB26" s="2">
        <v>-2.3047796365999185E-6</v>
      </c>
      <c r="CC26" s="2">
        <f t="shared" si="24"/>
        <v>0.3731186258765451</v>
      </c>
      <c r="CD26" s="2">
        <v>3.285904257022132E-6</v>
      </c>
      <c r="CE26" s="2">
        <f t="shared" si="11"/>
        <v>0.37311795925403474</v>
      </c>
      <c r="CF26" s="2">
        <v>4.9056433382155262E-7</v>
      </c>
      <c r="CG26" s="2">
        <f t="shared" si="12"/>
        <v>-1.130642687034119E-12</v>
      </c>
      <c r="CH26" s="2">
        <f t="shared" si="13"/>
        <v>1.611947432847466E-12</v>
      </c>
      <c r="CI26" s="2">
        <f t="shared" si="14"/>
        <v>1.3332450207181878E-6</v>
      </c>
    </row>
    <row r="27" spans="2:87" x14ac:dyDescent="0.2">
      <c r="F27" s="43" t="s">
        <v>86</v>
      </c>
      <c r="G27" s="43">
        <f xml:space="preserve"> 1/1000 * IF( $G$23&gt;=2*SQRT(($C$5*$C$69)/(2*$C$66*$C$22*PI()*$C$9*$C$9)), ($C$5*$C$69)/$C$25 * ( ($G$23/2) - SQRT( ($G$23/2)^2 - ($C$5*$C$69)/(2*$C$66*$C$22*PI()*$C$9*$C$9 ) ) ), 1/$C$25 * SQRT(($C$5*$C$69)^3/(2*$C$66*$C$22*PI()*$C$9*$C$9)) )</f>
        <v>540.54426663338836</v>
      </c>
      <c r="H27" s="43" t="s">
        <v>104</v>
      </c>
      <c r="J27" s="15" t="s">
        <v>68</v>
      </c>
      <c r="K27" s="6">
        <f xml:space="preserve"> $C$81 * (11.5 * ($C$5*2.20462/1000)^0.4 * 0.453592)</f>
        <v>8.6019589628732067</v>
      </c>
      <c r="L27" s="6" t="s">
        <v>7</v>
      </c>
      <c r="N27" s="6" t="s">
        <v>35</v>
      </c>
      <c r="O27" s="6">
        <f xml:space="preserve"> O21 * $C$11 * O26 - $C$8 * SIN(O19/180*PI())</f>
        <v>3.1935512045711576</v>
      </c>
      <c r="P27" s="6" t="s">
        <v>10</v>
      </c>
      <c r="U27" s="2">
        <v>23</v>
      </c>
      <c r="V27" s="2">
        <f t="shared" si="15"/>
        <v>0.99850869178771973</v>
      </c>
      <c r="W27" s="2">
        <f t="shared" si="0"/>
        <v>9.0526302010118798E-8</v>
      </c>
      <c r="X27" s="2">
        <f t="shared" si="16"/>
        <v>0.99850881099700928</v>
      </c>
      <c r="Y27" s="2">
        <f t="shared" si="1"/>
        <v>-3.5817353749578729E-8</v>
      </c>
      <c r="Z27" s="2">
        <f t="shared" si="3"/>
        <v>0.9985087513923645</v>
      </c>
      <c r="AA27" s="2">
        <f t="shared" si="2"/>
        <v>2.735447390822543E-8</v>
      </c>
      <c r="AB27" s="2">
        <f t="shared" si="4"/>
        <v>2.47629936634393E-15</v>
      </c>
      <c r="AC27" s="2">
        <f t="shared" si="5"/>
        <v>-9.7976486860453156E-16</v>
      </c>
      <c r="AD27" s="2">
        <f t="shared" si="6"/>
        <v>1.1920928955078125E-7</v>
      </c>
      <c r="AF27" s="2">
        <v>23</v>
      </c>
      <c r="AG27" s="2">
        <f t="shared" si="25"/>
        <v>2767.228364944458</v>
      </c>
      <c r="AH27" s="2">
        <v>-4.5442675809681532E-4</v>
      </c>
      <c r="AI27" s="2">
        <f t="shared" si="26"/>
        <v>2767.229437828064</v>
      </c>
      <c r="AJ27" s="2">
        <v>6.5648576764942845E-5</v>
      </c>
      <c r="AK27" s="2">
        <f t="shared" si="17"/>
        <v>2767.228901386261</v>
      </c>
      <c r="AL27" s="2">
        <v>-1.9438908111624187E-4</v>
      </c>
      <c r="AM27" s="2">
        <f t="shared" si="18"/>
        <v>8.8335599941072655E-8</v>
      </c>
      <c r="AN27" s="2">
        <f t="shared" si="19"/>
        <v>-1.2761366513926306E-8</v>
      </c>
      <c r="AO27" s="2">
        <f t="shared" si="20"/>
        <v>1.0728836059570312E-3</v>
      </c>
      <c r="AQ27" s="67" t="s">
        <v>204</v>
      </c>
      <c r="AR27" s="3">
        <f>0.548288*($AR$9/2)</f>
        <v>0.83559091200000002</v>
      </c>
      <c r="AS27" s="26" t="s">
        <v>8</v>
      </c>
      <c r="AU27" s="70"/>
      <c r="AV27" s="67">
        <f>BH58</f>
        <v>-1.8652269381802533E-9</v>
      </c>
      <c r="AW27" s="67"/>
      <c r="AY27" s="2" t="s">
        <v>174</v>
      </c>
      <c r="AZ27" s="2">
        <f xml:space="preserve"> $BH$46 * PI() * $AR$45 * AZ25^2 * $BH$52 * $AR$23 * AZ22</f>
        <v>537.6536516382256</v>
      </c>
      <c r="BA27" s="26" t="s">
        <v>22</v>
      </c>
      <c r="BC27" s="2" t="s">
        <v>174</v>
      </c>
      <c r="BD27" s="2">
        <f xml:space="preserve"> $BL$46 * PI() * $AR$45 * BD25^2 * $BL$52 * $AR$24 * BD22</f>
        <v>665.22257686632236</v>
      </c>
      <c r="BE27" s="26" t="s">
        <v>22</v>
      </c>
      <c r="BG27" s="2" t="s">
        <v>171</v>
      </c>
      <c r="BH27" s="2">
        <f xml:space="preserve"> $AR$8*$AR$29 / (2*PI()*$AR$21)</f>
        <v>0.35771795642666621</v>
      </c>
      <c r="BI27" s="2"/>
      <c r="BJ27" s="2"/>
      <c r="BK27" s="2" t="s">
        <v>171</v>
      </c>
      <c r="BL27" s="2">
        <f xml:space="preserve"> $AR$8*$AR$30 / (2*PI()*$AR$22)</f>
        <v>0.28415899496185482</v>
      </c>
      <c r="BM27" s="2"/>
      <c r="BO27" s="2">
        <v>23</v>
      </c>
      <c r="BP27" s="2">
        <f t="shared" si="21"/>
        <v>0.43754502501284198</v>
      </c>
      <c r="BQ27" s="2">
        <v>-1.7195377953194146E-6</v>
      </c>
      <c r="BR27" s="2">
        <f t="shared" si="22"/>
        <v>0.43754569163535234</v>
      </c>
      <c r="BS27" s="2">
        <v>2.417383360112102E-6</v>
      </c>
      <c r="BT27" s="2">
        <f t="shared" si="7"/>
        <v>0.43754535832409713</v>
      </c>
      <c r="BU27" s="2">
        <v>3.4892347855475236E-7</v>
      </c>
      <c r="BV27" s="2">
        <f t="shared" si="8"/>
        <v>-5.9998710904921998E-13</v>
      </c>
      <c r="BW27" s="2">
        <f t="shared" si="9"/>
        <v>8.4348181101069018E-13</v>
      </c>
      <c r="BX27" s="2">
        <f t="shared" si="10"/>
        <v>6.6662251035909392E-7</v>
      </c>
      <c r="BZ27" s="2">
        <v>23</v>
      </c>
      <c r="CA27" s="2">
        <f t="shared" si="23"/>
        <v>0.37311729263152438</v>
      </c>
      <c r="CB27" s="2">
        <v>-2.3047796365999185E-6</v>
      </c>
      <c r="CC27" s="2">
        <f t="shared" si="24"/>
        <v>0.37311795925403474</v>
      </c>
      <c r="CD27" s="2">
        <v>4.9056433382155262E-7</v>
      </c>
      <c r="CE27" s="2">
        <f t="shared" si="11"/>
        <v>0.37311762594277953</v>
      </c>
      <c r="CF27" s="2">
        <v>-9.0710714539810056E-7</v>
      </c>
      <c r="CG27" s="2">
        <f t="shared" si="12"/>
        <v>2.0906820769278237E-12</v>
      </c>
      <c r="CH27" s="2">
        <f t="shared" si="13"/>
        <v>-4.4499441248698945E-13</v>
      </c>
      <c r="CI27" s="2">
        <f t="shared" si="14"/>
        <v>6.6662251035909392E-7</v>
      </c>
    </row>
    <row r="28" spans="2:87" x14ac:dyDescent="0.2">
      <c r="B28" s="54" t="s">
        <v>243</v>
      </c>
      <c r="C28" s="54"/>
      <c r="D28" s="54"/>
      <c r="J28" s="15" t="s">
        <v>69</v>
      </c>
      <c r="K28" s="6">
        <f xml:space="preserve"> $C$81 * (8 * ($C$5/1000))</f>
        <v>17.709512764928004</v>
      </c>
      <c r="L28" s="6" t="s">
        <v>7</v>
      </c>
      <c r="N28" s="6" t="s">
        <v>36</v>
      </c>
      <c r="O28" s="6">
        <f xml:space="preserve"> 1/$C$32 - O25 * SQRT( (2*$C$72*PI()*$C$11^2) / O20^3 )</f>
        <v>1.300381852880762</v>
      </c>
      <c r="U28" s="2">
        <v>24</v>
      </c>
      <c r="V28" s="2">
        <f t="shared" si="15"/>
        <v>0.9985087513923645</v>
      </c>
      <c r="W28" s="2">
        <f t="shared" si="0"/>
        <v>2.735447390822543E-8</v>
      </c>
      <c r="X28" s="2">
        <f t="shared" si="16"/>
        <v>0.99850881099700928</v>
      </c>
      <c r="Y28" s="2">
        <f t="shared" si="1"/>
        <v>-3.5817353749578729E-8</v>
      </c>
      <c r="Z28" s="2">
        <f t="shared" si="3"/>
        <v>0.99850878119468689</v>
      </c>
      <c r="AA28" s="2">
        <f t="shared" si="2"/>
        <v>-4.2314398651654983E-9</v>
      </c>
      <c r="AB28" s="2">
        <f t="shared" si="4"/>
        <v>-1.1574881138589455E-16</v>
      </c>
      <c r="AC28" s="2">
        <f t="shared" si="5"/>
        <v>1.5155897852070237E-16</v>
      </c>
      <c r="AD28" s="2">
        <f t="shared" si="6"/>
        <v>5.9604644775390625E-8</v>
      </c>
      <c r="AF28" s="2">
        <v>24</v>
      </c>
      <c r="AG28" s="2">
        <f t="shared" si="25"/>
        <v>2767.228901386261</v>
      </c>
      <c r="AH28" s="2">
        <v>-1.9438908111624187E-4</v>
      </c>
      <c r="AI28" s="2">
        <f t="shared" si="26"/>
        <v>2767.229437828064</v>
      </c>
      <c r="AJ28" s="2">
        <v>6.5648576764942845E-5</v>
      </c>
      <c r="AK28" s="2">
        <f t="shared" si="17"/>
        <v>2767.2291696071625</v>
      </c>
      <c r="AL28" s="2">
        <v>-6.4370249674539082E-5</v>
      </c>
      <c r="AM28" s="2">
        <f t="shared" si="18"/>
        <v>1.2512873685456719E-8</v>
      </c>
      <c r="AN28" s="2">
        <f t="shared" si="19"/>
        <v>-4.2258152771375161E-9</v>
      </c>
      <c r="AO28" s="2">
        <f t="shared" si="20"/>
        <v>5.3644180297851562E-4</v>
      </c>
      <c r="AQ28" s="67"/>
      <c r="AR28" s="3">
        <f>0.530863*($AR$9/2)</f>
        <v>0.80903521199999995</v>
      </c>
      <c r="AS28" s="26" t="s">
        <v>8</v>
      </c>
      <c r="AU28" s="70"/>
      <c r="AV28" s="67">
        <f>BL58</f>
        <v>5.8070698701062629E-9</v>
      </c>
      <c r="AW28" s="67"/>
      <c r="AY28" s="2" t="s">
        <v>178</v>
      </c>
      <c r="AZ28" s="2">
        <f xml:space="preserve"> $BH$46 * PI() * $AR$45 * AZ25^2 * $BH$53 * $AR$23^2 * AZ22</f>
        <v>180.85928779200626</v>
      </c>
      <c r="BA28" s="26" t="s">
        <v>179</v>
      </c>
      <c r="BC28" s="2" t="s">
        <v>178</v>
      </c>
      <c r="BD28" s="2">
        <f xml:space="preserve"> $BL$46 * PI() * $AR$45 * BD25^2 * $BL$53 * $AR$24^2 * BD22</f>
        <v>244.5798926012445</v>
      </c>
      <c r="BE28" s="26" t="s">
        <v>179</v>
      </c>
      <c r="BG28" s="2" t="s">
        <v>175</v>
      </c>
      <c r="BH28" s="2">
        <f>IF(-$AR$8*($AV$3-$AR$21)/(2*$AR$21*SIN(BH23))&gt;500, 1, 2*ACOS(MIN(1, EXP(-$AR$8*($AV$3-$AR$21)/(2*$AR$21*SIN(BH23)))))/PI() )</f>
        <v>0.9838857793268766</v>
      </c>
      <c r="BI28" s="2"/>
      <c r="BJ28" s="2"/>
      <c r="BK28" s="2" t="s">
        <v>175</v>
      </c>
      <c r="BL28" s="2">
        <f>IF(-$AR$8*($AV$3-$AR$22)/(2*$AR$22*SIN(BL23))&gt;500, 1, 2*ACOS(MIN(1, EXP(-$AR$8*($AV$3-$AR$22)/(2*$AR$22*SIN(BL23)))))/PI() )</f>
        <v>0.95901789011758976</v>
      </c>
      <c r="BM28" s="2"/>
      <c r="BO28" s="2">
        <v>24</v>
      </c>
      <c r="BP28" s="2">
        <f t="shared" si="21"/>
        <v>0.43754502501284198</v>
      </c>
      <c r="BQ28" s="2">
        <v>-1.7195377953194146E-6</v>
      </c>
      <c r="BR28" s="2">
        <f t="shared" si="22"/>
        <v>0.43754535832409713</v>
      </c>
      <c r="BS28" s="2">
        <v>3.4892347855475236E-7</v>
      </c>
      <c r="BT28" s="2">
        <f t="shared" si="7"/>
        <v>0.43754519166846956</v>
      </c>
      <c r="BU28" s="2">
        <v>-6.8530698432711645E-7</v>
      </c>
      <c r="BV28" s="2">
        <f t="shared" si="8"/>
        <v>1.1784112609468464E-12</v>
      </c>
      <c r="BW28" s="2">
        <f t="shared" si="9"/>
        <v>-2.3911969684928462E-13</v>
      </c>
      <c r="BX28" s="2">
        <f t="shared" si="10"/>
        <v>3.3331125515179139E-7</v>
      </c>
      <c r="BZ28" s="2">
        <v>24</v>
      </c>
      <c r="CA28" s="2">
        <f t="shared" si="23"/>
        <v>0.37311762594277953</v>
      </c>
      <c r="CB28" s="2">
        <v>-9.0710714539810056E-7</v>
      </c>
      <c r="CC28" s="2">
        <f t="shared" si="24"/>
        <v>0.37311795925403474</v>
      </c>
      <c r="CD28" s="2">
        <v>4.9056433382155262E-7</v>
      </c>
      <c r="CE28" s="2">
        <f t="shared" si="11"/>
        <v>0.37311779259840716</v>
      </c>
      <c r="CF28" s="2">
        <v>-2.0827127925060474E-7</v>
      </c>
      <c r="CG28" s="2">
        <f t="shared" si="12"/>
        <v>1.889243655894267E-13</v>
      </c>
      <c r="CH28" s="2">
        <f t="shared" si="13"/>
        <v>-1.0217046135973547E-13</v>
      </c>
      <c r="CI28" s="2">
        <f t="shared" si="14"/>
        <v>3.3331125520730254E-7</v>
      </c>
    </row>
    <row r="29" spans="2:87" x14ac:dyDescent="0.2">
      <c r="B29" s="6" t="s">
        <v>244</v>
      </c>
      <c r="C29" s="17">
        <v>1</v>
      </c>
      <c r="J29" s="15" t="s">
        <v>70</v>
      </c>
      <c r="K29" s="6">
        <f xml:space="preserve"> $C$81 * (13 * ($C$5*2.20462/1000)^1.3 * 0.453592)</f>
        <v>49.507069752776914</v>
      </c>
      <c r="L29" s="6" t="s">
        <v>7</v>
      </c>
      <c r="N29" s="6" t="s">
        <v>37</v>
      </c>
      <c r="O29" s="17">
        <v>1.1499999999999999</v>
      </c>
      <c r="U29" s="2">
        <v>25</v>
      </c>
      <c r="V29" s="2">
        <f t="shared" si="15"/>
        <v>0.9985087513923645</v>
      </c>
      <c r="W29" s="2">
        <f t="shared" si="0"/>
        <v>2.735447390822543E-8</v>
      </c>
      <c r="X29" s="2">
        <f t="shared" si="16"/>
        <v>0.99850878119468689</v>
      </c>
      <c r="Y29" s="2">
        <f t="shared" si="1"/>
        <v>-4.2314398651654983E-9</v>
      </c>
      <c r="Z29" s="2">
        <f t="shared" si="3"/>
        <v>0.9985087662935257</v>
      </c>
      <c r="AA29" s="2">
        <f t="shared" si="2"/>
        <v>1.1561516966018814E-8</v>
      </c>
      <c r="AB29" s="2">
        <f t="shared" si="4"/>
        <v>3.162592141864673E-16</v>
      </c>
      <c r="AC29" s="2">
        <f t="shared" si="5"/>
        <v>-4.8921863791799273E-17</v>
      </c>
      <c r="AD29" s="2">
        <f t="shared" si="6"/>
        <v>2.9802322387695312E-8</v>
      </c>
      <c r="AF29" s="2">
        <v>25</v>
      </c>
      <c r="AG29" s="2">
        <f t="shared" si="25"/>
        <v>2767.2291696071625</v>
      </c>
      <c r="AH29" s="2">
        <v>-6.4370249674539082E-5</v>
      </c>
      <c r="AI29" s="2">
        <f t="shared" si="26"/>
        <v>2767.229437828064</v>
      </c>
      <c r="AJ29" s="2">
        <v>6.5648576764942845E-5</v>
      </c>
      <c r="AK29" s="2">
        <f t="shared" si="17"/>
        <v>2767.2293037176132</v>
      </c>
      <c r="AL29" s="2">
        <v>8.6855516201467253E-7</v>
      </c>
      <c r="AM29" s="2">
        <f t="shared" si="18"/>
        <v>-5.5909112634994214E-11</v>
      </c>
      <c r="AN29" s="2">
        <f t="shared" si="19"/>
        <v>5.70194102281076E-11</v>
      </c>
      <c r="AO29" s="2">
        <f t="shared" si="20"/>
        <v>2.6822090148925781E-4</v>
      </c>
      <c r="AQ29" s="67"/>
      <c r="AR29" s="3">
        <f>0.513438*($AR$9/2)</f>
        <v>0.78247951199999999</v>
      </c>
      <c r="AS29" s="26" t="s">
        <v>8</v>
      </c>
      <c r="AU29" s="70"/>
      <c r="AV29" s="67">
        <f>BH77</f>
        <v>1.848831813339169E-9</v>
      </c>
      <c r="AW29" s="67"/>
      <c r="BG29" s="2" t="s">
        <v>180</v>
      </c>
      <c r="BH29" s="2">
        <f>IF(-$AR$8*($AR$21-$AR$10)/(2*$AR$21*SIN(BH23))&gt;500, 1, 2*ACOS(MIN(1, EXP(-$AR$8*($AR$21-$AR$10)/(2*$AR$21*SIN(BH23)))))/PI() )</f>
        <v>0.8795817184463125</v>
      </c>
      <c r="BI29" s="2"/>
      <c r="BJ29" s="2"/>
      <c r="BK29" s="2" t="s">
        <v>180</v>
      </c>
      <c r="BL29" s="2">
        <f>IF(-$AR$8*($AR$22-$AR$10)/(2*$AR$22*SIN(BL23))&gt;500, 1, 2*ACOS(MIN(1, EXP(-$AR$8*($AR$22-$AR$10)/(2*$AR$22*SIN(BL23)))))/PI() )</f>
        <v>0.9244715713276177</v>
      </c>
      <c r="BM29" s="2"/>
      <c r="BO29" s="2">
        <v>25</v>
      </c>
      <c r="BP29" s="2">
        <f t="shared" si="21"/>
        <v>0.43754519166846956</v>
      </c>
      <c r="BQ29" s="2">
        <v>-6.8530698432711645E-7</v>
      </c>
      <c r="BR29" s="2">
        <f t="shared" si="22"/>
        <v>0.43754535832409713</v>
      </c>
      <c r="BS29" s="2">
        <v>3.4892347855475236E-7</v>
      </c>
      <c r="BT29" s="2">
        <f t="shared" si="7"/>
        <v>0.43754527499628337</v>
      </c>
      <c r="BU29" s="2">
        <v>-1.6819170936543948E-7</v>
      </c>
      <c r="BV29" s="2">
        <f t="shared" si="8"/>
        <v>1.1526295313405215E-13</v>
      </c>
      <c r="BW29" s="2">
        <f t="shared" si="9"/>
        <v>-5.8686036295859059E-14</v>
      </c>
      <c r="BX29" s="2">
        <f t="shared" si="10"/>
        <v>1.6665562757589569E-7</v>
      </c>
      <c r="BZ29" s="2">
        <v>25</v>
      </c>
      <c r="CA29" s="2">
        <f t="shared" si="23"/>
        <v>0.37311779259840716</v>
      </c>
      <c r="CB29" s="2">
        <v>-2.0827127925060474E-7</v>
      </c>
      <c r="CC29" s="2">
        <f t="shared" si="24"/>
        <v>0.37311795925403474</v>
      </c>
      <c r="CD29" s="2">
        <v>4.9056433382155262E-7</v>
      </c>
      <c r="CE29" s="2">
        <f t="shared" si="11"/>
        <v>0.37311787592622092</v>
      </c>
      <c r="CF29" s="2">
        <v>1.4114655881580784E-7</v>
      </c>
      <c r="CG29" s="2">
        <f t="shared" si="12"/>
        <v>-2.9396774366389022E-14</v>
      </c>
      <c r="CH29" s="2">
        <f t="shared" si="13"/>
        <v>6.9241467596681374E-14</v>
      </c>
      <c r="CI29" s="2">
        <f t="shared" si="14"/>
        <v>1.6665562757589569E-7</v>
      </c>
    </row>
    <row r="30" spans="2:87" x14ac:dyDescent="0.2">
      <c r="B30" s="6" t="s">
        <v>245</v>
      </c>
      <c r="C30" s="17">
        <v>6</v>
      </c>
      <c r="J30" s="10" t="s">
        <v>57</v>
      </c>
      <c r="K30" s="10">
        <f>$C$5 - $C$17 - SUM(K15:K29)</f>
        <v>-5.7158404622441594E-2</v>
      </c>
      <c r="L30" s="10" t="s">
        <v>7</v>
      </c>
      <c r="N30" s="6" t="s">
        <v>38</v>
      </c>
      <c r="O30" s="6">
        <f xml:space="preserve"> 1/$C$78 * LN( EXP($C$78 * O28) + EXP($C$78 * O29) )</f>
        <v>1.3007459393245107</v>
      </c>
      <c r="U30" s="2">
        <v>26</v>
      </c>
      <c r="V30" s="2">
        <f>IF(AB29&gt;0, Z29, V29)</f>
        <v>0.9985087662935257</v>
      </c>
      <c r="W30" s="2">
        <f t="shared" si="0"/>
        <v>1.1561516966018814E-8</v>
      </c>
      <c r="X30" s="2">
        <f t="shared" si="16"/>
        <v>0.99850878119468689</v>
      </c>
      <c r="Y30" s="2">
        <f t="shared" si="1"/>
        <v>-4.2314398651654983E-9</v>
      </c>
      <c r="Z30" s="2">
        <f t="shared" si="3"/>
        <v>0.99850877374410629</v>
      </c>
      <c r="AA30" s="2">
        <f t="shared" si="2"/>
        <v>3.6650384949155068E-9</v>
      </c>
      <c r="AB30" s="2">
        <f t="shared" si="4"/>
        <v>4.2373404740077692E-17</v>
      </c>
      <c r="AC30" s="2">
        <f t="shared" si="5"/>
        <v>-1.5508389994751633E-17</v>
      </c>
      <c r="AD30" s="2">
        <f t="shared" si="6"/>
        <v>1.4901161193847656E-8</v>
      </c>
      <c r="AF30" s="2">
        <v>26</v>
      </c>
      <c r="AG30" s="2">
        <f t="shared" si="25"/>
        <v>2767.2291696071625</v>
      </c>
      <c r="AH30" s="2">
        <v>-6.4370249674539082E-5</v>
      </c>
      <c r="AI30" s="2">
        <f t="shared" si="26"/>
        <v>2767.2293037176132</v>
      </c>
      <c r="AJ30" s="2">
        <v>8.6855516201467253E-7</v>
      </c>
      <c r="AK30" s="2">
        <f t="shared" si="17"/>
        <v>2767.2292366623878</v>
      </c>
      <c r="AL30" s="2">
        <v>-3.1980237963580294E-5</v>
      </c>
      <c r="AM30" s="2">
        <f t="shared" si="18"/>
        <v>2.0585759023668368E-9</v>
      </c>
      <c r="AN30" s="2">
        <f t="shared" si="19"/>
        <v>-2.7776600765725263E-11</v>
      </c>
      <c r="AO30" s="2">
        <f t="shared" si="20"/>
        <v>1.3411045074462891E-4</v>
      </c>
      <c r="AQ30" s="67"/>
      <c r="AR30" s="3">
        <f>0.496013*($AR$9/2)</f>
        <v>0.75592381200000003</v>
      </c>
      <c r="AS30" s="26" t="s">
        <v>8</v>
      </c>
      <c r="AU30" s="38" t="s">
        <v>205</v>
      </c>
      <c r="AV30" s="67" t="b">
        <f>IF(AV23&lt;0.00001,IF(AV24&lt;0.00001,IF(AV25&lt;0.00001,IF(AV26&lt;0.00001,IF(AV27&lt;0.00001,IF(AV28&lt;0.00001,IF(AV29&lt;0.00001,TRUE,FALSE),FALSE),FALSE),FALSE),FALSE),FALSE),FALSE)</f>
        <v>1</v>
      </c>
      <c r="AW30" s="67"/>
      <c r="AY30" s="63" t="s">
        <v>206</v>
      </c>
      <c r="AZ30" s="63"/>
      <c r="BA30" s="63"/>
      <c r="BC30" s="63" t="s">
        <v>220</v>
      </c>
      <c r="BD30" s="63"/>
      <c r="BE30" s="63"/>
      <c r="BG30" s="2" t="s">
        <v>183</v>
      </c>
      <c r="BH30" s="2">
        <f>IF(BH23=0,1,BH28*BH29)</f>
        <v>0.86540794453522352</v>
      </c>
      <c r="BI30" s="2"/>
      <c r="BJ30" s="2"/>
      <c r="BK30" s="2" t="s">
        <v>183</v>
      </c>
      <c r="BL30" s="2">
        <f>IF(BL23=0,1,BL28*BL29)</f>
        <v>0.88658477580830486</v>
      </c>
      <c r="BM30" s="2"/>
      <c r="BO30" s="2">
        <v>26</v>
      </c>
      <c r="BP30" s="2">
        <f t="shared" si="21"/>
        <v>0.43754527499628337</v>
      </c>
      <c r="BQ30" s="2">
        <v>-1.6819170936543948E-7</v>
      </c>
      <c r="BR30" s="2">
        <f t="shared" si="22"/>
        <v>0.43754535832409713</v>
      </c>
      <c r="BS30" s="2">
        <v>3.4892347855475236E-7</v>
      </c>
      <c r="BT30" s="2">
        <f t="shared" si="7"/>
        <v>0.43754531666019025</v>
      </c>
      <c r="BU30" s="2">
        <v>9.0365895530353235E-8</v>
      </c>
      <c r="BV30" s="2">
        <f t="shared" si="8"/>
        <v>-1.5198794437588837E-14</v>
      </c>
      <c r="BW30" s="2">
        <f t="shared" si="9"/>
        <v>3.1530782611166197E-14</v>
      </c>
      <c r="BX30" s="2">
        <f t="shared" si="10"/>
        <v>8.3327813760192271E-8</v>
      </c>
      <c r="BZ30" s="2">
        <v>26</v>
      </c>
      <c r="CA30" s="2">
        <f t="shared" si="23"/>
        <v>0.37311779259840716</v>
      </c>
      <c r="CB30" s="2">
        <v>-2.0827127925060474E-7</v>
      </c>
      <c r="CC30" s="2">
        <f t="shared" si="24"/>
        <v>0.37311787592622092</v>
      </c>
      <c r="CD30" s="2">
        <v>1.4114655881580784E-7</v>
      </c>
      <c r="CE30" s="2">
        <f t="shared" si="11"/>
        <v>0.37311783426231404</v>
      </c>
      <c r="CF30" s="2">
        <v>-3.3562352313998289E-8</v>
      </c>
      <c r="CG30" s="2">
        <f t="shared" si="12"/>
        <v>6.9900740510959176E-15</v>
      </c>
      <c r="CH30" s="2">
        <f t="shared" si="13"/>
        <v>-4.7372105348846238E-15</v>
      </c>
      <c r="CI30" s="2">
        <f t="shared" si="14"/>
        <v>8.3327813760192271E-8</v>
      </c>
    </row>
    <row r="31" spans="2:87" x14ac:dyDescent="0.2">
      <c r="B31" s="6" t="s">
        <v>246</v>
      </c>
      <c r="C31" s="6">
        <f>$C$30*$C$12/PI()</f>
        <v>0.84998288907657626</v>
      </c>
      <c r="J31" s="6" t="s">
        <v>58</v>
      </c>
      <c r="K31" s="4" t="str">
        <f>IF(ABS(K30)&lt;1, "TRUE", "FALSE")</f>
        <v>TRUE</v>
      </c>
      <c r="U31" s="2">
        <v>27</v>
      </c>
      <c r="V31" s="2">
        <f t="shared" si="15"/>
        <v>0.99850877374410629</v>
      </c>
      <c r="W31" s="2">
        <f t="shared" si="0"/>
        <v>3.6650384949155068E-9</v>
      </c>
      <c r="X31" s="2">
        <f t="shared" si="16"/>
        <v>0.99850878119468689</v>
      </c>
      <c r="Y31" s="2">
        <f t="shared" si="1"/>
        <v>-4.2314398651654983E-9</v>
      </c>
      <c r="Z31" s="2">
        <f t="shared" si="3"/>
        <v>0.99850877746939659</v>
      </c>
      <c r="AA31" s="2">
        <f t="shared" si="2"/>
        <v>-2.8320068512499574E-10</v>
      </c>
      <c r="AB31" s="2">
        <f t="shared" si="4"/>
        <v>-1.0379414127695548E-18</v>
      </c>
      <c r="AC31" s="2">
        <f t="shared" si="5"/>
        <v>1.1983466688800887E-18</v>
      </c>
      <c r="AD31" s="2">
        <f t="shared" si="6"/>
        <v>7.4505805969238281E-9</v>
      </c>
      <c r="AF31" s="2">
        <v>27</v>
      </c>
      <c r="AG31" s="2">
        <f t="shared" si="25"/>
        <v>2767.2292366623878</v>
      </c>
      <c r="AH31" s="2">
        <v>-3.1980237963580294E-5</v>
      </c>
      <c r="AI31" s="2">
        <f t="shared" si="26"/>
        <v>2767.2293037176132</v>
      </c>
      <c r="AJ31" s="2">
        <v>8.6855516201467253E-7</v>
      </c>
      <c r="AK31" s="2">
        <f t="shared" si="17"/>
        <v>2767.2292701900005</v>
      </c>
      <c r="AL31" s="2">
        <v>-1.5785231880727224E-5</v>
      </c>
      <c r="AM31" s="2">
        <f t="shared" si="18"/>
        <v>5.0481547185595073E-10</v>
      </c>
      <c r="AN31" s="2">
        <f t="shared" si="19"/>
        <v>-1.3710344633604208E-11</v>
      </c>
      <c r="AO31" s="2">
        <f t="shared" si="20"/>
        <v>6.7055225372314453E-5</v>
      </c>
      <c r="AQ31" s="67"/>
      <c r="AR31" s="3">
        <f>0.478588*($AR$9/2)</f>
        <v>0.72936811200000007</v>
      </c>
      <c r="AS31" s="26" t="s">
        <v>8</v>
      </c>
      <c r="AY31" s="2" t="s">
        <v>153</v>
      </c>
      <c r="AZ31" s="2">
        <f>$AR$25-$AR$24</f>
        <v>0.15049500000000005</v>
      </c>
      <c r="BA31" s="26" t="s">
        <v>8</v>
      </c>
      <c r="BC31" s="2" t="s">
        <v>153</v>
      </c>
      <c r="BD31" s="2">
        <f>2*($AR$9/2 - $AR$26)</f>
        <v>0.15049499999999982</v>
      </c>
      <c r="BE31" s="26" t="s">
        <v>8</v>
      </c>
      <c r="BG31" s="2" t="s">
        <v>187</v>
      </c>
      <c r="BH31" s="2">
        <f>IF(BH26&lt;$AZ$49, $AV$50*BH26^6 + $AW$50*BH26^5 + $AX$50*BH26^4 + $AV$51*BH26^3 + $AW$51*BH26^2 + $AX$51*BH26 + $AV$52, IF(BH26&gt;$BA$49, $BB$50*BH26^6 + $BC$50*BH26^5 + $BD$50*BH26^4 + $BB$51*BH26^3 + $BC$51*BH26^2 + $BD$51*BH26 + $BB$52, $AY$50*BH26^6 + $AZ$50*BH26^5 + $BA$50*BH26^4 + $AY$51*BH26^3 + $AZ$51*BH26^2 + $BA$51*BH26 + $AY$52) )</f>
        <v>0.91768542653350016</v>
      </c>
      <c r="BI31" s="2"/>
      <c r="BJ31" s="2"/>
      <c r="BK31" s="2" t="s">
        <v>187</v>
      </c>
      <c r="BL31" s="2">
        <f>IF(BL26&lt;$AZ$49, $AV$50*BL26^6 + $AW$50*BL26^5 + $AX$50*BL26^4 + $AV$51*BL26^3 + $AW$51*BL26^2 + $AX$51*BL26 + $AV$52, IF(BL26&gt;$BA$49, $BB$50*BL26^6 + $BC$50*BL26^5 + $BD$50*BL26^4 + $BB$51*BL26^3 + $BC$51*BL26^2 + $BD$51*BL26 + $BB$52, $AY$50*BL26^6 + $AZ$50*BL26^5 + $BA$50*BL26^4 + $AY$51*BL26^3 + $AZ$51*BL26^2 + $BA$51*BL26 + $AY$52) )</f>
        <v>0.96525401808590372</v>
      </c>
      <c r="BM31" s="2"/>
      <c r="BO31" s="2">
        <v>27</v>
      </c>
      <c r="BP31" s="2">
        <f t="shared" si="21"/>
        <v>0.43754527499628337</v>
      </c>
      <c r="BQ31" s="2">
        <v>-1.6819170936543948E-7</v>
      </c>
      <c r="BR31" s="2">
        <f t="shared" si="22"/>
        <v>0.43754531666019025</v>
      </c>
      <c r="BS31" s="2">
        <v>9.0365895530353235E-8</v>
      </c>
      <c r="BT31" s="2">
        <f t="shared" si="7"/>
        <v>0.43754529582823681</v>
      </c>
      <c r="BU31" s="2">
        <v>-3.8912904204435605E-8</v>
      </c>
      <c r="BV31" s="2">
        <f t="shared" si="8"/>
        <v>6.5448278745176217E-15</v>
      </c>
      <c r="BW31" s="2">
        <f t="shared" si="9"/>
        <v>-3.516399436120671E-15</v>
      </c>
      <c r="BX31" s="2">
        <f t="shared" si="10"/>
        <v>4.1663906880096135E-8</v>
      </c>
      <c r="BZ31" s="2">
        <v>27</v>
      </c>
      <c r="CA31" s="2">
        <f t="shared" si="23"/>
        <v>0.37311783426231404</v>
      </c>
      <c r="CB31" s="2">
        <v>-3.3562352313998289E-8</v>
      </c>
      <c r="CC31" s="2">
        <f t="shared" si="24"/>
        <v>0.37311787592622092</v>
      </c>
      <c r="CD31" s="2">
        <v>1.4114655881580784E-7</v>
      </c>
      <c r="CE31" s="2">
        <f t="shared" si="11"/>
        <v>0.37311785509426748</v>
      </c>
      <c r="CF31" s="2">
        <v>5.3792105200733964E-8</v>
      </c>
      <c r="CG31" s="2">
        <f t="shared" si="12"/>
        <v>-1.805389586458693E-15</v>
      </c>
      <c r="CH31" s="2">
        <f t="shared" si="13"/>
        <v>7.59257054054152E-15</v>
      </c>
      <c r="CI31" s="2">
        <f t="shared" si="14"/>
        <v>4.1663906880096135E-8</v>
      </c>
    </row>
    <row r="32" spans="2:87" x14ac:dyDescent="0.2">
      <c r="B32" s="6" t="s">
        <v>247</v>
      </c>
      <c r="C32" s="17">
        <v>0.75</v>
      </c>
      <c r="U32" s="2">
        <v>28</v>
      </c>
      <c r="V32" s="2">
        <f t="shared" si="15"/>
        <v>0.99850877374410629</v>
      </c>
      <c r="W32" s="2">
        <f t="shared" si="0"/>
        <v>3.6650384949155068E-9</v>
      </c>
      <c r="X32" s="2">
        <f t="shared" si="16"/>
        <v>0.99850877746939659</v>
      </c>
      <c r="Y32" s="2">
        <f t="shared" si="1"/>
        <v>-2.8320068512499574E-10</v>
      </c>
      <c r="Z32" s="2">
        <f t="shared" si="3"/>
        <v>0.99850877560675144</v>
      </c>
      <c r="AA32" s="2">
        <f t="shared" si="2"/>
        <v>1.6909189604064068E-9</v>
      </c>
      <c r="AB32" s="2">
        <f t="shared" si="4"/>
        <v>6.1972830816719905E-18</v>
      </c>
      <c r="AC32" s="2">
        <f t="shared" si="5"/>
        <v>-4.7886940807793995E-19</v>
      </c>
      <c r="AD32" s="2">
        <f t="shared" si="6"/>
        <v>3.7252902984619141E-9</v>
      </c>
      <c r="AF32" s="2">
        <v>28</v>
      </c>
      <c r="AG32" s="2">
        <f t="shared" si="25"/>
        <v>2767.2292701900005</v>
      </c>
      <c r="AH32" s="2">
        <v>-1.5785231880727224E-5</v>
      </c>
      <c r="AI32" s="2">
        <f t="shared" si="26"/>
        <v>2767.2293037176132</v>
      </c>
      <c r="AJ32" s="2">
        <v>8.6855516201467253E-7</v>
      </c>
      <c r="AK32" s="2">
        <f t="shared" si="17"/>
        <v>2767.2292869538069</v>
      </c>
      <c r="AL32" s="2">
        <v>-7.4583376772352494E-6</v>
      </c>
      <c r="AM32" s="2">
        <f t="shared" si="18"/>
        <v>1.1773158967992289E-10</v>
      </c>
      <c r="AN32" s="2">
        <f t="shared" si="19"/>
        <v>-6.4779776896111985E-12</v>
      </c>
      <c r="AO32" s="2">
        <f t="shared" si="20"/>
        <v>3.3527612686157227E-5</v>
      </c>
      <c r="AQ32" s="67"/>
      <c r="AR32" s="3">
        <f>0.461163*($AR$9/2)</f>
        <v>0.702812412</v>
      </c>
      <c r="AS32" s="26" t="s">
        <v>8</v>
      </c>
      <c r="AY32" s="2" t="s">
        <v>158</v>
      </c>
      <c r="AZ32" s="2">
        <f>(1+$BH$75)*$AR$3</f>
        <v>22.168365089472648</v>
      </c>
      <c r="BA32" s="26" t="s">
        <v>10</v>
      </c>
      <c r="BC32" s="2" t="s">
        <v>158</v>
      </c>
      <c r="BD32" s="2">
        <f>(1+$BL$75)*$AR$3</f>
        <v>25.07630614457004</v>
      </c>
      <c r="BE32" s="26" t="s">
        <v>10</v>
      </c>
      <c r="BG32" s="2" t="s">
        <v>188</v>
      </c>
      <c r="BH32" s="2">
        <f>IF(BH26&lt;$AZ$49, $AV$53*BH26^6 + $AW$53*BH26^5 + $AX$53*BH26^4 + $AV$54*BH26^3 + $AW$54*BH26^2 + $AX$54*BH26 + $AV$55, IF(BH26&gt;$BA$49, $BB$53*BH26^6 + $BC$53*BH26^5 + $BD$53*BH26^4 + $BB$54*BH26^3 + $BC$54*BH26^2 + $BD$54*BH26 + $BB$55, $AY$53*BH26^6 + $AZ$53*BH26^5 + $BA$53*BH26^4 + $AY$54*BH26^3 + $AZ$54*BH26^2 + $BA$54*BH26 + $AY$55) )</f>
        <v>5.5502055909142471E-2</v>
      </c>
      <c r="BI32" s="2"/>
      <c r="BJ32" s="2"/>
      <c r="BK32" s="2" t="s">
        <v>188</v>
      </c>
      <c r="BL32" s="2">
        <f>IF(BL26&lt;$AZ$49, $AV$53*BL26^6 + $AW$53*BL26^5 + $AX$53*BL26^4 + $AV$54*BL26^3 + $AW$54*BL26^2 + $AX$54*BL26 + $AV$55, IF(BL26&gt;$BA$49, $BB$53*BL26^6 + $BC$53*BL26^5 + $BD$53*BL26^4 + $BB$54*BL26^3 + $BC$54*BL26^2 + $BD$54*BL26 + $BB$55, $AY$53*BL26^6 + $AZ$53*BL26^5 + $BA$53*BL26^4 + $AY$54*BL26^3 + $AZ$54*BL26^2 + $BA$54*BL26 + $AY$55) )</f>
        <v>5.3754858308600356E-2</v>
      </c>
      <c r="BM32" s="2"/>
      <c r="BO32" s="2">
        <v>28</v>
      </c>
      <c r="BP32" s="2">
        <f t="shared" si="21"/>
        <v>0.43754529582823681</v>
      </c>
      <c r="BQ32" s="2">
        <v>-3.8912904204435605E-8</v>
      </c>
      <c r="BR32" s="2">
        <f t="shared" si="22"/>
        <v>0.43754531666019025</v>
      </c>
      <c r="BS32" s="2">
        <v>9.0365895530353235E-8</v>
      </c>
      <c r="BT32" s="2">
        <f t="shared" si="7"/>
        <v>0.43754530624421351</v>
      </c>
      <c r="BU32" s="2">
        <v>2.5726496183375858E-8</v>
      </c>
      <c r="BV32" s="2">
        <f t="shared" si="8"/>
        <v>-1.001092681499483E-15</v>
      </c>
      <c r="BW32" s="2">
        <f t="shared" si="9"/>
        <v>2.324797866468974E-15</v>
      </c>
      <c r="BX32" s="2">
        <f t="shared" si="10"/>
        <v>2.0831953440048068E-8</v>
      </c>
      <c r="BZ32" s="2">
        <v>28</v>
      </c>
      <c r="CA32" s="2">
        <f t="shared" si="23"/>
        <v>0.37311783426231404</v>
      </c>
      <c r="CB32" s="2">
        <v>-3.3562352313998289E-8</v>
      </c>
      <c r="CC32" s="2">
        <f t="shared" si="24"/>
        <v>0.37311785509426748</v>
      </c>
      <c r="CD32" s="2">
        <v>5.3792105200733964E-8</v>
      </c>
      <c r="CE32" s="2">
        <f t="shared" si="11"/>
        <v>0.37311784467829079</v>
      </c>
      <c r="CF32" s="2">
        <v>1.0114877047051607E-8</v>
      </c>
      <c r="CG32" s="2">
        <f t="shared" si="12"/>
        <v>-3.3947906706592067E-16</v>
      </c>
      <c r="CH32" s="2">
        <f t="shared" si="13"/>
        <v>5.4410053020748936E-16</v>
      </c>
      <c r="CI32" s="2">
        <f t="shared" si="14"/>
        <v>2.0831953440048068E-8</v>
      </c>
    </row>
    <row r="33" spans="2:87" x14ac:dyDescent="0.2">
      <c r="B33" s="6" t="s">
        <v>288</v>
      </c>
      <c r="C33" s="17">
        <v>50</v>
      </c>
      <c r="D33" s="6" t="s">
        <v>61</v>
      </c>
      <c r="J33" s="46" t="s">
        <v>59</v>
      </c>
      <c r="K33" s="46"/>
      <c r="L33" s="46"/>
      <c r="U33" s="2">
        <v>29</v>
      </c>
      <c r="V33" s="2">
        <f t="shared" si="15"/>
        <v>0.99850877560675144</v>
      </c>
      <c r="W33" s="2">
        <f t="shared" si="0"/>
        <v>1.6909189604064068E-9</v>
      </c>
      <c r="X33" s="2">
        <f t="shared" si="16"/>
        <v>0.99850877746939659</v>
      </c>
      <c r="Y33" s="2">
        <f t="shared" si="1"/>
        <v>-2.8320068512499574E-10</v>
      </c>
      <c r="Z33" s="2">
        <f t="shared" si="3"/>
        <v>0.99850877653807402</v>
      </c>
      <c r="AA33" s="2">
        <f t="shared" si="2"/>
        <v>7.0385908212955428E-10</v>
      </c>
      <c r="AB33" s="2">
        <f t="shared" si="4"/>
        <v>1.1901686674271136E-18</v>
      </c>
      <c r="AC33" s="2">
        <f t="shared" si="5"/>
        <v>-1.9933337429054042E-19</v>
      </c>
      <c r="AD33" s="2">
        <f t="shared" si="6"/>
        <v>1.862645149230957E-9</v>
      </c>
      <c r="AF33" s="2">
        <v>29</v>
      </c>
      <c r="AG33" s="2">
        <f t="shared" si="25"/>
        <v>2767.2292869538069</v>
      </c>
      <c r="AH33" s="2">
        <v>-7.4583376772352494E-6</v>
      </c>
      <c r="AI33" s="2">
        <f t="shared" si="26"/>
        <v>2767.2293037176132</v>
      </c>
      <c r="AJ33" s="2">
        <v>8.6855516201467253E-7</v>
      </c>
      <c r="AK33" s="2">
        <f t="shared" si="17"/>
        <v>2767.22929533571</v>
      </c>
      <c r="AL33" s="2">
        <v>-3.2948919397313148E-6</v>
      </c>
      <c r="AM33" s="2">
        <f t="shared" si="18"/>
        <v>2.45744166965168E-11</v>
      </c>
      <c r="AN33" s="2">
        <f t="shared" si="19"/>
        <v>-2.8617954025341708E-12</v>
      </c>
      <c r="AO33" s="2">
        <f t="shared" si="20"/>
        <v>1.6763806343078613E-5</v>
      </c>
      <c r="AQ33" s="67"/>
      <c r="AR33" s="3">
        <f>0.443738*($AR$9/2)</f>
        <v>0.67625671200000004</v>
      </c>
      <c r="AS33" s="26" t="s">
        <v>8</v>
      </c>
      <c r="AY33" s="2" t="s">
        <v>163</v>
      </c>
      <c r="AZ33" s="2">
        <f>(1-$BH$76)*$AV$5*$AR$25</f>
        <v>90.92026060801517</v>
      </c>
      <c r="BA33" s="26" t="s">
        <v>10</v>
      </c>
      <c r="BC33" s="2" t="s">
        <v>163</v>
      </c>
      <c r="BD33" s="2">
        <f>(1-$BL$76)*$AV$5*$AR$26</f>
        <v>99.995766530051512</v>
      </c>
      <c r="BE33" s="26" t="s">
        <v>10</v>
      </c>
      <c r="BG33" s="2" t="s">
        <v>190</v>
      </c>
      <c r="BH33" s="2">
        <f xml:space="preserve"> BH31*COS(BH23) - BH32*SIN(BH23)</f>
        <v>0.85044415116101868</v>
      </c>
      <c r="BI33" s="2"/>
      <c r="BK33" s="2" t="s">
        <v>190</v>
      </c>
      <c r="BL33" s="2">
        <f xml:space="preserve"> BL31*COS(BL23) - BL32*SIN(BL23)</f>
        <v>0.907667033818638</v>
      </c>
      <c r="BM33" s="2"/>
      <c r="BO33" s="2">
        <v>29</v>
      </c>
      <c r="BP33" s="2">
        <f t="shared" si="21"/>
        <v>0.43754529582823681</v>
      </c>
      <c r="BQ33" s="2">
        <v>-3.8912904204435605E-8</v>
      </c>
      <c r="BR33" s="2">
        <f t="shared" si="22"/>
        <v>0.43754530624421351</v>
      </c>
      <c r="BS33" s="2">
        <v>2.5726496183375858E-8</v>
      </c>
      <c r="BT33" s="2">
        <f t="shared" si="7"/>
        <v>0.43754530103622513</v>
      </c>
      <c r="BU33" s="2">
        <v>-6.5932039966520861E-9</v>
      </c>
      <c r="BV33" s="2">
        <f t="shared" si="8"/>
        <v>2.565607155220246E-16</v>
      </c>
      <c r="BW33" s="2">
        <f t="shared" si="9"/>
        <v>-1.6962003745608835E-16</v>
      </c>
      <c r="BX33" s="2">
        <f t="shared" si="10"/>
        <v>1.0415976692268458E-8</v>
      </c>
      <c r="BZ33" s="2">
        <v>29</v>
      </c>
      <c r="CA33" s="2">
        <f t="shared" si="23"/>
        <v>0.37311783426231404</v>
      </c>
      <c r="CB33" s="2">
        <v>-3.3562352313998289E-8</v>
      </c>
      <c r="CC33" s="2">
        <f t="shared" si="24"/>
        <v>0.37311784467829079</v>
      </c>
      <c r="CD33" s="2">
        <v>1.0114877047051607E-8</v>
      </c>
      <c r="CE33" s="2">
        <f t="shared" si="11"/>
        <v>0.37311783947030241</v>
      </c>
      <c r="CF33" s="2">
        <v>-1.1723737522451039E-8</v>
      </c>
      <c r="CG33" s="2">
        <f t="shared" si="12"/>
        <v>3.9347620916534318E-16</v>
      </c>
      <c r="CH33" s="2">
        <f t="shared" si="13"/>
        <v>-1.1858416357149767E-16</v>
      </c>
      <c r="CI33" s="2">
        <f t="shared" si="14"/>
        <v>1.0415976747779609E-8</v>
      </c>
    </row>
    <row r="34" spans="2:87" x14ac:dyDescent="0.2">
      <c r="J34" s="6" t="s">
        <v>60</v>
      </c>
      <c r="K34" s="6">
        <f>ROUND($C$17/$C$5 * 100, 2)</f>
        <v>21.68</v>
      </c>
      <c r="L34" s="6" t="s">
        <v>61</v>
      </c>
      <c r="U34" s="2">
        <v>30</v>
      </c>
      <c r="V34" s="2">
        <f t="shared" si="15"/>
        <v>0.99850877653807402</v>
      </c>
      <c r="W34" s="2">
        <f t="shared" si="0"/>
        <v>7.0385908212955428E-10</v>
      </c>
      <c r="X34" s="2">
        <f t="shared" si="16"/>
        <v>0.99850877746939659</v>
      </c>
      <c r="Y34" s="2">
        <f t="shared" si="1"/>
        <v>-2.8320068512499574E-10</v>
      </c>
      <c r="Z34" s="2">
        <f t="shared" si="3"/>
        <v>0.9985087770037353</v>
      </c>
      <c r="AA34" s="2">
        <f t="shared" si="2"/>
        <v>2.1032919850227927E-10</v>
      </c>
      <c r="AB34" s="2">
        <f t="shared" si="4"/>
        <v>1.4804211660285911E-19</v>
      </c>
      <c r="AC34" s="2">
        <f t="shared" si="5"/>
        <v>-5.9565373117636718E-20</v>
      </c>
      <c r="AD34" s="2">
        <f t="shared" si="6"/>
        <v>9.3132257461547852E-10</v>
      </c>
      <c r="AF34" s="2">
        <v>30</v>
      </c>
      <c r="AG34" s="2">
        <f t="shared" si="25"/>
        <v>2767.22929533571</v>
      </c>
      <c r="AH34" s="2">
        <v>-3.2948919397313148E-6</v>
      </c>
      <c r="AI34" s="2">
        <f t="shared" si="26"/>
        <v>2767.2293037176132</v>
      </c>
      <c r="AJ34" s="2">
        <v>8.6855516201467253E-7</v>
      </c>
      <c r="AK34" s="2">
        <f t="shared" si="17"/>
        <v>2767.2292995266616</v>
      </c>
      <c r="AL34" s="2">
        <v>-1.2131686162319966E-6</v>
      </c>
      <c r="AM34" s="2">
        <f t="shared" si="18"/>
        <v>3.9972594951577982E-12</v>
      </c>
      <c r="AN34" s="2">
        <f t="shared" si="19"/>
        <v>-1.0537038640224979E-12</v>
      </c>
      <c r="AO34" s="2">
        <f t="shared" si="20"/>
        <v>8.3819031715393066E-6</v>
      </c>
      <c r="AQ34" s="67"/>
      <c r="AR34" s="3">
        <f>0.426313*($AR$9/2)</f>
        <v>0.64970101199999997</v>
      </c>
      <c r="AS34" s="26" t="s">
        <v>8</v>
      </c>
      <c r="AY34" s="2" t="s">
        <v>167</v>
      </c>
      <c r="AZ34" s="2">
        <f>SQRT(AZ32^2 + AZ33^2)</f>
        <v>93.583813770168305</v>
      </c>
      <c r="BA34" s="26" t="s">
        <v>10</v>
      </c>
      <c r="BC34" s="2" t="s">
        <v>167</v>
      </c>
      <c r="BD34" s="2">
        <f>SQRT(BD32^2 + BD33^2)</f>
        <v>103.09206785096889</v>
      </c>
      <c r="BE34" s="26" t="s">
        <v>10</v>
      </c>
      <c r="BG34" s="2" t="s">
        <v>192</v>
      </c>
      <c r="BH34" s="2">
        <f xml:space="preserve"> BH31*SIN(BH23) + BH32*COS(BH23)</f>
        <v>0.34924456479396793</v>
      </c>
      <c r="BI34" s="2"/>
      <c r="BK34" s="2" t="s">
        <v>192</v>
      </c>
      <c r="BL34" s="2">
        <f xml:space="preserve"> BL31*SIN(BL23) + BL32*COS(BL23)</f>
        <v>0.33278440459498004</v>
      </c>
      <c r="BM34" s="2"/>
      <c r="BO34" s="2">
        <v>30</v>
      </c>
      <c r="BP34" s="2">
        <f t="shared" si="21"/>
        <v>0.43754530103622513</v>
      </c>
      <c r="BQ34" s="2">
        <v>-6.5932039966520861E-9</v>
      </c>
      <c r="BR34" s="2">
        <f t="shared" si="22"/>
        <v>0.43754530624421351</v>
      </c>
      <c r="BS34" s="2">
        <v>2.5726496183375858E-8</v>
      </c>
      <c r="BT34" s="5">
        <f t="shared" si="7"/>
        <v>0.43754530364021932</v>
      </c>
      <c r="BU34" s="2">
        <v>9.5666461558119309E-9</v>
      </c>
      <c r="BV34" s="2">
        <f t="shared" si="8"/>
        <v>-6.3074849669055541E-17</v>
      </c>
      <c r="BW34" s="2">
        <f t="shared" si="9"/>
        <v>2.4611628581520296E-16</v>
      </c>
      <c r="BX34" s="2">
        <f t="shared" si="10"/>
        <v>5.2079883738898047E-9</v>
      </c>
      <c r="BZ34" s="2">
        <v>30</v>
      </c>
      <c r="CA34" s="2">
        <f t="shared" si="23"/>
        <v>0.37311783947030241</v>
      </c>
      <c r="CB34" s="2">
        <v>-1.1723737522451039E-8</v>
      </c>
      <c r="CC34" s="2">
        <f t="shared" si="24"/>
        <v>0.37311784467829079</v>
      </c>
      <c r="CD34" s="2">
        <v>1.0114877047051607E-8</v>
      </c>
      <c r="CE34" s="5">
        <f t="shared" si="11"/>
        <v>0.3731178420742966</v>
      </c>
      <c r="CF34" s="2">
        <v>-8.0443028627197322E-10</v>
      </c>
      <c r="CG34" s="2">
        <f t="shared" si="12"/>
        <v>9.4309295313627629E-18</v>
      </c>
      <c r="CH34" s="2">
        <f t="shared" si="13"/>
        <v>-8.1367134385655353E-18</v>
      </c>
      <c r="CI34" s="2">
        <f t="shared" si="14"/>
        <v>5.2079883738898047E-9</v>
      </c>
    </row>
    <row r="35" spans="2:87" x14ac:dyDescent="0.2">
      <c r="B35" s="54" t="s">
        <v>107</v>
      </c>
      <c r="C35" s="54"/>
      <c r="D35" s="54"/>
      <c r="J35" s="11" t="s">
        <v>55</v>
      </c>
      <c r="K35" s="6">
        <f>ROUND(K15/$C$5 * 100, 2)</f>
        <v>24.42</v>
      </c>
      <c r="L35" s="6" t="s">
        <v>61</v>
      </c>
      <c r="AF35" s="2">
        <v>31</v>
      </c>
      <c r="AG35" s="2">
        <f t="shared" si="25"/>
        <v>2767.2292995266616</v>
      </c>
      <c r="AH35" s="2">
        <v>-1.2131686162319966E-6</v>
      </c>
      <c r="AI35" s="2">
        <f t="shared" si="26"/>
        <v>2767.2293037176132</v>
      </c>
      <c r="AJ35" s="2">
        <v>8.6855516201467253E-7</v>
      </c>
      <c r="AK35" s="2">
        <f t="shared" si="17"/>
        <v>2767.2293016221374</v>
      </c>
      <c r="AL35" s="2">
        <v>-1.7230649973498657E-7</v>
      </c>
      <c r="AM35" s="2">
        <f t="shared" si="18"/>
        <v>2.0903683785127254E-13</v>
      </c>
      <c r="AN35" s="2">
        <f t="shared" si="19"/>
        <v>-1.4965769979350239E-13</v>
      </c>
      <c r="AO35" s="2">
        <f t="shared" si="20"/>
        <v>4.1909515857696533E-6</v>
      </c>
      <c r="AQ35" s="67" t="s">
        <v>223</v>
      </c>
      <c r="AR35" s="3">
        <v>7.359375</v>
      </c>
      <c r="AS35" s="26" t="s">
        <v>43</v>
      </c>
      <c r="AY35" s="2" t="s">
        <v>170</v>
      </c>
      <c r="AZ35" s="37">
        <f>$AR$45*AZ34*$AR$27/$AR$46</f>
        <v>4682704.2738053668</v>
      </c>
      <c r="BA35" s="26"/>
      <c r="BC35" s="2" t="s">
        <v>170</v>
      </c>
      <c r="BD35" s="37">
        <f>$AR$45*BD34*$AR$27/$AR$46</f>
        <v>5158473.9633153407</v>
      </c>
      <c r="BE35" s="26"/>
      <c r="BG35" s="2" t="s">
        <v>38</v>
      </c>
      <c r="BH35" s="2">
        <f xml:space="preserve"> 4*BH30*SIN(BH23)*SIN(BH23) / (BH27*BH33)</f>
        <v>1.189629561440916</v>
      </c>
      <c r="BI35" s="2"/>
      <c r="BK35" s="2" t="s">
        <v>38</v>
      </c>
      <c r="BL35" s="2">
        <f xml:space="preserve"> 4*BL30*SIN(BL23)*SIN(BL23) / (BL27*BL33)</f>
        <v>1.1682773240297237</v>
      </c>
      <c r="BM35" s="2"/>
      <c r="BO35" s="2"/>
      <c r="BP35" s="2"/>
      <c r="BQ35" s="2"/>
      <c r="BR35" s="2"/>
      <c r="BS35" s="2"/>
      <c r="BT35" s="2"/>
      <c r="BU35" s="2"/>
      <c r="BV35" s="2"/>
      <c r="BW35" s="2"/>
      <c r="BX35" s="2"/>
    </row>
    <row r="36" spans="2:87" x14ac:dyDescent="0.2">
      <c r="B36" s="6" t="s">
        <v>108</v>
      </c>
      <c r="C36" s="17">
        <v>6</v>
      </c>
      <c r="J36" s="19" t="s">
        <v>81</v>
      </c>
      <c r="K36" s="6">
        <f>ROUND(SUM(K16:K19)/$C$5 * 100, 2)</f>
        <v>20.3</v>
      </c>
      <c r="L36" s="6" t="s">
        <v>61</v>
      </c>
      <c r="AF36" s="2">
        <v>32</v>
      </c>
      <c r="AG36" s="2">
        <f t="shared" si="25"/>
        <v>2767.2293016221374</v>
      </c>
      <c r="AH36" s="2">
        <v>-1.7230649973498657E-7</v>
      </c>
      <c r="AI36" s="2">
        <f t="shared" si="26"/>
        <v>2767.2293037176132</v>
      </c>
      <c r="AJ36" s="2">
        <v>8.6855516201467253E-7</v>
      </c>
      <c r="AK36" s="2">
        <f t="shared" si="17"/>
        <v>2767.2293026698753</v>
      </c>
      <c r="AL36" s="2">
        <v>3.4812455851351842E-7</v>
      </c>
      <c r="AM36" s="2">
        <f t="shared" si="18"/>
        <v>-5.998412414925188E-14</v>
      </c>
      <c r="AN36" s="2">
        <f t="shared" si="19"/>
        <v>3.0236538232099534E-13</v>
      </c>
      <c r="AO36" s="2">
        <f t="shared" si="20"/>
        <v>2.0954757928848267E-6</v>
      </c>
      <c r="AQ36" s="67"/>
      <c r="AR36" s="3">
        <v>5.8781249999999998</v>
      </c>
      <c r="AS36" s="26" t="s">
        <v>43</v>
      </c>
      <c r="AY36" s="2" t="s">
        <v>174</v>
      </c>
      <c r="AZ36" s="2">
        <f xml:space="preserve"> $BH$65 * PI() * $AR$45 * AZ34^2 * $BH$71 * $AR$25 * AZ31</f>
        <v>736.77203036845015</v>
      </c>
      <c r="BA36" s="26" t="s">
        <v>22</v>
      </c>
      <c r="BC36" s="2" t="s">
        <v>174</v>
      </c>
      <c r="BD36" s="2">
        <f xml:space="preserve"> $BL$65 * PI() * $AR$45 * BD34^2 * $BL$71 * $AR$26 * BD31</f>
        <v>629.48773621112775</v>
      </c>
      <c r="BE36" s="26" t="s">
        <v>22</v>
      </c>
      <c r="BG36" s="2" t="s">
        <v>194</v>
      </c>
      <c r="BH36" s="2">
        <f xml:space="preserve"> 4*BH30*SIN(BH23)*COS(BH23) / (BH27*BH34)</f>
        <v>8.4779380332229621</v>
      </c>
      <c r="BI36" s="2"/>
      <c r="BK36" s="2" t="s">
        <v>194</v>
      </c>
      <c r="BL36" s="2">
        <f xml:space="preserve"> 4*BL30*SIN(BL23)*COS(BL23) / (BL27*BL34)</f>
        <v>10.456851424011811</v>
      </c>
      <c r="BM36" s="2"/>
      <c r="BO36" s="61" t="s">
        <v>207</v>
      </c>
      <c r="BP36" s="61"/>
      <c r="BQ36" s="61"/>
      <c r="BR36" s="61"/>
      <c r="BS36" s="61"/>
      <c r="BT36" s="61"/>
      <c r="BU36" s="61"/>
      <c r="BV36" s="61"/>
      <c r="BW36" s="61"/>
      <c r="BX36" s="61"/>
      <c r="BZ36" s="61" t="s">
        <v>208</v>
      </c>
      <c r="CA36" s="61"/>
      <c r="CB36" s="61"/>
      <c r="CC36" s="61"/>
      <c r="CD36" s="61"/>
      <c r="CE36" s="61"/>
      <c r="CF36" s="61"/>
      <c r="CG36" s="61"/>
      <c r="CH36" s="61"/>
      <c r="CI36" s="61"/>
    </row>
    <row r="37" spans="2:87" x14ac:dyDescent="0.2">
      <c r="B37" s="6" t="s">
        <v>109</v>
      </c>
      <c r="C37" s="17">
        <v>9.1440000000000001</v>
      </c>
      <c r="D37" s="6" t="s">
        <v>8</v>
      </c>
      <c r="J37" s="20" t="s">
        <v>72</v>
      </c>
      <c r="K37" s="6">
        <f>ROUND(SUM(K20:K25)/$C$5 * 100, 2)</f>
        <v>28.71</v>
      </c>
      <c r="L37" s="6" t="s">
        <v>61</v>
      </c>
      <c r="AF37" s="2">
        <v>33</v>
      </c>
      <c r="AG37" s="2">
        <f t="shared" si="25"/>
        <v>2767.2293016221374</v>
      </c>
      <c r="AH37" s="2">
        <v>-1.7230649973498657E-7</v>
      </c>
      <c r="AI37" s="2">
        <f t="shared" si="26"/>
        <v>2767.2293026698753</v>
      </c>
      <c r="AJ37" s="2">
        <v>3.4812455851351842E-7</v>
      </c>
      <c r="AK37" s="2">
        <f t="shared" si="17"/>
        <v>2767.2293021460064</v>
      </c>
      <c r="AL37" s="2">
        <v>8.7908574641915038E-8</v>
      </c>
      <c r="AM37" s="2">
        <f t="shared" si="18"/>
        <v>-1.5147218793240181E-14</v>
      </c>
      <c r="AN37" s="2">
        <f t="shared" si="19"/>
        <v>3.0603133736769354E-14</v>
      </c>
      <c r="AO37" s="2">
        <f t="shared" si="20"/>
        <v>1.0477378964424133E-6</v>
      </c>
      <c r="AQ37" s="67"/>
      <c r="AR37" s="3">
        <v>4.3968749999999996</v>
      </c>
      <c r="AS37" s="26" t="s">
        <v>43</v>
      </c>
      <c r="AY37" s="2" t="s">
        <v>178</v>
      </c>
      <c r="AZ37" s="2">
        <f xml:space="preserve"> $BH$65 * PI() * $AR$45 * AZ34^2 * $BH$72 * $AR$25^2 * AZ31</f>
        <v>306.43150061352242</v>
      </c>
      <c r="BA37" s="26" t="s">
        <v>179</v>
      </c>
      <c r="BC37" s="2" t="s">
        <v>178</v>
      </c>
      <c r="BD37" s="2">
        <f xml:space="preserve"> $BL$65 * PI() * $AR$45 * BD34^2 * $BL$72 * $AR$26^2 * BD31</f>
        <v>343.20411632021131</v>
      </c>
      <c r="BE37" s="26" t="s">
        <v>179</v>
      </c>
      <c r="BG37" s="2" t="s">
        <v>45</v>
      </c>
      <c r="BH37" s="2">
        <f>1/(BH35-1)</f>
        <v>5.2734393962703736</v>
      </c>
      <c r="BI37" s="2"/>
      <c r="BK37" s="2" t="s">
        <v>45</v>
      </c>
      <c r="BL37" s="2">
        <f>1/(BL35-1)</f>
        <v>5.9425713224638903</v>
      </c>
      <c r="BM37" s="2"/>
      <c r="BO37" s="7" t="s">
        <v>44</v>
      </c>
      <c r="BP37" s="7" t="s">
        <v>45</v>
      </c>
      <c r="BQ37" s="7" t="s">
        <v>46</v>
      </c>
      <c r="BR37" s="7" t="s">
        <v>47</v>
      </c>
      <c r="BS37" s="7" t="s">
        <v>48</v>
      </c>
      <c r="BT37" s="7" t="s">
        <v>49</v>
      </c>
      <c r="BU37" s="7" t="s">
        <v>50</v>
      </c>
      <c r="BV37" s="7" t="s">
        <v>51</v>
      </c>
      <c r="BW37" s="7" t="s">
        <v>52</v>
      </c>
      <c r="BX37" s="7" t="s">
        <v>53</v>
      </c>
      <c r="BZ37" s="7" t="s">
        <v>44</v>
      </c>
      <c r="CA37" s="7" t="s">
        <v>45</v>
      </c>
      <c r="CB37" s="7" t="s">
        <v>46</v>
      </c>
      <c r="CC37" s="7" t="s">
        <v>47</v>
      </c>
      <c r="CD37" s="7" t="s">
        <v>48</v>
      </c>
      <c r="CE37" s="7" t="s">
        <v>49</v>
      </c>
      <c r="CF37" s="7" t="s">
        <v>50</v>
      </c>
      <c r="CG37" s="7" t="s">
        <v>51</v>
      </c>
      <c r="CH37" s="7" t="s">
        <v>52</v>
      </c>
      <c r="CI37" s="7" t="s">
        <v>53</v>
      </c>
    </row>
    <row r="38" spans="2:87" x14ac:dyDescent="0.2">
      <c r="B38" s="6" t="s">
        <v>110</v>
      </c>
      <c r="C38" s="17">
        <v>1.8675309360000001</v>
      </c>
      <c r="D38" s="6" t="s">
        <v>8</v>
      </c>
      <c r="J38" s="15" t="s">
        <v>73</v>
      </c>
      <c r="K38" s="6">
        <f>ROUND(SUM(K26:K29)/$C$5*100, 2)</f>
        <v>4.88</v>
      </c>
      <c r="L38" s="6" t="s">
        <v>61</v>
      </c>
      <c r="AF38" s="2">
        <v>34</v>
      </c>
      <c r="AG38" s="2">
        <f t="shared" si="25"/>
        <v>2767.2293016221374</v>
      </c>
      <c r="AH38" s="2">
        <v>-1.7230649973498657E-7</v>
      </c>
      <c r="AI38" s="2">
        <f t="shared" si="26"/>
        <v>2767.2293021460064</v>
      </c>
      <c r="AJ38" s="2">
        <v>8.7908574641915038E-8</v>
      </c>
      <c r="AK38" s="2">
        <f t="shared" si="17"/>
        <v>2767.2293018840719</v>
      </c>
      <c r="AL38" s="2">
        <v>-4.2199644667562097E-8</v>
      </c>
      <c r="AM38" s="2">
        <f t="shared" si="18"/>
        <v>7.2712730627278161E-15</v>
      </c>
      <c r="AN38" s="2">
        <f t="shared" si="19"/>
        <v>-3.7097106131206746E-15</v>
      </c>
      <c r="AO38" s="2">
        <f t="shared" si="20"/>
        <v>5.2386894822120667E-7</v>
      </c>
      <c r="AQ38" s="67"/>
      <c r="AR38" s="3">
        <v>2.9156249999999999</v>
      </c>
      <c r="AS38" s="26" t="s">
        <v>43</v>
      </c>
      <c r="BG38" s="2" t="s">
        <v>197</v>
      </c>
      <c r="BH38" s="2">
        <f>1/(BH36+1)</f>
        <v>0.10550818084004197</v>
      </c>
      <c r="BI38" s="2"/>
      <c r="BK38" s="2" t="s">
        <v>197</v>
      </c>
      <c r="BL38" s="2">
        <f>1/(BL36+1)</f>
        <v>8.7284015737880014E-2</v>
      </c>
      <c r="BM38" s="2"/>
      <c r="BO38" s="30">
        <v>0</v>
      </c>
      <c r="BP38" s="30"/>
      <c r="BQ38" s="30">
        <f>$BH$39</f>
        <v>1.2487426509499855E-9</v>
      </c>
      <c r="BR38" s="30"/>
      <c r="BS38" s="30">
        <f>$BH$39</f>
        <v>1.2487426509499855E-9</v>
      </c>
      <c r="BT38" s="30"/>
      <c r="BU38" s="30">
        <f>$BH$39</f>
        <v>1.2487426509499855E-9</v>
      </c>
      <c r="BV38" s="30"/>
      <c r="BW38" s="30"/>
      <c r="BX38" s="30"/>
      <c r="BZ38" s="30">
        <v>0</v>
      </c>
      <c r="CA38" s="30"/>
      <c r="CB38" s="30">
        <f>$BL$39</f>
        <v>-1.062150027653086E-9</v>
      </c>
      <c r="CC38" s="30"/>
      <c r="CD38" s="30">
        <f>$BL$39</f>
        <v>-1.062150027653086E-9</v>
      </c>
      <c r="CE38" s="30"/>
      <c r="CF38" s="30">
        <f>$BL$39</f>
        <v>-1.062150027653086E-9</v>
      </c>
      <c r="CG38" s="30"/>
      <c r="CH38" s="30"/>
      <c r="CI38" s="30"/>
    </row>
    <row r="39" spans="2:87" x14ac:dyDescent="0.2">
      <c r="J39" s="10" t="s">
        <v>62</v>
      </c>
      <c r="K39" s="10">
        <f>SUM(K34:K38)</f>
        <v>99.990000000000009</v>
      </c>
      <c r="L39" s="10" t="s">
        <v>61</v>
      </c>
      <c r="AF39" s="2">
        <v>35</v>
      </c>
      <c r="AG39" s="2">
        <f t="shared" si="25"/>
        <v>2767.2293018840719</v>
      </c>
      <c r="AH39" s="2">
        <v>-4.2199644667562097E-8</v>
      </c>
      <c r="AI39" s="2">
        <f t="shared" si="26"/>
        <v>2767.2293021460064</v>
      </c>
      <c r="AJ39" s="2">
        <v>8.7908574641915038E-8</v>
      </c>
      <c r="AK39" s="2">
        <f t="shared" si="17"/>
        <v>2767.2293020150391</v>
      </c>
      <c r="AL39" s="2">
        <v>2.28551471082028E-8</v>
      </c>
      <c r="AM39" s="2">
        <f t="shared" si="18"/>
        <v>-9.6447908679101758E-16</v>
      </c>
      <c r="AN39" s="2">
        <f t="shared" si="19"/>
        <v>2.0091634055133945E-15</v>
      </c>
      <c r="AO39" s="2">
        <f t="shared" si="20"/>
        <v>2.6193447411060333E-7</v>
      </c>
      <c r="AQ39" s="67"/>
      <c r="AR39" s="3">
        <v>1.434375</v>
      </c>
      <c r="AS39" s="26" t="s">
        <v>43</v>
      </c>
      <c r="BG39" s="7" t="s">
        <v>199</v>
      </c>
      <c r="BH39" s="40">
        <f>SIN(BH23)/(1+BH37) - $AR$3*COS(BH23)/($AV$5*$AR$21*(1-BH38))</f>
        <v>1.2487426509499855E-9</v>
      </c>
      <c r="BI39" s="40"/>
      <c r="BK39" s="7" t="s">
        <v>199</v>
      </c>
      <c r="BL39" s="40">
        <f>SIN(BL23)/(1+BL37) - $AR$3*COS(BL23)/($AV$5*$AR$22*(1-BL38))</f>
        <v>-1.062150027653086E-9</v>
      </c>
      <c r="BM39" s="40"/>
      <c r="BO39" s="2">
        <v>1</v>
      </c>
      <c r="BP39" s="3">
        <f>0.01*PI()</f>
        <v>3.1415926535897934E-2</v>
      </c>
      <c r="BQ39" s="2">
        <f t="dataTable" ref="BQ39:BQ68" dt2D="0" dtr="0" r1="BH23" ca="1"/>
        <v>-3.5676599405884932</v>
      </c>
      <c r="BR39" s="3">
        <f>0.9*PI()</f>
        <v>2.8274333882308138</v>
      </c>
      <c r="BS39" s="2">
        <f t="dataTable" ref="BS39:BS68" dt2D="0" dtr="0" r1="BH23" ca="1"/>
        <v>0.57151935405778898</v>
      </c>
      <c r="BT39" s="2">
        <f t="shared" ref="BT39:BT68" si="27">(BP39+BR39)/2</f>
        <v>1.4294246573833558</v>
      </c>
      <c r="BU39" s="2">
        <f t="dataTable" ref="BU39:BU68" dt2D="0" dtr="0" r1="BH23" ca="1"/>
        <v>1.1477741457643955</v>
      </c>
      <c r="BV39" s="2">
        <f t="shared" ref="BV39:BV68" si="28">BQ39*BU39</f>
        <v>-4.0948678406868115</v>
      </c>
      <c r="BW39" s="2">
        <f t="shared" ref="BW39:BW68" si="29">BS39*BU39</f>
        <v>0.6559751383914979</v>
      </c>
      <c r="BX39" s="2">
        <f t="shared" ref="BX39:BX68" si="30">BR39-BP39</f>
        <v>2.7960174616949161</v>
      </c>
      <c r="BZ39" s="2">
        <v>1</v>
      </c>
      <c r="CA39" s="3">
        <f>0.01*PI()</f>
        <v>3.1415926535897934E-2</v>
      </c>
      <c r="CB39" s="2">
        <f t="dataTable" ref="CB39:CB68" dt2D="0" dtr="0" r1="BL23" ca="1"/>
        <v>-2.933005209126069</v>
      </c>
      <c r="CC39" s="3">
        <f>0.9*PI()</f>
        <v>2.8274333882308138</v>
      </c>
      <c r="CD39" s="2">
        <f t="dataTable" ref="CD39:CD68" dt2D="0" dtr="0" r1="BL23" ca="1"/>
        <v>0.51971488890038653</v>
      </c>
      <c r="CE39" s="2">
        <f t="shared" ref="CE39:CE68" si="31">(CA39+CC39)/2</f>
        <v>1.4294246573833558</v>
      </c>
      <c r="CF39" s="2">
        <f t="dataTable" ref="CF39:CF68" dt2D="0" dtr="0" r1="BL23" ca="1"/>
        <v>1.1284334685206732</v>
      </c>
      <c r="CG39" s="2">
        <f t="shared" ref="CG39:CG68" si="32">CB39*CF39</f>
        <v>-3.3097012413233324</v>
      </c>
      <c r="CH39" s="2">
        <f t="shared" ref="CH39:CH68" si="33">CD39*CF39</f>
        <v>0.58646367472369942</v>
      </c>
      <c r="CI39" s="2">
        <f t="shared" ref="CI39:CI68" si="34">CC39-CA39</f>
        <v>2.7960174616949161</v>
      </c>
    </row>
    <row r="40" spans="2:87" x14ac:dyDescent="0.2">
      <c r="B40" s="54" t="s">
        <v>111</v>
      </c>
      <c r="C40" s="54"/>
      <c r="D40" s="54"/>
      <c r="AF40" s="2">
        <v>36</v>
      </c>
      <c r="AG40" s="2">
        <f t="shared" si="25"/>
        <v>2767.2293018840719</v>
      </c>
      <c r="AH40" s="2">
        <v>-4.2199644667562097E-8</v>
      </c>
      <c r="AI40" s="2">
        <f t="shared" si="26"/>
        <v>2767.2293020150391</v>
      </c>
      <c r="AJ40" s="2">
        <v>2.28551471082028E-8</v>
      </c>
      <c r="AK40" s="2">
        <f t="shared" si="17"/>
        <v>2767.2293019495555</v>
      </c>
      <c r="AL40" s="2">
        <v>-9.6724761533550918E-9</v>
      </c>
      <c r="AM40" s="2">
        <f t="shared" si="18"/>
        <v>4.0817505672705275E-16</v>
      </c>
      <c r="AN40" s="2">
        <f t="shared" si="19"/>
        <v>-2.2106586538551417E-16</v>
      </c>
      <c r="AO40" s="2">
        <f t="shared" si="20"/>
        <v>1.3096723705530167E-7</v>
      </c>
      <c r="AQ40" s="67"/>
      <c r="AR40" s="3">
        <v>-4.6875E-2</v>
      </c>
      <c r="AS40" s="26" t="s">
        <v>43</v>
      </c>
      <c r="BO40" s="2">
        <v>2</v>
      </c>
      <c r="BP40" s="2">
        <f t="shared" ref="BP40:BP68" si="35">IF(BV39&gt;0,BT39,BP39)</f>
        <v>3.1415926535897934E-2</v>
      </c>
      <c r="BQ40" s="2">
        <v>-3.5676599405884932</v>
      </c>
      <c r="BR40" s="2">
        <f t="shared" ref="BR40:BR68" si="36">IF(BW39&gt;0,BT39,BR39)</f>
        <v>1.4294246573833558</v>
      </c>
      <c r="BS40" s="2">
        <v>1.1477741457643955</v>
      </c>
      <c r="BT40" s="2">
        <f t="shared" si="27"/>
        <v>0.73042029195962688</v>
      </c>
      <c r="BU40" s="2">
        <v>0.80626587005788075</v>
      </c>
      <c r="BV40" s="2">
        <f t="shared" si="28"/>
        <v>-2.8764824460692284</v>
      </c>
      <c r="BW40" s="2">
        <f t="shared" si="29"/>
        <v>0.92541112026467121</v>
      </c>
      <c r="BX40" s="2">
        <f t="shared" si="30"/>
        <v>1.3980087308474578</v>
      </c>
      <c r="BZ40" s="2">
        <v>2</v>
      </c>
      <c r="CA40" s="2">
        <f t="shared" ref="CA40:CA68" si="37">IF(CG39&gt;0,CE39,CA39)</f>
        <v>3.1415926535897934E-2</v>
      </c>
      <c r="CB40" s="2">
        <v>-2.933005209126069</v>
      </c>
      <c r="CC40" s="2">
        <f t="shared" ref="CC40:CC68" si="38">IF(CH39&gt;0,CE39,CC39)</f>
        <v>1.4294246573833558</v>
      </c>
      <c r="CD40" s="2">
        <v>1.1284334685206732</v>
      </c>
      <c r="CE40" s="2">
        <f t="shared" si="31"/>
        <v>0.73042029195962688</v>
      </c>
      <c r="CF40" s="2">
        <v>0.77893313340101589</v>
      </c>
      <c r="CG40" s="2">
        <f t="shared" si="32"/>
        <v>-2.2846149378260709</v>
      </c>
      <c r="CH40" s="2">
        <f t="shared" si="33"/>
        <v>0.87897421746938453</v>
      </c>
      <c r="CI40" s="2">
        <f t="shared" si="34"/>
        <v>1.3980087308474578</v>
      </c>
    </row>
    <row r="41" spans="2:87" x14ac:dyDescent="0.2">
      <c r="B41" s="6" t="s">
        <v>124</v>
      </c>
      <c r="C41" s="22" t="s">
        <v>125</v>
      </c>
      <c r="J41" s="54" t="s">
        <v>116</v>
      </c>
      <c r="K41" s="54"/>
      <c r="L41" s="54"/>
      <c r="AF41" s="2">
        <v>37</v>
      </c>
      <c r="AG41" s="2">
        <f t="shared" si="25"/>
        <v>2767.2293019495555</v>
      </c>
      <c r="AH41" s="2">
        <v>-9.6724761533550918E-9</v>
      </c>
      <c r="AI41" s="2">
        <f t="shared" si="26"/>
        <v>2767.2293020150391</v>
      </c>
      <c r="AJ41" s="2">
        <v>2.28551471082028E-8</v>
      </c>
      <c r="AK41" s="2">
        <f t="shared" si="17"/>
        <v>2767.2293019822973</v>
      </c>
      <c r="AL41" s="2">
        <v>6.5911081037484109E-9</v>
      </c>
      <c r="AM41" s="2">
        <f t="shared" si="18"/>
        <v>-6.3752335957692003E-17</v>
      </c>
      <c r="AN41" s="2">
        <f t="shared" si="19"/>
        <v>1.5064074531723754E-16</v>
      </c>
      <c r="AO41" s="2">
        <f t="shared" si="20"/>
        <v>6.5483618527650833E-8</v>
      </c>
      <c r="AQ41" s="67"/>
      <c r="AR41" s="3">
        <v>-1.528125</v>
      </c>
      <c r="AS41" s="26" t="s">
        <v>43</v>
      </c>
      <c r="AU41" s="23" t="s">
        <v>143</v>
      </c>
      <c r="AV41" s="69" t="s">
        <v>218</v>
      </c>
      <c r="AW41" s="69"/>
      <c r="AX41" s="24"/>
      <c r="AY41" s="24"/>
      <c r="AZ41" s="24"/>
      <c r="BA41" s="24"/>
      <c r="BB41" s="24"/>
      <c r="BC41" s="24"/>
      <c r="BD41" s="24"/>
      <c r="BE41" s="25"/>
      <c r="BG41" s="63" t="s">
        <v>200</v>
      </c>
      <c r="BH41" s="63"/>
      <c r="BI41" s="63"/>
      <c r="BJ41" s="2"/>
      <c r="BK41" s="63" t="s">
        <v>201</v>
      </c>
      <c r="BL41" s="63"/>
      <c r="BM41" s="63"/>
      <c r="BO41" s="2">
        <v>3</v>
      </c>
      <c r="BP41" s="2">
        <f t="shared" si="35"/>
        <v>3.1415926535897934E-2</v>
      </c>
      <c r="BQ41" s="2">
        <v>-3.5676599405884932</v>
      </c>
      <c r="BR41" s="2">
        <f t="shared" si="36"/>
        <v>0.73042029195962688</v>
      </c>
      <c r="BS41" s="2">
        <v>0.80626587005788075</v>
      </c>
      <c r="BT41" s="2">
        <f t="shared" si="27"/>
        <v>0.38091810924776243</v>
      </c>
      <c r="BU41" s="2">
        <v>0.17446114739431728</v>
      </c>
      <c r="BV41" s="2">
        <f t="shared" si="28"/>
        <v>-0.62241804674781032</v>
      </c>
      <c r="BW41" s="2">
        <f t="shared" si="29"/>
        <v>0.1406620687951754</v>
      </c>
      <c r="BX41" s="2">
        <f t="shared" si="30"/>
        <v>0.6990043654237289</v>
      </c>
      <c r="BZ41" s="2">
        <v>3</v>
      </c>
      <c r="CA41" s="2">
        <f t="shared" si="37"/>
        <v>3.1415926535897934E-2</v>
      </c>
      <c r="CB41" s="2">
        <v>-2.933005209126069</v>
      </c>
      <c r="CC41" s="2">
        <f t="shared" si="38"/>
        <v>0.73042029195962688</v>
      </c>
      <c r="CD41" s="2">
        <v>0.77893313340101589</v>
      </c>
      <c r="CE41" s="2">
        <f t="shared" si="31"/>
        <v>0.38091810924776243</v>
      </c>
      <c r="CF41" s="2">
        <v>0.25238470978005906</v>
      </c>
      <c r="CG41" s="2">
        <f t="shared" si="32"/>
        <v>-0.74024566848868434</v>
      </c>
      <c r="CH41" s="2">
        <f t="shared" si="33"/>
        <v>0.19659081281148741</v>
      </c>
      <c r="CI41" s="2">
        <f t="shared" si="34"/>
        <v>0.6990043654237289</v>
      </c>
    </row>
    <row r="42" spans="2:87" x14ac:dyDescent="0.2">
      <c r="B42" s="6" t="s">
        <v>126</v>
      </c>
      <c r="C42" s="6">
        <f>IF(C41="wheeled",0.0325,0.014)</f>
        <v>3.2500000000000001E-2</v>
      </c>
      <c r="J42" s="6" t="s">
        <v>60</v>
      </c>
      <c r="K42" s="6">
        <f>ROUND(C17,2)</f>
        <v>600</v>
      </c>
      <c r="L42" s="6" t="s">
        <v>7</v>
      </c>
      <c r="AF42" s="2">
        <v>38</v>
      </c>
      <c r="AG42" s="2">
        <f t="shared" si="25"/>
        <v>2767.2293019495555</v>
      </c>
      <c r="AH42" s="2">
        <v>-9.6724761533550918E-9</v>
      </c>
      <c r="AI42" s="2">
        <f t="shared" si="26"/>
        <v>2767.2293019822973</v>
      </c>
      <c r="AJ42" s="2">
        <v>6.5911081037484109E-9</v>
      </c>
      <c r="AK42" s="2">
        <f t="shared" si="17"/>
        <v>2767.2293019659264</v>
      </c>
      <c r="AL42" s="2">
        <v>-1.5406840248033404E-9</v>
      </c>
      <c r="AM42" s="2">
        <f t="shared" si="18"/>
        <v>1.4902229489765455E-17</v>
      </c>
      <c r="AN42" s="2">
        <f t="shared" si="19"/>
        <v>-1.0154814961197015E-17</v>
      </c>
      <c r="AO42" s="2">
        <f t="shared" si="20"/>
        <v>3.2741809263825417E-8</v>
      </c>
      <c r="AQ42" s="67"/>
      <c r="AR42" s="3">
        <v>-3.0093749999999999</v>
      </c>
      <c r="AS42" s="26" t="s">
        <v>43</v>
      </c>
      <c r="AU42" s="27"/>
      <c r="AV42" s="70" t="s">
        <v>148</v>
      </c>
      <c r="AW42" s="70"/>
      <c r="AX42" s="70"/>
      <c r="AY42" s="70" t="s">
        <v>149</v>
      </c>
      <c r="AZ42" s="70"/>
      <c r="BA42" s="70"/>
      <c r="BB42" s="70"/>
      <c r="BC42" s="70" t="s">
        <v>150</v>
      </c>
      <c r="BD42" s="70"/>
      <c r="BE42" s="71"/>
      <c r="BG42" s="28" t="s">
        <v>154</v>
      </c>
      <c r="BH42" s="29">
        <f>BT102</f>
        <v>0.26977970790644751</v>
      </c>
      <c r="BI42" s="5" t="s">
        <v>155</v>
      </c>
      <c r="BJ42" s="2"/>
      <c r="BK42" s="28" t="s">
        <v>154</v>
      </c>
      <c r="BL42" s="29">
        <f>CE102</f>
        <v>0.25044087951313493</v>
      </c>
      <c r="BM42" s="5" t="s">
        <v>155</v>
      </c>
      <c r="BO42" s="2">
        <v>4</v>
      </c>
      <c r="BP42" s="2">
        <f t="shared" si="35"/>
        <v>3.1415926535897934E-2</v>
      </c>
      <c r="BQ42" s="2">
        <v>-3.5676599405884932</v>
      </c>
      <c r="BR42" s="2">
        <f t="shared" si="36"/>
        <v>0.38091810924776243</v>
      </c>
      <c r="BS42" s="2">
        <v>0.17446114739431728</v>
      </c>
      <c r="BT42" s="2">
        <f t="shared" si="27"/>
        <v>0.20616701789183017</v>
      </c>
      <c r="BU42" s="2">
        <v>-0.52287166155915132</v>
      </c>
      <c r="BV42" s="2">
        <f t="shared" si="28"/>
        <v>1.8654282810135285</v>
      </c>
      <c r="BW42" s="2">
        <f t="shared" si="29"/>
        <v>-9.1220790015582684E-2</v>
      </c>
      <c r="BX42" s="2">
        <f t="shared" si="30"/>
        <v>0.34950218271186451</v>
      </c>
      <c r="BZ42" s="2">
        <v>4</v>
      </c>
      <c r="CA42" s="2">
        <f t="shared" si="37"/>
        <v>3.1415926535897934E-2</v>
      </c>
      <c r="CB42" s="2">
        <v>-2.933005209126069</v>
      </c>
      <c r="CC42" s="2">
        <f t="shared" si="38"/>
        <v>0.38091810924776243</v>
      </c>
      <c r="CD42" s="2">
        <v>0.25238470978005906</v>
      </c>
      <c r="CE42" s="2">
        <f t="shared" si="31"/>
        <v>0.20616701789183017</v>
      </c>
      <c r="CF42" s="2">
        <v>-0.34216157037960759</v>
      </c>
      <c r="CG42" s="2">
        <f t="shared" si="32"/>
        <v>1.0035616682861452</v>
      </c>
      <c r="CH42" s="2">
        <f t="shared" si="33"/>
        <v>-8.6356348638146507E-2</v>
      </c>
      <c r="CI42" s="2">
        <f t="shared" si="34"/>
        <v>0.34950218271186451</v>
      </c>
    </row>
    <row r="43" spans="2:87" x14ac:dyDescent="0.2">
      <c r="B43" s="6" t="s">
        <v>112</v>
      </c>
      <c r="C43" s="17">
        <v>0.30480000000000002</v>
      </c>
      <c r="D43" s="6" t="s">
        <v>8</v>
      </c>
      <c r="J43" s="11" t="s">
        <v>55</v>
      </c>
      <c r="K43" s="6">
        <f>ROUND(K15, 2)</f>
        <v>675.81</v>
      </c>
      <c r="L43" s="6" t="s">
        <v>7</v>
      </c>
      <c r="AF43" s="2">
        <v>39</v>
      </c>
      <c r="AG43" s="2">
        <f t="shared" si="25"/>
        <v>2767.2293019659264</v>
      </c>
      <c r="AH43" s="2">
        <v>-1.5406840248033404E-9</v>
      </c>
      <c r="AI43" s="2">
        <f t="shared" si="26"/>
        <v>2767.2293019822973</v>
      </c>
      <c r="AJ43" s="2">
        <v>6.5911081037484109E-9</v>
      </c>
      <c r="AK43" s="2">
        <f t="shared" si="17"/>
        <v>2767.2293019741119</v>
      </c>
      <c r="AL43" s="2">
        <v>2.5256667868234217E-9</v>
      </c>
      <c r="AM43" s="2">
        <f t="shared" si="18"/>
        <v>-3.8912544704352298E-18</v>
      </c>
      <c r="AN43" s="2">
        <f t="shared" si="19"/>
        <v>1.6646942826000065E-17</v>
      </c>
      <c r="AO43" s="2">
        <f t="shared" si="20"/>
        <v>1.6370904631912708E-8</v>
      </c>
      <c r="AQ43" s="2"/>
      <c r="AR43" s="2"/>
      <c r="AS43" s="26"/>
      <c r="AU43" s="27"/>
      <c r="AV43" s="4" t="s">
        <v>156</v>
      </c>
      <c r="AW43" s="2">
        <v>-180</v>
      </c>
      <c r="AX43" s="2">
        <v>-9.5</v>
      </c>
      <c r="AY43" s="70" t="s">
        <v>156</v>
      </c>
      <c r="AZ43" s="70"/>
      <c r="BA43" s="2">
        <v>-9.5</v>
      </c>
      <c r="BB43" s="2">
        <v>18.5</v>
      </c>
      <c r="BC43" s="4" t="s">
        <v>156</v>
      </c>
      <c r="BD43" s="2">
        <v>18.5</v>
      </c>
      <c r="BE43" s="31">
        <v>180</v>
      </c>
      <c r="BG43" s="2" t="s">
        <v>159</v>
      </c>
      <c r="BH43" s="2">
        <f>($AR$39+$AR$5)/180*PI()</f>
        <v>0.3920103711595353</v>
      </c>
      <c r="BI43" s="2" t="s">
        <v>155</v>
      </c>
      <c r="BJ43" s="2"/>
      <c r="BK43" s="2" t="s">
        <v>159</v>
      </c>
      <c r="BL43" s="2">
        <f>($AR$40+$AR$5)/180*PI()</f>
        <v>0.36615768161436929</v>
      </c>
      <c r="BM43" s="2" t="s">
        <v>155</v>
      </c>
      <c r="BO43" s="2">
        <v>5</v>
      </c>
      <c r="BP43" s="2">
        <f t="shared" si="35"/>
        <v>0.20616701789183017</v>
      </c>
      <c r="BQ43" s="2">
        <v>-0.52287166155915132</v>
      </c>
      <c r="BR43" s="2">
        <f t="shared" si="36"/>
        <v>0.38091810924776243</v>
      </c>
      <c r="BS43" s="2">
        <v>0.17446114739431728</v>
      </c>
      <c r="BT43" s="2">
        <f t="shared" si="27"/>
        <v>0.2935425635697963</v>
      </c>
      <c r="BU43" s="2">
        <v>-0.13426513849224558</v>
      </c>
      <c r="BV43" s="2">
        <f t="shared" si="28"/>
        <v>7.0203436052910018E-2</v>
      </c>
      <c r="BW43" s="2">
        <f t="shared" si="29"/>
        <v>-2.3424050116414082E-2</v>
      </c>
      <c r="BX43" s="2">
        <f t="shared" si="30"/>
        <v>0.17475109135593225</v>
      </c>
      <c r="BZ43" s="2">
        <v>5</v>
      </c>
      <c r="CA43" s="2">
        <f t="shared" si="37"/>
        <v>0.20616701789183017</v>
      </c>
      <c r="CB43" s="2">
        <v>-0.34216157037960759</v>
      </c>
      <c r="CC43" s="2">
        <f t="shared" si="38"/>
        <v>0.38091810924776243</v>
      </c>
      <c r="CD43" s="2">
        <v>0.25238470978005906</v>
      </c>
      <c r="CE43" s="2">
        <f t="shared" si="31"/>
        <v>0.2935425635697963</v>
      </c>
      <c r="CF43" s="2">
        <v>-7.4262821729521519E-3</v>
      </c>
      <c r="CG43" s="2">
        <f t="shared" si="32"/>
        <v>2.5409883703793931E-3</v>
      </c>
      <c r="CH43" s="2">
        <f t="shared" si="33"/>
        <v>-1.8742800709653552E-3</v>
      </c>
      <c r="CI43" s="2">
        <f t="shared" si="34"/>
        <v>0.17475109135593225</v>
      </c>
    </row>
    <row r="44" spans="2:87" x14ac:dyDescent="0.2">
      <c r="B44" s="6" t="s">
        <v>113</v>
      </c>
      <c r="C44" s="17">
        <v>5.7</v>
      </c>
      <c r="J44" s="19" t="s">
        <v>81</v>
      </c>
      <c r="K44" s="6">
        <f>ROUND(SUM(K16:K19), 2)</f>
        <v>561.66</v>
      </c>
      <c r="L44" s="6" t="s">
        <v>7</v>
      </c>
      <c r="AF44" s="2">
        <v>40</v>
      </c>
      <c r="AG44" s="2">
        <f t="shared" si="25"/>
        <v>2767.2293019659264</v>
      </c>
      <c r="AH44" s="2">
        <v>-1.5406840248033404E-9</v>
      </c>
      <c r="AI44" s="2">
        <f t="shared" si="26"/>
        <v>2767.2293019741119</v>
      </c>
      <c r="AJ44" s="2">
        <v>2.5256667868234217E-9</v>
      </c>
      <c r="AK44" s="5">
        <f t="shared" si="17"/>
        <v>2767.2293019700192</v>
      </c>
      <c r="AL44" s="2">
        <v>4.9203663365915418E-10</v>
      </c>
      <c r="AM44" s="2">
        <f t="shared" si="18"/>
        <v>-7.5807298109667242E-19</v>
      </c>
      <c r="AN44" s="2">
        <f t="shared" si="19"/>
        <v>1.242720583533329E-18</v>
      </c>
      <c r="AO44" s="2">
        <f t="shared" si="20"/>
        <v>8.1854523159563541E-9</v>
      </c>
      <c r="AQ44" s="61" t="s">
        <v>209</v>
      </c>
      <c r="AR44" s="61"/>
      <c r="AS44" s="61"/>
      <c r="AU44" s="32" t="s">
        <v>160</v>
      </c>
      <c r="AV44" s="2">
        <v>-4.9719999999999998E-5</v>
      </c>
      <c r="AW44" s="2">
        <v>-9.4228200000000002E-3</v>
      </c>
      <c r="AX44" s="2">
        <v>-0.58952914000000001</v>
      </c>
      <c r="AY44" s="2">
        <v>-2.3201E-4</v>
      </c>
      <c r="AZ44" s="2">
        <v>1.5145600000000001E-3</v>
      </c>
      <c r="BA44" s="2">
        <v>0.11609899</v>
      </c>
      <c r="BB44" s="2">
        <v>0.17357117999999999</v>
      </c>
      <c r="BC44" s="2">
        <v>6.9132000000000004E-4</v>
      </c>
      <c r="BD44" s="2">
        <v>-0.13722607000000001</v>
      </c>
      <c r="BE44" s="31">
        <v>3.6431797299999999</v>
      </c>
      <c r="BG44" s="2" t="s">
        <v>28</v>
      </c>
      <c r="BH44" s="2">
        <f>BH43-BH42</f>
        <v>0.12223066325308779</v>
      </c>
      <c r="BI44" s="2" t="s">
        <v>155</v>
      </c>
      <c r="BJ44" s="2"/>
      <c r="BK44" s="2" t="s">
        <v>28</v>
      </c>
      <c r="BL44" s="2">
        <f>BL43-BL42</f>
        <v>0.11571680210123436</v>
      </c>
      <c r="BM44" s="2" t="s">
        <v>155</v>
      </c>
      <c r="BO44" s="2">
        <v>6</v>
      </c>
      <c r="BP44" s="2">
        <f t="shared" si="35"/>
        <v>0.2935425635697963</v>
      </c>
      <c r="BQ44" s="2">
        <v>-0.13426513849224558</v>
      </c>
      <c r="BR44" s="2">
        <f t="shared" si="36"/>
        <v>0.38091810924776243</v>
      </c>
      <c r="BS44" s="2">
        <v>0.17446114739431728</v>
      </c>
      <c r="BT44" s="2">
        <f t="shared" si="27"/>
        <v>0.33723033640877936</v>
      </c>
      <c r="BU44" s="2">
        <v>2.8374295840247185E-2</v>
      </c>
      <c r="BV44" s="2">
        <f t="shared" si="28"/>
        <v>-3.8096787606107362E-3</v>
      </c>
      <c r="BW44" s="2">
        <f t="shared" si="29"/>
        <v>4.9502122087953281E-3</v>
      </c>
      <c r="BX44" s="2">
        <f t="shared" si="30"/>
        <v>8.7375545677966127E-2</v>
      </c>
      <c r="BZ44" s="2">
        <v>6</v>
      </c>
      <c r="CA44" s="2">
        <f t="shared" si="37"/>
        <v>0.2935425635697963</v>
      </c>
      <c r="CB44" s="2">
        <v>-7.4262821729521519E-3</v>
      </c>
      <c r="CC44" s="2">
        <f t="shared" si="38"/>
        <v>0.38091810924776243</v>
      </c>
      <c r="CD44" s="2">
        <v>0.25238470978005906</v>
      </c>
      <c r="CE44" s="2">
        <f t="shared" si="31"/>
        <v>0.33723033640877936</v>
      </c>
      <c r="CF44" s="2">
        <v>0.12947302236578676</v>
      </c>
      <c r="CG44" s="2">
        <f t="shared" si="32"/>
        <v>-9.6150319787327739E-4</v>
      </c>
      <c r="CH44" s="2">
        <f t="shared" si="33"/>
        <v>3.2677011174136184E-2</v>
      </c>
      <c r="CI44" s="2">
        <f t="shared" si="34"/>
        <v>8.7375545677966127E-2</v>
      </c>
    </row>
    <row r="45" spans="2:87" x14ac:dyDescent="0.2">
      <c r="J45" s="20" t="s">
        <v>72</v>
      </c>
      <c r="K45" s="6">
        <f>ROUND(SUM(K20:K25), 2)</f>
        <v>794.55</v>
      </c>
      <c r="L45" s="6" t="s">
        <v>7</v>
      </c>
      <c r="AQ45" s="2" t="s">
        <v>19</v>
      </c>
      <c r="AR45" s="2">
        <f>$C$66</f>
        <v>1.0397562309141399</v>
      </c>
      <c r="AS45" s="26" t="s">
        <v>16</v>
      </c>
      <c r="AU45" s="34" t="s">
        <v>164</v>
      </c>
      <c r="AV45" s="35">
        <v>-1.4875000000000001E-4</v>
      </c>
      <c r="AW45" s="35">
        <v>-2.818766E-2</v>
      </c>
      <c r="AX45" s="35">
        <v>-0.15965826999999999</v>
      </c>
      <c r="AY45" s="35">
        <v>-4.4100000000000001E-6</v>
      </c>
      <c r="AZ45" s="35">
        <v>3.8060999999999998E-4</v>
      </c>
      <c r="BA45" s="35">
        <v>-2.2518899999999999E-3</v>
      </c>
      <c r="BB45" s="35">
        <v>6.2865899999999999E-3</v>
      </c>
      <c r="BC45" s="35">
        <v>-2.0911000000000001E-4</v>
      </c>
      <c r="BD45" s="35">
        <v>4.150877E-2</v>
      </c>
      <c r="BE45" s="36">
        <v>-0.59881362999999999</v>
      </c>
      <c r="BG45" s="2" t="s">
        <v>168</v>
      </c>
      <c r="BH45" s="2">
        <f>BH44/PI()*180</f>
        <v>7.0033011314867322</v>
      </c>
      <c r="BI45" s="2" t="s">
        <v>43</v>
      </c>
      <c r="BJ45" s="2"/>
      <c r="BK45" s="2" t="s">
        <v>168</v>
      </c>
      <c r="BL45" s="2">
        <f>BL44/PI()*180</f>
        <v>6.6300843791513051</v>
      </c>
      <c r="BM45" s="2" t="s">
        <v>43</v>
      </c>
      <c r="BO45" s="2">
        <v>7</v>
      </c>
      <c r="BP45" s="2">
        <f t="shared" si="35"/>
        <v>0.2935425635697963</v>
      </c>
      <c r="BQ45" s="2">
        <v>-0.13426513849224558</v>
      </c>
      <c r="BR45" s="2">
        <f t="shared" si="36"/>
        <v>0.33723033640877936</v>
      </c>
      <c r="BS45" s="2">
        <v>2.8374295840247185E-2</v>
      </c>
      <c r="BT45" s="2">
        <f t="shared" si="27"/>
        <v>0.31538644998928783</v>
      </c>
      <c r="BU45" s="2">
        <v>-5.0711362032802479E-2</v>
      </c>
      <c r="BV45" s="2">
        <f t="shared" si="28"/>
        <v>6.8087680464646297E-3</v>
      </c>
      <c r="BW45" s="2">
        <f t="shared" si="29"/>
        <v>-1.4388991887806164E-3</v>
      </c>
      <c r="BX45" s="2">
        <f t="shared" si="30"/>
        <v>4.3687772838983063E-2</v>
      </c>
      <c r="BZ45" s="2">
        <v>7</v>
      </c>
      <c r="CA45" s="2">
        <f t="shared" si="37"/>
        <v>0.2935425635697963</v>
      </c>
      <c r="CB45" s="2">
        <v>-7.4262821729521519E-3</v>
      </c>
      <c r="CC45" s="2">
        <f t="shared" si="38"/>
        <v>0.33723033640877936</v>
      </c>
      <c r="CD45" s="2">
        <v>0.12947302236578676</v>
      </c>
      <c r="CE45" s="2">
        <f t="shared" si="31"/>
        <v>0.31538644998928783</v>
      </c>
      <c r="CF45" s="2">
        <v>6.2975558536531917E-2</v>
      </c>
      <c r="CG45" s="2">
        <f t="shared" si="32"/>
        <v>-4.6767426769155166E-4</v>
      </c>
      <c r="CH45" s="2">
        <f t="shared" si="33"/>
        <v>8.1536358988983093E-3</v>
      </c>
      <c r="CI45" s="2">
        <f t="shared" si="34"/>
        <v>4.3687772838983063E-2</v>
      </c>
    </row>
    <row r="46" spans="2:87" x14ac:dyDescent="0.2">
      <c r="B46" s="54" t="s">
        <v>248</v>
      </c>
      <c r="C46" s="54"/>
      <c r="D46" s="54"/>
      <c r="J46" s="15" t="s">
        <v>73</v>
      </c>
      <c r="K46" s="6">
        <f>ROUND(SUM(K26:K29), 2)</f>
        <v>135.15</v>
      </c>
      <c r="L46" s="6" t="s">
        <v>7</v>
      </c>
      <c r="AQ46" s="2" t="s">
        <v>31</v>
      </c>
      <c r="AR46" s="37">
        <f>$C$67</f>
        <v>1.7363179204150701E-5</v>
      </c>
      <c r="AS46" s="26" t="s">
        <v>210</v>
      </c>
      <c r="BG46" s="2" t="s">
        <v>171</v>
      </c>
      <c r="BH46" s="2">
        <f xml:space="preserve"> $AR$8*$AR$31 / (2*PI()*$AR$23)</f>
        <v>0.23280121002319468</v>
      </c>
      <c r="BI46" s="2"/>
      <c r="BJ46" s="2"/>
      <c r="BK46" s="2" t="s">
        <v>171</v>
      </c>
      <c r="BL46" s="2">
        <f xml:space="preserve"> $AR$8*$AR$32 / (2*PI()*$AR$24)</f>
        <v>0.19491152470330353</v>
      </c>
      <c r="BM46" s="2"/>
      <c r="BO46" s="2">
        <v>8</v>
      </c>
      <c r="BP46" s="2">
        <f t="shared" si="35"/>
        <v>0.31538644998928783</v>
      </c>
      <c r="BQ46" s="2">
        <v>-5.0711362032802479E-2</v>
      </c>
      <c r="BR46" s="2">
        <f t="shared" si="36"/>
        <v>0.33723033640877936</v>
      </c>
      <c r="BS46" s="2">
        <v>2.8374295840247185E-2</v>
      </c>
      <c r="BT46" s="2">
        <f t="shared" si="27"/>
        <v>0.3263083931990336</v>
      </c>
      <c r="BU46" s="2">
        <v>-1.0632421490698304E-2</v>
      </c>
      <c r="BV46" s="2">
        <f t="shared" si="28"/>
        <v>5.3918457550015118E-4</v>
      </c>
      <c r="BW46" s="2">
        <f t="shared" si="29"/>
        <v>-3.0168747287527569E-4</v>
      </c>
      <c r="BX46" s="2">
        <f t="shared" si="30"/>
        <v>2.1843886419491532E-2</v>
      </c>
      <c r="BZ46" s="2">
        <v>8</v>
      </c>
      <c r="CA46" s="2">
        <f t="shared" si="37"/>
        <v>0.2935425635697963</v>
      </c>
      <c r="CB46" s="2">
        <v>-7.4262821729521519E-3</v>
      </c>
      <c r="CC46" s="2">
        <f t="shared" si="38"/>
        <v>0.31538644998928783</v>
      </c>
      <c r="CD46" s="2">
        <v>6.2975558536531917E-2</v>
      </c>
      <c r="CE46" s="2">
        <f t="shared" si="31"/>
        <v>0.30446450677954207</v>
      </c>
      <c r="CF46" s="2">
        <v>2.8293584820707457E-2</v>
      </c>
      <c r="CG46" s="2">
        <f t="shared" si="32"/>
        <v>-2.1011614456292938E-4</v>
      </c>
      <c r="CH46" s="2">
        <f t="shared" si="33"/>
        <v>1.7818043070847933E-3</v>
      </c>
      <c r="CI46" s="2">
        <f t="shared" si="34"/>
        <v>2.1843886419491532E-2</v>
      </c>
    </row>
    <row r="47" spans="2:87" x14ac:dyDescent="0.2">
      <c r="B47" s="6" t="s">
        <v>113</v>
      </c>
      <c r="C47" s="17">
        <v>3</v>
      </c>
      <c r="J47" s="10" t="s">
        <v>62</v>
      </c>
      <c r="K47" s="10">
        <f>SUM(K42:K46)</f>
        <v>2767.1699999999996</v>
      </c>
      <c r="L47" s="6" t="s">
        <v>7</v>
      </c>
      <c r="AF47" s="70" t="s">
        <v>222</v>
      </c>
      <c r="AG47" s="70"/>
      <c r="AH47" s="70"/>
      <c r="AI47" s="70"/>
      <c r="AU47" s="23" t="s">
        <v>143</v>
      </c>
      <c r="AV47" s="69" t="s">
        <v>218</v>
      </c>
      <c r="AW47" s="69"/>
      <c r="AX47" s="24"/>
      <c r="AY47" s="24"/>
      <c r="AZ47" s="24"/>
      <c r="BA47" s="24"/>
      <c r="BB47" s="24"/>
      <c r="BC47" s="24"/>
      <c r="BD47" s="25"/>
      <c r="BG47" s="2" t="s">
        <v>175</v>
      </c>
      <c r="BH47" s="2">
        <f>IF(-$AR$8*($AV$3-$AR$23)/(2*$AR$23*SIN(BH42))&gt;500, 1, 2*ACOS(MIN(1, EXP(-$AR$8*($AV$3-$AR$23)/(2*$AR$23*SIN(BH42)))))/PI() )</f>
        <v>0.91197636374390623</v>
      </c>
      <c r="BI47" s="2"/>
      <c r="BJ47" s="2"/>
      <c r="BK47" s="2" t="s">
        <v>175</v>
      </c>
      <c r="BL47" s="2">
        <f>IF(-$AR$8*($AV$3-$AR$24)/(2*$AR$24*SIN(BL42))&gt;500, 1, 2*ACOS(MIN(1, EXP(-$AR$8*($AV$3-$AR$24)/(2*$AR$24*SIN(BL42)))))/PI() )</f>
        <v>0.82831784989067125</v>
      </c>
      <c r="BM47" s="2"/>
      <c r="BO47" s="2">
        <v>9</v>
      </c>
      <c r="BP47" s="2">
        <f t="shared" si="35"/>
        <v>0.3263083931990336</v>
      </c>
      <c r="BQ47" s="2">
        <v>-1.0632421490698304E-2</v>
      </c>
      <c r="BR47" s="2">
        <f t="shared" si="36"/>
        <v>0.33723033640877936</v>
      </c>
      <c r="BS47" s="2">
        <v>2.8374295840247185E-2</v>
      </c>
      <c r="BT47" s="2">
        <f t="shared" si="27"/>
        <v>0.33176936480390651</v>
      </c>
      <c r="BU47" s="2">
        <v>9.0023469424503691E-3</v>
      </c>
      <c r="BV47" s="2">
        <f t="shared" si="28"/>
        <v>-9.571674709763147E-5</v>
      </c>
      <c r="BW47" s="2">
        <f t="shared" si="29"/>
        <v>2.5543525540163147E-4</v>
      </c>
      <c r="BX47" s="2">
        <f t="shared" si="30"/>
        <v>1.0921943209745766E-2</v>
      </c>
      <c r="BZ47" s="2">
        <v>9</v>
      </c>
      <c r="CA47" s="2">
        <f t="shared" si="37"/>
        <v>0.2935425635697963</v>
      </c>
      <c r="CB47" s="2">
        <v>-7.4262821729521519E-3</v>
      </c>
      <c r="CC47" s="2">
        <f t="shared" si="38"/>
        <v>0.30446450677954207</v>
      </c>
      <c r="CD47" s="2">
        <v>2.8293584820707457E-2</v>
      </c>
      <c r="CE47" s="2">
        <f t="shared" si="31"/>
        <v>0.29900353517466915</v>
      </c>
      <c r="CF47" s="2">
        <v>1.0567687759731978E-2</v>
      </c>
      <c r="CG47" s="2">
        <f t="shared" si="32"/>
        <v>-7.8478631219422248E-5</v>
      </c>
      <c r="CH47" s="2">
        <f t="shared" si="33"/>
        <v>2.9899776998872866E-4</v>
      </c>
      <c r="CI47" s="2">
        <f t="shared" si="34"/>
        <v>1.0921943209745766E-2</v>
      </c>
    </row>
    <row r="48" spans="2:87" x14ac:dyDescent="0.2">
      <c r="AF48" s="7" t="s">
        <v>44</v>
      </c>
      <c r="AG48" s="7" t="s">
        <v>45</v>
      </c>
      <c r="AH48" s="7" t="s">
        <v>46</v>
      </c>
      <c r="AI48" s="7" t="s">
        <v>47</v>
      </c>
      <c r="AJ48" s="7" t="s">
        <v>48</v>
      </c>
      <c r="AK48" s="7" t="s">
        <v>49</v>
      </c>
      <c r="AL48" s="7" t="s">
        <v>50</v>
      </c>
      <c r="AM48" s="7" t="s">
        <v>51</v>
      </c>
      <c r="AN48" s="7" t="s">
        <v>52</v>
      </c>
      <c r="AO48" s="7" t="s">
        <v>53</v>
      </c>
      <c r="AU48" s="27"/>
      <c r="AV48" s="70" t="s">
        <v>148</v>
      </c>
      <c r="AW48" s="70"/>
      <c r="AX48" s="70"/>
      <c r="AY48" s="70" t="s">
        <v>149</v>
      </c>
      <c r="AZ48" s="70"/>
      <c r="BA48" s="70"/>
      <c r="BB48" s="70" t="s">
        <v>150</v>
      </c>
      <c r="BC48" s="70"/>
      <c r="BD48" s="71"/>
      <c r="BG48" s="2" t="s">
        <v>180</v>
      </c>
      <c r="BH48" s="2">
        <f>IF(-$AR$8*($AR$23-$AR$10)/(2*$AR$23*SIN(BH42))&gt;500, 1, 2*ACOS(MIN(1, EXP(-$AR$8*($AR$23-$AR$10)/(2*$AR$23*SIN(BH42)))))/PI() )</f>
        <v>0.95013976849321125</v>
      </c>
      <c r="BI48" s="2"/>
      <c r="BJ48" s="2"/>
      <c r="BK48" s="2" t="s">
        <v>180</v>
      </c>
      <c r="BL48" s="2">
        <f>IF(-$AR$8*($AR$24-$AR$10)/(2*$AR$24*SIN(BL42))&gt;500, 1, 2*ACOS(MIN(1, EXP(-$AR$8*($AR$24-$AR$10)/(2*$AR$24*SIN(BL42)))))/PI() )</f>
        <v>0.96529875521621034</v>
      </c>
      <c r="BM48" s="2"/>
      <c r="BO48" s="2">
        <v>10</v>
      </c>
      <c r="BP48" s="2">
        <f t="shared" si="35"/>
        <v>0.3263083931990336</v>
      </c>
      <c r="BQ48" s="2">
        <v>-1.0632421490698304E-2</v>
      </c>
      <c r="BR48" s="2">
        <f t="shared" si="36"/>
        <v>0.33176936480390651</v>
      </c>
      <c r="BS48" s="2">
        <v>9.0023469424503691E-3</v>
      </c>
      <c r="BT48" s="2">
        <f t="shared" si="27"/>
        <v>0.32903887900147005</v>
      </c>
      <c r="BU48" s="2">
        <v>-7.8186467326343823E-4</v>
      </c>
      <c r="BV48" s="2">
        <f t="shared" si="28"/>
        <v>8.3131147548239886E-6</v>
      </c>
      <c r="BW48" s="2">
        <f t="shared" si="29"/>
        <v>-7.0386170507630696E-6</v>
      </c>
      <c r="BX48" s="2">
        <f t="shared" si="30"/>
        <v>5.4609716048729107E-3</v>
      </c>
      <c r="BZ48" s="2">
        <v>10</v>
      </c>
      <c r="CA48" s="2">
        <f t="shared" si="37"/>
        <v>0.2935425635697963</v>
      </c>
      <c r="CB48" s="2">
        <v>-7.4262821729521519E-3</v>
      </c>
      <c r="CC48" s="2">
        <f t="shared" si="38"/>
        <v>0.29900353517466915</v>
      </c>
      <c r="CD48" s="2">
        <v>1.0567687759731978E-2</v>
      </c>
      <c r="CE48" s="2">
        <f t="shared" si="31"/>
        <v>0.29627304937223276</v>
      </c>
      <c r="CF48" s="2">
        <v>1.6047806733660019E-3</v>
      </c>
      <c r="CG48" s="2">
        <f t="shared" si="32"/>
        <v>-1.1917554106116091E-5</v>
      </c>
      <c r="CH48" s="2">
        <f t="shared" si="33"/>
        <v>1.695882107898434E-5</v>
      </c>
      <c r="CI48" s="2">
        <f t="shared" si="34"/>
        <v>5.4609716048728552E-3</v>
      </c>
    </row>
    <row r="49" spans="2:87" x14ac:dyDescent="0.2">
      <c r="B49" s="54" t="s">
        <v>249</v>
      </c>
      <c r="C49" s="54"/>
      <c r="D49" s="54"/>
      <c r="AF49" s="2">
        <v>0</v>
      </c>
      <c r="AH49" s="2">
        <f>$G$11</f>
        <v>0.27069347288852441</v>
      </c>
      <c r="AJ49" s="2">
        <f>$G$11</f>
        <v>0.27069347288852441</v>
      </c>
      <c r="AL49" s="2">
        <f>$G$11</f>
        <v>0.27069347288852441</v>
      </c>
      <c r="AU49" s="27"/>
      <c r="AV49" s="4" t="s">
        <v>156</v>
      </c>
      <c r="AW49" s="2">
        <v>-180</v>
      </c>
      <c r="AX49" s="2">
        <v>-13.25</v>
      </c>
      <c r="AY49" s="4" t="s">
        <v>156</v>
      </c>
      <c r="AZ49" s="2">
        <v>-13.25</v>
      </c>
      <c r="BA49" s="2">
        <v>19.25</v>
      </c>
      <c r="BB49" s="52" t="s">
        <v>156</v>
      </c>
      <c r="BC49" s="35">
        <v>19.25</v>
      </c>
      <c r="BD49" s="36">
        <v>180</v>
      </c>
      <c r="BG49" s="2" t="s">
        <v>183</v>
      </c>
      <c r="BH49" s="2">
        <f>IF(BH42=0,1,BH47*BH48)</f>
        <v>0.86650501111891565</v>
      </c>
      <c r="BI49" s="2"/>
      <c r="BJ49" s="2"/>
      <c r="BK49" s="2" t="s">
        <v>183</v>
      </c>
      <c r="BL49" s="2">
        <f>IF(BL42=0,1,BL47*BL48)</f>
        <v>0.79957418942283276</v>
      </c>
      <c r="BM49" s="2"/>
      <c r="BO49" s="2">
        <v>11</v>
      </c>
      <c r="BP49" s="2">
        <f t="shared" si="35"/>
        <v>0.32903887900147005</v>
      </c>
      <c r="BQ49" s="2">
        <v>-7.8186467326343823E-4</v>
      </c>
      <c r="BR49" s="2">
        <f t="shared" si="36"/>
        <v>0.33176936480390651</v>
      </c>
      <c r="BS49" s="2">
        <v>9.0023469424503691E-3</v>
      </c>
      <c r="BT49" s="2">
        <f t="shared" si="27"/>
        <v>0.33040412190268831</v>
      </c>
      <c r="BU49" s="2">
        <v>4.1184938442816663E-3</v>
      </c>
      <c r="BV49" s="2">
        <f t="shared" si="28"/>
        <v>-3.2201048438967667E-6</v>
      </c>
      <c r="BW49" s="2">
        <f t="shared" si="29"/>
        <v>3.7076110466569725E-5</v>
      </c>
      <c r="BX49" s="2">
        <f t="shared" si="30"/>
        <v>2.7304858024364553E-3</v>
      </c>
      <c r="BZ49" s="2">
        <v>11</v>
      </c>
      <c r="CA49" s="2">
        <f t="shared" si="37"/>
        <v>0.2935425635697963</v>
      </c>
      <c r="CB49" s="2">
        <v>-7.4262821729521519E-3</v>
      </c>
      <c r="CC49" s="2">
        <f t="shared" si="38"/>
        <v>0.29627304937223276</v>
      </c>
      <c r="CD49" s="2">
        <v>1.6047806733660019E-3</v>
      </c>
      <c r="CE49" s="2">
        <f t="shared" si="31"/>
        <v>0.29490780647101456</v>
      </c>
      <c r="CF49" s="2">
        <v>-2.9021580859386956E-3</v>
      </c>
      <c r="CG49" s="2">
        <f t="shared" si="32"/>
        <v>2.1552244856695473E-5</v>
      </c>
      <c r="CH49" s="2">
        <f t="shared" si="33"/>
        <v>-4.6573272073672874E-6</v>
      </c>
      <c r="CI49" s="2">
        <f t="shared" si="34"/>
        <v>2.7304858024364553E-3</v>
      </c>
    </row>
    <row r="50" spans="2:87" x14ac:dyDescent="0.2">
      <c r="B50" s="6" t="s">
        <v>250</v>
      </c>
      <c r="C50" s="17">
        <v>4.3036300000000001</v>
      </c>
      <c r="AF50" s="2">
        <v>1</v>
      </c>
      <c r="AG50" s="3">
        <v>50</v>
      </c>
      <c r="AH50" s="2">
        <f t="dataTable" ref="AH50:AH79" dt2D="0" dtr="0" r1="C6" ca="1"/>
        <v>3132.1506978570796</v>
      </c>
      <c r="AI50" s="3">
        <v>1500</v>
      </c>
      <c r="AJ50" s="2">
        <f t="dataTable" ref="AJ50:AJ79" dt2D="0" dtr="0" r1="C6" ca="1"/>
        <v>-10703.668435545223</v>
      </c>
      <c r="AK50" s="2">
        <f t="shared" ref="AK50:AK79" si="39">(AG50+AI50)/2</f>
        <v>775</v>
      </c>
      <c r="AL50" s="2">
        <f t="dataTable" ref="AL50:AL79" dt2D="0" dtr="0" r1="C6" ca="1"/>
        <v>-549.96245861288753</v>
      </c>
      <c r="AM50" s="2">
        <f t="shared" ref="AM50:AM79" si="40">AH50*AL50</f>
        <v>-1722565.298539551</v>
      </c>
      <c r="AN50" s="2">
        <f t="shared" ref="AN50:AN79" si="41">AJ50*AL50</f>
        <v>5886615.8089896105</v>
      </c>
      <c r="AO50" s="2">
        <f t="shared" ref="AO50:AO79" si="42">AI50-AG50</f>
        <v>1450</v>
      </c>
      <c r="AU50" s="72" t="s">
        <v>160</v>
      </c>
      <c r="AV50" s="51">
        <v>-8.4939000000000004E-12</v>
      </c>
      <c r="AW50" s="24">
        <v>-4.8275424E-9</v>
      </c>
      <c r="AX50" s="25">
        <v>-1.06847729E-6</v>
      </c>
      <c r="AY50" s="51">
        <v>3.7013959E-9</v>
      </c>
      <c r="AZ50" s="24">
        <v>-1.9300005930000001E-7</v>
      </c>
      <c r="BA50" s="25">
        <v>-1.9024789776000001E-6</v>
      </c>
      <c r="BB50" s="51">
        <v>1.0310799999999999E-11</v>
      </c>
      <c r="BC50" s="24">
        <v>-5.7492829999999999E-9</v>
      </c>
      <c r="BD50" s="25">
        <v>1.2571656448000001E-6</v>
      </c>
      <c r="BG50" s="2" t="s">
        <v>187</v>
      </c>
      <c r="BH50" s="2">
        <f>IF(BH45&lt;$AZ$49, $AV$50*BH45^6 + $AW$50*BH45^5 + $AX$50*BH45^4 + $AV$51*BH45^3 + $AW$51*BH45^2 + $AX$51*BH45 + $AV$52, IF(BH45&gt;$BA$49, $BB$50*BH45^6 + $BC$50*BH45^5 + $BD$50*BH45^4 + $BB$51*BH45^3 + $BC$51*BH45^2 + $BD$51*BH45 + $BB$52, $AY$50*BH45^6 + $AZ$50*BH45^5 + $BA$50*BH45^4 + $AY$51*BH45^3 + $AZ$51*BH45^2 + $BA$51*BH45 + $AY$52) )</f>
        <v>0.96620641373725102</v>
      </c>
      <c r="BI50" s="2"/>
      <c r="BJ50" s="2"/>
      <c r="BK50" s="2" t="s">
        <v>187</v>
      </c>
      <c r="BL50" s="2">
        <f>IF(BL45&lt;$AZ$49, $AV$50*BL45^6 + $AW$50*BL45^5 + $AX$50*BL45^4 + $AV$51*BL45^3 + $AW$51*BL45^2 + $AX$51*BL45 + $AV$52, IF(BL45&gt;$BA$49, $BB$50*BL45^6 + $BC$50*BL45^5 + $BD$50*BL45^4 + $BB$51*BL45^3 + $BC$51*BL45^2 + $BD$51*BL45 + $BB$52, $AY$50*BL45^6 + $AZ$50*BL45^5 + $BA$50*BL45^4 + $AY$51*BL45^3 + $AZ$51*BL45^2 + $BA$51*BL45 + $AY$52) )</f>
        <v>0.92559549834131172</v>
      </c>
      <c r="BM50" s="2"/>
      <c r="BO50" s="2">
        <v>12</v>
      </c>
      <c r="BP50" s="2">
        <f t="shared" si="35"/>
        <v>0.32903887900147005</v>
      </c>
      <c r="BQ50" s="2">
        <v>-7.8186467326343823E-4</v>
      </c>
      <c r="BR50" s="2">
        <f t="shared" si="36"/>
        <v>0.33040412190268831</v>
      </c>
      <c r="BS50" s="2">
        <v>4.1184938442816663E-3</v>
      </c>
      <c r="BT50" s="2">
        <f t="shared" si="27"/>
        <v>0.32972150045207915</v>
      </c>
      <c r="BU50" s="2">
        <v>1.6703827910094504E-3</v>
      </c>
      <c r="BV50" s="2">
        <f t="shared" si="28"/>
        <v>-1.3060132951174741E-6</v>
      </c>
      <c r="BW50" s="2">
        <f t="shared" si="29"/>
        <v>6.8794612423664508E-6</v>
      </c>
      <c r="BX50" s="2">
        <f t="shared" si="30"/>
        <v>1.3652429012182554E-3</v>
      </c>
      <c r="BZ50" s="2">
        <v>12</v>
      </c>
      <c r="CA50" s="2">
        <f t="shared" si="37"/>
        <v>0.29490780647101456</v>
      </c>
      <c r="CB50" s="2">
        <v>-2.9021580859386956E-3</v>
      </c>
      <c r="CC50" s="2">
        <f t="shared" si="38"/>
        <v>0.29627304937223276</v>
      </c>
      <c r="CD50" s="2">
        <v>1.6047806733660019E-3</v>
      </c>
      <c r="CE50" s="2">
        <f t="shared" si="31"/>
        <v>0.29559042792162366</v>
      </c>
      <c r="CF50" s="2">
        <v>-6.4654978610071551E-4</v>
      </c>
      <c r="CG50" s="2">
        <f t="shared" si="32"/>
        <v>1.8763896896941256E-6</v>
      </c>
      <c r="CH50" s="2">
        <f t="shared" si="33"/>
        <v>-1.0375706011033507E-6</v>
      </c>
      <c r="CI50" s="2">
        <f t="shared" si="34"/>
        <v>1.3652429012181999E-3</v>
      </c>
    </row>
    <row r="51" spans="2:87" x14ac:dyDescent="0.2">
      <c r="B51" s="6" t="s">
        <v>251</v>
      </c>
      <c r="C51" s="17">
        <f>39.5112*0.3048^2</f>
        <v>3.6707105940480003</v>
      </c>
      <c r="D51" s="6" t="s">
        <v>11</v>
      </c>
      <c r="AF51" s="2">
        <v>2</v>
      </c>
      <c r="AG51" s="2">
        <f t="shared" ref="AG51:AG79" si="43">IF(AM50&gt;0, AK50, AG50)</f>
        <v>50</v>
      </c>
      <c r="AH51" s="2">
        <v>3132.1506978570796</v>
      </c>
      <c r="AI51" s="2">
        <f t="shared" ref="AI51:AI79" si="44">IF(AN50&gt;0, AK50, AI50)</f>
        <v>775</v>
      </c>
      <c r="AJ51" s="2">
        <v>-549.96245861288753</v>
      </c>
      <c r="AK51" s="2">
        <f t="shared" si="39"/>
        <v>412.5</v>
      </c>
      <c r="AL51" s="2">
        <v>2100.0432221798919</v>
      </c>
      <c r="AM51" s="2">
        <f t="shared" si="40"/>
        <v>6577651.8438807791</v>
      </c>
      <c r="AN51" s="2">
        <f t="shared" si="41"/>
        <v>-1154944.9336633838</v>
      </c>
      <c r="AO51" s="2">
        <f t="shared" si="42"/>
        <v>725</v>
      </c>
      <c r="AU51" s="72"/>
      <c r="AV51" s="27">
        <v>-1.1499587328259999E-4</v>
      </c>
      <c r="AW51" s="2">
        <v>-6.1271552300758998E-3</v>
      </c>
      <c r="AX51" s="31">
        <v>-0.159010230133804</v>
      </c>
      <c r="AY51" s="27">
        <v>-7.5438686490999997E-5</v>
      </c>
      <c r="AZ51" s="2">
        <v>3.1904202837819998E-4</v>
      </c>
      <c r="BA51" s="31">
        <v>0.119153856516412</v>
      </c>
      <c r="BB51" s="27">
        <v>-1.3598505110960001E-4</v>
      </c>
      <c r="BC51" s="2">
        <v>7.5612407541648004E-3</v>
      </c>
      <c r="BD51" s="31">
        <v>-0.21971859837524699</v>
      </c>
      <c r="BG51" s="2" t="s">
        <v>188</v>
      </c>
      <c r="BH51" s="2">
        <f>IF(BH45&lt;$AZ$49, $AV$53*BH45^6 + $AW$53*BH45^5 + $AX$53*BH45^4 + $AV$54*BH45^3 + $AW$54*BH45^2 + $AX$54*BH45 + $AV$55, IF(BH45&gt;$BA$49, $BB$53*BH45^6 + $BC$53*BH45^5 + $BD$53*BH45^4 + $BB$54*BH45^3 + $BC$54*BH45^2 + $BD$54*BH45 + $BB$55, $AY$53*BH45^6 + $AZ$53*BH45^5 + $BA$53*BH45^4 + $AY$54*BH45^3 + $AZ$54*BH45^2 + $BA$54*BH45 + $AY$55) )</f>
        <v>5.3721943613810975E-2</v>
      </c>
      <c r="BI51" s="2"/>
      <c r="BJ51" s="2"/>
      <c r="BK51" s="2" t="s">
        <v>188</v>
      </c>
      <c r="BL51" s="2">
        <f>IF(BL45&lt;$AZ$49, $AV$53*BL45^6 + $AW$53*BL45^5 + $AX$53*BL45^4 + $AV$54*BL45^3 + $AW$54*BL45^2 + $AX$54*BL45 + $AV$55, IF(BL45&gt;$BA$49, $BB$53*BL45^6 + $BC$53*BL45^5 + $BD$53*BL45^4 + $BB$54*BL45^3 + $BC$54*BL45^2 + $BD$54*BL45 + $BB$55, $AY$53*BL45^6 + $AZ$53*BL45^5 + $BA$53*BL45^4 + $AY$54*BL45^3 + $AZ$54*BL45^2 + $BA$54*BL45 + $AY$55) )</f>
        <v>5.519759584498582E-2</v>
      </c>
      <c r="BM51" s="2"/>
      <c r="BO51" s="2">
        <v>13</v>
      </c>
      <c r="BP51" s="2">
        <f t="shared" si="35"/>
        <v>0.32903887900147005</v>
      </c>
      <c r="BQ51" s="2">
        <v>-7.8186467326343823E-4</v>
      </c>
      <c r="BR51" s="2">
        <f t="shared" si="36"/>
        <v>0.32972150045207915</v>
      </c>
      <c r="BS51" s="2">
        <v>1.6703827910094504E-3</v>
      </c>
      <c r="BT51" s="2">
        <f t="shared" si="27"/>
        <v>0.32938018972677463</v>
      </c>
      <c r="BU51" s="2">
        <v>4.4477674109368731E-4</v>
      </c>
      <c r="BV51" s="2">
        <f t="shared" si="28"/>
        <v>-3.4775522135039266E-7</v>
      </c>
      <c r="BW51" s="2">
        <f t="shared" si="29"/>
        <v>7.4294741416416108E-7</v>
      </c>
      <c r="BX51" s="2">
        <f t="shared" si="30"/>
        <v>6.8262145060909996E-4</v>
      </c>
      <c r="BZ51" s="2">
        <v>13</v>
      </c>
      <c r="CA51" s="2">
        <f t="shared" si="37"/>
        <v>0.29559042792162366</v>
      </c>
      <c r="CB51" s="2">
        <v>-6.4654978610071551E-4</v>
      </c>
      <c r="CC51" s="2">
        <f t="shared" si="38"/>
        <v>0.29627304937223276</v>
      </c>
      <c r="CD51" s="2">
        <v>1.6047806733660019E-3</v>
      </c>
      <c r="CE51" s="2">
        <f t="shared" si="31"/>
        <v>0.29593173864692823</v>
      </c>
      <c r="CF51" s="2">
        <v>4.7964902649502705E-4</v>
      </c>
      <c r="CG51" s="2">
        <f t="shared" si="32"/>
        <v>-3.1011697548377616E-7</v>
      </c>
      <c r="CH51" s="2">
        <f t="shared" si="33"/>
        <v>7.6973148771803681E-7</v>
      </c>
      <c r="CI51" s="2">
        <f t="shared" si="34"/>
        <v>6.8262145060909996E-4</v>
      </c>
    </row>
    <row r="52" spans="2:87" x14ac:dyDescent="0.2">
      <c r="B52" s="6" t="s">
        <v>252</v>
      </c>
      <c r="C52" s="17">
        <f>0.15*3.7875*0.3048</f>
        <v>0.1731645</v>
      </c>
      <c r="D52" s="6" t="s">
        <v>8</v>
      </c>
      <c r="AF52" s="2">
        <v>3</v>
      </c>
      <c r="AG52" s="2">
        <f t="shared" si="43"/>
        <v>412.5</v>
      </c>
      <c r="AH52" s="2">
        <v>2100.0432221798919</v>
      </c>
      <c r="AI52" s="2">
        <f t="shared" si="44"/>
        <v>775</v>
      </c>
      <c r="AJ52" s="2">
        <v>-549.96245861288753</v>
      </c>
      <c r="AK52" s="2">
        <f t="shared" si="39"/>
        <v>593.75</v>
      </c>
      <c r="AL52" s="2">
        <v>977.27765742295105</v>
      </c>
      <c r="AM52" s="2">
        <f t="shared" si="40"/>
        <v>2052325.3206589108</v>
      </c>
      <c r="AN52" s="2">
        <f t="shared" si="41"/>
        <v>-537466.02322376939</v>
      </c>
      <c r="AO52" s="2">
        <f t="shared" si="42"/>
        <v>362.5</v>
      </c>
      <c r="AU52" s="72"/>
      <c r="AV52" s="64">
        <v>-2.4012358386552801</v>
      </c>
      <c r="AW52" s="65"/>
      <c r="AX52" s="66"/>
      <c r="AY52" s="64">
        <v>0.149391545914075</v>
      </c>
      <c r="AZ52" s="65"/>
      <c r="BA52" s="66"/>
      <c r="BB52" s="64">
        <v>3.65120250353774</v>
      </c>
      <c r="BC52" s="65"/>
      <c r="BD52" s="66"/>
      <c r="BG52" s="2" t="s">
        <v>190</v>
      </c>
      <c r="BH52" s="2">
        <f xml:space="preserve"> BH50*COS(BH42) - BH51*SIN(BH42)</f>
        <v>0.91694044691290244</v>
      </c>
      <c r="BI52" s="2"/>
      <c r="BJ52" s="2"/>
      <c r="BK52" s="2" t="s">
        <v>190</v>
      </c>
      <c r="BL52" s="2">
        <f xml:space="preserve"> BL50*COS(BL42) - BL51*SIN(BL42)</f>
        <v>0.88304024764177291</v>
      </c>
      <c r="BM52" s="2"/>
      <c r="BO52" s="2">
        <v>14</v>
      </c>
      <c r="BP52" s="2">
        <f t="shared" si="35"/>
        <v>0.32903887900147005</v>
      </c>
      <c r="BQ52" s="2">
        <v>-7.8186467326343823E-4</v>
      </c>
      <c r="BR52" s="2">
        <f t="shared" si="36"/>
        <v>0.32938018972677463</v>
      </c>
      <c r="BS52" s="2">
        <v>4.4477674109368731E-4</v>
      </c>
      <c r="BT52" s="2">
        <f t="shared" si="27"/>
        <v>0.32920953436412237</v>
      </c>
      <c r="BU52" s="2">
        <v>-1.6841446652665626E-4</v>
      </c>
      <c r="BV52" s="2">
        <f t="shared" si="28"/>
        <v>1.3167732184370034E-7</v>
      </c>
      <c r="BW52" s="2">
        <f t="shared" si="29"/>
        <v>-7.4906837574758059E-8</v>
      </c>
      <c r="BX52" s="2">
        <f t="shared" si="30"/>
        <v>3.4131072530457773E-4</v>
      </c>
      <c r="BZ52" s="2">
        <v>14</v>
      </c>
      <c r="CA52" s="2">
        <f t="shared" si="37"/>
        <v>0.29559042792162366</v>
      </c>
      <c r="CB52" s="2">
        <v>-6.4654978610071551E-4</v>
      </c>
      <c r="CC52" s="2">
        <f t="shared" si="38"/>
        <v>0.29593173864692823</v>
      </c>
      <c r="CD52" s="2">
        <v>4.7964902649502705E-4</v>
      </c>
      <c r="CE52" s="2">
        <f t="shared" si="31"/>
        <v>0.29576108328427597</v>
      </c>
      <c r="CF52" s="2">
        <v>-8.3316841067354597E-5</v>
      </c>
      <c r="CG52" s="2">
        <f t="shared" si="32"/>
        <v>5.3868485770685423E-8</v>
      </c>
      <c r="CH52" s="2">
        <f t="shared" si="33"/>
        <v>-3.9962841708597526E-8</v>
      </c>
      <c r="CI52" s="2">
        <f t="shared" si="34"/>
        <v>3.4131072530457773E-4</v>
      </c>
    </row>
    <row r="53" spans="2:87" x14ac:dyDescent="0.2">
      <c r="AF53" s="2">
        <v>4</v>
      </c>
      <c r="AG53" s="2">
        <f t="shared" si="43"/>
        <v>593.75</v>
      </c>
      <c r="AH53" s="2">
        <v>977.27765742295105</v>
      </c>
      <c r="AI53" s="2">
        <f t="shared" si="44"/>
        <v>775</v>
      </c>
      <c r="AJ53" s="2">
        <v>-549.96245861288753</v>
      </c>
      <c r="AK53" s="2">
        <f t="shared" si="39"/>
        <v>684.375</v>
      </c>
      <c r="AL53" s="2">
        <v>264.21691831489488</v>
      </c>
      <c r="AM53" s="2">
        <f t="shared" si="40"/>
        <v>258213.29098229168</v>
      </c>
      <c r="AN53" s="2">
        <f t="shared" si="41"/>
        <v>-145309.38600358006</v>
      </c>
      <c r="AO53" s="2">
        <f t="shared" si="42"/>
        <v>181.25</v>
      </c>
      <c r="AU53" s="72" t="s">
        <v>164</v>
      </c>
      <c r="AV53" s="51">
        <v>-1.0006E-12</v>
      </c>
      <c r="AW53" s="24">
        <v>-5.4488110000000002E-10</v>
      </c>
      <c r="AX53" s="25">
        <v>-8.9150928300000004E-8</v>
      </c>
      <c r="AY53" s="2">
        <v>-7.9540000000000002E-13</v>
      </c>
      <c r="AZ53" s="2">
        <v>4.1436390000000001E-10</v>
      </c>
      <c r="BA53" s="2">
        <v>-5.42459956E-8</v>
      </c>
      <c r="BB53" s="51">
        <v>5.9965836000000003E-9</v>
      </c>
      <c r="BC53" s="24">
        <v>-6.3543269799999999E-8</v>
      </c>
      <c r="BD53" s="25">
        <v>-1.1662640125E-6</v>
      </c>
      <c r="BG53" s="2" t="s">
        <v>192</v>
      </c>
      <c r="BH53" s="2">
        <f xml:space="preserve"> BH50*SIN(BH42) + BH51*COS(BH42)</f>
        <v>0.30929128340095835</v>
      </c>
      <c r="BI53" s="2"/>
      <c r="BJ53" s="2"/>
      <c r="BK53" s="2" t="s">
        <v>192</v>
      </c>
      <c r="BL53" s="2">
        <f xml:space="preserve"> BL50*SIN(BL42) + BL51*COS(BL42)</f>
        <v>0.2828669690535181</v>
      </c>
      <c r="BM53" s="2"/>
      <c r="BO53" s="2">
        <v>15</v>
      </c>
      <c r="BP53" s="2">
        <f t="shared" si="35"/>
        <v>0.32920953436412237</v>
      </c>
      <c r="BQ53" s="2">
        <v>-1.6841446652665626E-4</v>
      </c>
      <c r="BR53" s="2">
        <f t="shared" si="36"/>
        <v>0.32938018972677463</v>
      </c>
      <c r="BS53" s="2">
        <v>4.4477674109368731E-4</v>
      </c>
      <c r="BT53" s="2">
        <f t="shared" si="27"/>
        <v>0.3292948620454485</v>
      </c>
      <c r="BU53" s="2">
        <v>1.3821350229115126E-4</v>
      </c>
      <c r="BV53" s="2">
        <f t="shared" si="28"/>
        <v>-2.3277153255145021E-8</v>
      </c>
      <c r="BW53" s="2">
        <f t="shared" si="29"/>
        <v>6.1474151124203145E-8</v>
      </c>
      <c r="BX53" s="2">
        <f t="shared" si="30"/>
        <v>1.7065536265226111E-4</v>
      </c>
      <c r="BZ53" s="2">
        <v>15</v>
      </c>
      <c r="CA53" s="2">
        <f t="shared" si="37"/>
        <v>0.29576108328427597</v>
      </c>
      <c r="CB53" s="2">
        <v>-8.3316841067354597E-5</v>
      </c>
      <c r="CC53" s="2">
        <f t="shared" si="38"/>
        <v>0.29593173864692823</v>
      </c>
      <c r="CD53" s="2">
        <v>4.7964902649502705E-4</v>
      </c>
      <c r="CE53" s="2">
        <f t="shared" si="31"/>
        <v>0.2958464109656021</v>
      </c>
      <c r="CF53" s="2">
        <v>1.981994594968256E-4</v>
      </c>
      <c r="CG53" s="2">
        <f t="shared" si="32"/>
        <v>-1.6513352866532602E-8</v>
      </c>
      <c r="CH53" s="2">
        <f t="shared" si="33"/>
        <v>9.5066177799492951E-8</v>
      </c>
      <c r="CI53" s="2">
        <f t="shared" si="34"/>
        <v>1.7065536265226111E-4</v>
      </c>
    </row>
    <row r="54" spans="2:87" x14ac:dyDescent="0.2">
      <c r="B54" s="54" t="s">
        <v>253</v>
      </c>
      <c r="C54" s="54"/>
      <c r="D54" s="54"/>
      <c r="AF54" s="2">
        <v>5</v>
      </c>
      <c r="AG54" s="2">
        <f t="shared" si="43"/>
        <v>684.375</v>
      </c>
      <c r="AH54" s="2">
        <v>264.21691831489488</v>
      </c>
      <c r="AI54" s="2">
        <f t="shared" si="44"/>
        <v>775</v>
      </c>
      <c r="AJ54" s="2">
        <v>-549.96245861288753</v>
      </c>
      <c r="AK54" s="2">
        <f t="shared" si="39"/>
        <v>729.6875</v>
      </c>
      <c r="AL54" s="2">
        <v>-130.23294042153066</v>
      </c>
      <c r="AM54" s="2">
        <f t="shared" si="40"/>
        <v>-34409.746181264134</v>
      </c>
      <c r="AN54" s="2">
        <f t="shared" si="41"/>
        <v>71623.228106610695</v>
      </c>
      <c r="AO54" s="2">
        <f t="shared" si="42"/>
        <v>90.625</v>
      </c>
      <c r="AU54" s="72"/>
      <c r="AV54" s="27">
        <v>-2.5152080542999999E-6</v>
      </c>
      <c r="AW54" s="2">
        <v>3.1024404767040001E-4</v>
      </c>
      <c r="AX54" s="31">
        <v>2.5353308848270002E-4</v>
      </c>
      <c r="AY54" s="2">
        <v>-2.3838353068999999E-6</v>
      </c>
      <c r="AZ54" s="2">
        <v>6.7252067827910001E-4</v>
      </c>
      <c r="BA54" s="2">
        <v>-1.27258419497411E-2</v>
      </c>
      <c r="BB54" s="27">
        <v>9.3159135848999998E-6</v>
      </c>
      <c r="BC54" s="2">
        <v>1.3749855601419999E-4</v>
      </c>
      <c r="BD54" s="31">
        <v>-3.8346064905490001E-4</v>
      </c>
      <c r="BG54" s="2" t="s">
        <v>38</v>
      </c>
      <c r="BH54" s="2">
        <f xml:space="preserve"> 4*BH49*SIN(BH42)*SIN(BH42) / (BH46*BH52)</f>
        <v>1.1533508627697171</v>
      </c>
      <c r="BI54" s="2"/>
      <c r="BJ54" s="2"/>
      <c r="BK54" s="2" t="s">
        <v>38</v>
      </c>
      <c r="BL54" s="2">
        <f xml:space="preserve"> 4*BL49*SIN(BL42)*SIN(BL42) / (BL46*BL52)</f>
        <v>1.1413330158202666</v>
      </c>
      <c r="BM54" s="2"/>
      <c r="BO54" s="2">
        <v>16</v>
      </c>
      <c r="BP54" s="2">
        <f t="shared" si="35"/>
        <v>0.32920953436412237</v>
      </c>
      <c r="BQ54" s="2">
        <v>-1.6841446652665626E-4</v>
      </c>
      <c r="BR54" s="2">
        <f t="shared" si="36"/>
        <v>0.3292948620454485</v>
      </c>
      <c r="BS54" s="2">
        <v>1.3821350229115126E-4</v>
      </c>
      <c r="BT54" s="2">
        <f t="shared" si="27"/>
        <v>0.32925219820478546</v>
      </c>
      <c r="BU54" s="2">
        <v>-1.5092389630932956E-5</v>
      </c>
      <c r="BV54" s="2">
        <f t="shared" si="28"/>
        <v>2.5417767483060124E-9</v>
      </c>
      <c r="BW54" s="2">
        <f t="shared" si="29"/>
        <v>-2.0859720288338996E-9</v>
      </c>
      <c r="BX54" s="2">
        <f t="shared" si="30"/>
        <v>8.5327681326130556E-5</v>
      </c>
      <c r="BZ54" s="2">
        <v>16</v>
      </c>
      <c r="CA54" s="2">
        <f t="shared" si="37"/>
        <v>0.29576108328427597</v>
      </c>
      <c r="CB54" s="2">
        <v>-8.3316841067354597E-5</v>
      </c>
      <c r="CC54" s="2">
        <f t="shared" si="38"/>
        <v>0.2958464109656021</v>
      </c>
      <c r="CD54" s="2">
        <v>1.981994594968256E-4</v>
      </c>
      <c r="CE54" s="2">
        <f t="shared" si="31"/>
        <v>0.29580374712493906</v>
      </c>
      <c r="CF54" s="2">
        <v>5.7449653146600388E-5</v>
      </c>
      <c r="CG54" s="2">
        <f t="shared" si="32"/>
        <v>-4.7865236205899528E-9</v>
      </c>
      <c r="CH54" s="2">
        <f t="shared" si="33"/>
        <v>1.1386490201936303E-8</v>
      </c>
      <c r="CI54" s="2">
        <f t="shared" si="34"/>
        <v>8.5327681326130556E-5</v>
      </c>
    </row>
    <row r="55" spans="2:87" x14ac:dyDescent="0.2">
      <c r="B55" s="6" t="s">
        <v>254</v>
      </c>
      <c r="C55" s="17">
        <v>1.1798999999999999</v>
      </c>
      <c r="AF55" s="2">
        <v>6</v>
      </c>
      <c r="AG55" s="2">
        <f t="shared" si="43"/>
        <v>684.375</v>
      </c>
      <c r="AH55" s="2">
        <v>264.21691831489488</v>
      </c>
      <c r="AI55" s="2">
        <f t="shared" si="44"/>
        <v>729.6875</v>
      </c>
      <c r="AJ55" s="2">
        <v>-130.23294042153066</v>
      </c>
      <c r="AK55" s="2">
        <f t="shared" si="39"/>
        <v>707.03125</v>
      </c>
      <c r="AL55" s="2">
        <v>70.151946378547564</v>
      </c>
      <c r="AM55" s="2">
        <f t="shared" si="40"/>
        <v>18535.331085931586</v>
      </c>
      <c r="AN55" s="2">
        <f t="shared" si="41"/>
        <v>-9136.0942531717974</v>
      </c>
      <c r="AO55" s="2">
        <f t="shared" si="42"/>
        <v>45.3125</v>
      </c>
      <c r="AU55" s="73"/>
      <c r="AV55" s="64">
        <v>-1.5880058514071E-2</v>
      </c>
      <c r="AW55" s="65"/>
      <c r="AX55" s="66"/>
      <c r="AY55" s="65">
        <v>0.110802661807325</v>
      </c>
      <c r="AZ55" s="65"/>
      <c r="BA55" s="65"/>
      <c r="BB55" s="64">
        <v>7.4721088420790002E-3</v>
      </c>
      <c r="BC55" s="65"/>
      <c r="BD55" s="66"/>
      <c r="BG55" s="2" t="s">
        <v>194</v>
      </c>
      <c r="BH55" s="2">
        <f xml:space="preserve"> 4*BH49*SIN(BH42)*COS(BH42) / (BH46*BH53)</f>
        <v>12.365360981364406</v>
      </c>
      <c r="BI55" s="2"/>
      <c r="BJ55" s="2"/>
      <c r="BK55" s="2" t="s">
        <v>194</v>
      </c>
      <c r="BL55" s="2">
        <f xml:space="preserve"> 4*BL49*SIN(BL42)*COS(BL42) / (BL46*BL53)</f>
        <v>13.928052978831667</v>
      </c>
      <c r="BM55" s="2"/>
      <c r="BO55" s="2">
        <v>17</v>
      </c>
      <c r="BP55" s="2">
        <f t="shared" si="35"/>
        <v>0.32925219820478546</v>
      </c>
      <c r="BQ55" s="2">
        <v>-1.5092389630932956E-5</v>
      </c>
      <c r="BR55" s="2">
        <f t="shared" si="36"/>
        <v>0.3292948620454485</v>
      </c>
      <c r="BS55" s="2">
        <v>1.3821350229115126E-4</v>
      </c>
      <c r="BT55" s="2">
        <f t="shared" si="27"/>
        <v>0.32927353012511695</v>
      </c>
      <c r="BU55" s="2">
        <v>6.1562579297187725E-5</v>
      </c>
      <c r="BV55" s="2">
        <f t="shared" si="28"/>
        <v>-9.2912643343836388E-10</v>
      </c>
      <c r="BW55" s="2">
        <f t="shared" si="29"/>
        <v>8.5087796947410367E-9</v>
      </c>
      <c r="BX55" s="2">
        <f t="shared" si="30"/>
        <v>4.2663840663037522E-5</v>
      </c>
      <c r="BZ55" s="2">
        <v>17</v>
      </c>
      <c r="CA55" s="2">
        <f t="shared" si="37"/>
        <v>0.29576108328427597</v>
      </c>
      <c r="CB55" s="2">
        <v>-8.3316841067354597E-5</v>
      </c>
      <c r="CC55" s="2">
        <f t="shared" si="38"/>
        <v>0.29580374712493906</v>
      </c>
      <c r="CD55" s="2">
        <v>5.7449653146600388E-5</v>
      </c>
      <c r="CE55" s="2">
        <f t="shared" si="31"/>
        <v>0.29578241520460752</v>
      </c>
      <c r="CF55" s="2">
        <v>-1.2931507697773459E-5</v>
      </c>
      <c r="CG55" s="2">
        <f t="shared" si="32"/>
        <v>1.0774123716166638E-9</v>
      </c>
      <c r="CH55" s="2">
        <f t="shared" si="33"/>
        <v>-7.4291063189967816E-10</v>
      </c>
      <c r="CI55" s="2">
        <f t="shared" si="34"/>
        <v>4.2663840663093033E-5</v>
      </c>
    </row>
    <row r="56" spans="2:87" x14ac:dyDescent="0.2">
      <c r="B56" s="6" t="s">
        <v>255</v>
      </c>
      <c r="C56" s="17">
        <f>27.34325*0.3048^2</f>
        <v>2.5402710484800002</v>
      </c>
      <c r="D56" s="6" t="s">
        <v>11</v>
      </c>
      <c r="AF56" s="2">
        <v>7</v>
      </c>
      <c r="AG56" s="2">
        <f t="shared" si="43"/>
        <v>707.03125</v>
      </c>
      <c r="AH56" s="2">
        <v>70.151946378547564</v>
      </c>
      <c r="AI56" s="2">
        <f t="shared" si="44"/>
        <v>729.6875</v>
      </c>
      <c r="AJ56" s="2">
        <v>-130.23294042153066</v>
      </c>
      <c r="AK56" s="2">
        <f t="shared" si="39"/>
        <v>718.359375</v>
      </c>
      <c r="AL56" s="2">
        <v>-29.250507663524331</v>
      </c>
      <c r="AM56" s="2">
        <f t="shared" si="40"/>
        <v>-2051.9800451568535</v>
      </c>
      <c r="AN56" s="2">
        <f t="shared" si="41"/>
        <v>3809.3796218432904</v>
      </c>
      <c r="AO56" s="2">
        <f t="shared" si="42"/>
        <v>22.65625</v>
      </c>
      <c r="BG56" s="2" t="s">
        <v>45</v>
      </c>
      <c r="BH56" s="2">
        <f>1/(BH54-1)</f>
        <v>6.5209936347190514</v>
      </c>
      <c r="BI56" s="2"/>
      <c r="BJ56" s="2"/>
      <c r="BK56" s="2" t="s">
        <v>45</v>
      </c>
      <c r="BL56" s="2">
        <f>1/(BL54-1)</f>
        <v>7.0754875935832402</v>
      </c>
      <c r="BM56" s="2"/>
      <c r="BO56" s="2">
        <v>18</v>
      </c>
      <c r="BP56" s="2">
        <f t="shared" si="35"/>
        <v>0.32925219820478546</v>
      </c>
      <c r="BQ56" s="2">
        <v>-1.5092389630932956E-5</v>
      </c>
      <c r="BR56" s="2">
        <f t="shared" si="36"/>
        <v>0.32927353012511695</v>
      </c>
      <c r="BS56" s="2">
        <v>6.1562579297187725E-5</v>
      </c>
      <c r="BT56" s="2">
        <f t="shared" si="27"/>
        <v>0.32926286416495121</v>
      </c>
      <c r="BU56" s="2">
        <v>2.3235600594223582E-5</v>
      </c>
      <c r="BV56" s="2">
        <f t="shared" si="28"/>
        <v>-3.5068073747675964E-10</v>
      </c>
      <c r="BW56" s="2">
        <f t="shared" si="29"/>
        <v>1.4304435040996715E-9</v>
      </c>
      <c r="BX56" s="2">
        <f t="shared" si="30"/>
        <v>2.1331920331491006E-5</v>
      </c>
      <c r="BZ56" s="2">
        <v>18</v>
      </c>
      <c r="CA56" s="2">
        <f t="shared" si="37"/>
        <v>0.29578241520460752</v>
      </c>
      <c r="CB56" s="2">
        <v>-1.2931507697773459E-5</v>
      </c>
      <c r="CC56" s="2">
        <f t="shared" si="38"/>
        <v>0.29580374712493906</v>
      </c>
      <c r="CD56" s="2">
        <v>5.7449653146600388E-5</v>
      </c>
      <c r="CE56" s="2">
        <f t="shared" si="31"/>
        <v>0.29579308116477332</v>
      </c>
      <c r="CF56" s="2">
        <v>2.2259594255259751E-5</v>
      </c>
      <c r="CG56" s="2">
        <f t="shared" si="32"/>
        <v>-2.8785011446120535E-10</v>
      </c>
      <c r="CH56" s="2">
        <f t="shared" si="33"/>
        <v>1.2788059691487314E-9</v>
      </c>
      <c r="CI56" s="2">
        <f t="shared" si="34"/>
        <v>2.1331920331546517E-5</v>
      </c>
    </row>
    <row r="57" spans="2:87" x14ac:dyDescent="0.2">
      <c r="B57" s="6" t="s">
        <v>256</v>
      </c>
      <c r="C57" s="17">
        <f>0.115*9.73719*0.3048</f>
        <v>0.34130798388000005</v>
      </c>
      <c r="D57" s="6" t="s">
        <v>8</v>
      </c>
      <c r="AF57" s="2">
        <v>8</v>
      </c>
      <c r="AG57" s="2">
        <f t="shared" si="43"/>
        <v>707.03125</v>
      </c>
      <c r="AH57" s="2">
        <v>70.151946378547564</v>
      </c>
      <c r="AI57" s="2">
        <f t="shared" si="44"/>
        <v>718.359375</v>
      </c>
      <c r="AJ57" s="2">
        <v>-29.250507663524331</v>
      </c>
      <c r="AK57" s="2">
        <f t="shared" si="39"/>
        <v>712.6953125</v>
      </c>
      <c r="AL57" s="2">
        <v>20.648216697003591</v>
      </c>
      <c r="AM57" s="2">
        <f t="shared" si="40"/>
        <v>1448.5125905408263</v>
      </c>
      <c r="AN57" s="2">
        <f t="shared" si="41"/>
        <v>-603.97082073381455</v>
      </c>
      <c r="AO57" s="2">
        <f t="shared" si="42"/>
        <v>11.328125</v>
      </c>
      <c r="BG57" s="2" t="s">
        <v>197</v>
      </c>
      <c r="BH57" s="2">
        <f>1/(BH55+1)</f>
        <v>7.4820276189645776E-2</v>
      </c>
      <c r="BI57" s="2"/>
      <c r="BJ57" s="2"/>
      <c r="BK57" s="2" t="s">
        <v>197</v>
      </c>
      <c r="BL57" s="2">
        <f>1/(BL55+1)</f>
        <v>6.6987972337586396E-2</v>
      </c>
      <c r="BM57" s="2"/>
      <c r="BO57" s="2">
        <v>19</v>
      </c>
      <c r="BP57" s="2">
        <f t="shared" si="35"/>
        <v>0.32925219820478546</v>
      </c>
      <c r="BQ57" s="2">
        <v>-1.5092389630932956E-5</v>
      </c>
      <c r="BR57" s="2">
        <f t="shared" si="36"/>
        <v>0.32926286416495121</v>
      </c>
      <c r="BS57" s="2">
        <v>2.3235600594223582E-5</v>
      </c>
      <c r="BT57" s="2">
        <f t="shared" si="27"/>
        <v>0.32925753118486834</v>
      </c>
      <c r="BU57" s="2">
        <v>4.0717319242863925E-6</v>
      </c>
      <c r="BV57" s="2">
        <f t="shared" si="28"/>
        <v>-6.1452164674038643E-11</v>
      </c>
      <c r="BW57" s="2">
        <f t="shared" si="29"/>
        <v>9.4609136719468038E-11</v>
      </c>
      <c r="BX57" s="2">
        <f t="shared" si="30"/>
        <v>1.0665960165745503E-5</v>
      </c>
      <c r="BZ57" s="2">
        <v>19</v>
      </c>
      <c r="CA57" s="2">
        <f t="shared" si="37"/>
        <v>0.29578241520460752</v>
      </c>
      <c r="CB57" s="2">
        <v>-1.2931507697773459E-5</v>
      </c>
      <c r="CC57" s="2">
        <f t="shared" si="38"/>
        <v>0.29579308116477332</v>
      </c>
      <c r="CD57" s="2">
        <v>2.2259594255259751E-5</v>
      </c>
      <c r="CE57" s="2">
        <f t="shared" si="31"/>
        <v>0.29578774818469045</v>
      </c>
      <c r="CF57" s="2">
        <v>4.6641736659303046E-6</v>
      </c>
      <c r="CG57" s="2">
        <f t="shared" si="32"/>
        <v>-6.0314797664729985E-11</v>
      </c>
      <c r="CH57" s="2">
        <f t="shared" si="33"/>
        <v>1.0382261333967602E-10</v>
      </c>
      <c r="CI57" s="2">
        <f t="shared" si="34"/>
        <v>1.0665960165801014E-5</v>
      </c>
    </row>
    <row r="58" spans="2:87" x14ac:dyDescent="0.2">
      <c r="B58" s="6" t="s">
        <v>257</v>
      </c>
      <c r="C58" s="17">
        <v>35</v>
      </c>
      <c r="D58" s="6" t="s">
        <v>43</v>
      </c>
      <c r="AF58" s="2">
        <v>9</v>
      </c>
      <c r="AG58" s="2">
        <f t="shared" si="43"/>
        <v>712.6953125</v>
      </c>
      <c r="AH58" s="2">
        <v>20.648216697003591</v>
      </c>
      <c r="AI58" s="2">
        <f t="shared" si="44"/>
        <v>718.359375</v>
      </c>
      <c r="AJ58" s="2">
        <v>-29.250507663524331</v>
      </c>
      <c r="AK58" s="2">
        <f t="shared" si="39"/>
        <v>715.52734375</v>
      </c>
      <c r="AL58" s="2">
        <v>-4.2517711483869789</v>
      </c>
      <c r="AM58" s="2">
        <f t="shared" si="40"/>
        <v>-87.791492017962142</v>
      </c>
      <c r="AN58" s="2">
        <f t="shared" si="41"/>
        <v>124.36646455944498</v>
      </c>
      <c r="AO58" s="2">
        <f t="shared" si="42"/>
        <v>5.6640625</v>
      </c>
      <c r="BG58" s="7" t="s">
        <v>199</v>
      </c>
      <c r="BH58" s="40">
        <f>SIN(BH42)/(1+BH56) - $AR$3*COS(BH42)/($AV$5*$AR$23*(1-BH57))</f>
        <v>-1.8652269381802533E-9</v>
      </c>
      <c r="BI58" s="40"/>
      <c r="BJ58" s="2"/>
      <c r="BK58" s="7" t="s">
        <v>199</v>
      </c>
      <c r="BL58" s="40">
        <f>SIN(BL42)/(1+BL56) - $AR$3*COS(BL42)/($AV$5*$AR$24*(1-BL57))</f>
        <v>5.8070698701062629E-9</v>
      </c>
      <c r="BM58" s="40"/>
      <c r="BO58" s="2">
        <v>20</v>
      </c>
      <c r="BP58" s="2">
        <f t="shared" si="35"/>
        <v>0.32925219820478546</v>
      </c>
      <c r="BQ58" s="2">
        <v>-1.5092389630932956E-5</v>
      </c>
      <c r="BR58" s="2">
        <f t="shared" si="36"/>
        <v>0.32925753118486834</v>
      </c>
      <c r="BS58" s="2">
        <v>4.0717319242863925E-6</v>
      </c>
      <c r="BT58" s="2">
        <f t="shared" si="27"/>
        <v>0.3292548646948269</v>
      </c>
      <c r="BU58" s="2">
        <v>-5.5102972422449437E-6</v>
      </c>
      <c r="BV58" s="2">
        <f t="shared" si="28"/>
        <v>8.3163552962216047E-11</v>
      </c>
      <c r="BW58" s="2">
        <f t="shared" si="29"/>
        <v>-2.2436453193556008E-11</v>
      </c>
      <c r="BX58" s="2">
        <f t="shared" si="30"/>
        <v>5.3329800828727514E-6</v>
      </c>
      <c r="BZ58" s="2">
        <v>20</v>
      </c>
      <c r="CA58" s="2">
        <f t="shared" si="37"/>
        <v>0.29578241520460752</v>
      </c>
      <c r="CB58" s="2">
        <v>-1.2931507697773459E-5</v>
      </c>
      <c r="CC58" s="2">
        <f t="shared" si="38"/>
        <v>0.29578774818469045</v>
      </c>
      <c r="CD58" s="2">
        <v>4.6641736659303046E-6</v>
      </c>
      <c r="CE58" s="2">
        <f t="shared" si="31"/>
        <v>0.29578508169464901</v>
      </c>
      <c r="CF58" s="2">
        <v>-4.1336344184655927E-6</v>
      </c>
      <c r="CG58" s="2">
        <f t="shared" si="32"/>
        <v>5.3454125302169126E-11</v>
      </c>
      <c r="CH58" s="2">
        <f t="shared" si="33"/>
        <v>-1.9279988799190346E-11</v>
      </c>
      <c r="CI58" s="2">
        <f t="shared" si="34"/>
        <v>5.3329800829282625E-6</v>
      </c>
    </row>
    <row r="59" spans="2:87" x14ac:dyDescent="0.2">
      <c r="AF59" s="2">
        <v>10</v>
      </c>
      <c r="AG59" s="2">
        <f t="shared" si="43"/>
        <v>712.6953125</v>
      </c>
      <c r="AH59" s="2">
        <v>20.648216697003591</v>
      </c>
      <c r="AI59" s="2">
        <f t="shared" si="44"/>
        <v>715.52734375</v>
      </c>
      <c r="AJ59" s="2">
        <v>-4.2517711483869789</v>
      </c>
      <c r="AK59" s="2">
        <f t="shared" si="39"/>
        <v>714.111328125</v>
      </c>
      <c r="AL59" s="2">
        <v>8.2105663580259716</v>
      </c>
      <c r="AM59" s="2">
        <f t="shared" si="40"/>
        <v>169.53355336564783</v>
      </c>
      <c r="AN59" s="2">
        <f t="shared" si="41"/>
        <v>-34.909449152971582</v>
      </c>
      <c r="AO59" s="2">
        <f t="shared" si="42"/>
        <v>2.83203125</v>
      </c>
      <c r="BG59" s="2"/>
      <c r="BH59" s="2"/>
      <c r="BI59" s="2"/>
      <c r="BJ59" s="2"/>
      <c r="BK59" s="2"/>
      <c r="BL59" s="2"/>
      <c r="BM59" s="2"/>
      <c r="BO59" s="2">
        <v>21</v>
      </c>
      <c r="BP59" s="2">
        <f t="shared" si="35"/>
        <v>0.3292548646948269</v>
      </c>
      <c r="BQ59" s="2">
        <v>-5.5102972422449437E-6</v>
      </c>
      <c r="BR59" s="2">
        <f t="shared" si="36"/>
        <v>0.32925753118486834</v>
      </c>
      <c r="BS59" s="2">
        <v>4.0717319242863925E-6</v>
      </c>
      <c r="BT59" s="2">
        <f t="shared" si="27"/>
        <v>0.32925619793984762</v>
      </c>
      <c r="BU59" s="2">
        <v>-7.1927475613769998E-7</v>
      </c>
      <c r="BV59" s="2">
        <f t="shared" si="28"/>
        <v>3.9634177051619725E-12</v>
      </c>
      <c r="BW59" s="2">
        <f t="shared" si="29"/>
        <v>-2.9286939868991829E-12</v>
      </c>
      <c r="BX59" s="2">
        <f t="shared" si="30"/>
        <v>2.6664900414363757E-6</v>
      </c>
      <c r="BZ59" s="2">
        <v>21</v>
      </c>
      <c r="CA59" s="2">
        <f t="shared" si="37"/>
        <v>0.29578508169464901</v>
      </c>
      <c r="CB59" s="2">
        <v>-4.1336344184655927E-6</v>
      </c>
      <c r="CC59" s="2">
        <f t="shared" si="38"/>
        <v>0.29578774818469045</v>
      </c>
      <c r="CD59" s="2">
        <v>4.6641736659303046E-6</v>
      </c>
      <c r="CE59" s="2">
        <f t="shared" si="31"/>
        <v>0.29578641493966973</v>
      </c>
      <c r="CF59" s="2">
        <v>2.652777729011957E-7</v>
      </c>
      <c r="CG59" s="2">
        <f t="shared" si="32"/>
        <v>-1.0965613325182816E-12</v>
      </c>
      <c r="CH59" s="2">
        <f t="shared" si="33"/>
        <v>1.2373016025223967E-12</v>
      </c>
      <c r="CI59" s="2">
        <f t="shared" si="34"/>
        <v>2.6664900414363757E-6</v>
      </c>
    </row>
    <row r="60" spans="2:87" x14ac:dyDescent="0.2">
      <c r="B60" s="57" t="s">
        <v>2</v>
      </c>
      <c r="C60" s="58"/>
      <c r="D60" s="58"/>
      <c r="AF60" s="2">
        <v>11</v>
      </c>
      <c r="AG60" s="2">
        <f t="shared" si="43"/>
        <v>714.111328125</v>
      </c>
      <c r="AH60" s="2">
        <v>8.2105663580259716</v>
      </c>
      <c r="AI60" s="2">
        <f t="shared" si="44"/>
        <v>715.52734375</v>
      </c>
      <c r="AJ60" s="2">
        <v>-4.2517711483869789</v>
      </c>
      <c r="AK60" s="2">
        <f t="shared" si="39"/>
        <v>714.8193359375</v>
      </c>
      <c r="AL60" s="2">
        <v>1.9824835007489128</v>
      </c>
      <c r="AM60" s="2">
        <f t="shared" si="40"/>
        <v>16.27731233659058</v>
      </c>
      <c r="AN60" s="2">
        <f t="shared" si="41"/>
        <v>-8.4290661506374427</v>
      </c>
      <c r="AO60" s="2">
        <f t="shared" si="42"/>
        <v>1.416015625</v>
      </c>
      <c r="BG60" s="63" t="s">
        <v>206</v>
      </c>
      <c r="BH60" s="63"/>
      <c r="BI60" s="63"/>
      <c r="BJ60" s="2"/>
      <c r="BK60" s="63" t="s">
        <v>220</v>
      </c>
      <c r="BL60" s="63"/>
      <c r="BM60" s="63"/>
      <c r="BO60" s="2">
        <v>22</v>
      </c>
      <c r="BP60" s="2">
        <f t="shared" si="35"/>
        <v>0.32925619793984762</v>
      </c>
      <c r="BQ60" s="2">
        <v>-7.1927475613769998E-7</v>
      </c>
      <c r="BR60" s="2">
        <f t="shared" si="36"/>
        <v>0.32925753118486834</v>
      </c>
      <c r="BS60" s="2">
        <v>4.0717319242863925E-6</v>
      </c>
      <c r="BT60" s="2">
        <f t="shared" si="27"/>
        <v>0.32925686456235798</v>
      </c>
      <c r="BU60" s="2">
        <v>1.6762305597647909E-6</v>
      </c>
      <c r="BV60" s="2">
        <f t="shared" si="28"/>
        <v>-1.2056703271053803E-12</v>
      </c>
      <c r="BW60" s="2">
        <f t="shared" si="29"/>
        <v>6.825161482658749E-12</v>
      </c>
      <c r="BX60" s="2">
        <f t="shared" si="30"/>
        <v>1.3332450207181878E-6</v>
      </c>
      <c r="BZ60" s="2">
        <v>22</v>
      </c>
      <c r="CA60" s="2">
        <f t="shared" si="37"/>
        <v>0.29578508169464901</v>
      </c>
      <c r="CB60" s="2">
        <v>-4.1336344184655927E-6</v>
      </c>
      <c r="CC60" s="2">
        <f t="shared" si="38"/>
        <v>0.29578641493966973</v>
      </c>
      <c r="CD60" s="2">
        <v>2.652777729011957E-7</v>
      </c>
      <c r="CE60" s="2">
        <f t="shared" si="31"/>
        <v>0.29578574831715937</v>
      </c>
      <c r="CF60" s="2">
        <v>-1.9341762855368261E-6</v>
      </c>
      <c r="CG60" s="2">
        <f t="shared" si="32"/>
        <v>7.9951776652749576E-12</v>
      </c>
      <c r="CH60" s="2">
        <f t="shared" si="33"/>
        <v>-5.1309397742551637E-13</v>
      </c>
      <c r="CI60" s="2">
        <f t="shared" si="34"/>
        <v>1.3332450207181878E-6</v>
      </c>
    </row>
    <row r="61" spans="2:87" x14ac:dyDescent="0.2">
      <c r="B61" s="6" t="s">
        <v>3</v>
      </c>
      <c r="C61" s="17">
        <v>250</v>
      </c>
      <c r="D61" s="6" t="s">
        <v>4</v>
      </c>
      <c r="AF61" s="2">
        <v>12</v>
      </c>
      <c r="AG61" s="2">
        <f t="shared" si="43"/>
        <v>714.8193359375</v>
      </c>
      <c r="AH61" s="2">
        <v>1.9824835007489128</v>
      </c>
      <c r="AI61" s="2">
        <f t="shared" si="44"/>
        <v>715.52734375</v>
      </c>
      <c r="AJ61" s="2">
        <v>-4.2517711483869789</v>
      </c>
      <c r="AK61" s="2">
        <f t="shared" si="39"/>
        <v>715.17333984375</v>
      </c>
      <c r="AL61" s="2">
        <v>-1.13387234983702</v>
      </c>
      <c r="AM61" s="2">
        <f t="shared" si="40"/>
        <v>-2.2478832255072914</v>
      </c>
      <c r="AN61" s="2">
        <f t="shared" si="41"/>
        <v>4.8209657429907891</v>
      </c>
      <c r="AO61" s="2">
        <f t="shared" si="42"/>
        <v>0.7080078125</v>
      </c>
      <c r="BG61" s="28" t="s">
        <v>154</v>
      </c>
      <c r="BH61" s="29">
        <f>BT136</f>
        <v>0.23915574681897506</v>
      </c>
      <c r="BI61" s="5" t="s">
        <v>155</v>
      </c>
      <c r="BJ61" s="2"/>
      <c r="BK61" s="28" t="s">
        <v>154</v>
      </c>
      <c r="BL61" s="29">
        <f>CE136</f>
        <v>0.24570664102029893</v>
      </c>
      <c r="BM61" s="5" t="s">
        <v>155</v>
      </c>
      <c r="BO61" s="2">
        <v>23</v>
      </c>
      <c r="BP61" s="2">
        <f t="shared" si="35"/>
        <v>0.32925619793984762</v>
      </c>
      <c r="BQ61" s="2">
        <v>-7.1927475613769998E-7</v>
      </c>
      <c r="BR61" s="2">
        <f t="shared" si="36"/>
        <v>0.32925686456235798</v>
      </c>
      <c r="BS61" s="2">
        <v>1.6762305597647909E-6</v>
      </c>
      <c r="BT61" s="2">
        <f t="shared" si="27"/>
        <v>0.32925653125110277</v>
      </c>
      <c r="BU61" s="2">
        <v>4.7847839555054117E-7</v>
      </c>
      <c r="BV61" s="2">
        <f t="shared" si="28"/>
        <v>-3.4415743127677346E-13</v>
      </c>
      <c r="BW61" s="2">
        <f t="shared" si="29"/>
        <v>8.0204010880904261E-13</v>
      </c>
      <c r="BX61" s="2">
        <f t="shared" si="30"/>
        <v>6.6662251035909392E-7</v>
      </c>
      <c r="BZ61" s="2">
        <v>23</v>
      </c>
      <c r="CA61" s="2">
        <f t="shared" si="37"/>
        <v>0.29578574831715937</v>
      </c>
      <c r="CB61" s="2">
        <v>-1.9341762855368261E-6</v>
      </c>
      <c r="CC61" s="2">
        <f t="shared" si="38"/>
        <v>0.29578641493966973</v>
      </c>
      <c r="CD61" s="2">
        <v>2.652777729011957E-7</v>
      </c>
      <c r="CE61" s="2">
        <f t="shared" si="31"/>
        <v>0.29578608162841458</v>
      </c>
      <c r="CF61" s="2">
        <v>-8.344487468225914E-7</v>
      </c>
      <c r="CG61" s="2">
        <f t="shared" si="32"/>
        <v>1.6139709776001792E-12</v>
      </c>
      <c r="CH61" s="2">
        <f t="shared" si="33"/>
        <v>-2.2136070515729076E-13</v>
      </c>
      <c r="CI61" s="2">
        <f t="shared" si="34"/>
        <v>6.6662251035909392E-7</v>
      </c>
    </row>
    <row r="62" spans="2:87" x14ac:dyDescent="0.2">
      <c r="B62" s="6" t="s">
        <v>5</v>
      </c>
      <c r="C62" s="17">
        <v>0.85</v>
      </c>
      <c r="AF62" s="2">
        <v>13</v>
      </c>
      <c r="AG62" s="2">
        <f t="shared" si="43"/>
        <v>714.8193359375</v>
      </c>
      <c r="AH62" s="2">
        <v>1.9824835007489128</v>
      </c>
      <c r="AI62" s="2">
        <f t="shared" si="44"/>
        <v>715.17333984375</v>
      </c>
      <c r="AJ62" s="2">
        <v>-1.13387234983702</v>
      </c>
      <c r="AK62" s="2">
        <f t="shared" si="39"/>
        <v>714.996337890625</v>
      </c>
      <c r="AL62" s="2">
        <v>0.42449844395059699</v>
      </c>
      <c r="AM62" s="2">
        <f t="shared" si="40"/>
        <v>0.84156116122564562</v>
      </c>
      <c r="AN62" s="2">
        <f t="shared" si="41"/>
        <v>-0.48132704814442195</v>
      </c>
      <c r="AO62" s="2">
        <f t="shared" si="42"/>
        <v>0.35400390625</v>
      </c>
      <c r="BG62" s="2" t="s">
        <v>159</v>
      </c>
      <c r="BH62" s="2">
        <f>($AR$41+$AR$5)/180*PI()</f>
        <v>0.34030499206920334</v>
      </c>
      <c r="BI62" s="2" t="s">
        <v>155</v>
      </c>
      <c r="BJ62" s="2"/>
      <c r="BK62" s="2" t="s">
        <v>159</v>
      </c>
      <c r="BL62" s="2">
        <f>($AR$42+$AR$5)/180*PI()</f>
        <v>0.31445230252403733</v>
      </c>
      <c r="BM62" s="2" t="s">
        <v>155</v>
      </c>
      <c r="BO62" s="2">
        <v>24</v>
      </c>
      <c r="BP62" s="2">
        <f t="shared" si="35"/>
        <v>0.32925619793984762</v>
      </c>
      <c r="BQ62" s="2">
        <v>-7.1927475613769998E-7</v>
      </c>
      <c r="BR62" s="2">
        <f t="shared" si="36"/>
        <v>0.32925653125110277</v>
      </c>
      <c r="BS62" s="2">
        <v>4.7847839555054117E-7</v>
      </c>
      <c r="BT62" s="2">
        <f t="shared" si="27"/>
        <v>0.32925636459547519</v>
      </c>
      <c r="BU62" s="2">
        <v>-1.2039805692004579E-7</v>
      </c>
      <c r="BV62" s="2">
        <f t="shared" si="28"/>
        <v>8.6599283030618861E-14</v>
      </c>
      <c r="BW62" s="2">
        <f t="shared" si="29"/>
        <v>-5.7607869102506245E-14</v>
      </c>
      <c r="BX62" s="2">
        <f t="shared" si="30"/>
        <v>3.3331125515179139E-7</v>
      </c>
      <c r="BZ62" s="2">
        <v>24</v>
      </c>
      <c r="CA62" s="2">
        <f t="shared" si="37"/>
        <v>0.29578608162841458</v>
      </c>
      <c r="CB62" s="2">
        <v>-8.344487468225914E-7</v>
      </c>
      <c r="CC62" s="2">
        <f t="shared" si="38"/>
        <v>0.29578641493966973</v>
      </c>
      <c r="CD62" s="2">
        <v>2.652777729011957E-7</v>
      </c>
      <c r="CE62" s="2">
        <f t="shared" si="31"/>
        <v>0.29578624828404215</v>
      </c>
      <c r="CF62" s="2">
        <v>-2.8458535969444476E-7</v>
      </c>
      <c r="CG62" s="2">
        <f t="shared" si="32"/>
        <v>2.3747189676108584E-13</v>
      </c>
      <c r="CH62" s="2">
        <f t="shared" si="33"/>
        <v>-7.5494170420028013E-14</v>
      </c>
      <c r="CI62" s="2">
        <f t="shared" si="34"/>
        <v>3.3331125515179139E-7</v>
      </c>
    </row>
    <row r="63" spans="2:87" x14ac:dyDescent="0.2">
      <c r="B63" s="6" t="s">
        <v>6</v>
      </c>
      <c r="C63" s="17">
        <v>0.8</v>
      </c>
      <c r="AF63" s="2">
        <v>14</v>
      </c>
      <c r="AG63" s="2">
        <f t="shared" si="43"/>
        <v>714.996337890625</v>
      </c>
      <c r="AH63" s="2">
        <v>0.42449844395059699</v>
      </c>
      <c r="AI63" s="2">
        <f t="shared" si="44"/>
        <v>715.17333984375</v>
      </c>
      <c r="AJ63" s="2">
        <v>-1.13387234983702</v>
      </c>
      <c r="AK63" s="2">
        <f t="shared" si="39"/>
        <v>715.0848388671875</v>
      </c>
      <c r="AL63" s="2">
        <v>-0.35463873581875305</v>
      </c>
      <c r="AM63" s="2">
        <f t="shared" si="40"/>
        <v>-0.15054359151966751</v>
      </c>
      <c r="AN63" s="2">
        <f t="shared" si="41"/>
        <v>0.4021150567260397</v>
      </c>
      <c r="AO63" s="2">
        <f t="shared" si="42"/>
        <v>0.177001953125</v>
      </c>
      <c r="BG63" s="2" t="s">
        <v>28</v>
      </c>
      <c r="BH63" s="2">
        <f>BH62-BH61</f>
        <v>0.10114924525022828</v>
      </c>
      <c r="BI63" s="2" t="s">
        <v>155</v>
      </c>
      <c r="BJ63" s="2"/>
      <c r="BK63" s="2" t="s">
        <v>28</v>
      </c>
      <c r="BL63" s="2">
        <f>BL62-BL61</f>
        <v>6.8745661503738398E-2</v>
      </c>
      <c r="BM63" s="2" t="s">
        <v>155</v>
      </c>
      <c r="BO63" s="2">
        <v>25</v>
      </c>
      <c r="BP63" s="2">
        <f t="shared" si="35"/>
        <v>0.32925636459547519</v>
      </c>
      <c r="BQ63" s="2">
        <v>-1.2039805692004579E-7</v>
      </c>
      <c r="BR63" s="2">
        <f t="shared" si="36"/>
        <v>0.32925653125110277</v>
      </c>
      <c r="BS63" s="2">
        <v>4.7847839555054117E-7</v>
      </c>
      <c r="BT63" s="2">
        <f t="shared" si="27"/>
        <v>0.32925644792328901</v>
      </c>
      <c r="BU63" s="2">
        <v>1.7904020025577561E-7</v>
      </c>
      <c r="BV63" s="2">
        <f t="shared" si="28"/>
        <v>-2.1556092221371269E-14</v>
      </c>
      <c r="BW63" s="2">
        <f t="shared" si="29"/>
        <v>8.5666867757431101E-14</v>
      </c>
      <c r="BX63" s="2">
        <f t="shared" si="30"/>
        <v>1.6665562757589569E-7</v>
      </c>
      <c r="BZ63" s="2">
        <v>25</v>
      </c>
      <c r="CA63" s="2">
        <f t="shared" si="37"/>
        <v>0.29578624828404215</v>
      </c>
      <c r="CB63" s="2">
        <v>-2.8458535969444476E-7</v>
      </c>
      <c r="CC63" s="2">
        <f t="shared" si="38"/>
        <v>0.29578641493966973</v>
      </c>
      <c r="CD63" s="2">
        <v>2.652777729011957E-7</v>
      </c>
      <c r="CE63" s="2">
        <f t="shared" si="31"/>
        <v>0.29578633161185597</v>
      </c>
      <c r="CF63" s="2">
        <v>-9.6537614083236356E-9</v>
      </c>
      <c r="CG63" s="2">
        <f t="shared" si="32"/>
        <v>2.7473191627921314E-15</v>
      </c>
      <c r="CH63" s="2">
        <f t="shared" si="33"/>
        <v>-2.5609283265196047E-15</v>
      </c>
      <c r="CI63" s="2">
        <f t="shared" si="34"/>
        <v>1.6665562757589569E-7</v>
      </c>
    </row>
    <row r="64" spans="2:87" x14ac:dyDescent="0.2">
      <c r="AF64" s="2">
        <v>15</v>
      </c>
      <c r="AG64" s="2">
        <f t="shared" si="43"/>
        <v>714.996337890625</v>
      </c>
      <c r="AH64" s="2">
        <v>0.42449844395059699</v>
      </c>
      <c r="AI64" s="2">
        <f t="shared" si="44"/>
        <v>715.0848388671875</v>
      </c>
      <c r="AJ64" s="2">
        <v>-0.35463873581875305</v>
      </c>
      <c r="AK64" s="2">
        <f t="shared" si="39"/>
        <v>715.04058837890625</v>
      </c>
      <c r="AL64" s="2">
        <v>3.4941908346354467E-2</v>
      </c>
      <c r="AM64" s="2">
        <f t="shared" si="40"/>
        <v>1.4832785721691848E-2</v>
      </c>
      <c r="AN64" s="2">
        <f t="shared" si="41"/>
        <v>-1.2391754203045884E-2</v>
      </c>
      <c r="AO64" s="2">
        <f t="shared" si="42"/>
        <v>8.85009765625E-2</v>
      </c>
      <c r="BG64" s="2" t="s">
        <v>168</v>
      </c>
      <c r="BH64" s="2">
        <f>BH63/PI()*180</f>
        <v>5.7954248537717694</v>
      </c>
      <c r="BI64" s="2" t="s">
        <v>43</v>
      </c>
      <c r="BJ64" s="2"/>
      <c r="BK64" s="2" t="s">
        <v>168</v>
      </c>
      <c r="BL64" s="2">
        <f>BL63/PI()*180</f>
        <v>3.9388362639991867</v>
      </c>
      <c r="BM64" s="2" t="s">
        <v>43</v>
      </c>
      <c r="BO64" s="2">
        <v>26</v>
      </c>
      <c r="BP64" s="2">
        <f t="shared" si="35"/>
        <v>0.32925636459547519</v>
      </c>
      <c r="BQ64" s="2">
        <v>-1.2039805692004579E-7</v>
      </c>
      <c r="BR64" s="2">
        <f t="shared" si="36"/>
        <v>0.32925644792328901</v>
      </c>
      <c r="BS64" s="2">
        <v>1.7904020025577561E-7</v>
      </c>
      <c r="BT64" s="2">
        <f t="shared" si="27"/>
        <v>0.32925640625938213</v>
      </c>
      <c r="BU64" s="2">
        <v>2.9321079592081745E-8</v>
      </c>
      <c r="BV64" s="2">
        <f t="shared" si="28"/>
        <v>-3.5302010096846511E-15</v>
      </c>
      <c r="BW64" s="2">
        <f t="shared" si="29"/>
        <v>5.2496519618818506E-15</v>
      </c>
      <c r="BX64" s="2">
        <f t="shared" si="30"/>
        <v>8.3327813815703422E-8</v>
      </c>
      <c r="BZ64" s="2">
        <v>26</v>
      </c>
      <c r="CA64" s="2">
        <f t="shared" si="37"/>
        <v>0.29578633161185597</v>
      </c>
      <c r="CB64" s="2">
        <v>-9.6537614083236356E-9</v>
      </c>
      <c r="CC64" s="2">
        <f t="shared" si="38"/>
        <v>0.29578641493966973</v>
      </c>
      <c r="CD64" s="2">
        <v>2.652777729011957E-7</v>
      </c>
      <c r="CE64" s="2">
        <f t="shared" si="31"/>
        <v>0.29578637327576285</v>
      </c>
      <c r="CF64" s="2">
        <v>1.2781201374351125E-7</v>
      </c>
      <c r="CG64" s="2">
        <f t="shared" si="32"/>
        <v>-1.2338666857972391E-15</v>
      </c>
      <c r="CH64" s="2">
        <f t="shared" si="33"/>
        <v>3.3905686355895681E-14</v>
      </c>
      <c r="CI64" s="2">
        <f t="shared" si="34"/>
        <v>8.3327813760192271E-8</v>
      </c>
    </row>
    <row r="65" spans="2:87" x14ac:dyDescent="0.2">
      <c r="B65" s="54" t="s">
        <v>272</v>
      </c>
      <c r="C65" s="55"/>
      <c r="D65" s="55"/>
      <c r="AF65" s="2">
        <v>16</v>
      </c>
      <c r="AG65" s="2">
        <f t="shared" si="43"/>
        <v>715.04058837890625</v>
      </c>
      <c r="AH65" s="2">
        <v>3.4941908346354467E-2</v>
      </c>
      <c r="AI65" s="2">
        <f t="shared" si="44"/>
        <v>715.0848388671875</v>
      </c>
      <c r="AJ65" s="2">
        <v>-0.35463873581875305</v>
      </c>
      <c r="AK65" s="2">
        <f t="shared" si="39"/>
        <v>715.06271362304688</v>
      </c>
      <c r="AL65" s="2">
        <v>-0.15984540016506799</v>
      </c>
      <c r="AM65" s="2">
        <f t="shared" si="40"/>
        <v>-5.585303322154159E-3</v>
      </c>
      <c r="AN65" s="2">
        <f t="shared" si="41"/>
        <v>5.6687370640982407E-2</v>
      </c>
      <c r="AO65" s="2">
        <f t="shared" si="42"/>
        <v>4.425048828125E-2</v>
      </c>
      <c r="AQ65" s="2"/>
      <c r="AR65" s="2"/>
      <c r="AS65" s="26"/>
      <c r="BG65" s="2" t="s">
        <v>171</v>
      </c>
      <c r="BH65" s="2">
        <f xml:space="preserve"> $AR$8*$AR$33 / (2*PI()*$AR$25)</f>
        <v>0.16580624184935927</v>
      </c>
      <c r="BI65" s="2"/>
      <c r="BJ65" s="2"/>
      <c r="BK65" s="2" t="s">
        <v>171</v>
      </c>
      <c r="BL65" s="2">
        <f xml:space="preserve"> $AR$8*$AR$34 / (2*PI()*$AR$26)</f>
        <v>0.14274781591970581</v>
      </c>
      <c r="BM65" s="2"/>
      <c r="BO65" s="2">
        <v>27</v>
      </c>
      <c r="BP65" s="2">
        <f t="shared" si="35"/>
        <v>0.32925636459547519</v>
      </c>
      <c r="BQ65" s="2">
        <v>-1.2039805692004579E-7</v>
      </c>
      <c r="BR65" s="2">
        <f t="shared" si="36"/>
        <v>0.32925640625938213</v>
      </c>
      <c r="BS65" s="2">
        <v>2.9321079592081745E-8</v>
      </c>
      <c r="BT65" s="2">
        <f t="shared" si="27"/>
        <v>0.32925638542742863</v>
      </c>
      <c r="BU65" s="2">
        <v>-4.5538486842522374E-8</v>
      </c>
      <c r="BV65" s="2">
        <f t="shared" si="28"/>
        <v>5.4827453309187652E-15</v>
      </c>
      <c r="BW65" s="2">
        <f t="shared" si="29"/>
        <v>-1.3352375972125659E-15</v>
      </c>
      <c r="BX65" s="2">
        <f t="shared" si="30"/>
        <v>4.1663906935607287E-8</v>
      </c>
      <c r="BZ65" s="2">
        <v>27</v>
      </c>
      <c r="CA65" s="2">
        <f t="shared" si="37"/>
        <v>0.29578633161185597</v>
      </c>
      <c r="CB65" s="2">
        <v>-9.6537614083236356E-9</v>
      </c>
      <c r="CC65" s="2">
        <f t="shared" si="38"/>
        <v>0.29578637327576285</v>
      </c>
      <c r="CD65" s="2">
        <v>1.2781201374351125E-7</v>
      </c>
      <c r="CE65" s="2">
        <f t="shared" si="31"/>
        <v>0.29578635244380941</v>
      </c>
      <c r="CF65" s="2">
        <v>5.9079128152117466E-8</v>
      </c>
      <c r="CG65" s="2">
        <f t="shared" si="32"/>
        <v>-5.703358073923181E-16</v>
      </c>
      <c r="CH65" s="2">
        <f t="shared" si="33"/>
        <v>7.5510223393331007E-15</v>
      </c>
      <c r="CI65" s="2">
        <f t="shared" si="34"/>
        <v>4.1663906880096135E-8</v>
      </c>
    </row>
    <row r="66" spans="2:87" x14ac:dyDescent="0.2">
      <c r="B66" s="6" t="s">
        <v>15</v>
      </c>
      <c r="C66" s="17">
        <v>1.0397562309141399</v>
      </c>
      <c r="D66" s="6" t="s">
        <v>16</v>
      </c>
      <c r="AF66" s="2">
        <v>17</v>
      </c>
      <c r="AG66" s="2">
        <f t="shared" si="43"/>
        <v>715.04058837890625</v>
      </c>
      <c r="AH66" s="2">
        <v>3.4941908346354467E-2</v>
      </c>
      <c r="AI66" s="2">
        <f t="shared" si="44"/>
        <v>715.06271362304688</v>
      </c>
      <c r="AJ66" s="2">
        <v>-0.15984540016506799</v>
      </c>
      <c r="AK66" s="2">
        <f t="shared" si="39"/>
        <v>715.05165100097656</v>
      </c>
      <c r="AL66" s="2">
        <v>-6.2450992516460246E-2</v>
      </c>
      <c r="AM66" s="2">
        <f t="shared" si="40"/>
        <v>-2.1821568566490228E-3</v>
      </c>
      <c r="AN66" s="2">
        <f t="shared" si="41"/>
        <v>9.982503889499254E-3</v>
      </c>
      <c r="AO66" s="2">
        <f t="shared" si="42"/>
        <v>2.2125244140625E-2</v>
      </c>
      <c r="BG66" s="2" t="s">
        <v>175</v>
      </c>
      <c r="BH66" s="2">
        <f>IF(-$AR$8*($AV$3-$AR$25)/(2*$AR$25*SIN(BH61))&gt;500, 1, 2*ACOS(MIN(1, EXP(-$AR$8*($AV$3-$AR$25)/(2*$AR$25*SIN(BH61)))))/PI() )</f>
        <v>0.68129786846546603</v>
      </c>
      <c r="BI66" s="2"/>
      <c r="BJ66" s="2"/>
      <c r="BK66" s="2" t="s">
        <v>175</v>
      </c>
      <c r="BL66" s="2">
        <f>IF(-$AR$8*($AV$3-$AR$26)/(2*$AR$26*SIN(BL61))&gt;500, 1, 2*ACOS(MIN(1, EXP(-$AR$8*($AV$3-$AR$26)/(2*$AR$26*SIN(BL61)))))/PI() )</f>
        <v>0.40139439254705794</v>
      </c>
      <c r="BM66" s="2"/>
      <c r="BO66" s="2">
        <v>28</v>
      </c>
      <c r="BP66" s="2">
        <f t="shared" si="35"/>
        <v>0.32925638542742863</v>
      </c>
      <c r="BQ66" s="2">
        <v>-4.5538486842522374E-8</v>
      </c>
      <c r="BR66" s="2">
        <f t="shared" si="36"/>
        <v>0.32925640625938213</v>
      </c>
      <c r="BS66" s="2">
        <v>2.9321079592081745E-8</v>
      </c>
      <c r="BT66" s="2">
        <f t="shared" si="27"/>
        <v>0.32925639584340538</v>
      </c>
      <c r="BU66" s="2">
        <v>-8.1087031950088928E-9</v>
      </c>
      <c r="BV66" s="2">
        <f t="shared" si="28"/>
        <v>3.6925807375583162E-16</v>
      </c>
      <c r="BW66" s="2">
        <f t="shared" si="29"/>
        <v>-2.3775593176942328E-16</v>
      </c>
      <c r="BX66" s="2">
        <f t="shared" si="30"/>
        <v>2.0831953495559219E-8</v>
      </c>
      <c r="BZ66" s="2">
        <v>28</v>
      </c>
      <c r="CA66" s="2">
        <f t="shared" si="37"/>
        <v>0.29578633161185597</v>
      </c>
      <c r="CB66" s="2">
        <v>-9.6537614083236356E-9</v>
      </c>
      <c r="CC66" s="2">
        <f t="shared" si="38"/>
        <v>0.29578635244380941</v>
      </c>
      <c r="CD66" s="2">
        <v>5.9079128152117466E-8</v>
      </c>
      <c r="CE66" s="2">
        <f t="shared" si="31"/>
        <v>0.29578634202783272</v>
      </c>
      <c r="CF66" s="2">
        <v>2.471268391313064E-8</v>
      </c>
      <c r="CG66" s="2">
        <f t="shared" si="32"/>
        <v>-2.3857035425668091E-16</v>
      </c>
      <c r="CH66" s="2">
        <f t="shared" si="33"/>
        <v>1.4600038198866168E-15</v>
      </c>
      <c r="CI66" s="2">
        <f t="shared" si="34"/>
        <v>2.0831953440048068E-8</v>
      </c>
    </row>
    <row r="67" spans="2:87" x14ac:dyDescent="0.2">
      <c r="B67" s="6" t="s">
        <v>214</v>
      </c>
      <c r="C67" s="41">
        <v>1.7363179204150701E-5</v>
      </c>
      <c r="D67" s="6" t="s">
        <v>210</v>
      </c>
      <c r="AF67" s="2">
        <v>18</v>
      </c>
      <c r="AG67" s="2">
        <f t="shared" si="43"/>
        <v>715.04058837890625</v>
      </c>
      <c r="AH67" s="2">
        <v>3.4941908346354467E-2</v>
      </c>
      <c r="AI67" s="2">
        <f t="shared" si="44"/>
        <v>715.05165100097656</v>
      </c>
      <c r="AJ67" s="2">
        <v>-6.2450992516460246E-2</v>
      </c>
      <c r="AK67" s="2">
        <f t="shared" si="39"/>
        <v>715.04611968994141</v>
      </c>
      <c r="AL67" s="2">
        <v>-1.3754353736658231E-2</v>
      </c>
      <c r="AM67" s="2">
        <f t="shared" si="40"/>
        <v>-4.8060336762964999E-4</v>
      </c>
      <c r="AN67" s="2">
        <f t="shared" si="41"/>
        <v>8.5897304227679021E-4</v>
      </c>
      <c r="AO67" s="2">
        <f t="shared" si="42"/>
        <v>1.10626220703125E-2</v>
      </c>
      <c r="BG67" s="2" t="s">
        <v>180</v>
      </c>
      <c r="BH67" s="2">
        <f>IF(-$AR$8*($AR$25-$AR$10)/(2*$AR$25*SIN(BH61))&gt;500, 1, 2*ACOS(MIN(1, EXP(-$AR$8*($AR$25-$AR$10)/(2*$AR$25*SIN(BH61)))))/PI() )</f>
        <v>0.97354032462016127</v>
      </c>
      <c r="BI67" s="2"/>
      <c r="BJ67" s="2"/>
      <c r="BK67" s="2" t="s">
        <v>180</v>
      </c>
      <c r="BL67" s="2">
        <f>IF(-$AR$8*($AR$26-$AR$10)/(2*$AR$26*SIN(BL61))&gt;500, 1, 2*ACOS(MIN(1, EXP(-$AR$8*($AR$26-$AR$10)/(2*$AR$26*SIN(BL61)))))/PI() )</f>
        <v>0.97411943229409925</v>
      </c>
      <c r="BM67" s="2"/>
      <c r="BO67" s="2">
        <v>29</v>
      </c>
      <c r="BP67" s="2">
        <f t="shared" si="35"/>
        <v>0.32925639584340538</v>
      </c>
      <c r="BQ67" s="2">
        <v>-8.1087031950088928E-9</v>
      </c>
      <c r="BR67" s="2">
        <f t="shared" si="36"/>
        <v>0.32925640625938213</v>
      </c>
      <c r="BS67" s="2">
        <v>2.9321079592081745E-8</v>
      </c>
      <c r="BT67" s="2">
        <f t="shared" si="27"/>
        <v>0.32925640105139375</v>
      </c>
      <c r="BU67" s="2">
        <v>1.0606188233230895E-8</v>
      </c>
      <c r="BV67" s="2">
        <f t="shared" si="28"/>
        <v>-8.6002432413665088E-17</v>
      </c>
      <c r="BW67" s="2">
        <f t="shared" si="29"/>
        <v>3.1098488935516393E-16</v>
      </c>
      <c r="BX67" s="2">
        <f t="shared" si="30"/>
        <v>1.0415976747779609E-8</v>
      </c>
      <c r="BZ67" s="2">
        <v>29</v>
      </c>
      <c r="CA67" s="2">
        <f t="shared" si="37"/>
        <v>0.29578633161185597</v>
      </c>
      <c r="CB67" s="2">
        <v>-9.6537614083236356E-9</v>
      </c>
      <c r="CC67" s="2">
        <f t="shared" si="38"/>
        <v>0.29578634202783272</v>
      </c>
      <c r="CD67" s="2">
        <v>2.471268391313064E-8</v>
      </c>
      <c r="CE67" s="2">
        <f t="shared" si="31"/>
        <v>0.29578633681984434</v>
      </c>
      <c r="CF67" s="2">
        <v>7.529461401589721E-9</v>
      </c>
      <c r="CG67" s="2">
        <f t="shared" si="32"/>
        <v>-7.2687623904129246E-17</v>
      </c>
      <c r="CH67" s="2">
        <f t="shared" si="33"/>
        <v>1.8607319965360437E-16</v>
      </c>
      <c r="CI67" s="2">
        <f t="shared" si="34"/>
        <v>1.0415976747779609E-8</v>
      </c>
    </row>
    <row r="68" spans="2:87" x14ac:dyDescent="0.2">
      <c r="B68" s="6" t="s">
        <v>132</v>
      </c>
      <c r="C68" s="17">
        <v>333.91694458017901</v>
      </c>
      <c r="D68" s="6" t="s">
        <v>10</v>
      </c>
      <c r="AF68" s="2">
        <v>19</v>
      </c>
      <c r="AG68" s="2">
        <f t="shared" si="43"/>
        <v>715.04058837890625</v>
      </c>
      <c r="AH68" s="2">
        <v>3.4941908346354467E-2</v>
      </c>
      <c r="AI68" s="2">
        <f t="shared" si="44"/>
        <v>715.04611968994141</v>
      </c>
      <c r="AJ68" s="2">
        <v>-1.3754353736658231E-2</v>
      </c>
      <c r="AK68" s="2">
        <f t="shared" si="39"/>
        <v>715.04335403442383</v>
      </c>
      <c r="AL68" s="2">
        <v>1.0593824392344686E-2</v>
      </c>
      <c r="AM68" s="2">
        <f t="shared" si="40"/>
        <v>3.7016844095468231E-4</v>
      </c>
      <c r="AN68" s="2">
        <f t="shared" si="41"/>
        <v>-1.4571120811634726E-4</v>
      </c>
      <c r="AO68" s="2">
        <f t="shared" si="42"/>
        <v>5.53131103515625E-3</v>
      </c>
      <c r="BG68" s="2" t="s">
        <v>183</v>
      </c>
      <c r="BH68" s="2">
        <f>IF(BH61=0,1,BH66*BH67)</f>
        <v>0.66327094802889375</v>
      </c>
      <c r="BI68" s="2"/>
      <c r="BJ68" s="2"/>
      <c r="BK68" s="2" t="s">
        <v>183</v>
      </c>
      <c r="BL68" s="2">
        <f>IF(BL61=0,1,BL66*BL67)</f>
        <v>0.39100607779397489</v>
      </c>
      <c r="BM68" s="2"/>
      <c r="BO68" s="2">
        <v>30</v>
      </c>
      <c r="BP68" s="2">
        <f t="shared" si="35"/>
        <v>0.32925639584340538</v>
      </c>
      <c r="BQ68" s="2">
        <v>-8.1087031950088928E-9</v>
      </c>
      <c r="BR68" s="2">
        <f t="shared" si="36"/>
        <v>0.32925640105139375</v>
      </c>
      <c r="BS68" s="2">
        <v>1.0606188233230895E-8</v>
      </c>
      <c r="BT68" s="5">
        <f t="shared" si="27"/>
        <v>0.32925639844739957</v>
      </c>
      <c r="BU68" s="2">
        <v>1.2487426509499855E-9</v>
      </c>
      <c r="BV68" s="2">
        <f t="shared" si="28"/>
        <v>-1.0125683523502023E-17</v>
      </c>
      <c r="BW68" s="2">
        <f t="shared" si="29"/>
        <v>1.3244399610839291E-17</v>
      </c>
      <c r="BX68" s="2">
        <f t="shared" si="30"/>
        <v>5.2079883738898047E-9</v>
      </c>
      <c r="BZ68" s="2">
        <v>30</v>
      </c>
      <c r="CA68" s="2">
        <f t="shared" si="37"/>
        <v>0.29578633161185597</v>
      </c>
      <c r="CB68" s="2">
        <v>-9.6537614083236356E-9</v>
      </c>
      <c r="CC68" s="2">
        <f t="shared" si="38"/>
        <v>0.29578633681984434</v>
      </c>
      <c r="CD68" s="2">
        <v>7.529461401589721E-9</v>
      </c>
      <c r="CE68" s="5">
        <f t="shared" si="31"/>
        <v>0.29578633421585016</v>
      </c>
      <c r="CF68" s="2">
        <v>-1.062150027653086E-9</v>
      </c>
      <c r="CG68" s="2">
        <f t="shared" si="32"/>
        <v>1.0253742946807243E-17</v>
      </c>
      <c r="CH68" s="2">
        <f t="shared" si="33"/>
        <v>-7.9974176359113649E-18</v>
      </c>
      <c r="CI68" s="2">
        <f t="shared" si="34"/>
        <v>5.2079883738898047E-9</v>
      </c>
    </row>
    <row r="69" spans="2:87" x14ac:dyDescent="0.2">
      <c r="B69" s="6" t="s">
        <v>17</v>
      </c>
      <c r="C69" s="1">
        <v>9.80149119240094</v>
      </c>
      <c r="D69" s="6" t="s">
        <v>18</v>
      </c>
      <c r="AF69" s="2">
        <v>20</v>
      </c>
      <c r="AG69" s="2">
        <f t="shared" si="43"/>
        <v>715.04335403442383</v>
      </c>
      <c r="AH69" s="2">
        <v>1.0593824392344686E-2</v>
      </c>
      <c r="AI69" s="2">
        <f t="shared" si="44"/>
        <v>715.04611968994141</v>
      </c>
      <c r="AJ69" s="2">
        <v>-1.3754353736658231E-2</v>
      </c>
      <c r="AK69" s="2">
        <f t="shared" si="39"/>
        <v>715.04473686218262</v>
      </c>
      <c r="AL69" s="2">
        <v>-1.5802528996573528E-3</v>
      </c>
      <c r="AM69" s="2">
        <f t="shared" si="40"/>
        <v>-1.6740921714463484E-5</v>
      </c>
      <c r="AN69" s="2">
        <f t="shared" si="41"/>
        <v>2.1735357375267116E-5</v>
      </c>
      <c r="AO69" s="2">
        <f t="shared" si="42"/>
        <v>2.765655517578125E-3</v>
      </c>
      <c r="BG69" s="2" t="s">
        <v>187</v>
      </c>
      <c r="BH69" s="2">
        <f>IF(BH64&lt;$AZ$49, $AV$50*BH64^6 + $AW$50*BH64^5 + $AX$50*BH64^4 + $AV$51*BH64^3 + $AW$51*BH64^2 + $AX$51*BH64 + $AV$52, IF(BH64&gt;$BA$49, $BB$50*BH64^6 + $BC$50*BH64^5 + $BD$50*BH64^4 + $BB$51*BH64^3 + $BC$51*BH64^2 + $BD$51*BH64 + $BB$52, $AY$50*BH64^6 + $AZ$50*BH64^5 + $BA$50*BH64^4 + $AY$51*BH64^3 + $AZ$51*BH64^2 + $BA$51*BH64 + $AY$52) )</f>
        <v>0.83270253381465997</v>
      </c>
      <c r="BI69" s="2"/>
      <c r="BJ69" s="2"/>
      <c r="BK69" s="2" t="s">
        <v>187</v>
      </c>
      <c r="BL69" s="2">
        <f>IF(BL64&lt;$AZ$49, $AV$50*BL64^6 + $AW$50*BL64^5 + $AX$50*BL64^4 + $AV$51*BL64^3 + $AW$51*BL64^2 + $AX$51*BL64 + $AV$52, IF(BL64&gt;$BA$49, $BB$50*BL64^6 + $BC$50*BL64^5 + $BD$50*BL64^4 + $BB$51*BL64^3 + $BC$51*BL64^2 + $BD$51*BL64 + $BB$52, $AY$50*BL64^6 + $AZ$50*BL64^5 + $BA$50*BL64^4 + $AY$51*BL64^3 + $AZ$51*BL64^2 + $BA$51*BL64 + $AY$52) )</f>
        <v>0.61843178738447835</v>
      </c>
      <c r="BM69" s="2"/>
    </row>
    <row r="70" spans="2:87" x14ac:dyDescent="0.2">
      <c r="AF70" s="2">
        <v>21</v>
      </c>
      <c r="AG70" s="2">
        <f t="shared" si="43"/>
        <v>715.04335403442383</v>
      </c>
      <c r="AH70" s="2">
        <v>1.0593824392344686E-2</v>
      </c>
      <c r="AI70" s="2">
        <f t="shared" si="44"/>
        <v>715.04473686218262</v>
      </c>
      <c r="AJ70" s="2">
        <v>-1.5802528996573528E-3</v>
      </c>
      <c r="AK70" s="2">
        <f t="shared" si="39"/>
        <v>715.04404544830322</v>
      </c>
      <c r="AL70" s="2">
        <v>4.5067886881042796E-3</v>
      </c>
      <c r="AM70" s="2">
        <f t="shared" si="40"/>
        <v>4.7744127935182226E-5</v>
      </c>
      <c r="AN70" s="2">
        <f t="shared" si="41"/>
        <v>-7.1218658925197452E-6</v>
      </c>
      <c r="AO70" s="2">
        <f t="shared" si="42"/>
        <v>1.3828277587890625E-3</v>
      </c>
      <c r="BG70" s="2" t="s">
        <v>188</v>
      </c>
      <c r="BH70" s="2">
        <f>IF(BH64&lt;$AZ$49, $AV$53*BH64^6 + $AW$53*BH64^5 + $AX$53*BH64^4 + $AV$54*BH64^3 + $AW$54*BH64^2 + $AX$54*BH64 + $AV$55, IF(BH64&gt;$BA$49, $BB$53*BH64^6 + $BC$53*BH64^5 + $BD$53*BH64^4 + $BB$54*BH64^3 + $BC$54*BH64^2 + $BD$54*BH64 + $BB$55, $AY$53*BH64^6 + $AZ$53*BH64^5 + $BA$53*BH64^4 + $AY$54*BH64^3 + $AZ$54*BH64^2 + $BA$54*BH64 + $AY$55) )</f>
        <v>5.9116388763702732E-2</v>
      </c>
      <c r="BI70" s="2"/>
      <c r="BJ70" s="2"/>
      <c r="BK70" s="2" t="s">
        <v>188</v>
      </c>
      <c r="BL70" s="2">
        <f>IF(BL64&lt;$AZ$49, $AV$53*BL64^6 + $AW$53*BL64^5 + $AX$53*BL64^4 + $AV$54*BL64^3 + $AW$54*BL64^2 + $AX$54*BL64 + $AV$55, IF(BL64&gt;$BA$49, $BB$53*BL64^6 + $BC$53*BL64^5 + $BD$53*BL64^4 + $BB$54*BL64^3 + $BC$54*BL64^2 + $BD$54*BL64 + $BB$55, $AY$53*BL64^6 + $AZ$53*BL64^5 + $BA$53*BL64^4 + $AY$54*BL64^3 + $AZ$54*BL64^2 + $BA$54*BL64 + $AY$55) )</f>
        <v>7.0953089453353768E-2</v>
      </c>
      <c r="BM70" s="2"/>
      <c r="BO70" s="61" t="s">
        <v>211</v>
      </c>
      <c r="BP70" s="61"/>
      <c r="BQ70" s="61"/>
      <c r="BR70" s="61"/>
      <c r="BS70" s="61"/>
      <c r="BT70" s="61"/>
      <c r="BU70" s="61"/>
      <c r="BV70" s="61"/>
      <c r="BW70" s="61"/>
      <c r="BX70" s="61"/>
      <c r="BZ70" s="61" t="s">
        <v>212</v>
      </c>
      <c r="CA70" s="61"/>
      <c r="CB70" s="61"/>
      <c r="CC70" s="61"/>
      <c r="CD70" s="61"/>
      <c r="CE70" s="61"/>
      <c r="CF70" s="61"/>
      <c r="CG70" s="61"/>
      <c r="CH70" s="61"/>
      <c r="CI70" s="61"/>
    </row>
    <row r="71" spans="2:87" x14ac:dyDescent="0.2">
      <c r="B71" s="54" t="s">
        <v>273</v>
      </c>
      <c r="C71" s="55"/>
      <c r="D71" s="55"/>
      <c r="AF71" s="2">
        <v>22</v>
      </c>
      <c r="AG71" s="2">
        <f t="shared" si="43"/>
        <v>715.04404544830322</v>
      </c>
      <c r="AH71" s="2">
        <v>4.5067886881042796E-3</v>
      </c>
      <c r="AI71" s="2">
        <f t="shared" si="44"/>
        <v>715.04473686218262</v>
      </c>
      <c r="AJ71" s="2">
        <v>-1.5802528996573528E-3</v>
      </c>
      <c r="AK71" s="2">
        <f t="shared" si="39"/>
        <v>715.04439115524292</v>
      </c>
      <c r="AL71" s="2">
        <v>1.4632686302320508E-3</v>
      </c>
      <c r="AM71" s="2">
        <f t="shared" si="40"/>
        <v>6.5946425103876503E-6</v>
      </c>
      <c r="AN71" s="2">
        <f t="shared" si="41"/>
        <v>-2.3123344959018412E-6</v>
      </c>
      <c r="AO71" s="2">
        <f t="shared" si="42"/>
        <v>6.9141387939453125E-4</v>
      </c>
      <c r="BG71" s="2" t="s">
        <v>190</v>
      </c>
      <c r="BH71" s="2">
        <f xml:space="preserve"> BH69*COS(BH61) - BH70*SIN(BH61)</f>
        <v>0.79499877514679329</v>
      </c>
      <c r="BI71" s="2"/>
      <c r="BJ71" s="2"/>
      <c r="BK71" s="2" t="s">
        <v>190</v>
      </c>
      <c r="BL71" s="2">
        <f xml:space="preserve"> BL69*COS(BL61) - BL70*SIN(BL61)</f>
        <v>0.58259885333724204</v>
      </c>
      <c r="BM71" s="2"/>
      <c r="BO71" s="7" t="s">
        <v>44</v>
      </c>
      <c r="BP71" s="7" t="s">
        <v>45</v>
      </c>
      <c r="BQ71" s="7" t="s">
        <v>46</v>
      </c>
      <c r="BR71" s="7" t="s">
        <v>47</v>
      </c>
      <c r="BS71" s="7" t="s">
        <v>48</v>
      </c>
      <c r="BT71" s="7" t="s">
        <v>49</v>
      </c>
      <c r="BU71" s="7" t="s">
        <v>50</v>
      </c>
      <c r="BV71" s="7" t="s">
        <v>51</v>
      </c>
      <c r="BW71" s="7" t="s">
        <v>52</v>
      </c>
      <c r="BX71" s="7" t="s">
        <v>53</v>
      </c>
      <c r="BZ71" s="7" t="s">
        <v>44</v>
      </c>
      <c r="CA71" s="7" t="s">
        <v>45</v>
      </c>
      <c r="CB71" s="7" t="s">
        <v>46</v>
      </c>
      <c r="CC71" s="7" t="s">
        <v>47</v>
      </c>
      <c r="CD71" s="7" t="s">
        <v>48</v>
      </c>
      <c r="CE71" s="7" t="s">
        <v>49</v>
      </c>
      <c r="CF71" s="7" t="s">
        <v>50</v>
      </c>
      <c r="CG71" s="7" t="s">
        <v>51</v>
      </c>
      <c r="CH71" s="7" t="s">
        <v>52</v>
      </c>
      <c r="CI71" s="7" t="s">
        <v>53</v>
      </c>
    </row>
    <row r="72" spans="2:87" x14ac:dyDescent="0.2">
      <c r="B72" s="6" t="s">
        <v>15</v>
      </c>
      <c r="C72" s="17">
        <v>1.00854450666398</v>
      </c>
      <c r="D72" s="6" t="s">
        <v>16</v>
      </c>
      <c r="AF72" s="2">
        <v>23</v>
      </c>
      <c r="AG72" s="2">
        <f t="shared" si="43"/>
        <v>715.04439115524292</v>
      </c>
      <c r="AH72" s="2">
        <v>1.4632686302320508E-3</v>
      </c>
      <c r="AI72" s="2">
        <f t="shared" si="44"/>
        <v>715.04473686218262</v>
      </c>
      <c r="AJ72" s="2">
        <v>-1.5802528996573528E-3</v>
      </c>
      <c r="AK72" s="2">
        <f t="shared" si="39"/>
        <v>715.04456400871277</v>
      </c>
      <c r="AL72" s="2">
        <v>-5.8491949857852887E-5</v>
      </c>
      <c r="AM72" s="2">
        <f t="shared" si="40"/>
        <v>-8.5589435348102195E-8</v>
      </c>
      <c r="AN72" s="2">
        <f t="shared" si="41"/>
        <v>9.243207336948451E-8</v>
      </c>
      <c r="AO72" s="2">
        <f t="shared" si="42"/>
        <v>3.4570693969726562E-4</v>
      </c>
      <c r="BG72" s="2" t="s">
        <v>192</v>
      </c>
      <c r="BH72" s="2">
        <f xml:space="preserve"> BH69*SIN(BH61) + BH70*COS(BH61)</f>
        <v>0.25468648326307908</v>
      </c>
      <c r="BI72" s="2"/>
      <c r="BJ72" s="2"/>
      <c r="BK72" s="2" t="s">
        <v>192</v>
      </c>
      <c r="BL72" s="2">
        <f xml:space="preserve"> BL69*SIN(BL61) + BL70*COS(BL61)</f>
        <v>0.2192505248355566</v>
      </c>
      <c r="BM72" s="2"/>
      <c r="BO72" s="30">
        <v>0</v>
      </c>
      <c r="BP72" s="30"/>
      <c r="BQ72" s="30">
        <f>$BH$58</f>
        <v>-1.8652269381802533E-9</v>
      </c>
      <c r="BR72" s="30"/>
      <c r="BS72" s="30">
        <f>$BH$58</f>
        <v>-1.8652269381802533E-9</v>
      </c>
      <c r="BT72" s="30"/>
      <c r="BU72" s="30">
        <f>$BH$58</f>
        <v>-1.8652269381802533E-9</v>
      </c>
      <c r="BV72" s="30"/>
      <c r="BW72" s="30"/>
      <c r="BX72" s="30"/>
      <c r="BZ72" s="30">
        <v>0</v>
      </c>
      <c r="CA72" s="30"/>
      <c r="CB72" s="30">
        <f>$BL$58</f>
        <v>5.8070698701062629E-9</v>
      </c>
      <c r="CC72" s="30"/>
      <c r="CD72" s="30">
        <f>$BL$58</f>
        <v>5.8070698701062629E-9</v>
      </c>
      <c r="CE72" s="30"/>
      <c r="CF72" s="30">
        <f>$BL$58</f>
        <v>5.8070698701062629E-9</v>
      </c>
      <c r="CG72" s="30"/>
      <c r="CH72" s="30"/>
      <c r="CI72" s="30"/>
    </row>
    <row r="73" spans="2:87" x14ac:dyDescent="0.2">
      <c r="B73" s="6" t="s">
        <v>214</v>
      </c>
      <c r="C73" s="41">
        <v>1.7265641515845801E-5</v>
      </c>
      <c r="D73" s="6" t="s">
        <v>210</v>
      </c>
      <c r="AF73" s="2">
        <v>24</v>
      </c>
      <c r="AG73" s="2">
        <f t="shared" si="43"/>
        <v>715.04439115524292</v>
      </c>
      <c r="AH73" s="2">
        <v>1.4632686302320508E-3</v>
      </c>
      <c r="AI73" s="2">
        <f t="shared" si="44"/>
        <v>715.04456400871277</v>
      </c>
      <c r="AJ73" s="2">
        <v>-5.8491949857852887E-5</v>
      </c>
      <c r="AK73" s="2">
        <f t="shared" si="39"/>
        <v>715.04447758197784</v>
      </c>
      <c r="AL73" s="2">
        <v>7.0238838497971301E-4</v>
      </c>
      <c r="AM73" s="2">
        <f t="shared" si="40"/>
        <v>1.0277828899801671E-6</v>
      </c>
      <c r="AN73" s="2">
        <f t="shared" si="41"/>
        <v>-4.1084066194971646E-8</v>
      </c>
      <c r="AO73" s="2">
        <f t="shared" si="42"/>
        <v>1.7285346984863281E-4</v>
      </c>
      <c r="BG73" s="2" t="s">
        <v>38</v>
      </c>
      <c r="BH73" s="2">
        <f xml:space="preserve"> 4*BH68*SIN(BH61)*SIN(BH61) / (BH65*BH71)</f>
        <v>1.1294045626531721</v>
      </c>
      <c r="BI73" s="2"/>
      <c r="BJ73" s="2"/>
      <c r="BK73" s="2" t="s">
        <v>38</v>
      </c>
      <c r="BL73" s="2">
        <f xml:space="preserve"> 4*BL68*SIN(BL61)*SIN(BL61) / (BL65*BL71)</f>
        <v>1.1127070241106036</v>
      </c>
      <c r="BM73" s="2"/>
      <c r="BO73" s="2">
        <v>1</v>
      </c>
      <c r="BP73" s="3">
        <f>0.01*PI()</f>
        <v>3.1415926535897934E-2</v>
      </c>
      <c r="BQ73" s="2">
        <f t="dataTable" ref="BQ73:BQ102" dt2D="0" dtr="0" r1="BH42" ca="1"/>
        <v>-2.5028725260820388</v>
      </c>
      <c r="BR73" s="3">
        <f>0.9*PI()</f>
        <v>2.8274333882308138</v>
      </c>
      <c r="BS73" s="2">
        <f t="dataTable" ref="BS73:BS102" dt2D="0" dtr="0" r1="BH42" ca="1"/>
        <v>0.49143265158965704</v>
      </c>
      <c r="BT73" s="2">
        <f t="shared" ref="BT73:BT102" si="45">(BP73+BR73)/2</f>
        <v>1.4294246573833558</v>
      </c>
      <c r="BU73" s="2">
        <f t="dataTable" ref="BU73:BU102" dt2D="0" dtr="0" r1="BH42" ca="1"/>
        <v>1.1221119354336306</v>
      </c>
      <c r="BV73" s="2">
        <f t="shared" ref="BV73:BV102" si="46">BQ73*BU73</f>
        <v>-2.8085031343855769</v>
      </c>
      <c r="BW73" s="2">
        <f t="shared" ref="BW73:BW102" si="47">BS73*BU73</f>
        <v>0.55144244381055119</v>
      </c>
      <c r="BX73" s="2">
        <f t="shared" ref="BX73:BX102" si="48">BR73-BP73</f>
        <v>2.7960174616949161</v>
      </c>
      <c r="BZ73" s="2">
        <v>1</v>
      </c>
      <c r="CA73" s="3">
        <f>0.01*PI()</f>
        <v>3.1415926535897934E-2</v>
      </c>
      <c r="CB73" s="2">
        <f t="dataTable" ref="CB73:CB102" dt2D="0" dtr="0" r1="BL42" ca="1"/>
        <v>-2.2417030174194084</v>
      </c>
      <c r="CC73" s="3">
        <f>0.9*PI()</f>
        <v>2.8274333882308138</v>
      </c>
      <c r="CD73" s="2">
        <f t="dataTable" ref="CD73:CD102" dt2D="0" dtr="0" r1="BL42" ca="1"/>
        <v>0.47946281683474612</v>
      </c>
      <c r="CE73" s="2">
        <f t="shared" ref="CE73:CE102" si="49">(CA73+CC73)/2</f>
        <v>1.4294246573833558</v>
      </c>
      <c r="CF73" s="2">
        <f t="dataTable" ref="CF73:CF102" dt2D="0" dtr="0" r1="BL42" ca="1"/>
        <v>1.1261741586579666</v>
      </c>
      <c r="CG73" s="2">
        <f t="shared" ref="CG73:CG102" si="50">CB73*CF73</f>
        <v>-2.5245480096033273</v>
      </c>
      <c r="CH73" s="2">
        <f t="shared" ref="CH73:CH102" si="51">CD73*CF73</f>
        <v>0.53995863435664893</v>
      </c>
      <c r="CI73" s="2">
        <f t="shared" ref="CI73:CI102" si="52">CC73-CA73</f>
        <v>2.7960174616949161</v>
      </c>
    </row>
    <row r="74" spans="2:87" x14ac:dyDescent="0.2">
      <c r="B74" s="6" t="s">
        <v>132</v>
      </c>
      <c r="C74" s="17">
        <v>332.721752148093</v>
      </c>
      <c r="D74" s="6" t="s">
        <v>10</v>
      </c>
      <c r="AF74" s="2">
        <v>25</v>
      </c>
      <c r="AG74" s="2">
        <f t="shared" si="43"/>
        <v>715.04447758197784</v>
      </c>
      <c r="AH74" s="2">
        <v>7.0238838497971301E-4</v>
      </c>
      <c r="AI74" s="2">
        <f t="shared" si="44"/>
        <v>715.04456400871277</v>
      </c>
      <c r="AJ74" s="2">
        <v>-5.8491949857852887E-5</v>
      </c>
      <c r="AK74" s="2">
        <f t="shared" si="39"/>
        <v>715.04452079534531</v>
      </c>
      <c r="AL74" s="2">
        <v>3.2194822870224016E-4</v>
      </c>
      <c r="AM74" s="2">
        <f t="shared" si="40"/>
        <v>2.2613269640524575E-7</v>
      </c>
      <c r="AN74" s="2">
        <f t="shared" si="41"/>
        <v>-1.8831379650075986E-8</v>
      </c>
      <c r="AO74" s="2">
        <f t="shared" si="42"/>
        <v>8.6426734924316406E-5</v>
      </c>
      <c r="BG74" s="2" t="s">
        <v>194</v>
      </c>
      <c r="BH74" s="2">
        <f xml:space="preserve"> 4*BH68*SIN(BH61)*COS(BH61) / (BH65*BH72)</f>
        <v>14.458960719136133</v>
      </c>
      <c r="BI74" s="2"/>
      <c r="BJ74" s="2"/>
      <c r="BK74" s="2" t="s">
        <v>194</v>
      </c>
      <c r="BL74" s="2">
        <f xml:space="preserve"> 4*BL68*SIN(BL61)*COS(BL61) / (BL65*BL72)</f>
        <v>11.790384513150782</v>
      </c>
      <c r="BM74" s="2"/>
      <c r="BO74" s="2">
        <v>2</v>
      </c>
      <c r="BP74" s="2">
        <f t="shared" ref="BP74:BP102" si="53">IF(BV73&gt;0,BT73,BP73)</f>
        <v>3.1415926535897934E-2</v>
      </c>
      <c r="BQ74" s="2">
        <v>-2.5028725260820388</v>
      </c>
      <c r="BR74" s="2">
        <f t="shared" ref="BR74:BR102" si="54">IF(BW73&gt;0,BT73,BR73)</f>
        <v>1.4294246573833558</v>
      </c>
      <c r="BS74" s="2">
        <v>1.1221119354336306</v>
      </c>
      <c r="BT74" s="2">
        <f t="shared" si="45"/>
        <v>0.73042029195962688</v>
      </c>
      <c r="BU74" s="2">
        <v>0.76780151563771515</v>
      </c>
      <c r="BV74" s="2">
        <f t="shared" si="46"/>
        <v>-1.9217093189737862</v>
      </c>
      <c r="BW74" s="2">
        <f t="shared" si="47"/>
        <v>0.86155924474111156</v>
      </c>
      <c r="BX74" s="2">
        <f t="shared" si="48"/>
        <v>1.3980087308474578</v>
      </c>
      <c r="BZ74" s="2">
        <v>2</v>
      </c>
      <c r="CA74" s="2">
        <f t="shared" ref="CA74:CA102" si="55">IF(CG73&gt;0,CE73,CA73)</f>
        <v>3.1415926535897934E-2</v>
      </c>
      <c r="CB74" s="2">
        <v>-2.2417030174194084</v>
      </c>
      <c r="CC74" s="2">
        <f t="shared" ref="CC74:CC102" si="56">IF(CH73&gt;0,CE73,CC73)</f>
        <v>1.4294246573833558</v>
      </c>
      <c r="CD74" s="2">
        <v>1.1261741586579666</v>
      </c>
      <c r="CE74" s="2">
        <f t="shared" si="49"/>
        <v>0.73042029195962688</v>
      </c>
      <c r="CF74" s="2">
        <v>0.76765294479713042</v>
      </c>
      <c r="CG74" s="2">
        <f t="shared" si="50"/>
        <v>-1.7208499226826217</v>
      </c>
      <c r="CH74" s="2">
        <f t="shared" si="51"/>
        <v>0.86451090924821883</v>
      </c>
      <c r="CI74" s="2">
        <f t="shared" si="52"/>
        <v>1.3980087308474578</v>
      </c>
    </row>
    <row r="75" spans="2:87" x14ac:dyDescent="0.2">
      <c r="B75" s="6" t="s">
        <v>17</v>
      </c>
      <c r="C75" s="1">
        <v>9.8005536647414697</v>
      </c>
      <c r="D75" s="6" t="s">
        <v>18</v>
      </c>
      <c r="AF75" s="2">
        <v>26</v>
      </c>
      <c r="AG75" s="2">
        <f t="shared" si="43"/>
        <v>715.04452079534531</v>
      </c>
      <c r="AH75" s="2">
        <v>3.2194822870224016E-4</v>
      </c>
      <c r="AI75" s="2">
        <f t="shared" si="44"/>
        <v>715.04456400871277</v>
      </c>
      <c r="AJ75" s="2">
        <v>-5.8491949857852887E-5</v>
      </c>
      <c r="AK75" s="2">
        <f t="shared" si="39"/>
        <v>715.04454240202904</v>
      </c>
      <c r="AL75" s="2">
        <v>1.3172814260542509E-4</v>
      </c>
      <c r="AM75" s="2">
        <f t="shared" si="40"/>
        <v>4.2409642182052704E-8</v>
      </c>
      <c r="AN75" s="2">
        <f t="shared" si="41"/>
        <v>-7.7050359121446195E-9</v>
      </c>
      <c r="AO75" s="2">
        <f t="shared" si="42"/>
        <v>4.3213367462158203E-5</v>
      </c>
      <c r="BG75" s="2" t="s">
        <v>45</v>
      </c>
      <c r="BH75" s="2">
        <f>1/(BH73-1)</f>
        <v>7.7277027911309641</v>
      </c>
      <c r="BI75" s="2"/>
      <c r="BJ75" s="2"/>
      <c r="BK75" s="2" t="s">
        <v>45</v>
      </c>
      <c r="BL75" s="2">
        <f>1/(BL73-1)</f>
        <v>8.8725614742401735</v>
      </c>
      <c r="BM75" s="2"/>
      <c r="BO75" s="2">
        <v>3</v>
      </c>
      <c r="BP75" s="2">
        <f t="shared" si="53"/>
        <v>3.1415926535897934E-2</v>
      </c>
      <c r="BQ75" s="2">
        <v>-2.5028725260820388</v>
      </c>
      <c r="BR75" s="2">
        <f t="shared" si="54"/>
        <v>0.73042029195962688</v>
      </c>
      <c r="BS75" s="2">
        <v>0.76780151563771515</v>
      </c>
      <c r="BT75" s="2">
        <f t="shared" si="45"/>
        <v>0.38091810924776243</v>
      </c>
      <c r="BU75" s="2">
        <v>0.30364953248935889</v>
      </c>
      <c r="BV75" s="2">
        <f t="shared" si="46"/>
        <v>-0.75999607242527178</v>
      </c>
      <c r="BW75" s="2">
        <f t="shared" si="47"/>
        <v>0.23314257126801338</v>
      </c>
      <c r="BX75" s="2">
        <f t="shared" si="48"/>
        <v>0.6990043654237289</v>
      </c>
      <c r="BZ75" s="2">
        <v>3</v>
      </c>
      <c r="CA75" s="2">
        <f t="shared" si="55"/>
        <v>3.1415926535897934E-2</v>
      </c>
      <c r="CB75" s="2">
        <v>-2.2417030174194084</v>
      </c>
      <c r="CC75" s="2">
        <f t="shared" si="56"/>
        <v>0.73042029195962688</v>
      </c>
      <c r="CD75" s="2">
        <v>0.76765294479713042</v>
      </c>
      <c r="CE75" s="2">
        <f t="shared" si="49"/>
        <v>0.38091810924776243</v>
      </c>
      <c r="CF75" s="2">
        <v>0.34356248524574778</v>
      </c>
      <c r="CG75" s="2">
        <f t="shared" si="50"/>
        <v>-0.77016505984750372</v>
      </c>
      <c r="CH75" s="2">
        <f t="shared" si="51"/>
        <v>0.26373675352071896</v>
      </c>
      <c r="CI75" s="2">
        <f t="shared" si="52"/>
        <v>0.6990043654237289</v>
      </c>
    </row>
    <row r="76" spans="2:87" x14ac:dyDescent="0.2">
      <c r="AF76" s="2">
        <v>27</v>
      </c>
      <c r="AG76" s="2">
        <f t="shared" si="43"/>
        <v>715.04454240202904</v>
      </c>
      <c r="AH76" s="2">
        <v>1.3172814260542509E-4</v>
      </c>
      <c r="AI76" s="2">
        <f t="shared" si="44"/>
        <v>715.04456400871277</v>
      </c>
      <c r="AJ76" s="2">
        <v>-5.8491949857852887E-5</v>
      </c>
      <c r="AK76" s="2">
        <f t="shared" si="39"/>
        <v>715.0445532053709</v>
      </c>
      <c r="AL76" s="2">
        <v>3.6618096601159777E-5</v>
      </c>
      <c r="AM76" s="2">
        <f t="shared" si="40"/>
        <v>4.8236338510168074E-9</v>
      </c>
      <c r="AN76" s="2">
        <f t="shared" si="41"/>
        <v>-2.1418638702850509E-9</v>
      </c>
      <c r="AO76" s="2">
        <f t="shared" si="42"/>
        <v>2.1606683731079102E-5</v>
      </c>
      <c r="BG76" s="2" t="s">
        <v>197</v>
      </c>
      <c r="BH76" s="2">
        <f>1/(BH74+1)</f>
        <v>6.468740157688177E-2</v>
      </c>
      <c r="BI76" s="2"/>
      <c r="BK76" s="2" t="s">
        <v>197</v>
      </c>
      <c r="BL76" s="2">
        <f>1/(BL74+1)</f>
        <v>7.8183732394583039E-2</v>
      </c>
      <c r="BM76" s="2"/>
      <c r="BO76" s="2">
        <v>4</v>
      </c>
      <c r="BP76" s="2">
        <f t="shared" si="53"/>
        <v>3.1415926535897934E-2</v>
      </c>
      <c r="BQ76" s="2">
        <v>-2.5028725260820388</v>
      </c>
      <c r="BR76" s="2">
        <f t="shared" si="54"/>
        <v>0.38091810924776243</v>
      </c>
      <c r="BS76" s="2">
        <v>0.30364953248935889</v>
      </c>
      <c r="BT76" s="2">
        <f t="shared" si="45"/>
        <v>0.20616701789183017</v>
      </c>
      <c r="BU76" s="2">
        <v>-0.22329652786519977</v>
      </c>
      <c r="BV76" s="2">
        <f t="shared" si="46"/>
        <v>0.55888274476332089</v>
      </c>
      <c r="BW76" s="2">
        <f t="shared" si="47"/>
        <v>-6.7803886292765014E-2</v>
      </c>
      <c r="BX76" s="2">
        <f t="shared" si="48"/>
        <v>0.34950218271186451</v>
      </c>
      <c r="BZ76" s="2">
        <v>4</v>
      </c>
      <c r="CA76" s="2">
        <f t="shared" si="55"/>
        <v>3.1415926535897934E-2</v>
      </c>
      <c r="CB76" s="2">
        <v>-2.2417030174194084</v>
      </c>
      <c r="CC76" s="2">
        <f t="shared" si="56"/>
        <v>0.38091810924776243</v>
      </c>
      <c r="CD76" s="2">
        <v>0.34356248524574778</v>
      </c>
      <c r="CE76" s="2">
        <f t="shared" si="49"/>
        <v>0.20616701789183017</v>
      </c>
      <c r="CF76" s="2">
        <v>-0.14744121858523387</v>
      </c>
      <c r="CG76" s="2">
        <f t="shared" si="50"/>
        <v>0.33051942459451333</v>
      </c>
      <c r="CH76" s="2">
        <f t="shared" si="51"/>
        <v>-5.065527148480449E-2</v>
      </c>
      <c r="CI76" s="2">
        <f t="shared" si="52"/>
        <v>0.34950218271186451</v>
      </c>
    </row>
    <row r="77" spans="2:87" x14ac:dyDescent="0.2">
      <c r="B77" s="54" t="s">
        <v>74</v>
      </c>
      <c r="C77" s="54"/>
      <c r="D77" s="54"/>
      <c r="AF77" s="2">
        <v>28</v>
      </c>
      <c r="AG77" s="2">
        <f t="shared" si="43"/>
        <v>715.0445532053709</v>
      </c>
      <c r="AH77" s="2">
        <v>3.6618096601159777E-5</v>
      </c>
      <c r="AI77" s="2">
        <f t="shared" si="44"/>
        <v>715.04456400871277</v>
      </c>
      <c r="AJ77" s="2">
        <v>-5.8491949857852887E-5</v>
      </c>
      <c r="AK77" s="2">
        <f t="shared" si="39"/>
        <v>715.04455860704184</v>
      </c>
      <c r="AL77" s="2">
        <v>-1.0936926628346555E-5</v>
      </c>
      <c r="AM77" s="2">
        <f t="shared" si="40"/>
        <v>-4.0048943579659085E-10</v>
      </c>
      <c r="AN77" s="2">
        <f t="shared" si="41"/>
        <v>6.3972216394426273E-10</v>
      </c>
      <c r="AO77" s="2">
        <f t="shared" si="42"/>
        <v>1.0803341865539551E-5</v>
      </c>
      <c r="BG77" s="7" t="s">
        <v>199</v>
      </c>
      <c r="BH77" s="40">
        <f>SIN(BH61)/(1+BH75) - $AR$3*COS(BH61)/($AV$5*$AR$25*(1-BH76))</f>
        <v>1.848831813339169E-9</v>
      </c>
      <c r="BI77" s="40"/>
      <c r="BK77" s="7" t="s">
        <v>199</v>
      </c>
      <c r="BL77" s="40">
        <f>SIN(BL61)/(1+BL75) - $AR$3*COS(BL61)/($AV$5*$AR$26*(1-BL76))</f>
        <v>-5.9373082665625798E-9</v>
      </c>
      <c r="BM77" s="40"/>
      <c r="BO77" s="2">
        <v>5</v>
      </c>
      <c r="BP77" s="2">
        <f t="shared" si="53"/>
        <v>0.20616701789183017</v>
      </c>
      <c r="BQ77" s="2">
        <v>-0.22329652786519977</v>
      </c>
      <c r="BR77" s="2">
        <f t="shared" si="54"/>
        <v>0.38091810924776243</v>
      </c>
      <c r="BS77" s="2">
        <v>0.30364953248935889</v>
      </c>
      <c r="BT77" s="2">
        <f t="shared" si="45"/>
        <v>0.2935425635697963</v>
      </c>
      <c r="BU77" s="2">
        <v>7.2156973348604644E-2</v>
      </c>
      <c r="BV77" s="2">
        <f t="shared" si="46"/>
        <v>-1.6112401610005173E-2</v>
      </c>
      <c r="BW77" s="2">
        <f t="shared" si="47"/>
        <v>2.1910431223150929E-2</v>
      </c>
      <c r="BX77" s="2">
        <f t="shared" si="48"/>
        <v>0.17475109135593225</v>
      </c>
      <c r="BZ77" s="2">
        <v>5</v>
      </c>
      <c r="CA77" s="2">
        <f t="shared" si="55"/>
        <v>0.20616701789183017</v>
      </c>
      <c r="CB77" s="2">
        <v>-0.14744121858523387</v>
      </c>
      <c r="CC77" s="2">
        <f t="shared" si="56"/>
        <v>0.38091810924776243</v>
      </c>
      <c r="CD77" s="2">
        <v>0.34356248524574778</v>
      </c>
      <c r="CE77" s="2">
        <f t="shared" si="49"/>
        <v>0.2935425635697963</v>
      </c>
      <c r="CF77" s="2">
        <v>0.12527766729152195</v>
      </c>
      <c r="CG77" s="2">
        <f t="shared" si="50"/>
        <v>-1.8471091926977493E-2</v>
      </c>
      <c r="CH77" s="2">
        <f t="shared" si="51"/>
        <v>4.3040706720465213E-2</v>
      </c>
      <c r="CI77" s="2">
        <f t="shared" si="52"/>
        <v>0.17475109135593225</v>
      </c>
    </row>
    <row r="78" spans="2:87" x14ac:dyDescent="0.2">
      <c r="B78" s="6" t="s">
        <v>264</v>
      </c>
      <c r="C78" s="17">
        <v>30</v>
      </c>
      <c r="AF78" s="2">
        <v>29</v>
      </c>
      <c r="AG78" s="2">
        <f t="shared" si="43"/>
        <v>715.0445532053709</v>
      </c>
      <c r="AH78" s="2">
        <v>3.6618096601159777E-5</v>
      </c>
      <c r="AI78" s="2">
        <f t="shared" si="44"/>
        <v>715.04455860704184</v>
      </c>
      <c r="AJ78" s="2">
        <v>-1.0936926628346555E-5</v>
      </c>
      <c r="AK78" s="2">
        <f t="shared" si="39"/>
        <v>715.04455590620637</v>
      </c>
      <c r="AL78" s="2">
        <v>1.2840584986406611E-5</v>
      </c>
      <c r="AM78" s="2">
        <f t="shared" si="40"/>
        <v>4.701977814476392E-10</v>
      </c>
      <c r="AN78" s="2">
        <f t="shared" si="41"/>
        <v>-1.4043653586137745E-10</v>
      </c>
      <c r="AO78" s="2">
        <f t="shared" si="42"/>
        <v>5.4016709327697754E-6</v>
      </c>
      <c r="BO78" s="2">
        <v>6</v>
      </c>
      <c r="BP78" s="2">
        <f t="shared" si="53"/>
        <v>0.20616701789183017</v>
      </c>
      <c r="BQ78" s="2">
        <v>-0.22329652786519977</v>
      </c>
      <c r="BR78" s="2">
        <f t="shared" si="54"/>
        <v>0.2935425635697963</v>
      </c>
      <c r="BS78" s="2">
        <v>7.2156973348604644E-2</v>
      </c>
      <c r="BT78" s="2">
        <f t="shared" si="45"/>
        <v>0.24985479073081324</v>
      </c>
      <c r="BU78" s="2">
        <v>-6.4571556720445872E-2</v>
      </c>
      <c r="BV78" s="2">
        <f t="shared" si="46"/>
        <v>1.441860441452637E-2</v>
      </c>
      <c r="BW78" s="2">
        <f t="shared" si="47"/>
        <v>-4.6592880973551258E-3</v>
      </c>
      <c r="BX78" s="2">
        <f t="shared" si="48"/>
        <v>8.7375545677966127E-2</v>
      </c>
      <c r="BZ78" s="2">
        <v>6</v>
      </c>
      <c r="CA78" s="2">
        <f t="shared" si="55"/>
        <v>0.20616701789183017</v>
      </c>
      <c r="CB78" s="2">
        <v>-0.14744121858523387</v>
      </c>
      <c r="CC78" s="2">
        <f t="shared" si="56"/>
        <v>0.2935425635697963</v>
      </c>
      <c r="CD78" s="2">
        <v>0.12527766729152195</v>
      </c>
      <c r="CE78" s="2">
        <f t="shared" si="49"/>
        <v>0.24985479073081324</v>
      </c>
      <c r="CF78" s="2">
        <v>-1.8105123700601321E-3</v>
      </c>
      <c r="CG78" s="2">
        <f t="shared" si="50"/>
        <v>2.6694415010530576E-4</v>
      </c>
      <c r="CH78" s="2">
        <f t="shared" si="51"/>
        <v>-2.268167663235781E-4</v>
      </c>
      <c r="CI78" s="2">
        <f t="shared" si="52"/>
        <v>8.7375545677966127E-2</v>
      </c>
    </row>
    <row r="79" spans="2:87" x14ac:dyDescent="0.2">
      <c r="B79" s="6" t="s">
        <v>266</v>
      </c>
      <c r="C79" s="17">
        <v>0.8</v>
      </c>
      <c r="AF79" s="2">
        <v>30</v>
      </c>
      <c r="AG79" s="2">
        <f t="shared" si="43"/>
        <v>715.04455590620637</v>
      </c>
      <c r="AH79" s="2">
        <v>1.2840584986406611E-5</v>
      </c>
      <c r="AI79" s="2">
        <f t="shared" si="44"/>
        <v>715.04455860704184</v>
      </c>
      <c r="AJ79" s="2">
        <v>-1.0936926628346555E-5</v>
      </c>
      <c r="AK79" s="5">
        <f t="shared" si="39"/>
        <v>715.0445572566241</v>
      </c>
      <c r="AL79" s="2">
        <v>9.5182713266694918E-7</v>
      </c>
      <c r="AM79" s="2">
        <f t="shared" si="40"/>
        <v>1.2222017189377681E-11</v>
      </c>
      <c r="AN79" s="2">
        <f t="shared" si="41"/>
        <v>-1.0410063512847906E-11</v>
      </c>
      <c r="AO79" s="2">
        <f t="shared" si="42"/>
        <v>2.7008354663848877E-6</v>
      </c>
      <c r="BO79" s="2">
        <v>7</v>
      </c>
      <c r="BP79" s="2">
        <f t="shared" si="53"/>
        <v>0.24985479073081324</v>
      </c>
      <c r="BQ79" s="2">
        <v>-6.4571556720445872E-2</v>
      </c>
      <c r="BR79" s="2">
        <f t="shared" si="54"/>
        <v>0.2935425635697963</v>
      </c>
      <c r="BS79" s="2">
        <v>7.2156973348604644E-2</v>
      </c>
      <c r="BT79" s="2">
        <f t="shared" si="45"/>
        <v>0.27169867715030477</v>
      </c>
      <c r="BU79" s="2">
        <v>6.0112171131978115E-3</v>
      </c>
      <c r="BV79" s="2">
        <f t="shared" si="46"/>
        <v>-3.8815364678376735E-4</v>
      </c>
      <c r="BW79" s="2">
        <f t="shared" si="47"/>
        <v>4.3375123302969061E-4</v>
      </c>
      <c r="BX79" s="2">
        <f t="shared" si="48"/>
        <v>4.3687772838983063E-2</v>
      </c>
      <c r="BZ79" s="2">
        <v>7</v>
      </c>
      <c r="CA79" s="2">
        <f t="shared" si="55"/>
        <v>0.24985479073081324</v>
      </c>
      <c r="CB79" s="2">
        <v>-1.8105123700601321E-3</v>
      </c>
      <c r="CC79" s="2">
        <f t="shared" si="56"/>
        <v>0.2935425635697963</v>
      </c>
      <c r="CD79" s="2">
        <v>0.12527766729152195</v>
      </c>
      <c r="CE79" s="2">
        <f t="shared" si="49"/>
        <v>0.27169867715030477</v>
      </c>
      <c r="CF79" s="2">
        <v>6.361241591047273E-2</v>
      </c>
      <c r="CG79" s="2">
        <f t="shared" si="50"/>
        <v>-1.1517106589532084E-4</v>
      </c>
      <c r="CH79" s="2">
        <f t="shared" si="51"/>
        <v>7.9692150760421205E-3</v>
      </c>
      <c r="CI79" s="2">
        <f t="shared" si="52"/>
        <v>4.3687772838983063E-2</v>
      </c>
    </row>
    <row r="80" spans="2:87" x14ac:dyDescent="0.2">
      <c r="B80" s="6" t="s">
        <v>267</v>
      </c>
      <c r="C80" s="17">
        <v>0.8</v>
      </c>
      <c r="BO80" s="2">
        <v>8</v>
      </c>
      <c r="BP80" s="2">
        <f t="shared" si="53"/>
        <v>0.24985479073081324</v>
      </c>
      <c r="BQ80" s="2">
        <v>-6.4571556720445872E-2</v>
      </c>
      <c r="BR80" s="2">
        <f t="shared" si="54"/>
        <v>0.27169867715030477</v>
      </c>
      <c r="BS80" s="2">
        <v>6.0112171131978115E-3</v>
      </c>
      <c r="BT80" s="2">
        <f t="shared" si="45"/>
        <v>0.260776733940559</v>
      </c>
      <c r="BU80" s="2">
        <v>-2.8673610366892529E-2</v>
      </c>
      <c r="BV80" s="2">
        <f t="shared" si="46"/>
        <v>1.8514996581857656E-3</v>
      </c>
      <c r="BW80" s="2">
        <f t="shared" si="47"/>
        <v>-1.7236329733463055E-4</v>
      </c>
      <c r="BX80" s="2">
        <f t="shared" si="48"/>
        <v>2.1843886419491532E-2</v>
      </c>
      <c r="BZ80" s="2">
        <v>8</v>
      </c>
      <c r="CA80" s="2">
        <f t="shared" si="55"/>
        <v>0.24985479073081324</v>
      </c>
      <c r="CB80" s="2">
        <v>-1.8105123700601321E-3</v>
      </c>
      <c r="CC80" s="2">
        <f t="shared" si="56"/>
        <v>0.27169867715030477</v>
      </c>
      <c r="CD80" s="2">
        <v>6.361241591047273E-2</v>
      </c>
      <c r="CE80" s="2">
        <f t="shared" si="49"/>
        <v>0.260776733940559</v>
      </c>
      <c r="CF80" s="2">
        <v>3.1413262495345526E-2</v>
      </c>
      <c r="CG80" s="2">
        <f t="shared" si="50"/>
        <v>-5.6874100331769088E-5</v>
      </c>
      <c r="CH80" s="2">
        <f t="shared" si="51"/>
        <v>1.998273518958774E-3</v>
      </c>
      <c r="CI80" s="2">
        <f t="shared" si="52"/>
        <v>2.1843886419491532E-2</v>
      </c>
    </row>
    <row r="81" spans="2:87" x14ac:dyDescent="0.2">
      <c r="B81" s="6" t="s">
        <v>268</v>
      </c>
      <c r="C81" s="17">
        <v>0.8</v>
      </c>
      <c r="BO81" s="2">
        <v>9</v>
      </c>
      <c r="BP81" s="2">
        <f t="shared" si="53"/>
        <v>0.260776733940559</v>
      </c>
      <c r="BQ81" s="2">
        <v>-2.8673610366892529E-2</v>
      </c>
      <c r="BR81" s="2">
        <f t="shared" si="54"/>
        <v>0.27169867715030477</v>
      </c>
      <c r="BS81" s="2">
        <v>6.0112171131978115E-3</v>
      </c>
      <c r="BT81" s="2">
        <f t="shared" si="45"/>
        <v>0.26623770554543191</v>
      </c>
      <c r="BU81" s="2">
        <v>-1.1186742201570704E-2</v>
      </c>
      <c r="BV81" s="2">
        <f t="shared" si="46"/>
        <v>3.2076428716271187E-4</v>
      </c>
      <c r="BW81" s="2">
        <f t="shared" si="47"/>
        <v>-6.7245936163013982E-5</v>
      </c>
      <c r="BX81" s="2">
        <f t="shared" si="48"/>
        <v>1.0921943209745766E-2</v>
      </c>
      <c r="BZ81" s="2">
        <v>9</v>
      </c>
      <c r="CA81" s="2">
        <f t="shared" si="55"/>
        <v>0.24985479073081324</v>
      </c>
      <c r="CB81" s="2">
        <v>-1.8105123700601321E-3</v>
      </c>
      <c r="CC81" s="2">
        <f t="shared" si="56"/>
        <v>0.260776733940559</v>
      </c>
      <c r="CD81" s="2">
        <v>3.1413262495345526E-2</v>
      </c>
      <c r="CE81" s="2">
        <f t="shared" si="49"/>
        <v>0.25531576233568609</v>
      </c>
      <c r="CF81" s="2">
        <v>1.4935628001498367E-2</v>
      </c>
      <c r="CG81" s="2">
        <f t="shared" si="50"/>
        <v>-2.7041139251329283E-5</v>
      </c>
      <c r="CH81" s="2">
        <f t="shared" si="51"/>
        <v>4.6917680294390111E-4</v>
      </c>
      <c r="CI81" s="2">
        <f t="shared" si="52"/>
        <v>1.0921943209745766E-2</v>
      </c>
    </row>
    <row r="82" spans="2:87" x14ac:dyDescent="0.2">
      <c r="B82" s="6" t="s">
        <v>258</v>
      </c>
      <c r="C82" s="17">
        <v>5</v>
      </c>
      <c r="D82" s="6" t="s">
        <v>43</v>
      </c>
      <c r="BO82" s="2">
        <v>10</v>
      </c>
      <c r="BP82" s="2">
        <f t="shared" si="53"/>
        <v>0.26623770554543191</v>
      </c>
      <c r="BQ82" s="2">
        <v>-1.1186742201570704E-2</v>
      </c>
      <c r="BR82" s="2">
        <f t="shared" si="54"/>
        <v>0.27169867715030477</v>
      </c>
      <c r="BS82" s="2">
        <v>6.0112171131978115E-3</v>
      </c>
      <c r="BT82" s="2">
        <f t="shared" si="45"/>
        <v>0.26896819134786831</v>
      </c>
      <c r="BU82" s="2">
        <v>-2.5524805652197211E-3</v>
      </c>
      <c r="BV82" s="2">
        <f t="shared" si="46"/>
        <v>2.8553942057632497E-5</v>
      </c>
      <c r="BW82" s="2">
        <f t="shared" si="47"/>
        <v>-1.534351485475361E-5</v>
      </c>
      <c r="BX82" s="2">
        <f t="shared" si="48"/>
        <v>5.4609716048728552E-3</v>
      </c>
      <c r="BZ82" s="2">
        <v>10</v>
      </c>
      <c r="CA82" s="2">
        <f t="shared" si="55"/>
        <v>0.24985479073081324</v>
      </c>
      <c r="CB82" s="2">
        <v>-1.8105123700601321E-3</v>
      </c>
      <c r="CC82" s="2">
        <f t="shared" si="56"/>
        <v>0.25531576233568609</v>
      </c>
      <c r="CD82" s="2">
        <v>1.4935628001498367E-2</v>
      </c>
      <c r="CE82" s="2">
        <f t="shared" si="49"/>
        <v>0.25258527653324969</v>
      </c>
      <c r="CF82" s="2">
        <v>6.5969555462161468E-3</v>
      </c>
      <c r="CG82" s="2">
        <f t="shared" si="50"/>
        <v>-1.1943869621161128E-5</v>
      </c>
      <c r="CH82" s="2">
        <f t="shared" si="51"/>
        <v>9.8529673980705831E-5</v>
      </c>
      <c r="CI82" s="2">
        <f t="shared" si="52"/>
        <v>5.4609716048728552E-3</v>
      </c>
    </row>
    <row r="83" spans="2:87" x14ac:dyDescent="0.2">
      <c r="BO83" s="2">
        <v>11</v>
      </c>
      <c r="BP83" s="2">
        <f t="shared" si="53"/>
        <v>0.26896819134786831</v>
      </c>
      <c r="BQ83" s="2">
        <v>-2.5524805652197211E-3</v>
      </c>
      <c r="BR83" s="2">
        <f t="shared" si="54"/>
        <v>0.27169867715030477</v>
      </c>
      <c r="BS83" s="2">
        <v>6.0112171131978115E-3</v>
      </c>
      <c r="BT83" s="2">
        <f t="shared" si="45"/>
        <v>0.27033343424908651</v>
      </c>
      <c r="BU83" s="2">
        <v>1.7380886457937714E-3</v>
      </c>
      <c r="BV83" s="2">
        <f t="shared" si="46"/>
        <v>-4.4364374890176652E-6</v>
      </c>
      <c r="BW83" s="2">
        <f t="shared" si="47"/>
        <v>1.0448028211850328E-5</v>
      </c>
      <c r="BX83" s="2">
        <f t="shared" si="48"/>
        <v>2.7304858024364553E-3</v>
      </c>
      <c r="BZ83" s="2">
        <v>11</v>
      </c>
      <c r="CA83" s="2">
        <f t="shared" si="55"/>
        <v>0.24985479073081324</v>
      </c>
      <c r="CB83" s="2">
        <v>-1.8105123700601321E-3</v>
      </c>
      <c r="CC83" s="2">
        <f t="shared" si="56"/>
        <v>0.25258527653324969</v>
      </c>
      <c r="CD83" s="2">
        <v>6.5969555462161468E-3</v>
      </c>
      <c r="CE83" s="2">
        <f t="shared" si="49"/>
        <v>0.25122003363203149</v>
      </c>
      <c r="CF83" s="2">
        <v>2.4019295915452855E-3</v>
      </c>
      <c r="CG83" s="2">
        <f t="shared" si="50"/>
        <v>-4.3487232375062198E-6</v>
      </c>
      <c r="CH83" s="2">
        <f t="shared" si="51"/>
        <v>1.5845422740565357E-5</v>
      </c>
      <c r="CI83" s="2">
        <f t="shared" si="52"/>
        <v>2.7304858024364553E-3</v>
      </c>
    </row>
    <row r="84" spans="2:87" x14ac:dyDescent="0.2">
      <c r="BO84" s="2">
        <v>12</v>
      </c>
      <c r="BP84" s="2">
        <f t="shared" si="53"/>
        <v>0.26896819134786831</v>
      </c>
      <c r="BQ84" s="2">
        <v>-2.5524805652197211E-3</v>
      </c>
      <c r="BR84" s="2">
        <f t="shared" si="54"/>
        <v>0.27033343424908651</v>
      </c>
      <c r="BS84" s="2">
        <v>1.7380886457937714E-3</v>
      </c>
      <c r="BT84" s="2">
        <f t="shared" si="45"/>
        <v>0.26965081279847741</v>
      </c>
      <c r="BU84" s="2">
        <v>-4.0500351647993621E-4</v>
      </c>
      <c r="BV84" s="2">
        <f t="shared" si="46"/>
        <v>1.0337636046606822E-6</v>
      </c>
      <c r="BW84" s="2">
        <f t="shared" si="47"/>
        <v>-7.0393201350032767E-7</v>
      </c>
      <c r="BX84" s="2">
        <f t="shared" si="48"/>
        <v>1.3652429012181999E-3</v>
      </c>
      <c r="BZ84" s="2">
        <v>12</v>
      </c>
      <c r="CA84" s="2">
        <f t="shared" si="55"/>
        <v>0.24985479073081324</v>
      </c>
      <c r="CB84" s="2">
        <v>-1.8105123700601321E-3</v>
      </c>
      <c r="CC84" s="2">
        <f t="shared" si="56"/>
        <v>0.25122003363203149</v>
      </c>
      <c r="CD84" s="2">
        <v>2.4019295915452855E-3</v>
      </c>
      <c r="CE84" s="2">
        <f t="shared" si="49"/>
        <v>0.25053741218142234</v>
      </c>
      <c r="CF84" s="2">
        <v>2.9789946092928163E-4</v>
      </c>
      <c r="CG84" s="2">
        <f t="shared" si="50"/>
        <v>-5.3935065904670934E-7</v>
      </c>
      <c r="CH84" s="2">
        <f t="shared" si="51"/>
        <v>7.1553353051143018E-7</v>
      </c>
      <c r="CI84" s="2">
        <f t="shared" si="52"/>
        <v>1.3652429012182554E-3</v>
      </c>
    </row>
    <row r="85" spans="2:87" x14ac:dyDescent="0.2">
      <c r="BO85" s="2">
        <v>13</v>
      </c>
      <c r="BP85" s="2">
        <f t="shared" si="53"/>
        <v>0.26965081279847741</v>
      </c>
      <c r="BQ85" s="2">
        <v>-4.0500351647993621E-4</v>
      </c>
      <c r="BR85" s="2">
        <f t="shared" si="54"/>
        <v>0.27033343424908651</v>
      </c>
      <c r="BS85" s="2">
        <v>1.7380886457937714E-3</v>
      </c>
      <c r="BT85" s="2">
        <f t="shared" si="45"/>
        <v>0.26999212352378199</v>
      </c>
      <c r="BU85" s="2">
        <v>6.6708912151361432E-4</v>
      </c>
      <c r="BV85" s="2">
        <f t="shared" si="46"/>
        <v>-2.7017344001852527E-7</v>
      </c>
      <c r="BW85" s="2">
        <f t="shared" si="47"/>
        <v>1.1594600278353545E-6</v>
      </c>
      <c r="BX85" s="2">
        <f t="shared" si="48"/>
        <v>6.8262145060909996E-4</v>
      </c>
      <c r="BZ85" s="2">
        <v>13</v>
      </c>
      <c r="CA85" s="2">
        <f t="shared" si="55"/>
        <v>0.24985479073081324</v>
      </c>
      <c r="CB85" s="2">
        <v>-1.8105123700601321E-3</v>
      </c>
      <c r="CC85" s="2">
        <f t="shared" si="56"/>
        <v>0.25053741218142234</v>
      </c>
      <c r="CD85" s="2">
        <v>2.9789946092928163E-4</v>
      </c>
      <c r="CE85" s="2">
        <f t="shared" si="49"/>
        <v>0.25019610145611781</v>
      </c>
      <c r="CF85" s="2">
        <v>-7.5575699309671923E-4</v>
      </c>
      <c r="CG85" s="2">
        <f t="shared" si="50"/>
        <v>1.3683073847610599E-6</v>
      </c>
      <c r="CH85" s="2">
        <f t="shared" si="51"/>
        <v>-2.2513960083704748E-7</v>
      </c>
      <c r="CI85" s="2">
        <f t="shared" si="52"/>
        <v>6.8262145060909996E-4</v>
      </c>
    </row>
    <row r="86" spans="2:87" x14ac:dyDescent="0.2">
      <c r="BO86" s="2">
        <v>14</v>
      </c>
      <c r="BP86" s="2">
        <f t="shared" si="53"/>
        <v>0.26965081279847741</v>
      </c>
      <c r="BQ86" s="2">
        <v>-4.0500351647993621E-4</v>
      </c>
      <c r="BR86" s="2">
        <f t="shared" si="54"/>
        <v>0.26999212352378199</v>
      </c>
      <c r="BS86" s="2">
        <v>6.6708912151361432E-4</v>
      </c>
      <c r="BT86" s="2">
        <f t="shared" si="45"/>
        <v>0.26982146816112973</v>
      </c>
      <c r="BU86" s="2">
        <v>1.311796353349326E-4</v>
      </c>
      <c r="BV86" s="2">
        <f t="shared" si="46"/>
        <v>-5.3128213601203395E-8</v>
      </c>
      <c r="BW86" s="2">
        <f t="shared" si="47"/>
        <v>8.7508507696056463E-8</v>
      </c>
      <c r="BX86" s="2">
        <f t="shared" si="48"/>
        <v>3.4131072530457773E-4</v>
      </c>
      <c r="BZ86" s="2">
        <v>14</v>
      </c>
      <c r="CA86" s="2">
        <f t="shared" si="55"/>
        <v>0.25019610145611781</v>
      </c>
      <c r="CB86" s="2">
        <v>-7.5575699309671923E-4</v>
      </c>
      <c r="CC86" s="2">
        <f t="shared" si="56"/>
        <v>0.25053741218142234</v>
      </c>
      <c r="CD86" s="2">
        <v>2.9789946092928163E-4</v>
      </c>
      <c r="CE86" s="2">
        <f t="shared" si="49"/>
        <v>0.25036675681877008</v>
      </c>
      <c r="CF86" s="2">
        <v>-2.2879162013205931E-4</v>
      </c>
      <c r="CG86" s="2">
        <f t="shared" si="50"/>
        <v>1.7291086687673196E-7</v>
      </c>
      <c r="CH86" s="2">
        <f t="shared" si="51"/>
        <v>-6.8156900302477451E-8</v>
      </c>
      <c r="CI86" s="2">
        <f t="shared" si="52"/>
        <v>3.4131072530452222E-4</v>
      </c>
    </row>
    <row r="87" spans="2:87" x14ac:dyDescent="0.2">
      <c r="BO87" s="2">
        <v>15</v>
      </c>
      <c r="BP87" s="2">
        <f t="shared" si="53"/>
        <v>0.26965081279847741</v>
      </c>
      <c r="BQ87" s="2">
        <v>-4.0500351647993621E-4</v>
      </c>
      <c r="BR87" s="2">
        <f t="shared" si="54"/>
        <v>0.26982146816112973</v>
      </c>
      <c r="BS87" s="2">
        <v>1.311796353349326E-4</v>
      </c>
      <c r="BT87" s="2">
        <f t="shared" si="45"/>
        <v>0.26973614047980354</v>
      </c>
      <c r="BU87" s="2">
        <v>-1.368777081116393E-4</v>
      </c>
      <c r="BV87" s="2">
        <f t="shared" si="46"/>
        <v>5.5435953112928202E-8</v>
      </c>
      <c r="BW87" s="2">
        <f t="shared" si="47"/>
        <v>-1.7955567835566189E-8</v>
      </c>
      <c r="BX87" s="2">
        <f t="shared" si="48"/>
        <v>1.7065536265231662E-4</v>
      </c>
      <c r="BZ87" s="2">
        <v>15</v>
      </c>
      <c r="CA87" s="2">
        <f t="shared" si="55"/>
        <v>0.25036675681877008</v>
      </c>
      <c r="CB87" s="2">
        <v>-2.2879162013205931E-4</v>
      </c>
      <c r="CC87" s="2">
        <f t="shared" si="56"/>
        <v>0.25053741218142234</v>
      </c>
      <c r="CD87" s="2">
        <v>2.9789946092928163E-4</v>
      </c>
      <c r="CE87" s="2">
        <f t="shared" si="49"/>
        <v>0.25045208450009621</v>
      </c>
      <c r="CF87" s="2">
        <v>3.4588179529747298E-5</v>
      </c>
      <c r="CG87" s="2">
        <f t="shared" si="50"/>
        <v>-7.9134856320294131E-9</v>
      </c>
      <c r="CH87" s="2">
        <f t="shared" si="51"/>
        <v>1.0303800036436934E-8</v>
      </c>
      <c r="CI87" s="2">
        <f t="shared" si="52"/>
        <v>1.7065536265226111E-4</v>
      </c>
    </row>
    <row r="88" spans="2:87" x14ac:dyDescent="0.2">
      <c r="BO88" s="2">
        <v>16</v>
      </c>
      <c r="BP88" s="2">
        <f t="shared" si="53"/>
        <v>0.26973614047980354</v>
      </c>
      <c r="BQ88" s="2">
        <v>-1.368777081116393E-4</v>
      </c>
      <c r="BR88" s="2">
        <f t="shared" si="54"/>
        <v>0.26982146816112973</v>
      </c>
      <c r="BS88" s="2">
        <v>1.311796353349326E-4</v>
      </c>
      <c r="BT88" s="2">
        <f t="shared" si="45"/>
        <v>0.26977880432046664</v>
      </c>
      <c r="BU88" s="2">
        <v>-2.8404813075810775E-6</v>
      </c>
      <c r="BV88" s="2">
        <f t="shared" si="46"/>
        <v>3.8879857131565023E-10</v>
      </c>
      <c r="BW88" s="2">
        <f t="shared" si="47"/>
        <v>-3.7261330210417825E-10</v>
      </c>
      <c r="BX88" s="2">
        <f t="shared" si="48"/>
        <v>8.5327681326186067E-5</v>
      </c>
      <c r="BZ88" s="2">
        <v>16</v>
      </c>
      <c r="CA88" s="2">
        <f t="shared" si="55"/>
        <v>0.25036675681877008</v>
      </c>
      <c r="CB88" s="2">
        <v>-2.2879162013205931E-4</v>
      </c>
      <c r="CC88" s="2">
        <f t="shared" si="56"/>
        <v>0.25045208450009621</v>
      </c>
      <c r="CD88" s="2">
        <v>3.4588179529747298E-5</v>
      </c>
      <c r="CE88" s="2">
        <f t="shared" si="49"/>
        <v>0.25040942065943317</v>
      </c>
      <c r="CF88" s="2">
        <v>-9.7093152101823677E-5</v>
      </c>
      <c r="CG88" s="2">
        <f t="shared" si="50"/>
        <v>2.2214099573104697E-8</v>
      </c>
      <c r="CH88" s="2">
        <f t="shared" si="51"/>
        <v>-3.3582753760069384E-9</v>
      </c>
      <c r="CI88" s="2">
        <f t="shared" si="52"/>
        <v>8.5327681326130556E-5</v>
      </c>
    </row>
    <row r="89" spans="2:87" x14ac:dyDescent="0.2">
      <c r="BO89" s="2">
        <v>17</v>
      </c>
      <c r="BP89" s="2">
        <f t="shared" si="53"/>
        <v>0.26977880432046664</v>
      </c>
      <c r="BQ89" s="2">
        <v>-2.8404813075810775E-6</v>
      </c>
      <c r="BR89" s="2">
        <f t="shared" si="54"/>
        <v>0.26982146816112973</v>
      </c>
      <c r="BS89" s="2">
        <v>1.311796353349326E-4</v>
      </c>
      <c r="BT89" s="2">
        <f t="shared" si="45"/>
        <v>0.26980013624079818</v>
      </c>
      <c r="BU89" s="2">
        <v>6.4171715404709451E-5</v>
      </c>
      <c r="BV89" s="2">
        <f t="shared" si="46"/>
        <v>-1.8227855808248989E-10</v>
      </c>
      <c r="BW89" s="2">
        <f t="shared" si="47"/>
        <v>8.4180222256068616E-9</v>
      </c>
      <c r="BX89" s="2">
        <f t="shared" si="48"/>
        <v>4.2663840663093033E-5</v>
      </c>
      <c r="BZ89" s="2">
        <v>17</v>
      </c>
      <c r="CA89" s="2">
        <f t="shared" si="55"/>
        <v>0.25040942065943317</v>
      </c>
      <c r="CB89" s="2">
        <v>-9.7093152101823677E-5</v>
      </c>
      <c r="CC89" s="2">
        <f t="shared" si="56"/>
        <v>0.25045208450009621</v>
      </c>
      <c r="CD89" s="2">
        <v>3.4588179529747298E-5</v>
      </c>
      <c r="CE89" s="2">
        <f t="shared" si="49"/>
        <v>0.25043075257976466</v>
      </c>
      <c r="CF89" s="2">
        <v>-3.1250344663540791E-5</v>
      </c>
      <c r="CG89" s="2">
        <f t="shared" si="50"/>
        <v>3.0341944676515798E-9</v>
      </c>
      <c r="CH89" s="2">
        <f t="shared" si="51"/>
        <v>-1.0808925315890293E-9</v>
      </c>
      <c r="CI89" s="2">
        <f t="shared" si="52"/>
        <v>4.2663840663037522E-5</v>
      </c>
    </row>
    <row r="90" spans="2:87" x14ac:dyDescent="0.2">
      <c r="BO90" s="2">
        <v>18</v>
      </c>
      <c r="BP90" s="2">
        <f t="shared" si="53"/>
        <v>0.26977880432046664</v>
      </c>
      <c r="BQ90" s="2">
        <v>-2.8404813075810775E-6</v>
      </c>
      <c r="BR90" s="2">
        <f t="shared" si="54"/>
        <v>0.26980013624079818</v>
      </c>
      <c r="BS90" s="2">
        <v>6.4171715404709451E-5</v>
      </c>
      <c r="BT90" s="2">
        <f t="shared" si="45"/>
        <v>0.26978947028063238</v>
      </c>
      <c r="BU90" s="2">
        <v>3.0666151693690968E-5</v>
      </c>
      <c r="BV90" s="2">
        <f t="shared" si="46"/>
        <v>-8.7106630661375002E-11</v>
      </c>
      <c r="BW90" s="2">
        <f t="shared" si="47"/>
        <v>1.9678995590451857E-9</v>
      </c>
      <c r="BX90" s="2">
        <f t="shared" si="48"/>
        <v>2.1331920331546517E-5</v>
      </c>
      <c r="BZ90" s="2">
        <v>18</v>
      </c>
      <c r="CA90" s="2">
        <f t="shared" si="55"/>
        <v>0.25043075257976466</v>
      </c>
      <c r="CB90" s="2">
        <v>-3.1250344663540791E-5</v>
      </c>
      <c r="CC90" s="2">
        <f t="shared" si="56"/>
        <v>0.25045208450009621</v>
      </c>
      <c r="CD90" s="2">
        <v>3.4588179529747298E-5</v>
      </c>
      <c r="CE90" s="2">
        <f t="shared" si="49"/>
        <v>0.2504414185399304</v>
      </c>
      <c r="CF90" s="2">
        <v>1.6694527853224062E-6</v>
      </c>
      <c r="CG90" s="2">
        <f t="shared" si="50"/>
        <v>-5.2170974940833367E-11</v>
      </c>
      <c r="CH90" s="2">
        <f t="shared" si="51"/>
        <v>5.7743332655168058E-11</v>
      </c>
      <c r="CI90" s="2">
        <f t="shared" si="52"/>
        <v>2.1331920331546517E-5</v>
      </c>
    </row>
    <row r="91" spans="2:87" x14ac:dyDescent="0.2">
      <c r="BO91" s="2">
        <v>19</v>
      </c>
      <c r="BP91" s="2">
        <f t="shared" si="53"/>
        <v>0.26977880432046664</v>
      </c>
      <c r="BQ91" s="2">
        <v>-2.8404813075810775E-6</v>
      </c>
      <c r="BR91" s="2">
        <f t="shared" si="54"/>
        <v>0.26978947028063238</v>
      </c>
      <c r="BS91" s="2">
        <v>3.0666151693690968E-5</v>
      </c>
      <c r="BT91" s="2">
        <f t="shared" si="45"/>
        <v>0.26978413730054951</v>
      </c>
      <c r="BU91" s="2">
        <v>1.3912968860191333E-5</v>
      </c>
      <c r="BV91" s="2">
        <f t="shared" si="46"/>
        <v>-3.9519527980331088E-11</v>
      </c>
      <c r="BW91" s="2">
        <f t="shared" si="47"/>
        <v>4.2665721357622613E-10</v>
      </c>
      <c r="BX91" s="2">
        <f t="shared" si="48"/>
        <v>1.0665960165745503E-5</v>
      </c>
      <c r="BZ91" s="2">
        <v>19</v>
      </c>
      <c r="CA91" s="2">
        <f t="shared" si="55"/>
        <v>0.25043075257976466</v>
      </c>
      <c r="CB91" s="2">
        <v>-3.1250344663540791E-5</v>
      </c>
      <c r="CC91" s="2">
        <f t="shared" si="56"/>
        <v>0.2504414185399304</v>
      </c>
      <c r="CD91" s="2">
        <v>1.6694527853224062E-6</v>
      </c>
      <c r="CE91" s="2">
        <f t="shared" si="49"/>
        <v>0.25043608555984753</v>
      </c>
      <c r="CF91" s="2">
        <v>-1.4790312094378755E-5</v>
      </c>
      <c r="CG91" s="2">
        <f t="shared" si="50"/>
        <v>4.6220235063067196E-10</v>
      </c>
      <c r="CH91" s="2">
        <f t="shared" si="51"/>
        <v>-2.4691727721748284E-11</v>
      </c>
      <c r="CI91" s="2">
        <f t="shared" si="52"/>
        <v>1.0665960165745503E-5</v>
      </c>
    </row>
    <row r="92" spans="2:87" x14ac:dyDescent="0.2">
      <c r="BO92" s="2">
        <v>20</v>
      </c>
      <c r="BP92" s="2">
        <f t="shared" si="53"/>
        <v>0.26977880432046664</v>
      </c>
      <c r="BQ92" s="2">
        <v>-2.8404813075810775E-6</v>
      </c>
      <c r="BR92" s="2">
        <f t="shared" si="54"/>
        <v>0.26978413730054951</v>
      </c>
      <c r="BS92" s="2">
        <v>1.3912968860191333E-5</v>
      </c>
      <c r="BT92" s="2">
        <f t="shared" si="45"/>
        <v>0.26978147081050807</v>
      </c>
      <c r="BU92" s="2">
        <v>5.536277193803063E-6</v>
      </c>
      <c r="BV92" s="2">
        <f t="shared" si="46"/>
        <v>-1.5725691882585022E-11</v>
      </c>
      <c r="BW92" s="2">
        <f t="shared" si="47"/>
        <v>7.7026052198769472E-11</v>
      </c>
      <c r="BX92" s="2">
        <f t="shared" si="48"/>
        <v>5.3329800828727514E-6</v>
      </c>
      <c r="BZ92" s="2">
        <v>20</v>
      </c>
      <c r="CA92" s="2">
        <f t="shared" si="55"/>
        <v>0.25043608555984753</v>
      </c>
      <c r="CB92" s="2">
        <v>-1.4790312094378755E-5</v>
      </c>
      <c r="CC92" s="2">
        <f t="shared" si="56"/>
        <v>0.2504414185399304</v>
      </c>
      <c r="CD92" s="2">
        <v>1.6694527853224062E-6</v>
      </c>
      <c r="CE92" s="2">
        <f t="shared" si="49"/>
        <v>0.25043875204988897</v>
      </c>
      <c r="CF92" s="2">
        <v>-6.5603961942328759E-6</v>
      </c>
      <c r="CG92" s="2">
        <f t="shared" si="50"/>
        <v>9.703030717547886E-11</v>
      </c>
      <c r="CH92" s="2">
        <f t="shared" si="51"/>
        <v>-1.0952271699280588E-11</v>
      </c>
      <c r="CI92" s="2">
        <f t="shared" si="52"/>
        <v>5.3329800828727514E-6</v>
      </c>
    </row>
    <row r="93" spans="2:87" x14ac:dyDescent="0.2">
      <c r="BO93" s="2">
        <v>21</v>
      </c>
      <c r="BP93" s="2">
        <f t="shared" si="53"/>
        <v>0.26977880432046664</v>
      </c>
      <c r="BQ93" s="2">
        <v>-2.8404813075810775E-6</v>
      </c>
      <c r="BR93" s="2">
        <f t="shared" si="54"/>
        <v>0.26978147081050807</v>
      </c>
      <c r="BS93" s="2">
        <v>5.536277193803063E-6</v>
      </c>
      <c r="BT93" s="2">
        <f t="shared" si="45"/>
        <v>0.26978013756548735</v>
      </c>
      <c r="BU93" s="2">
        <v>1.3479062975843559E-6</v>
      </c>
      <c r="BV93" s="2">
        <f t="shared" si="46"/>
        <v>-3.8287026426591804E-12</v>
      </c>
      <c r="BW93" s="2">
        <f t="shared" si="47"/>
        <v>7.4623828946997934E-12</v>
      </c>
      <c r="BX93" s="2">
        <f t="shared" si="48"/>
        <v>2.6664900414363757E-6</v>
      </c>
      <c r="BZ93" s="2">
        <v>21</v>
      </c>
      <c r="CA93" s="2">
        <f t="shared" si="55"/>
        <v>0.25043875204988897</v>
      </c>
      <c r="CB93" s="2">
        <v>-6.5603961942328759E-6</v>
      </c>
      <c r="CC93" s="2">
        <f t="shared" si="56"/>
        <v>0.2504414185399304</v>
      </c>
      <c r="CD93" s="2">
        <v>1.6694527853224062E-6</v>
      </c>
      <c r="CE93" s="2">
        <f t="shared" si="49"/>
        <v>0.25044008529490969</v>
      </c>
      <c r="CF93" s="2">
        <v>-2.4454633395093461E-6</v>
      </c>
      <c r="CG93" s="2">
        <f t="shared" si="50"/>
        <v>1.6043208385653135E-11</v>
      </c>
      <c r="CH93" s="2">
        <f t="shared" si="51"/>
        <v>-4.0825855835477106E-12</v>
      </c>
      <c r="CI93" s="2">
        <f t="shared" si="52"/>
        <v>2.6664900414363757E-6</v>
      </c>
    </row>
    <row r="94" spans="2:87" x14ac:dyDescent="0.2">
      <c r="BO94" s="2">
        <v>22</v>
      </c>
      <c r="BP94" s="2">
        <f t="shared" si="53"/>
        <v>0.26977880432046664</v>
      </c>
      <c r="BQ94" s="2">
        <v>-2.8404813075810775E-6</v>
      </c>
      <c r="BR94" s="2">
        <f t="shared" si="54"/>
        <v>0.26978013756548735</v>
      </c>
      <c r="BS94" s="2">
        <v>1.3479062975843559E-6</v>
      </c>
      <c r="BT94" s="2">
        <f t="shared" si="45"/>
        <v>0.269779470942977</v>
      </c>
      <c r="BU94" s="2">
        <v>-7.4628541631843737E-7</v>
      </c>
      <c r="BV94" s="2">
        <f t="shared" si="46"/>
        <v>2.1198097751728839E-12</v>
      </c>
      <c r="BW94" s="2">
        <f t="shared" si="47"/>
        <v>-1.0059228124509845E-12</v>
      </c>
      <c r="BX94" s="2">
        <f t="shared" si="48"/>
        <v>1.3332450207181878E-6</v>
      </c>
      <c r="BZ94" s="2">
        <v>22</v>
      </c>
      <c r="CA94" s="2">
        <f t="shared" si="55"/>
        <v>0.25044008529490969</v>
      </c>
      <c r="CB94" s="2">
        <v>-2.4454633395093461E-6</v>
      </c>
      <c r="CC94" s="2">
        <f t="shared" si="56"/>
        <v>0.2504414185399304</v>
      </c>
      <c r="CD94" s="2">
        <v>1.6694527853224062E-6</v>
      </c>
      <c r="CE94" s="2">
        <f t="shared" si="49"/>
        <v>0.25044075191742005</v>
      </c>
      <c r="CF94" s="2">
        <v>-3.8800318584095161E-7</v>
      </c>
      <c r="CG94" s="2">
        <f t="shared" si="50"/>
        <v>9.4884756658687903E-13</v>
      </c>
      <c r="CH94" s="2">
        <f t="shared" si="51"/>
        <v>-6.4775299931614383E-13</v>
      </c>
      <c r="CI94" s="2">
        <f t="shared" si="52"/>
        <v>1.3332450207181878E-6</v>
      </c>
    </row>
    <row r="95" spans="2:87" x14ac:dyDescent="0.2">
      <c r="BO95" s="2">
        <v>23</v>
      </c>
      <c r="BP95" s="2">
        <f t="shared" si="53"/>
        <v>0.269779470942977</v>
      </c>
      <c r="BQ95" s="2">
        <v>-7.4628541631843737E-7</v>
      </c>
      <c r="BR95" s="2">
        <f t="shared" si="54"/>
        <v>0.26978013756548735</v>
      </c>
      <c r="BS95" s="2">
        <v>1.3479062975843559E-6</v>
      </c>
      <c r="BT95" s="2">
        <f t="shared" si="45"/>
        <v>0.2697798042542322</v>
      </c>
      <c r="BU95" s="2">
        <v>3.0081096282635889E-7</v>
      </c>
      <c r="BV95" s="2">
        <f t="shared" si="46"/>
        <v>-2.2449083462601924E-13</v>
      </c>
      <c r="BW95" s="2">
        <f t="shared" si="47"/>
        <v>4.0546499117606271E-13</v>
      </c>
      <c r="BX95" s="2">
        <f t="shared" si="48"/>
        <v>6.6662251035909392E-7</v>
      </c>
      <c r="BZ95" s="2">
        <v>23</v>
      </c>
      <c r="CA95" s="2">
        <f t="shared" si="55"/>
        <v>0.25044075191742005</v>
      </c>
      <c r="CB95" s="2">
        <v>-3.8800318584095161E-7</v>
      </c>
      <c r="CC95" s="2">
        <f t="shared" si="56"/>
        <v>0.2504414185399304</v>
      </c>
      <c r="CD95" s="2">
        <v>1.6694527853224062E-6</v>
      </c>
      <c r="CE95" s="2">
        <f t="shared" si="49"/>
        <v>0.25044108522867525</v>
      </c>
      <c r="CF95" s="2">
        <v>6.4072532257597459E-7</v>
      </c>
      <c r="CG95" s="2">
        <f t="shared" si="50"/>
        <v>-2.4860346640844955E-13</v>
      </c>
      <c r="CH95" s="2">
        <f t="shared" si="51"/>
        <v>1.0696606744010579E-12</v>
      </c>
      <c r="CI95" s="2">
        <f t="shared" si="52"/>
        <v>6.6662251035909392E-7</v>
      </c>
    </row>
    <row r="96" spans="2:87" x14ac:dyDescent="0.2">
      <c r="BO96" s="2">
        <v>24</v>
      </c>
      <c r="BP96" s="2">
        <f t="shared" si="53"/>
        <v>0.269779470942977</v>
      </c>
      <c r="BQ96" s="2">
        <v>-7.4628541631843737E-7</v>
      </c>
      <c r="BR96" s="2">
        <f t="shared" si="54"/>
        <v>0.2697798042542322</v>
      </c>
      <c r="BS96" s="2">
        <v>3.0081096282635889E-7</v>
      </c>
      <c r="BT96" s="2">
        <f t="shared" si="45"/>
        <v>0.26977963759860457</v>
      </c>
      <c r="BU96" s="2">
        <v>-2.2273709637810057E-7</v>
      </c>
      <c r="BV96" s="2">
        <f t="shared" si="46"/>
        <v>1.6622544670009069E-13</v>
      </c>
      <c r="BW96" s="2">
        <f t="shared" si="47"/>
        <v>-6.7001760418643929E-14</v>
      </c>
      <c r="BX96" s="2">
        <f t="shared" si="48"/>
        <v>3.3331125520730254E-7</v>
      </c>
      <c r="BZ96" s="2">
        <v>24</v>
      </c>
      <c r="CA96" s="2">
        <f t="shared" si="55"/>
        <v>0.25044075191742005</v>
      </c>
      <c r="CB96" s="2">
        <v>-3.8800318584095161E-7</v>
      </c>
      <c r="CC96" s="2">
        <f t="shared" si="56"/>
        <v>0.25044108522867525</v>
      </c>
      <c r="CD96" s="2">
        <v>6.4072532257597459E-7</v>
      </c>
      <c r="CE96" s="2">
        <f t="shared" si="49"/>
        <v>0.25044091857304762</v>
      </c>
      <c r="CF96" s="2">
        <v>1.2636119898004616E-7</v>
      </c>
      <c r="CG96" s="2">
        <f t="shared" si="50"/>
        <v>-4.9028547770940317E-14</v>
      </c>
      <c r="CH96" s="2">
        <f t="shared" si="51"/>
        <v>8.0962819977576989E-14</v>
      </c>
      <c r="CI96" s="2">
        <f t="shared" si="52"/>
        <v>3.3331125520730254E-7</v>
      </c>
    </row>
    <row r="97" spans="67:87" x14ac:dyDescent="0.2">
      <c r="BO97" s="2">
        <v>25</v>
      </c>
      <c r="BP97" s="2">
        <f t="shared" si="53"/>
        <v>0.26977963759860457</v>
      </c>
      <c r="BQ97" s="2">
        <v>-2.2273709637810057E-7</v>
      </c>
      <c r="BR97" s="2">
        <f t="shared" si="54"/>
        <v>0.2697798042542322</v>
      </c>
      <c r="BS97" s="2">
        <v>3.0081096282635889E-7</v>
      </c>
      <c r="BT97" s="2">
        <f t="shared" si="45"/>
        <v>0.26977972092641839</v>
      </c>
      <c r="BU97" s="2">
        <v>3.9036965923666678E-8</v>
      </c>
      <c r="BV97" s="2">
        <f t="shared" si="46"/>
        <v>-8.6949804412483722E-15</v>
      </c>
      <c r="BW97" s="2">
        <f t="shared" si="47"/>
        <v>1.1742747305317935E-14</v>
      </c>
      <c r="BX97" s="2">
        <f t="shared" si="48"/>
        <v>1.6665562763140684E-7</v>
      </c>
      <c r="BZ97" s="2">
        <v>25</v>
      </c>
      <c r="CA97" s="2">
        <f t="shared" si="55"/>
        <v>0.25044075191742005</v>
      </c>
      <c r="CB97" s="2">
        <v>-3.8800318584095161E-7</v>
      </c>
      <c r="CC97" s="2">
        <f t="shared" si="56"/>
        <v>0.25044091857304762</v>
      </c>
      <c r="CD97" s="2">
        <v>1.2636119898004616E-7</v>
      </c>
      <c r="CE97" s="2">
        <f t="shared" si="49"/>
        <v>0.25044083524523386</v>
      </c>
      <c r="CF97" s="2">
        <v>-1.3082096060601511E-7</v>
      </c>
      <c r="CG97" s="2">
        <f t="shared" si="50"/>
        <v>5.075894948990749E-14</v>
      </c>
      <c r="CH97" s="2">
        <f t="shared" si="51"/>
        <v>-1.6530693433897455E-14</v>
      </c>
      <c r="CI97" s="2">
        <f t="shared" si="52"/>
        <v>1.6665562757589569E-7</v>
      </c>
    </row>
    <row r="98" spans="67:87" x14ac:dyDescent="0.2">
      <c r="BO98" s="2">
        <v>26</v>
      </c>
      <c r="BP98" s="2">
        <f t="shared" si="53"/>
        <v>0.26977963759860457</v>
      </c>
      <c r="BQ98" s="2">
        <v>-2.2273709637810057E-7</v>
      </c>
      <c r="BR98" s="2">
        <f t="shared" si="54"/>
        <v>0.26977972092641839</v>
      </c>
      <c r="BS98" s="2">
        <v>3.9036965923666678E-8</v>
      </c>
      <c r="BT98" s="2">
        <f t="shared" si="45"/>
        <v>0.26977967926251145</v>
      </c>
      <c r="BU98" s="2">
        <v>-9.1850057157283338E-8</v>
      </c>
      <c r="BV98" s="2">
        <f t="shared" si="46"/>
        <v>2.0458415033375866E-14</v>
      </c>
      <c r="BW98" s="2">
        <f t="shared" si="47"/>
        <v>-3.5855475513357061E-15</v>
      </c>
      <c r="BX98" s="2">
        <f t="shared" si="48"/>
        <v>8.3327813815703422E-8</v>
      </c>
      <c r="BZ98" s="2">
        <v>26</v>
      </c>
      <c r="CA98" s="2">
        <f t="shared" si="55"/>
        <v>0.25044083524523386</v>
      </c>
      <c r="CB98" s="2">
        <v>-1.3082096060601511E-7</v>
      </c>
      <c r="CC98" s="2">
        <f t="shared" si="56"/>
        <v>0.25044091857304762</v>
      </c>
      <c r="CD98" s="2">
        <v>1.2636119898004616E-7</v>
      </c>
      <c r="CE98" s="2">
        <f t="shared" si="49"/>
        <v>0.25044087690914074</v>
      </c>
      <c r="CF98" s="2">
        <v>-2.2298726719272022E-9</v>
      </c>
      <c r="CG98" s="2">
        <f t="shared" si="50"/>
        <v>2.917140849706182E-16</v>
      </c>
      <c r="CH98" s="2">
        <f t="shared" si="51"/>
        <v>-2.8176938439756039E-16</v>
      </c>
      <c r="CI98" s="2">
        <f t="shared" si="52"/>
        <v>8.3327813760192271E-8</v>
      </c>
    </row>
    <row r="99" spans="67:87" x14ac:dyDescent="0.2">
      <c r="BO99" s="2">
        <v>27</v>
      </c>
      <c r="BP99" s="2">
        <f t="shared" si="53"/>
        <v>0.26977967926251145</v>
      </c>
      <c r="BQ99" s="2">
        <v>-9.1850057157283338E-8</v>
      </c>
      <c r="BR99" s="2">
        <f t="shared" si="54"/>
        <v>0.26977972092641839</v>
      </c>
      <c r="BS99" s="2">
        <v>3.9036965923666678E-8</v>
      </c>
      <c r="BT99" s="2">
        <f t="shared" si="45"/>
        <v>0.26977970009446495</v>
      </c>
      <c r="BU99" s="2">
        <v>-2.6406543451873432E-8</v>
      </c>
      <c r="BV99" s="2">
        <f t="shared" si="46"/>
        <v>2.4254425253808606E-15</v>
      </c>
      <c r="BW99" s="2">
        <f t="shared" si="47"/>
        <v>-1.0308313368926067E-15</v>
      </c>
      <c r="BX99" s="2">
        <f t="shared" si="48"/>
        <v>4.1663906935607287E-8</v>
      </c>
      <c r="BZ99" s="2">
        <v>27</v>
      </c>
      <c r="CA99" s="2">
        <f t="shared" si="55"/>
        <v>0.25044087690914074</v>
      </c>
      <c r="CB99" s="2">
        <v>-2.2298726719272022E-9</v>
      </c>
      <c r="CC99" s="2">
        <f t="shared" si="56"/>
        <v>0.25044091857304762</v>
      </c>
      <c r="CD99" s="2">
        <v>1.2636119898004616E-7</v>
      </c>
      <c r="CE99" s="2">
        <f t="shared" si="49"/>
        <v>0.25044089774109418</v>
      </c>
      <c r="CF99" s="2">
        <v>6.2065665239197099E-8</v>
      </c>
      <c r="CG99" s="2">
        <f t="shared" si="50"/>
        <v>-1.3839853078186771E-16</v>
      </c>
      <c r="CH99" s="2">
        <f t="shared" si="51"/>
        <v>7.8426918751191197E-15</v>
      </c>
      <c r="CI99" s="2">
        <f t="shared" si="52"/>
        <v>4.1663906880096135E-8</v>
      </c>
    </row>
    <row r="100" spans="67:87" x14ac:dyDescent="0.2">
      <c r="BO100" s="2">
        <v>28</v>
      </c>
      <c r="BP100" s="2">
        <f t="shared" si="53"/>
        <v>0.26977970009446495</v>
      </c>
      <c r="BQ100" s="2">
        <v>-2.6406543451873432E-8</v>
      </c>
      <c r="BR100" s="2">
        <f t="shared" si="54"/>
        <v>0.26977972092641839</v>
      </c>
      <c r="BS100" s="2">
        <v>3.9036965923666678E-8</v>
      </c>
      <c r="BT100" s="2">
        <f t="shared" si="45"/>
        <v>0.26977971051044169</v>
      </c>
      <c r="BU100" s="2">
        <v>6.3152118534581803E-9</v>
      </c>
      <c r="BV100" s="2">
        <f t="shared" si="46"/>
        <v>-1.6676291621612958E-16</v>
      </c>
      <c r="BW100" s="2">
        <f t="shared" si="47"/>
        <v>2.4652670992418286E-16</v>
      </c>
      <c r="BX100" s="2">
        <f t="shared" si="48"/>
        <v>2.0831953440048068E-8</v>
      </c>
      <c r="BZ100" s="2">
        <v>28</v>
      </c>
      <c r="CA100" s="2">
        <f t="shared" si="55"/>
        <v>0.25044087690914074</v>
      </c>
      <c r="CB100" s="2">
        <v>-2.2298726719272022E-9</v>
      </c>
      <c r="CC100" s="2">
        <f t="shared" si="56"/>
        <v>0.25044089774109418</v>
      </c>
      <c r="CD100" s="2">
        <v>6.2065665239197099E-8</v>
      </c>
      <c r="CE100" s="2">
        <f t="shared" si="49"/>
        <v>0.25044088732511749</v>
      </c>
      <c r="CF100" s="2">
        <v>2.9917896847420078E-8</v>
      </c>
      <c r="CG100" s="2">
        <f t="shared" si="50"/>
        <v>-6.671310058159903E-17</v>
      </c>
      <c r="CH100" s="2">
        <f t="shared" si="51"/>
        <v>1.8568741703928048E-15</v>
      </c>
      <c r="CI100" s="2">
        <f t="shared" si="52"/>
        <v>2.0831953440048068E-8</v>
      </c>
    </row>
    <row r="101" spans="67:87" x14ac:dyDescent="0.2">
      <c r="BO101" s="2">
        <v>29</v>
      </c>
      <c r="BP101" s="2">
        <f t="shared" si="53"/>
        <v>0.26977970009446495</v>
      </c>
      <c r="BQ101" s="2">
        <v>-2.6406543451873432E-8</v>
      </c>
      <c r="BR101" s="2">
        <f t="shared" si="54"/>
        <v>0.26977971051044169</v>
      </c>
      <c r="BS101" s="2">
        <v>6.3152118534581803E-9</v>
      </c>
      <c r="BT101" s="2">
        <f t="shared" si="45"/>
        <v>0.26977970530245332</v>
      </c>
      <c r="BU101" s="2">
        <v>-1.0045665764513156E-8</v>
      </c>
      <c r="BV101" s="2">
        <f t="shared" si="46"/>
        <v>2.6527130951361398E-16</v>
      </c>
      <c r="BW101" s="2">
        <f t="shared" si="47"/>
        <v>-6.3440507511932516E-17</v>
      </c>
      <c r="BX101" s="2">
        <f t="shared" si="48"/>
        <v>1.0415976747779609E-8</v>
      </c>
      <c r="BZ101" s="2">
        <v>29</v>
      </c>
      <c r="CA101" s="2">
        <f t="shared" si="55"/>
        <v>0.25044087690914074</v>
      </c>
      <c r="CB101" s="2">
        <v>-2.2298726719272022E-9</v>
      </c>
      <c r="CC101" s="2">
        <f t="shared" si="56"/>
        <v>0.25044088732511749</v>
      </c>
      <c r="CD101" s="2">
        <v>2.9917896847420078E-8</v>
      </c>
      <c r="CE101" s="2">
        <f t="shared" si="49"/>
        <v>0.25044088211712912</v>
      </c>
      <c r="CF101" s="2">
        <v>1.3844012228259039E-8</v>
      </c>
      <c r="CG101" s="2">
        <f t="shared" si="50"/>
        <v>-3.0870384537620842E-17</v>
      </c>
      <c r="CH101" s="2">
        <f t="shared" si="51"/>
        <v>4.1418372979947612E-16</v>
      </c>
      <c r="CI101" s="2">
        <f t="shared" si="52"/>
        <v>1.0415976747779609E-8</v>
      </c>
    </row>
    <row r="102" spans="67:87" x14ac:dyDescent="0.2">
      <c r="BO102" s="2">
        <v>30</v>
      </c>
      <c r="BP102" s="2">
        <f t="shared" si="53"/>
        <v>0.26977970530245332</v>
      </c>
      <c r="BQ102" s="2">
        <v>-1.0045665764513156E-8</v>
      </c>
      <c r="BR102" s="2">
        <f t="shared" si="54"/>
        <v>0.26977971051044169</v>
      </c>
      <c r="BS102" s="2">
        <v>6.3152118534581803E-9</v>
      </c>
      <c r="BT102" s="5">
        <f t="shared" si="45"/>
        <v>0.26977970790644751</v>
      </c>
      <c r="BU102" s="2">
        <v>-1.8652269381802533E-9</v>
      </c>
      <c r="BV102" s="2">
        <f t="shared" si="46"/>
        <v>1.8737446395925069E-17</v>
      </c>
      <c r="BW102" s="2">
        <f t="shared" si="47"/>
        <v>-1.1779303269385444E-17</v>
      </c>
      <c r="BX102" s="2">
        <f t="shared" si="48"/>
        <v>5.2079883738898047E-9</v>
      </c>
      <c r="BZ102" s="2">
        <v>30</v>
      </c>
      <c r="CA102" s="2">
        <f t="shared" si="55"/>
        <v>0.25044087690914074</v>
      </c>
      <c r="CB102" s="2">
        <v>-2.2298726719272022E-9</v>
      </c>
      <c r="CC102" s="2">
        <f t="shared" si="56"/>
        <v>0.25044088211712912</v>
      </c>
      <c r="CD102" s="2">
        <v>1.3844012228259039E-8</v>
      </c>
      <c r="CE102" s="5">
        <f t="shared" si="49"/>
        <v>0.25044087951313493</v>
      </c>
      <c r="CF102" s="2">
        <v>5.8070698701062629E-9</v>
      </c>
      <c r="CG102" s="2">
        <f t="shared" si="50"/>
        <v>-1.2949026407321804E-17</v>
      </c>
      <c r="CH102" s="2">
        <f t="shared" si="51"/>
        <v>8.0393146292105733E-17</v>
      </c>
      <c r="CI102" s="2">
        <f t="shared" si="52"/>
        <v>5.2079883738898047E-9</v>
      </c>
    </row>
    <row r="104" spans="67:87" x14ac:dyDescent="0.2">
      <c r="BO104" s="61" t="s">
        <v>213</v>
      </c>
      <c r="BP104" s="61"/>
      <c r="BQ104" s="61"/>
      <c r="BR104" s="61"/>
      <c r="BS104" s="61"/>
      <c r="BT104" s="61"/>
      <c r="BU104" s="61"/>
      <c r="BV104" s="61"/>
      <c r="BW104" s="61"/>
      <c r="BX104" s="61"/>
      <c r="BZ104" s="61" t="s">
        <v>221</v>
      </c>
      <c r="CA104" s="61"/>
      <c r="CB104" s="61"/>
      <c r="CC104" s="61"/>
      <c r="CD104" s="61"/>
      <c r="CE104" s="61"/>
      <c r="CF104" s="61"/>
      <c r="CG104" s="61"/>
      <c r="CH104" s="61"/>
      <c r="CI104" s="61"/>
    </row>
    <row r="105" spans="67:87" x14ac:dyDescent="0.2">
      <c r="BO105" s="7" t="s">
        <v>44</v>
      </c>
      <c r="BP105" s="7" t="s">
        <v>45</v>
      </c>
      <c r="BQ105" s="7" t="s">
        <v>46</v>
      </c>
      <c r="BR105" s="7" t="s">
        <v>47</v>
      </c>
      <c r="BS105" s="7" t="s">
        <v>48</v>
      </c>
      <c r="BT105" s="7" t="s">
        <v>49</v>
      </c>
      <c r="BU105" s="7" t="s">
        <v>50</v>
      </c>
      <c r="BV105" s="7" t="s">
        <v>51</v>
      </c>
      <c r="BW105" s="7" t="s">
        <v>52</v>
      </c>
      <c r="BX105" s="7" t="s">
        <v>53</v>
      </c>
      <c r="BZ105" s="7" t="s">
        <v>44</v>
      </c>
      <c r="CA105" s="7" t="s">
        <v>45</v>
      </c>
      <c r="CB105" s="7" t="s">
        <v>46</v>
      </c>
      <c r="CC105" s="7" t="s">
        <v>47</v>
      </c>
      <c r="CD105" s="7" t="s">
        <v>48</v>
      </c>
      <c r="CE105" s="7" t="s">
        <v>49</v>
      </c>
      <c r="CF105" s="7" t="s">
        <v>50</v>
      </c>
      <c r="CG105" s="7" t="s">
        <v>51</v>
      </c>
      <c r="CH105" s="7" t="s">
        <v>52</v>
      </c>
      <c r="CI105" s="7" t="s">
        <v>53</v>
      </c>
    </row>
    <row r="106" spans="67:87" x14ac:dyDescent="0.2">
      <c r="BO106" s="30">
        <v>0</v>
      </c>
      <c r="BP106" s="30"/>
      <c r="BQ106" s="30">
        <f>$BH$77</f>
        <v>1.848831813339169E-9</v>
      </c>
      <c r="BR106" s="30"/>
      <c r="BS106" s="30">
        <f>$BH$77</f>
        <v>1.848831813339169E-9</v>
      </c>
      <c r="BT106" s="30"/>
      <c r="BU106" s="30">
        <f>$BH$77</f>
        <v>1.848831813339169E-9</v>
      </c>
      <c r="BV106" s="30"/>
      <c r="BW106" s="30"/>
      <c r="BX106" s="30"/>
      <c r="BZ106" s="30">
        <v>0</v>
      </c>
      <c r="CA106" s="30"/>
      <c r="CB106" s="30">
        <f>$BL$77</f>
        <v>-5.9373082665625798E-9</v>
      </c>
      <c r="CC106" s="30"/>
      <c r="CD106" s="30">
        <f>$BL$77</f>
        <v>-5.9373082665625798E-9</v>
      </c>
      <c r="CE106" s="30"/>
      <c r="CF106" s="30">
        <f>$BL$77</f>
        <v>-5.9373082665625798E-9</v>
      </c>
      <c r="CG106" s="30"/>
      <c r="CH106" s="30"/>
      <c r="CI106" s="30"/>
    </row>
    <row r="107" spans="67:87" x14ac:dyDescent="0.2">
      <c r="BO107" s="2">
        <v>1</v>
      </c>
      <c r="BP107" s="3">
        <f>0.01*PI()</f>
        <v>3.1415926535897934E-2</v>
      </c>
      <c r="BQ107" s="2">
        <f t="dataTable" ref="BQ107:BQ136" dt2D="0" dtr="0" r1="BH61" ca="1"/>
        <v>-2.021514008837086</v>
      </c>
      <c r="BR107" s="3">
        <f>0.9*PI()</f>
        <v>2.8274333882308138</v>
      </c>
      <c r="BS107" s="2">
        <f t="dataTable" ref="BS107:BS136" dt2D="0" dtr="0" r1="BH61" ca="1"/>
        <v>0.48623803968580409</v>
      </c>
      <c r="BT107" s="2">
        <f t="shared" ref="BT107:BT136" si="57">(BP107+BR107)/2</f>
        <v>1.4294246573833558</v>
      </c>
      <c r="BU107" s="2">
        <f t="dataTable" ref="BU107:BU136" dt2D="0" dtr="0" r1="BH61" ca="1"/>
        <v>1.1466090470171739</v>
      </c>
      <c r="BV107" s="2">
        <f t="shared" ref="BV107:BV136" si="58">BQ107*BU107</f>
        <v>-2.3178862512045582</v>
      </c>
      <c r="BW107" s="2">
        <f t="shared" ref="BW107:BW136" si="59">BS107*BU107</f>
        <v>0.55752493530763858</v>
      </c>
      <c r="BX107" s="2">
        <f t="shared" ref="BX107:BX136" si="60">BR107-BP107</f>
        <v>2.7960174616949161</v>
      </c>
      <c r="BZ107" s="2">
        <v>1</v>
      </c>
      <c r="CA107" s="3">
        <f>0.01*PI()</f>
        <v>3.1415926535897934E-2</v>
      </c>
      <c r="CB107" s="2">
        <f t="dataTable" ref="CB107:CB136" dt2D="0" dtr="0" r1="BL61" ca="1"/>
        <v>-2.0158440972673417</v>
      </c>
      <c r="CC107" s="3">
        <f>0.9*PI()</f>
        <v>2.8274333882308138</v>
      </c>
      <c r="CD107" s="2">
        <f t="dataTable" ref="CD107:CD136" dt2D="0" dtr="0" r1="BL61" ca="1"/>
        <v>0.55576192703811922</v>
      </c>
      <c r="CE107" s="2">
        <f t="shared" ref="CE107:CE136" si="61">(CA107+CC107)/2</f>
        <v>1.4294246573833558</v>
      </c>
      <c r="CF107" s="2">
        <f t="dataTable" ref="CF107:CF136" dt2D="0" dtr="0" r1="BL61" ca="1"/>
        <v>1.235746417369779</v>
      </c>
      <c r="CG107" s="2">
        <f t="shared" ref="CG107:CG136" si="62">CB107*CF107</f>
        <v>-2.4910721211741338</v>
      </c>
      <c r="CH107" s="2">
        <f t="shared" ref="CH107:CH136" si="63">CD107*CF107</f>
        <v>0.68678081024788029</v>
      </c>
      <c r="CI107" s="2">
        <f t="shared" ref="CI107:CI136" si="64">CC107-CA107</f>
        <v>2.7960174616949161</v>
      </c>
    </row>
    <row r="108" spans="67:87" x14ac:dyDescent="0.2">
      <c r="BO108" s="2">
        <v>2</v>
      </c>
      <c r="BP108" s="2">
        <f t="shared" ref="BP108:BP136" si="65">IF(BV107&gt;0,BT107,BP107)</f>
        <v>3.1415926535897934E-2</v>
      </c>
      <c r="BQ108" s="2">
        <v>-2.021514008837086</v>
      </c>
      <c r="BR108" s="2">
        <f t="shared" ref="BR108:BR136" si="66">IF(BW107&gt;0,BT107,BR107)</f>
        <v>1.4294246573833558</v>
      </c>
      <c r="BS108" s="2">
        <v>1.1466090470171739</v>
      </c>
      <c r="BT108" s="2">
        <f t="shared" si="57"/>
        <v>0.73042029195962688</v>
      </c>
      <c r="BU108" s="2">
        <v>0.78196828343935043</v>
      </c>
      <c r="BV108" s="2">
        <f t="shared" si="58"/>
        <v>-1.5807598394389359</v>
      </c>
      <c r="BW108" s="2">
        <f t="shared" si="59"/>
        <v>0.89661190827204895</v>
      </c>
      <c r="BX108" s="2">
        <f t="shared" si="60"/>
        <v>1.3980087308474578</v>
      </c>
      <c r="BZ108" s="2">
        <v>2</v>
      </c>
      <c r="CA108" s="2">
        <f t="shared" ref="CA108:CA136" si="67">IF(CG107&gt;0,CE107,CA107)</f>
        <v>3.1415926535897934E-2</v>
      </c>
      <c r="CB108" s="2">
        <v>-2.0158440972673417</v>
      </c>
      <c r="CC108" s="2">
        <f t="shared" ref="CC108:CC136" si="68">IF(CH107&gt;0,CE107,CC107)</f>
        <v>1.4294246573833558</v>
      </c>
      <c r="CD108" s="2">
        <v>1.235746417369779</v>
      </c>
      <c r="CE108" s="2">
        <f t="shared" si="61"/>
        <v>0.73042029195962688</v>
      </c>
      <c r="CF108" s="2">
        <v>0.85188613273696934</v>
      </c>
      <c r="CG108" s="2">
        <f t="shared" si="62"/>
        <v>-1.7172696322217227</v>
      </c>
      <c r="CH108" s="2">
        <f t="shared" si="63"/>
        <v>1.0527152365367058</v>
      </c>
      <c r="CI108" s="2">
        <f t="shared" si="64"/>
        <v>1.3980087308474578</v>
      </c>
    </row>
    <row r="109" spans="67:87" x14ac:dyDescent="0.2">
      <c r="BO109" s="2">
        <v>3</v>
      </c>
      <c r="BP109" s="2">
        <f t="shared" si="65"/>
        <v>3.1415926535897934E-2</v>
      </c>
      <c r="BQ109" s="2">
        <v>-2.021514008837086</v>
      </c>
      <c r="BR109" s="2">
        <f t="shared" si="66"/>
        <v>0.73042029195962688</v>
      </c>
      <c r="BS109" s="2">
        <v>0.78196828343935043</v>
      </c>
      <c r="BT109" s="2">
        <f t="shared" si="57"/>
        <v>0.38091810924776243</v>
      </c>
      <c r="BU109" s="2">
        <v>0.38336255375586736</v>
      </c>
      <c r="BV109" s="2">
        <f t="shared" si="58"/>
        <v>-0.77497277288104627</v>
      </c>
      <c r="BW109" s="2">
        <f t="shared" si="59"/>
        <v>0.29977735809540129</v>
      </c>
      <c r="BX109" s="2">
        <f t="shared" si="60"/>
        <v>0.6990043654237289</v>
      </c>
      <c r="BZ109" s="2">
        <v>3</v>
      </c>
      <c r="CA109" s="2">
        <f t="shared" si="67"/>
        <v>3.1415926535897934E-2</v>
      </c>
      <c r="CB109" s="2">
        <v>-2.0158440972673417</v>
      </c>
      <c r="CC109" s="2">
        <f t="shared" si="68"/>
        <v>0.73042029195962688</v>
      </c>
      <c r="CD109" s="2">
        <v>0.85188613273696934</v>
      </c>
      <c r="CE109" s="2">
        <f t="shared" si="61"/>
        <v>0.38091810924776243</v>
      </c>
      <c r="CF109" s="2">
        <v>0.45662925517518987</v>
      </c>
      <c r="CG109" s="2">
        <f t="shared" si="62"/>
        <v>-0.92049338868448927</v>
      </c>
      <c r="CH109" s="2">
        <f t="shared" si="63"/>
        <v>0.38899613028575525</v>
      </c>
      <c r="CI109" s="2">
        <f t="shared" si="64"/>
        <v>0.6990043654237289</v>
      </c>
    </row>
    <row r="110" spans="67:87" x14ac:dyDescent="0.2">
      <c r="BO110" s="2">
        <v>4</v>
      </c>
      <c r="BP110" s="2">
        <f t="shared" si="65"/>
        <v>3.1415926535897934E-2</v>
      </c>
      <c r="BQ110" s="2">
        <v>-2.021514008837086</v>
      </c>
      <c r="BR110" s="2">
        <f t="shared" si="66"/>
        <v>0.38091810924776243</v>
      </c>
      <c r="BS110" s="2">
        <v>0.38336255375586736</v>
      </c>
      <c r="BT110" s="2">
        <f t="shared" si="57"/>
        <v>0.20616701789183017</v>
      </c>
      <c r="BU110" s="2">
        <v>-0.11095252819303579</v>
      </c>
      <c r="BV110" s="2">
        <f t="shared" si="58"/>
        <v>0.2242920900581136</v>
      </c>
      <c r="BW110" s="2">
        <f t="shared" si="59"/>
        <v>-4.2535044553752073E-2</v>
      </c>
      <c r="BX110" s="2">
        <f t="shared" si="60"/>
        <v>0.34950218271186451</v>
      </c>
      <c r="BZ110" s="2">
        <v>4</v>
      </c>
      <c r="CA110" s="2">
        <f t="shared" si="67"/>
        <v>3.1415926535897934E-2</v>
      </c>
      <c r="CB110" s="2">
        <v>-2.0158440972673417</v>
      </c>
      <c r="CC110" s="2">
        <f t="shared" si="68"/>
        <v>0.38091810924776243</v>
      </c>
      <c r="CD110" s="2">
        <v>0.45662925517518987</v>
      </c>
      <c r="CE110" s="2">
        <f t="shared" si="61"/>
        <v>0.20616701789183017</v>
      </c>
      <c r="CF110" s="2">
        <v>-0.16560891325324409</v>
      </c>
      <c r="CG110" s="2">
        <f t="shared" si="62"/>
        <v>0.33384175023641133</v>
      </c>
      <c r="CH110" s="2">
        <f t="shared" si="63"/>
        <v>-7.5621874709201481E-2</v>
      </c>
      <c r="CI110" s="2">
        <f t="shared" si="64"/>
        <v>0.34950218271186451</v>
      </c>
    </row>
    <row r="111" spans="67:87" x14ac:dyDescent="0.2">
      <c r="BO111" s="2">
        <v>5</v>
      </c>
      <c r="BP111" s="2">
        <f t="shared" si="65"/>
        <v>0.20616701789183017</v>
      </c>
      <c r="BQ111" s="2">
        <v>-0.11095252819303579</v>
      </c>
      <c r="BR111" s="2">
        <f t="shared" si="66"/>
        <v>0.38091810924776243</v>
      </c>
      <c r="BS111" s="2">
        <v>0.38336255375586736</v>
      </c>
      <c r="BT111" s="2">
        <f t="shared" si="57"/>
        <v>0.2935425635697963</v>
      </c>
      <c r="BU111" s="2">
        <v>0.161499565987273</v>
      </c>
      <c r="BV111" s="2">
        <f t="shared" si="58"/>
        <v>-1.7918785148365951E-2</v>
      </c>
      <c r="BW111" s="2">
        <f t="shared" si="59"/>
        <v>6.1912886047345191E-2</v>
      </c>
      <c r="BX111" s="2">
        <f t="shared" si="60"/>
        <v>0.17475109135593225</v>
      </c>
      <c r="BZ111" s="2">
        <v>5</v>
      </c>
      <c r="CA111" s="2">
        <f t="shared" si="67"/>
        <v>0.20616701789183017</v>
      </c>
      <c r="CB111" s="2">
        <v>-0.16560891325324409</v>
      </c>
      <c r="CC111" s="2">
        <f t="shared" si="68"/>
        <v>0.38091810924776243</v>
      </c>
      <c r="CD111" s="2">
        <v>0.45662925517518987</v>
      </c>
      <c r="CE111" s="2">
        <f t="shared" si="61"/>
        <v>0.2935425635697963</v>
      </c>
      <c r="CF111" s="2">
        <v>0.17772320437602124</v>
      </c>
      <c r="CG111" s="2">
        <f t="shared" si="62"/>
        <v>-2.9432546736597072E-2</v>
      </c>
      <c r="CH111" s="2">
        <f t="shared" si="63"/>
        <v>8.1153614441570626E-2</v>
      </c>
      <c r="CI111" s="2">
        <f t="shared" si="64"/>
        <v>0.17475109135593225</v>
      </c>
    </row>
    <row r="112" spans="67:87" x14ac:dyDescent="0.2">
      <c r="BO112" s="2">
        <v>6</v>
      </c>
      <c r="BP112" s="2">
        <f t="shared" si="65"/>
        <v>0.20616701789183017</v>
      </c>
      <c r="BQ112" s="2">
        <v>-0.11095252819303579</v>
      </c>
      <c r="BR112" s="2">
        <f t="shared" si="66"/>
        <v>0.2935425635697963</v>
      </c>
      <c r="BS112" s="2">
        <v>0.161499565987273</v>
      </c>
      <c r="BT112" s="2">
        <f t="shared" si="57"/>
        <v>0.24985479073081324</v>
      </c>
      <c r="BU112" s="2">
        <v>3.3614608317071547E-2</v>
      </c>
      <c r="BV112" s="2">
        <f t="shared" si="58"/>
        <v>-3.729625776997736E-3</v>
      </c>
      <c r="BW112" s="2">
        <f t="shared" si="59"/>
        <v>5.4287446540392317E-3</v>
      </c>
      <c r="BX112" s="2">
        <f t="shared" si="60"/>
        <v>8.7375545677966127E-2</v>
      </c>
      <c r="BZ112" s="2">
        <v>6</v>
      </c>
      <c r="CA112" s="2">
        <f t="shared" si="67"/>
        <v>0.20616701789183017</v>
      </c>
      <c r="CB112" s="2">
        <v>-0.16560891325324409</v>
      </c>
      <c r="CC112" s="2">
        <f t="shared" si="68"/>
        <v>0.2935425635697963</v>
      </c>
      <c r="CD112" s="2">
        <v>0.17772320437602124</v>
      </c>
      <c r="CE112" s="2">
        <f t="shared" si="61"/>
        <v>0.24985479073081324</v>
      </c>
      <c r="CF112" s="2">
        <v>1.628963736592879E-2</v>
      </c>
      <c r="CG112" s="2">
        <f t="shared" si="62"/>
        <v>-2.6977091414609046E-3</v>
      </c>
      <c r="CH112" s="2">
        <f t="shared" si="63"/>
        <v>2.8950465507962347E-3</v>
      </c>
      <c r="CI112" s="2">
        <f t="shared" si="64"/>
        <v>8.7375545677966127E-2</v>
      </c>
    </row>
    <row r="113" spans="67:87" x14ac:dyDescent="0.2">
      <c r="BO113" s="2">
        <v>7</v>
      </c>
      <c r="BP113" s="2">
        <f t="shared" si="65"/>
        <v>0.20616701789183017</v>
      </c>
      <c r="BQ113" s="2">
        <v>-0.11095252819303579</v>
      </c>
      <c r="BR113" s="2">
        <f t="shared" si="66"/>
        <v>0.24985479073081324</v>
      </c>
      <c r="BS113" s="2">
        <v>3.3614608317071547E-2</v>
      </c>
      <c r="BT113" s="2">
        <f t="shared" si="57"/>
        <v>0.2280109043113217</v>
      </c>
      <c r="BU113" s="2">
        <v>-3.6160993499802827E-2</v>
      </c>
      <c r="BV113" s="2">
        <f t="shared" si="58"/>
        <v>4.0121536507750572E-3</v>
      </c>
      <c r="BW113" s="2">
        <f t="shared" si="59"/>
        <v>-1.2155376328520423E-3</v>
      </c>
      <c r="BX113" s="2">
        <f t="shared" si="60"/>
        <v>4.3687772838983063E-2</v>
      </c>
      <c r="BZ113" s="2">
        <v>7</v>
      </c>
      <c r="CA113" s="2">
        <f t="shared" si="67"/>
        <v>0.20616701789183017</v>
      </c>
      <c r="CB113" s="2">
        <v>-0.16560891325324409</v>
      </c>
      <c r="CC113" s="2">
        <f t="shared" si="68"/>
        <v>0.24985479073081324</v>
      </c>
      <c r="CD113" s="2">
        <v>1.628963736592879E-2</v>
      </c>
      <c r="CE113" s="2">
        <f t="shared" si="61"/>
        <v>0.2280109043113217</v>
      </c>
      <c r="CF113" s="2">
        <v>-7.166596720592891E-2</v>
      </c>
      <c r="CG113" s="2">
        <f t="shared" si="62"/>
        <v>1.1868522946216516E-2</v>
      </c>
      <c r="CH113" s="2">
        <f t="shared" si="63"/>
        <v>-1.1674126172631269E-3</v>
      </c>
      <c r="CI113" s="2">
        <f t="shared" si="64"/>
        <v>4.3687772838983063E-2</v>
      </c>
    </row>
    <row r="114" spans="67:87" x14ac:dyDescent="0.2">
      <c r="BO114" s="2">
        <v>8</v>
      </c>
      <c r="BP114" s="2">
        <f t="shared" si="65"/>
        <v>0.2280109043113217</v>
      </c>
      <c r="BQ114" s="2">
        <v>-3.6160993499802827E-2</v>
      </c>
      <c r="BR114" s="2">
        <f t="shared" si="66"/>
        <v>0.24985479073081324</v>
      </c>
      <c r="BS114" s="2">
        <v>3.3614608317071547E-2</v>
      </c>
      <c r="BT114" s="2">
        <f t="shared" si="57"/>
        <v>0.23893284752106747</v>
      </c>
      <c r="BU114" s="2">
        <v>-7.113877236684038E-4</v>
      </c>
      <c r="BV114" s="2">
        <f t="shared" si="58"/>
        <v>2.5724486851412679E-5</v>
      </c>
      <c r="BW114" s="2">
        <f t="shared" si="59"/>
        <v>-2.391301969268652E-5</v>
      </c>
      <c r="BX114" s="2">
        <f t="shared" si="60"/>
        <v>2.1843886419491532E-2</v>
      </c>
      <c r="BZ114" s="2">
        <v>8</v>
      </c>
      <c r="CA114" s="2">
        <f t="shared" si="67"/>
        <v>0.2280109043113217</v>
      </c>
      <c r="CB114" s="2">
        <v>-7.166596720592891E-2</v>
      </c>
      <c r="CC114" s="2">
        <f t="shared" si="68"/>
        <v>0.24985479073081324</v>
      </c>
      <c r="CD114" s="2">
        <v>1.628963736592879E-2</v>
      </c>
      <c r="CE114" s="2">
        <f t="shared" si="61"/>
        <v>0.23893284752106747</v>
      </c>
      <c r="CF114" s="2">
        <v>-2.7005243329162477E-2</v>
      </c>
      <c r="CG114" s="2">
        <f t="shared" si="62"/>
        <v>1.9353568828158886E-3</v>
      </c>
      <c r="CH114" s="2">
        <f t="shared" si="63"/>
        <v>-4.3990562081072426E-4</v>
      </c>
      <c r="CI114" s="2">
        <f t="shared" si="64"/>
        <v>2.1843886419491532E-2</v>
      </c>
    </row>
    <row r="115" spans="67:87" x14ac:dyDescent="0.2">
      <c r="BO115" s="2">
        <v>9</v>
      </c>
      <c r="BP115" s="2">
        <f t="shared" si="65"/>
        <v>0.23893284752106747</v>
      </c>
      <c r="BQ115" s="2">
        <v>-7.113877236684038E-4</v>
      </c>
      <c r="BR115" s="2">
        <f t="shared" si="66"/>
        <v>0.24985479073081324</v>
      </c>
      <c r="BS115" s="2">
        <v>3.3614608317071547E-2</v>
      </c>
      <c r="BT115" s="2">
        <f t="shared" si="57"/>
        <v>0.24439381912594035</v>
      </c>
      <c r="BU115" s="2">
        <v>1.6585223186052312E-2</v>
      </c>
      <c r="BV115" s="2">
        <f t="shared" si="58"/>
        <v>-1.1798524168858186E-5</v>
      </c>
      <c r="BW115" s="2">
        <f t="shared" si="59"/>
        <v>5.5750578125036195E-4</v>
      </c>
      <c r="BX115" s="2">
        <f t="shared" si="60"/>
        <v>1.0921943209745766E-2</v>
      </c>
      <c r="BZ115" s="2">
        <v>9</v>
      </c>
      <c r="CA115" s="2">
        <f t="shared" si="67"/>
        <v>0.23893284752106747</v>
      </c>
      <c r="CB115" s="2">
        <v>-2.7005243329162477E-2</v>
      </c>
      <c r="CC115" s="2">
        <f t="shared" si="68"/>
        <v>0.24985479073081324</v>
      </c>
      <c r="CD115" s="2">
        <v>1.628963736592879E-2</v>
      </c>
      <c r="CE115" s="2">
        <f t="shared" si="61"/>
        <v>0.24439381912594035</v>
      </c>
      <c r="CF115" s="2">
        <v>-5.1941101916412047E-3</v>
      </c>
      <c r="CG115" s="2">
        <f t="shared" si="62"/>
        <v>1.4026820960375347E-4</v>
      </c>
      <c r="CH115" s="2">
        <f t="shared" si="63"/>
        <v>-8.4610171460510115E-5</v>
      </c>
      <c r="CI115" s="2">
        <f t="shared" si="64"/>
        <v>1.0921943209745766E-2</v>
      </c>
    </row>
    <row r="116" spans="67:87" x14ac:dyDescent="0.2">
      <c r="BO116" s="2">
        <v>10</v>
      </c>
      <c r="BP116" s="2">
        <f t="shared" si="65"/>
        <v>0.23893284752106747</v>
      </c>
      <c r="BQ116" s="2">
        <v>-7.113877236684038E-4</v>
      </c>
      <c r="BR116" s="2">
        <f t="shared" si="66"/>
        <v>0.24439381912594035</v>
      </c>
      <c r="BS116" s="2">
        <v>1.6585223186052312E-2</v>
      </c>
      <c r="BT116" s="2">
        <f t="shared" si="57"/>
        <v>0.24166333332350393</v>
      </c>
      <c r="BU116" s="2">
        <v>7.9711263047368662E-3</v>
      </c>
      <c r="BV116" s="2">
        <f t="shared" si="58"/>
        <v>-5.6705613970000949E-6</v>
      </c>
      <c r="BW116" s="2">
        <f t="shared" si="59"/>
        <v>1.3220290880827337E-4</v>
      </c>
      <c r="BX116" s="2">
        <f t="shared" si="60"/>
        <v>5.4609716048728829E-3</v>
      </c>
      <c r="BZ116" s="2">
        <v>10</v>
      </c>
      <c r="CA116" s="2">
        <f t="shared" si="67"/>
        <v>0.24439381912594035</v>
      </c>
      <c r="CB116" s="2">
        <v>-5.1941101916412047E-3</v>
      </c>
      <c r="CC116" s="2">
        <f t="shared" si="68"/>
        <v>0.24985479073081324</v>
      </c>
      <c r="CD116" s="2">
        <v>1.628963736592879E-2</v>
      </c>
      <c r="CE116" s="2">
        <f t="shared" si="61"/>
        <v>0.24712430492837678</v>
      </c>
      <c r="CF116" s="2">
        <v>5.5878676384422121E-3</v>
      </c>
      <c r="CG116" s="2">
        <f t="shared" si="62"/>
        <v>-2.9024000250374766E-5</v>
      </c>
      <c r="CH116" s="2">
        <f t="shared" si="63"/>
        <v>9.1024337479032527E-5</v>
      </c>
      <c r="CI116" s="2">
        <f t="shared" si="64"/>
        <v>5.4609716048728829E-3</v>
      </c>
    </row>
    <row r="117" spans="67:87" x14ac:dyDescent="0.2">
      <c r="BO117" s="2">
        <v>11</v>
      </c>
      <c r="BP117" s="2">
        <f t="shared" si="65"/>
        <v>0.23893284752106747</v>
      </c>
      <c r="BQ117" s="2">
        <v>-7.113877236684038E-4</v>
      </c>
      <c r="BR117" s="2">
        <f t="shared" si="66"/>
        <v>0.24166333332350393</v>
      </c>
      <c r="BS117" s="2">
        <v>7.9711263047368662E-3</v>
      </c>
      <c r="BT117" s="2">
        <f t="shared" si="57"/>
        <v>0.2402980904222857</v>
      </c>
      <c r="BU117" s="2">
        <v>3.6385261949895241E-3</v>
      </c>
      <c r="BV117" s="2">
        <f t="shared" si="58"/>
        <v>-2.5884028673614565E-6</v>
      </c>
      <c r="BW117" s="2">
        <f t="shared" si="59"/>
        <v>2.9003151863355136E-5</v>
      </c>
      <c r="BX117" s="2">
        <f t="shared" si="60"/>
        <v>2.7304858024364553E-3</v>
      </c>
      <c r="BZ117" s="2">
        <v>11</v>
      </c>
      <c r="CA117" s="2">
        <f t="shared" si="67"/>
        <v>0.24439381912594035</v>
      </c>
      <c r="CB117" s="2">
        <v>-5.1941101916412047E-3</v>
      </c>
      <c r="CC117" s="2">
        <f t="shared" si="68"/>
        <v>0.24712430492837678</v>
      </c>
      <c r="CD117" s="2">
        <v>5.5878676384422121E-3</v>
      </c>
      <c r="CE117" s="2">
        <f t="shared" si="61"/>
        <v>0.24575906202715858</v>
      </c>
      <c r="CF117" s="2">
        <v>2.0700460962418468E-4</v>
      </c>
      <c r="CG117" s="2">
        <f t="shared" si="62"/>
        <v>-1.0752047525656867E-6</v>
      </c>
      <c r="CH117" s="2">
        <f t="shared" si="63"/>
        <v>1.1567143591273448E-6</v>
      </c>
      <c r="CI117" s="2">
        <f t="shared" si="64"/>
        <v>2.7304858024364276E-3</v>
      </c>
    </row>
    <row r="118" spans="67:87" x14ac:dyDescent="0.2">
      <c r="BO118" s="2">
        <v>12</v>
      </c>
      <c r="BP118" s="2">
        <f t="shared" si="65"/>
        <v>0.23893284752106747</v>
      </c>
      <c r="BQ118" s="2">
        <v>-7.113877236684038E-4</v>
      </c>
      <c r="BR118" s="2">
        <f t="shared" si="66"/>
        <v>0.2402980904222857</v>
      </c>
      <c r="BS118" s="2">
        <v>3.6385261949895241E-3</v>
      </c>
      <c r="BT118" s="2">
        <f t="shared" si="57"/>
        <v>0.23961546897167657</v>
      </c>
      <c r="BU118" s="2">
        <v>1.4657468242359889E-3</v>
      </c>
      <c r="BV118" s="2">
        <f t="shared" si="58"/>
        <v>-1.0427142967674321E-6</v>
      </c>
      <c r="BW118" s="2">
        <f t="shared" si="59"/>
        <v>5.333158215205351E-6</v>
      </c>
      <c r="BX118" s="2">
        <f t="shared" si="60"/>
        <v>1.3652429012182277E-3</v>
      </c>
      <c r="BZ118" s="2">
        <v>12</v>
      </c>
      <c r="CA118" s="2">
        <f t="shared" si="67"/>
        <v>0.24439381912594035</v>
      </c>
      <c r="CB118" s="2">
        <v>-5.1941101916412047E-3</v>
      </c>
      <c r="CC118" s="2">
        <f t="shared" si="68"/>
        <v>0.24575906202715858</v>
      </c>
      <c r="CD118" s="2">
        <v>2.0700460962418468E-4</v>
      </c>
      <c r="CE118" s="2">
        <f t="shared" si="61"/>
        <v>0.24507644057654948</v>
      </c>
      <c r="CF118" s="2">
        <v>-2.4910086199586012E-3</v>
      </c>
      <c r="CG118" s="2">
        <f t="shared" si="62"/>
        <v>1.2938573260393062E-5</v>
      </c>
      <c r="CH118" s="2">
        <f t="shared" si="63"/>
        <v>-5.1565026694500925E-7</v>
      </c>
      <c r="CI118" s="2">
        <f t="shared" si="64"/>
        <v>1.3652429012182277E-3</v>
      </c>
    </row>
    <row r="119" spans="67:87" x14ac:dyDescent="0.2">
      <c r="BO119" s="2">
        <v>13</v>
      </c>
      <c r="BP119" s="2">
        <f t="shared" si="65"/>
        <v>0.23893284752106747</v>
      </c>
      <c r="BQ119" s="2">
        <v>-7.113877236684038E-4</v>
      </c>
      <c r="BR119" s="2">
        <f t="shared" si="66"/>
        <v>0.23961546897167657</v>
      </c>
      <c r="BS119" s="2">
        <v>1.4657468242359889E-3</v>
      </c>
      <c r="BT119" s="2">
        <f t="shared" si="57"/>
        <v>0.23927415824637202</v>
      </c>
      <c r="BU119" s="2">
        <v>3.7772563482147553E-4</v>
      </c>
      <c r="BV119" s="2">
        <f t="shared" si="58"/>
        <v>-2.6870937952685222E-7</v>
      </c>
      <c r="BW119" s="2">
        <f t="shared" si="59"/>
        <v>5.5365014967210063E-7</v>
      </c>
      <c r="BX119" s="2">
        <f t="shared" si="60"/>
        <v>6.8262145060909996E-4</v>
      </c>
      <c r="BZ119" s="2">
        <v>13</v>
      </c>
      <c r="CA119" s="2">
        <f t="shared" si="67"/>
        <v>0.24507644057654948</v>
      </c>
      <c r="CB119" s="2">
        <v>-2.4910086199586012E-3</v>
      </c>
      <c r="CC119" s="2">
        <f t="shared" si="68"/>
        <v>0.24575906202715858</v>
      </c>
      <c r="CD119" s="2">
        <v>2.0700460962418468E-4</v>
      </c>
      <c r="CE119" s="2">
        <f t="shared" si="61"/>
        <v>0.24541775130185403</v>
      </c>
      <c r="CF119" s="2">
        <v>-1.1413675596161736E-3</v>
      </c>
      <c r="CG119" s="2">
        <f t="shared" si="62"/>
        <v>2.8431564295450013E-6</v>
      </c>
      <c r="CH119" s="2">
        <f t="shared" si="63"/>
        <v>-2.3626834611605436E-7</v>
      </c>
      <c r="CI119" s="2">
        <f t="shared" si="64"/>
        <v>6.8262145060909996E-4</v>
      </c>
    </row>
    <row r="120" spans="67:87" x14ac:dyDescent="0.2">
      <c r="BO120" s="2">
        <v>14</v>
      </c>
      <c r="BP120" s="2">
        <f t="shared" si="65"/>
        <v>0.23893284752106747</v>
      </c>
      <c r="BQ120" s="2">
        <v>-7.113877236684038E-4</v>
      </c>
      <c r="BR120" s="2">
        <f t="shared" si="66"/>
        <v>0.23927415824637202</v>
      </c>
      <c r="BS120" s="2">
        <v>3.7772563482147553E-4</v>
      </c>
      <c r="BT120" s="2">
        <f t="shared" si="57"/>
        <v>0.23910350288371973</v>
      </c>
      <c r="BU120" s="2">
        <v>-1.6669431128489912E-4</v>
      </c>
      <c r="BV120" s="2">
        <f t="shared" si="58"/>
        <v>1.185842866534367E-7</v>
      </c>
      <c r="BW120" s="2">
        <f t="shared" si="59"/>
        <v>-6.2964714551217176E-8</v>
      </c>
      <c r="BX120" s="2">
        <f t="shared" si="60"/>
        <v>3.4131072530454998E-4</v>
      </c>
      <c r="BZ120" s="2">
        <v>14</v>
      </c>
      <c r="CA120" s="2">
        <f t="shared" si="67"/>
        <v>0.24541775130185403</v>
      </c>
      <c r="CB120" s="2">
        <v>-1.1413675596161736E-3</v>
      </c>
      <c r="CC120" s="2">
        <f t="shared" si="68"/>
        <v>0.24575906202715858</v>
      </c>
      <c r="CD120" s="2">
        <v>2.0700460962418468E-4</v>
      </c>
      <c r="CE120" s="2">
        <f t="shared" si="61"/>
        <v>0.24558840666450632</v>
      </c>
      <c r="CF120" s="2">
        <v>-4.6702306239930144E-4</v>
      </c>
      <c r="CG120" s="2">
        <f t="shared" si="62"/>
        <v>5.3304497301516263E-7</v>
      </c>
      <c r="CH120" s="2">
        <f t="shared" si="63"/>
        <v>-9.6675926717458633E-8</v>
      </c>
      <c r="CI120" s="2">
        <f t="shared" si="64"/>
        <v>3.4131072530454998E-4</v>
      </c>
    </row>
    <row r="121" spans="67:87" x14ac:dyDescent="0.2">
      <c r="BO121" s="2">
        <v>15</v>
      </c>
      <c r="BP121" s="2">
        <f t="shared" si="65"/>
        <v>0.23910350288371973</v>
      </c>
      <c r="BQ121" s="2">
        <v>-1.6669431128489912E-4</v>
      </c>
      <c r="BR121" s="2">
        <f t="shared" si="66"/>
        <v>0.23927415824637202</v>
      </c>
      <c r="BS121" s="2">
        <v>3.7772563482147553E-4</v>
      </c>
      <c r="BT121" s="2">
        <f t="shared" si="57"/>
        <v>0.23918883056504586</v>
      </c>
      <c r="BU121" s="2">
        <v>1.0554981850383061E-4</v>
      </c>
      <c r="BV121" s="2">
        <f t="shared" si="58"/>
        <v>-1.7594554301742143E-8</v>
      </c>
      <c r="BW121" s="2">
        <f t="shared" si="59"/>
        <v>3.9868872199650943E-8</v>
      </c>
      <c r="BX121" s="2">
        <f t="shared" si="60"/>
        <v>1.7065536265228887E-4</v>
      </c>
      <c r="BZ121" s="2">
        <v>15</v>
      </c>
      <c r="CA121" s="2">
        <f t="shared" si="67"/>
        <v>0.24558840666450632</v>
      </c>
      <c r="CB121" s="2">
        <v>-4.6702306239930144E-4</v>
      </c>
      <c r="CC121" s="2">
        <f t="shared" si="68"/>
        <v>0.24575906202715858</v>
      </c>
      <c r="CD121" s="2">
        <v>2.0700460962418468E-4</v>
      </c>
      <c r="CE121" s="2">
        <f t="shared" si="61"/>
        <v>0.24567373434583245</v>
      </c>
      <c r="CF121" s="2">
        <v>-1.2996964803376615E-4</v>
      </c>
      <c r="CG121" s="2">
        <f t="shared" si="62"/>
        <v>6.0698823043688821E-8</v>
      </c>
      <c r="CH121" s="2">
        <f t="shared" si="63"/>
        <v>-2.6904316254222446E-8</v>
      </c>
      <c r="CI121" s="2">
        <f t="shared" si="64"/>
        <v>1.7065536265226111E-4</v>
      </c>
    </row>
    <row r="122" spans="67:87" x14ac:dyDescent="0.2">
      <c r="BO122" s="2">
        <v>16</v>
      </c>
      <c r="BP122" s="2">
        <f t="shared" si="65"/>
        <v>0.23910350288371973</v>
      </c>
      <c r="BQ122" s="2">
        <v>-1.6669431128489912E-4</v>
      </c>
      <c r="BR122" s="2">
        <f t="shared" si="66"/>
        <v>0.23918883056504586</v>
      </c>
      <c r="BS122" s="2">
        <v>1.0554981850383061E-4</v>
      </c>
      <c r="BT122" s="2">
        <f t="shared" si="57"/>
        <v>0.2391461667243828</v>
      </c>
      <c r="BU122" s="2">
        <v>-3.056370389102267E-5</v>
      </c>
      <c r="BV122" s="2">
        <f t="shared" si="58"/>
        <v>5.0947955704296154E-9</v>
      </c>
      <c r="BW122" s="2">
        <f t="shared" si="59"/>
        <v>-3.225993398502264E-9</v>
      </c>
      <c r="BX122" s="2">
        <f t="shared" si="60"/>
        <v>8.5327681326130556E-5</v>
      </c>
      <c r="BZ122" s="2">
        <v>16</v>
      </c>
      <c r="CA122" s="2">
        <f t="shared" si="67"/>
        <v>0.24567373434583245</v>
      </c>
      <c r="CB122" s="2">
        <v>-1.2996964803376615E-4</v>
      </c>
      <c r="CC122" s="2">
        <f t="shared" si="68"/>
        <v>0.24575906202715858</v>
      </c>
      <c r="CD122" s="2">
        <v>2.0700460962418468E-4</v>
      </c>
      <c r="CE122" s="2">
        <f t="shared" si="61"/>
        <v>0.24571639818649552</v>
      </c>
      <c r="CF122" s="2">
        <v>3.8527372287520262E-5</v>
      </c>
      <c r="CG122" s="2">
        <f t="shared" si="62"/>
        <v>-5.0073890158748844E-9</v>
      </c>
      <c r="CH122" s="2">
        <f t="shared" si="63"/>
        <v>7.9753436602237636E-9</v>
      </c>
      <c r="CI122" s="2">
        <f t="shared" si="64"/>
        <v>8.5327681326130556E-5</v>
      </c>
    </row>
    <row r="123" spans="67:87" x14ac:dyDescent="0.2">
      <c r="BO123" s="2">
        <v>17</v>
      </c>
      <c r="BP123" s="2">
        <f t="shared" si="65"/>
        <v>0.2391461667243828</v>
      </c>
      <c r="BQ123" s="2">
        <v>-3.056370389102267E-5</v>
      </c>
      <c r="BR123" s="2">
        <f t="shared" si="66"/>
        <v>0.23918883056504586</v>
      </c>
      <c r="BS123" s="2">
        <v>1.0554981850383061E-4</v>
      </c>
      <c r="BT123" s="2">
        <f t="shared" si="57"/>
        <v>0.23916749864471432</v>
      </c>
      <c r="BU123" s="2">
        <v>3.7495192516615733E-5</v>
      </c>
      <c r="BV123" s="2">
        <f t="shared" si="58"/>
        <v>-1.1459919614147323E-9</v>
      </c>
      <c r="BW123" s="2">
        <f t="shared" si="59"/>
        <v>3.9576107648949782E-9</v>
      </c>
      <c r="BX123" s="2">
        <f t="shared" si="60"/>
        <v>4.2663840663065278E-5</v>
      </c>
      <c r="BZ123" s="2">
        <v>17</v>
      </c>
      <c r="CA123" s="2">
        <f t="shared" si="67"/>
        <v>0.24567373434583245</v>
      </c>
      <c r="CB123" s="2">
        <v>-1.2996964803376615E-4</v>
      </c>
      <c r="CC123" s="2">
        <f t="shared" si="68"/>
        <v>0.24571639818649552</v>
      </c>
      <c r="CD123" s="2">
        <v>3.8527372287520262E-5</v>
      </c>
      <c r="CE123" s="2">
        <f t="shared" si="61"/>
        <v>0.245695066266164</v>
      </c>
      <c r="CF123" s="2">
        <v>-4.5718664613132037E-5</v>
      </c>
      <c r="CG123" s="2">
        <f t="shared" si="62"/>
        <v>5.9420387483425702E-9</v>
      </c>
      <c r="CH123" s="2">
        <f t="shared" si="63"/>
        <v>-1.7614200120384166E-9</v>
      </c>
      <c r="CI123" s="2">
        <f t="shared" si="64"/>
        <v>4.2663840663065278E-5</v>
      </c>
    </row>
    <row r="124" spans="67:87" x14ac:dyDescent="0.2">
      <c r="BO124" s="2">
        <v>18</v>
      </c>
      <c r="BP124" s="2">
        <f t="shared" si="65"/>
        <v>0.2391461667243828</v>
      </c>
      <c r="BQ124" s="2">
        <v>-3.056370389102267E-5</v>
      </c>
      <c r="BR124" s="2">
        <f t="shared" si="66"/>
        <v>0.23916749864471432</v>
      </c>
      <c r="BS124" s="2">
        <v>3.7495192516615733E-5</v>
      </c>
      <c r="BT124" s="2">
        <f t="shared" si="57"/>
        <v>0.23915683268454857</v>
      </c>
      <c r="BU124" s="2">
        <v>3.4662781672432919E-6</v>
      </c>
      <c r="BV124" s="2">
        <f t="shared" si="58"/>
        <v>-1.0594229950754073E-10</v>
      </c>
      <c r="BW124" s="2">
        <f t="shared" si="59"/>
        <v>1.2996876719692917E-10</v>
      </c>
      <c r="BX124" s="2">
        <f t="shared" si="60"/>
        <v>2.1331920331518761E-5</v>
      </c>
      <c r="BZ124" s="2">
        <v>18</v>
      </c>
      <c r="CA124" s="2">
        <f t="shared" si="67"/>
        <v>0.245695066266164</v>
      </c>
      <c r="CB124" s="2">
        <v>-4.5718664613132037E-5</v>
      </c>
      <c r="CC124" s="2">
        <f t="shared" si="68"/>
        <v>0.24571639818649552</v>
      </c>
      <c r="CD124" s="2">
        <v>3.8527372287520262E-5</v>
      </c>
      <c r="CE124" s="2">
        <f t="shared" si="61"/>
        <v>0.24570573222632974</v>
      </c>
      <c r="CF124" s="2">
        <v>-3.5950278962706972E-6</v>
      </c>
      <c r="CG124" s="2">
        <f t="shared" si="62"/>
        <v>1.6435987466445364E-10</v>
      </c>
      <c r="CH124" s="2">
        <f t="shared" si="63"/>
        <v>-1.3850697814364193E-10</v>
      </c>
      <c r="CI124" s="2">
        <f t="shared" si="64"/>
        <v>2.1331920331518761E-5</v>
      </c>
    </row>
    <row r="125" spans="67:87" x14ac:dyDescent="0.2">
      <c r="BO125" s="2">
        <v>19</v>
      </c>
      <c r="BP125" s="2">
        <f t="shared" si="65"/>
        <v>0.2391461667243828</v>
      </c>
      <c r="BQ125" s="2">
        <v>-3.056370389102267E-5</v>
      </c>
      <c r="BR125" s="2">
        <f t="shared" si="66"/>
        <v>0.23915683268454857</v>
      </c>
      <c r="BS125" s="2">
        <v>3.4662781672432919E-6</v>
      </c>
      <c r="BT125" s="2">
        <f t="shared" si="57"/>
        <v>0.2391514997044657</v>
      </c>
      <c r="BU125" s="2">
        <v>-1.3548579391786664E-5</v>
      </c>
      <c r="BV125" s="2">
        <f t="shared" si="58"/>
        <v>4.1409476867457962E-10</v>
      </c>
      <c r="BW125" s="2">
        <f t="shared" si="59"/>
        <v>-4.696314494291251E-11</v>
      </c>
      <c r="BX125" s="2">
        <f t="shared" si="60"/>
        <v>1.0665960165773258E-5</v>
      </c>
      <c r="BZ125" s="2">
        <v>19</v>
      </c>
      <c r="CA125" s="2">
        <f t="shared" si="67"/>
        <v>0.24570573222632974</v>
      </c>
      <c r="CB125" s="2">
        <v>-3.5950278962706972E-6</v>
      </c>
      <c r="CC125" s="2">
        <f t="shared" si="68"/>
        <v>0.24571639818649552</v>
      </c>
      <c r="CD125" s="2">
        <v>3.8527372287520262E-5</v>
      </c>
      <c r="CE125" s="2">
        <f t="shared" si="61"/>
        <v>0.24571106520641262</v>
      </c>
      <c r="CF125" s="2">
        <v>1.746632675620266E-5</v>
      </c>
      <c r="CG125" s="2">
        <f t="shared" si="62"/>
        <v>-6.2791931933927838E-11</v>
      </c>
      <c r="CH125" s="2">
        <f t="shared" si="63"/>
        <v>6.7293167343169605E-10</v>
      </c>
      <c r="CI125" s="2">
        <f t="shared" si="64"/>
        <v>1.0665960165773258E-5</v>
      </c>
    </row>
    <row r="126" spans="67:87" x14ac:dyDescent="0.2">
      <c r="BO126" s="2">
        <v>20</v>
      </c>
      <c r="BP126" s="2">
        <f t="shared" si="65"/>
        <v>0.2391514997044657</v>
      </c>
      <c r="BQ126" s="2">
        <v>-1.3548579391786664E-5</v>
      </c>
      <c r="BR126" s="2">
        <f t="shared" si="66"/>
        <v>0.23915683268454857</v>
      </c>
      <c r="BS126" s="2">
        <v>3.4662781672432919E-6</v>
      </c>
      <c r="BT126" s="2">
        <f t="shared" si="57"/>
        <v>0.23915416619450713</v>
      </c>
      <c r="BU126" s="2">
        <v>-5.0411172454814523E-6</v>
      </c>
      <c r="BV126" s="2">
        <f t="shared" si="58"/>
        <v>6.8299977223710356E-11</v>
      </c>
      <c r="BW126" s="2">
        <f t="shared" si="59"/>
        <v>-1.7473914646526001E-11</v>
      </c>
      <c r="BX126" s="2">
        <f t="shared" si="60"/>
        <v>5.3329800828727514E-6</v>
      </c>
      <c r="BZ126" s="2">
        <v>20</v>
      </c>
      <c r="CA126" s="2">
        <f t="shared" si="67"/>
        <v>0.24570573222632974</v>
      </c>
      <c r="CB126" s="2">
        <v>-3.5950278962706972E-6</v>
      </c>
      <c r="CC126" s="2">
        <f t="shared" si="68"/>
        <v>0.24571106520641262</v>
      </c>
      <c r="CD126" s="2">
        <v>1.746632675620266E-5</v>
      </c>
      <c r="CE126" s="2">
        <f t="shared" si="61"/>
        <v>0.24570839871637118</v>
      </c>
      <c r="CF126" s="2">
        <v>6.9356880708047741E-6</v>
      </c>
      <c r="CG126" s="2">
        <f t="shared" si="62"/>
        <v>-2.4933992094375058E-11</v>
      </c>
      <c r="CH126" s="2">
        <f t="shared" si="63"/>
        <v>1.2114099412377303E-10</v>
      </c>
      <c r="CI126" s="2">
        <f t="shared" si="64"/>
        <v>5.3329800828727514E-6</v>
      </c>
    </row>
    <row r="127" spans="67:87" x14ac:dyDescent="0.2">
      <c r="BO127" s="2">
        <v>21</v>
      </c>
      <c r="BP127" s="2">
        <f t="shared" si="65"/>
        <v>0.23915416619450713</v>
      </c>
      <c r="BQ127" s="2">
        <v>-5.0411172454814523E-6</v>
      </c>
      <c r="BR127" s="2">
        <f t="shared" si="66"/>
        <v>0.23915683268454857</v>
      </c>
      <c r="BS127" s="2">
        <v>3.4662781672432919E-6</v>
      </c>
      <c r="BT127" s="2">
        <f t="shared" si="57"/>
        <v>0.23915549943952785</v>
      </c>
      <c r="BU127" s="2">
        <v>-7.8741119761971401E-7</v>
      </c>
      <c r="BV127" s="2">
        <f t="shared" si="58"/>
        <v>3.9694321676059444E-12</v>
      </c>
      <c r="BW127" s="2">
        <f t="shared" si="59"/>
        <v>-2.729386242952108E-12</v>
      </c>
      <c r="BX127" s="2">
        <f t="shared" si="60"/>
        <v>2.6664900414363757E-6</v>
      </c>
      <c r="BZ127" s="2">
        <v>21</v>
      </c>
      <c r="CA127" s="2">
        <f t="shared" si="67"/>
        <v>0.24570573222632974</v>
      </c>
      <c r="CB127" s="2">
        <v>-3.5950278962706972E-6</v>
      </c>
      <c r="CC127" s="2">
        <f t="shared" si="68"/>
        <v>0.24570839871637118</v>
      </c>
      <c r="CD127" s="2">
        <v>6.9356880708047741E-6</v>
      </c>
      <c r="CE127" s="2">
        <f t="shared" si="61"/>
        <v>0.24570706547135046</v>
      </c>
      <c r="CF127" s="2">
        <v>1.6703397476593163E-6</v>
      </c>
      <c r="CG127" s="2">
        <f t="shared" si="62"/>
        <v>-6.0049179890849987E-12</v>
      </c>
      <c r="CH127" s="2">
        <f t="shared" si="63"/>
        <v>1.1584955462031776E-11</v>
      </c>
      <c r="CI127" s="2">
        <f t="shared" si="64"/>
        <v>2.6664900414363757E-6</v>
      </c>
    </row>
    <row r="128" spans="67:87" x14ac:dyDescent="0.2">
      <c r="BO128" s="2">
        <v>22</v>
      </c>
      <c r="BP128" s="2">
        <f t="shared" si="65"/>
        <v>0.23915549943952785</v>
      </c>
      <c r="BQ128" s="2">
        <v>-7.8741119761971401E-7</v>
      </c>
      <c r="BR128" s="2">
        <f t="shared" si="66"/>
        <v>0.23915683268454857</v>
      </c>
      <c r="BS128" s="2">
        <v>3.4662781672432919E-6</v>
      </c>
      <c r="BT128" s="2">
        <f t="shared" si="57"/>
        <v>0.23915616606203821</v>
      </c>
      <c r="BU128" s="2">
        <v>1.3394355701419614E-6</v>
      </c>
      <c r="BV128" s="2">
        <f t="shared" si="58"/>
        <v>-1.0546865664199262E-12</v>
      </c>
      <c r="BW128" s="2">
        <f t="shared" si="59"/>
        <v>4.6428562732121514E-12</v>
      </c>
      <c r="BX128" s="2">
        <f t="shared" si="60"/>
        <v>1.3332450207181878E-6</v>
      </c>
      <c r="BZ128" s="2">
        <v>22</v>
      </c>
      <c r="CA128" s="2">
        <f t="shared" si="67"/>
        <v>0.24570573222632974</v>
      </c>
      <c r="CB128" s="2">
        <v>-3.5950278962706972E-6</v>
      </c>
      <c r="CC128" s="2">
        <f t="shared" si="68"/>
        <v>0.24570706547135046</v>
      </c>
      <c r="CD128" s="2">
        <v>1.6703397476593163E-6</v>
      </c>
      <c r="CE128" s="2">
        <f t="shared" si="61"/>
        <v>0.2457063988488401</v>
      </c>
      <c r="CF128" s="2">
        <v>-9.6234165911437963E-7</v>
      </c>
      <c r="CG128" s="2">
        <f t="shared" si="62"/>
        <v>3.4596451102596206E-12</v>
      </c>
      <c r="CH128" s="2">
        <f t="shared" si="63"/>
        <v>-1.6074375240471607E-12</v>
      </c>
      <c r="CI128" s="2">
        <f t="shared" si="64"/>
        <v>1.3332450207181878E-6</v>
      </c>
    </row>
    <row r="129" spans="67:87" x14ac:dyDescent="0.2">
      <c r="BO129" s="2">
        <v>23</v>
      </c>
      <c r="BP129" s="2">
        <f t="shared" si="65"/>
        <v>0.23915549943952785</v>
      </c>
      <c r="BQ129" s="2">
        <v>-7.8741119761971401E-7</v>
      </c>
      <c r="BR129" s="2">
        <f t="shared" si="66"/>
        <v>0.23915616606203821</v>
      </c>
      <c r="BS129" s="2">
        <v>1.3394355701419614E-6</v>
      </c>
      <c r="BT129" s="2">
        <f t="shared" si="57"/>
        <v>0.23915583275078303</v>
      </c>
      <c r="BU129" s="2">
        <v>2.7601270761318242E-7</v>
      </c>
      <c r="BV129" s="2">
        <f t="shared" si="58"/>
        <v>-2.1733549665995592E-13</v>
      </c>
      <c r="BW129" s="2">
        <f t="shared" si="59"/>
        <v>3.6970123838828948E-13</v>
      </c>
      <c r="BX129" s="2">
        <f t="shared" si="60"/>
        <v>6.6662251035909392E-7</v>
      </c>
      <c r="BZ129" s="2">
        <v>23</v>
      </c>
      <c r="CA129" s="2">
        <f t="shared" si="67"/>
        <v>0.2457063988488401</v>
      </c>
      <c r="CB129" s="2">
        <v>-9.6234165911437963E-7</v>
      </c>
      <c r="CC129" s="2">
        <f t="shared" si="68"/>
        <v>0.24570706547135046</v>
      </c>
      <c r="CD129" s="2">
        <v>1.6703397476593163E-6</v>
      </c>
      <c r="CE129" s="2">
        <f t="shared" si="61"/>
        <v>0.24570673216009528</v>
      </c>
      <c r="CF129" s="2">
        <v>3.5399964797705463E-7</v>
      </c>
      <c r="CG129" s="2">
        <f t="shared" si="62"/>
        <v>-3.4066860856014511E-13</v>
      </c>
      <c r="CH129" s="2">
        <f t="shared" si="63"/>
        <v>5.9129968267348023E-13</v>
      </c>
      <c r="CI129" s="2">
        <f t="shared" si="64"/>
        <v>6.6662251035909392E-7</v>
      </c>
    </row>
    <row r="130" spans="67:87" x14ac:dyDescent="0.2">
      <c r="BO130" s="2">
        <v>24</v>
      </c>
      <c r="BP130" s="2">
        <f t="shared" si="65"/>
        <v>0.23915549943952785</v>
      </c>
      <c r="BQ130" s="2">
        <v>-7.8741119761971401E-7</v>
      </c>
      <c r="BR130" s="2">
        <f t="shared" si="66"/>
        <v>0.23915583275078303</v>
      </c>
      <c r="BS130" s="2">
        <v>2.7601270761318242E-7</v>
      </c>
      <c r="BT130" s="2">
        <f t="shared" si="57"/>
        <v>0.23915566609515543</v>
      </c>
      <c r="BU130" s="2">
        <v>-2.5569911469430773E-7</v>
      </c>
      <c r="BV130" s="2">
        <f t="shared" si="58"/>
        <v>2.0134034613174546E-13</v>
      </c>
      <c r="BW130" s="2">
        <f t="shared" si="59"/>
        <v>-7.0576204981069556E-14</v>
      </c>
      <c r="BX130" s="2">
        <f t="shared" si="60"/>
        <v>3.3331125517954696E-7</v>
      </c>
      <c r="BZ130" s="2">
        <v>24</v>
      </c>
      <c r="CA130" s="2">
        <f t="shared" si="67"/>
        <v>0.2457063988488401</v>
      </c>
      <c r="CB130" s="2">
        <v>-9.6234165911437963E-7</v>
      </c>
      <c r="CC130" s="2">
        <f t="shared" si="68"/>
        <v>0.24570673216009528</v>
      </c>
      <c r="CD130" s="2">
        <v>3.5399964797705463E-7</v>
      </c>
      <c r="CE130" s="2">
        <f t="shared" si="61"/>
        <v>0.24570656550446768</v>
      </c>
      <c r="CF130" s="2">
        <v>-3.041708546112909E-7</v>
      </c>
      <c r="CG130" s="2">
        <f t="shared" si="62"/>
        <v>2.9271628488086842E-13</v>
      </c>
      <c r="CH130" s="2">
        <f t="shared" si="63"/>
        <v>-1.0767637545727685E-13</v>
      </c>
      <c r="CI130" s="2">
        <f t="shared" si="64"/>
        <v>3.3331125517954696E-7</v>
      </c>
    </row>
    <row r="131" spans="67:87" x14ac:dyDescent="0.2">
      <c r="BO131" s="2">
        <v>25</v>
      </c>
      <c r="BP131" s="2">
        <f t="shared" si="65"/>
        <v>0.23915566609515543</v>
      </c>
      <c r="BQ131" s="2">
        <v>-2.5569911469430773E-7</v>
      </c>
      <c r="BR131" s="2">
        <f t="shared" si="66"/>
        <v>0.23915583275078303</v>
      </c>
      <c r="BS131" s="2">
        <v>2.7601270761318242E-7</v>
      </c>
      <c r="BT131" s="2">
        <f t="shared" si="57"/>
        <v>0.23915574942296924</v>
      </c>
      <c r="BU131" s="2">
        <v>1.0156829120810951E-8</v>
      </c>
      <c r="BV131" s="2">
        <f t="shared" si="58"/>
        <v>-2.597092214292724E-15</v>
      </c>
      <c r="BW131" s="2">
        <f t="shared" si="59"/>
        <v>2.8034139063994495E-15</v>
      </c>
      <c r="BX131" s="2">
        <f t="shared" si="60"/>
        <v>1.6665562760365127E-7</v>
      </c>
      <c r="BZ131" s="2">
        <v>25</v>
      </c>
      <c r="CA131" s="2">
        <f t="shared" si="67"/>
        <v>0.24570656550446768</v>
      </c>
      <c r="CB131" s="2">
        <v>-3.041708546112909E-7</v>
      </c>
      <c r="CC131" s="2">
        <f t="shared" si="68"/>
        <v>0.24570673216009528</v>
      </c>
      <c r="CD131" s="2">
        <v>3.5399964797705463E-7</v>
      </c>
      <c r="CE131" s="2">
        <f t="shared" si="61"/>
        <v>0.24570664883228149</v>
      </c>
      <c r="CF131" s="2">
        <v>2.4914434459955004E-8</v>
      </c>
      <c r="CG131" s="2">
        <f t="shared" si="62"/>
        <v>-7.5782448218415088E-15</v>
      </c>
      <c r="CH131" s="2">
        <f t="shared" si="63"/>
        <v>8.81970102837147E-15</v>
      </c>
      <c r="CI131" s="2">
        <f t="shared" si="64"/>
        <v>1.6665562760365127E-7</v>
      </c>
    </row>
    <row r="132" spans="67:87" x14ac:dyDescent="0.2">
      <c r="BO132" s="2">
        <v>26</v>
      </c>
      <c r="BP132" s="2">
        <f t="shared" si="65"/>
        <v>0.23915566609515543</v>
      </c>
      <c r="BQ132" s="2">
        <v>-2.5569911469430773E-7</v>
      </c>
      <c r="BR132" s="2">
        <f t="shared" si="66"/>
        <v>0.23915574942296924</v>
      </c>
      <c r="BS132" s="2">
        <v>1.0156829120810951E-8</v>
      </c>
      <c r="BT132" s="2">
        <f t="shared" si="57"/>
        <v>0.23915570775906234</v>
      </c>
      <c r="BU132" s="2">
        <v>-1.2277113473416201E-7</v>
      </c>
      <c r="BV132" s="2">
        <f t="shared" si="58"/>
        <v>3.1392470461540803E-14</v>
      </c>
      <c r="BW132" s="2">
        <f t="shared" si="59"/>
        <v>-1.2469654364629416E-15</v>
      </c>
      <c r="BX132" s="2">
        <f t="shared" si="60"/>
        <v>8.3327813815703422E-8</v>
      </c>
      <c r="BZ132" s="2">
        <v>26</v>
      </c>
      <c r="CA132" s="2">
        <f t="shared" si="67"/>
        <v>0.24570656550446768</v>
      </c>
      <c r="CB132" s="2">
        <v>-3.041708546112909E-7</v>
      </c>
      <c r="CC132" s="2">
        <f t="shared" si="68"/>
        <v>0.24570664883228149</v>
      </c>
      <c r="CD132" s="2">
        <v>2.4914434459955004E-8</v>
      </c>
      <c r="CE132" s="2">
        <f t="shared" si="61"/>
        <v>0.24570660716837459</v>
      </c>
      <c r="CF132" s="2">
        <v>-1.3962820064050696E-7</v>
      </c>
      <c r="CG132" s="2">
        <f t="shared" si="62"/>
        <v>4.2470829116659796E-14</v>
      </c>
      <c r="CH132" s="2">
        <f t="shared" si="63"/>
        <v>-3.4787576536193579E-15</v>
      </c>
      <c r="CI132" s="2">
        <f t="shared" si="64"/>
        <v>8.3327813815703422E-8</v>
      </c>
    </row>
    <row r="133" spans="67:87" x14ac:dyDescent="0.2">
      <c r="BO133" s="2">
        <v>27</v>
      </c>
      <c r="BP133" s="2">
        <f t="shared" si="65"/>
        <v>0.23915570775906234</v>
      </c>
      <c r="BQ133" s="2">
        <v>-1.2277113473416201E-7</v>
      </c>
      <c r="BR133" s="2">
        <f t="shared" si="66"/>
        <v>0.23915574942296924</v>
      </c>
      <c r="BS133" s="2">
        <v>1.0156829120810951E-8</v>
      </c>
      <c r="BT133" s="2">
        <f t="shared" si="57"/>
        <v>0.2391557285910158</v>
      </c>
      <c r="BU133" s="2">
        <v>-5.6307150712864296E-8</v>
      </c>
      <c r="BV133" s="2">
        <f t="shared" si="58"/>
        <v>6.9128927866658294E-15</v>
      </c>
      <c r="BW133" s="2">
        <f t="shared" si="59"/>
        <v>-5.7190210807031113E-16</v>
      </c>
      <c r="BX133" s="2">
        <f t="shared" si="60"/>
        <v>4.1663906907851711E-8</v>
      </c>
      <c r="BZ133" s="2">
        <v>27</v>
      </c>
      <c r="CA133" s="2">
        <f t="shared" si="67"/>
        <v>0.24570660716837459</v>
      </c>
      <c r="CB133" s="2">
        <v>-1.3962820064050696E-7</v>
      </c>
      <c r="CC133" s="2">
        <f t="shared" si="68"/>
        <v>0.24570664883228149</v>
      </c>
      <c r="CD133" s="2">
        <v>2.4914434459955004E-8</v>
      </c>
      <c r="CE133" s="2">
        <f t="shared" si="61"/>
        <v>0.24570662800032805</v>
      </c>
      <c r="CF133" s="2">
        <v>-5.73568806755409E-8</v>
      </c>
      <c r="CG133" s="2">
        <f t="shared" si="62"/>
        <v>8.0086380430780416E-15</v>
      </c>
      <c r="CH133" s="2">
        <f t="shared" si="63"/>
        <v>-1.4290142444182235E-15</v>
      </c>
      <c r="CI133" s="2">
        <f t="shared" si="64"/>
        <v>4.1663906907851711E-8</v>
      </c>
    </row>
    <row r="134" spans="67:87" x14ac:dyDescent="0.2">
      <c r="BO134" s="2">
        <v>28</v>
      </c>
      <c r="BP134" s="2">
        <f t="shared" si="65"/>
        <v>0.2391557285910158</v>
      </c>
      <c r="BQ134" s="2">
        <v>-5.6307150712864296E-8</v>
      </c>
      <c r="BR134" s="2">
        <f t="shared" si="66"/>
        <v>0.23915574942296924</v>
      </c>
      <c r="BS134" s="2">
        <v>1.0156829120810951E-8</v>
      </c>
      <c r="BT134" s="2">
        <f t="shared" si="57"/>
        <v>0.23915573900699252</v>
      </c>
      <c r="BU134" s="2">
        <v>-2.3075160306834652E-8</v>
      </c>
      <c r="BV134" s="2">
        <f t="shared" si="58"/>
        <v>1.2992965291204426E-15</v>
      </c>
      <c r="BW134" s="2">
        <f t="shared" si="59"/>
        <v>-2.3437046017183916E-16</v>
      </c>
      <c r="BX134" s="2">
        <f t="shared" si="60"/>
        <v>2.0831953440048068E-8</v>
      </c>
      <c r="BZ134" s="2">
        <v>28</v>
      </c>
      <c r="CA134" s="2">
        <f t="shared" si="67"/>
        <v>0.24570662800032805</v>
      </c>
      <c r="CB134" s="2">
        <v>-5.73568806755409E-8</v>
      </c>
      <c r="CC134" s="2">
        <f t="shared" si="68"/>
        <v>0.24570664883228149</v>
      </c>
      <c r="CD134" s="2">
        <v>2.4914434459955004E-8</v>
      </c>
      <c r="CE134" s="2">
        <f t="shared" si="61"/>
        <v>0.24570663841630477</v>
      </c>
      <c r="CF134" s="2">
        <v>-1.6221222570028671E-8</v>
      </c>
      <c r="CG134" s="2">
        <f t="shared" si="62"/>
        <v>9.3039872736052537E-16</v>
      </c>
      <c r="CH134" s="2">
        <f t="shared" si="63"/>
        <v>-4.041425865813222E-16</v>
      </c>
      <c r="CI134" s="2">
        <f t="shared" si="64"/>
        <v>2.0831953440048068E-8</v>
      </c>
    </row>
    <row r="135" spans="67:87" x14ac:dyDescent="0.2">
      <c r="BO135" s="2">
        <v>29</v>
      </c>
      <c r="BP135" s="2">
        <f t="shared" si="65"/>
        <v>0.23915573900699252</v>
      </c>
      <c r="BQ135" s="2">
        <v>-2.3075160306834652E-8</v>
      </c>
      <c r="BR135" s="2">
        <f t="shared" si="66"/>
        <v>0.23915574942296924</v>
      </c>
      <c r="BS135" s="2">
        <v>1.0156829120810951E-8</v>
      </c>
      <c r="BT135" s="2">
        <f t="shared" si="57"/>
        <v>0.23915574421498087</v>
      </c>
      <c r="BU135" s="2">
        <v>-6.4591655218881883E-9</v>
      </c>
      <c r="BV135" s="2">
        <f t="shared" si="58"/>
        <v>1.4904627986594924E-16</v>
      </c>
      <c r="BW135" s="2">
        <f t="shared" si="59"/>
        <v>-6.5604640468852008E-17</v>
      </c>
      <c r="BX135" s="2">
        <f t="shared" si="60"/>
        <v>1.0415976720024034E-8</v>
      </c>
      <c r="BZ135" s="2">
        <v>29</v>
      </c>
      <c r="CA135" s="2">
        <f t="shared" si="67"/>
        <v>0.24570663841630477</v>
      </c>
      <c r="CB135" s="2">
        <v>-1.6221222570028671E-8</v>
      </c>
      <c r="CC135" s="2">
        <f t="shared" si="68"/>
        <v>0.24570664883228149</v>
      </c>
      <c r="CD135" s="2">
        <v>2.4914434459955004E-8</v>
      </c>
      <c r="CE135" s="2">
        <f t="shared" si="61"/>
        <v>0.24570664362429312</v>
      </c>
      <c r="CF135" s="2">
        <v>4.3466060854757682E-9</v>
      </c>
      <c r="CG135" s="2">
        <f t="shared" si="62"/>
        <v>-7.0507264736743506E-17</v>
      </c>
      <c r="CH135" s="2">
        <f t="shared" si="63"/>
        <v>1.082932324398276E-16</v>
      </c>
      <c r="CI135" s="2">
        <f t="shared" si="64"/>
        <v>1.0415976720024034E-8</v>
      </c>
    </row>
    <row r="136" spans="67:87" x14ac:dyDescent="0.2">
      <c r="BO136" s="2">
        <v>30</v>
      </c>
      <c r="BP136" s="2">
        <f t="shared" si="65"/>
        <v>0.23915574421498087</v>
      </c>
      <c r="BQ136" s="2">
        <v>-6.4591655218881883E-9</v>
      </c>
      <c r="BR136" s="2">
        <f t="shared" si="66"/>
        <v>0.23915574942296924</v>
      </c>
      <c r="BS136" s="2">
        <v>1.0156829120810951E-8</v>
      </c>
      <c r="BT136" s="5">
        <f t="shared" si="57"/>
        <v>0.23915574681897506</v>
      </c>
      <c r="BU136" s="2">
        <v>1.848831813339169E-9</v>
      </c>
      <c r="BV136" s="2">
        <f t="shared" si="58"/>
        <v>-1.1941910704490379E-17</v>
      </c>
      <c r="BW136" s="2">
        <f t="shared" si="59"/>
        <v>1.8778268801204987E-17</v>
      </c>
      <c r="BX136" s="2">
        <f t="shared" si="60"/>
        <v>5.2079883738898047E-9</v>
      </c>
      <c r="BZ136" s="2">
        <v>30</v>
      </c>
      <c r="CA136" s="2">
        <f t="shared" si="67"/>
        <v>0.24570663841630477</v>
      </c>
      <c r="CB136" s="2">
        <v>-1.6221222570028671E-8</v>
      </c>
      <c r="CC136" s="2">
        <f t="shared" si="68"/>
        <v>0.24570664362429312</v>
      </c>
      <c r="CD136" s="2">
        <v>4.3466060854757682E-9</v>
      </c>
      <c r="CE136" s="5">
        <f t="shared" si="61"/>
        <v>0.24570664102029893</v>
      </c>
      <c r="CF136" s="2">
        <v>-5.9373082665625798E-9</v>
      </c>
      <c r="CG136" s="2">
        <f t="shared" si="62"/>
        <v>9.6310398858782719E-17</v>
      </c>
      <c r="CH136" s="2">
        <f t="shared" si="63"/>
        <v>-2.5807140242786495E-17</v>
      </c>
      <c r="CI136" s="2">
        <f t="shared" si="64"/>
        <v>5.2079883461342291E-9</v>
      </c>
    </row>
  </sheetData>
  <mergeCells count="86">
    <mergeCell ref="BB52:BD52"/>
    <mergeCell ref="J41:L41"/>
    <mergeCell ref="B46:D46"/>
    <mergeCell ref="F22:H22"/>
    <mergeCell ref="B49:D49"/>
    <mergeCell ref="B54:D54"/>
    <mergeCell ref="AV47:AW47"/>
    <mergeCell ref="AV48:AX48"/>
    <mergeCell ref="AU50:AU52"/>
    <mergeCell ref="AV52:AX52"/>
    <mergeCell ref="AY52:BA52"/>
    <mergeCell ref="BO104:BX104"/>
    <mergeCell ref="BZ104:CI104"/>
    <mergeCell ref="B65:D65"/>
    <mergeCell ref="AF47:AI47"/>
    <mergeCell ref="AY43:AZ43"/>
    <mergeCell ref="AQ44:AS44"/>
    <mergeCell ref="BG60:BI60"/>
    <mergeCell ref="BK60:BM60"/>
    <mergeCell ref="BO70:BX70"/>
    <mergeCell ref="BZ70:CI70"/>
    <mergeCell ref="B77:D77"/>
    <mergeCell ref="B71:D71"/>
    <mergeCell ref="AY55:BA55"/>
    <mergeCell ref="BB55:BD55"/>
    <mergeCell ref="AY48:BA48"/>
    <mergeCell ref="BB48:BD48"/>
    <mergeCell ref="BZ2:CI2"/>
    <mergeCell ref="AY3:BA3"/>
    <mergeCell ref="BC3:BE3"/>
    <mergeCell ref="BG3:BI3"/>
    <mergeCell ref="BK3:BM3"/>
    <mergeCell ref="BG2:BM2"/>
    <mergeCell ref="BO2:BX2"/>
    <mergeCell ref="BO36:BX36"/>
    <mergeCell ref="BZ36:CI36"/>
    <mergeCell ref="AV41:AW41"/>
    <mergeCell ref="BG41:BI41"/>
    <mergeCell ref="BK41:BM41"/>
    <mergeCell ref="AQ11:AQ18"/>
    <mergeCell ref="AY12:BA12"/>
    <mergeCell ref="BC12:BE12"/>
    <mergeCell ref="BK22:BM22"/>
    <mergeCell ref="AU23:AU29"/>
    <mergeCell ref="AV23:AW23"/>
    <mergeCell ref="AV24:AW24"/>
    <mergeCell ref="AV25:AW25"/>
    <mergeCell ref="AV26:AW26"/>
    <mergeCell ref="BG22:BI22"/>
    <mergeCell ref="AV27:AW27"/>
    <mergeCell ref="AV28:AW28"/>
    <mergeCell ref="AV29:AW29"/>
    <mergeCell ref="AU14:AW14"/>
    <mergeCell ref="AU22:AW22"/>
    <mergeCell ref="B60:D60"/>
    <mergeCell ref="B21:D21"/>
    <mergeCell ref="BC30:BE30"/>
    <mergeCell ref="AQ35:AQ42"/>
    <mergeCell ref="B40:D40"/>
    <mergeCell ref="AV42:AX42"/>
    <mergeCell ref="AY42:BB42"/>
    <mergeCell ref="BC42:BE42"/>
    <mergeCell ref="AQ27:AQ34"/>
    <mergeCell ref="AV30:AW30"/>
    <mergeCell ref="AY30:BA30"/>
    <mergeCell ref="AQ19:AQ26"/>
    <mergeCell ref="AY21:BA21"/>
    <mergeCell ref="BC21:BE21"/>
    <mergeCell ref="AU53:AU55"/>
    <mergeCell ref="AV55:AX55"/>
    <mergeCell ref="AQ7:AS7"/>
    <mergeCell ref="AQ2:AS2"/>
    <mergeCell ref="AU2:AW2"/>
    <mergeCell ref="AY2:BE2"/>
    <mergeCell ref="AU9:AW9"/>
    <mergeCell ref="F15:H15"/>
    <mergeCell ref="B28:D28"/>
    <mergeCell ref="B35:D35"/>
    <mergeCell ref="N18:P18"/>
    <mergeCell ref="J9:L9"/>
    <mergeCell ref="B16:D16"/>
    <mergeCell ref="B1:D1"/>
    <mergeCell ref="B3:D3"/>
    <mergeCell ref="F3:H3"/>
    <mergeCell ref="J3:L3"/>
    <mergeCell ref="N3:P3"/>
  </mergeCells>
  <conditionalFormatting sqref="G12">
    <cfRule type="containsText" dxfId="11" priority="1" operator="containsText" text="FALSE">
      <formula>NOT(ISERROR(SEARCH("FALSE",G12)))</formula>
    </cfRule>
    <cfRule type="containsText" dxfId="10" priority="2" operator="containsText" text="TRUE">
      <formula>NOT(ISERROR(SEARCH("TRUE",G12)))</formula>
    </cfRule>
    <cfRule type="cellIs" dxfId="9" priority="3" operator="equal">
      <formula>1</formula>
    </cfRule>
    <cfRule type="cellIs" dxfId="8" priority="4" operator="equal">
      <formula>TRUE</formula>
    </cfRule>
    <cfRule type="containsText" dxfId="7" priority="5" operator="containsText" text="YES">
      <formula>NOT(ISERROR(SEARCH("YES",G12)))</formula>
    </cfRule>
    <cfRule type="cellIs" dxfId="6" priority="6" operator="equal">
      <formula>"""YES"""</formula>
    </cfRule>
  </conditionalFormatting>
  <conditionalFormatting sqref="K31">
    <cfRule type="containsText" dxfId="5" priority="7" operator="containsText" text="FALSE">
      <formula>NOT(ISERROR(SEARCH("FALSE",K31)))</formula>
    </cfRule>
    <cfRule type="containsText" dxfId="4" priority="8" operator="containsText" text="TRUE">
      <formula>NOT(ISERROR(SEARCH("TRUE",K31)))</formula>
    </cfRule>
    <cfRule type="cellIs" dxfId="3" priority="9" operator="equal">
      <formula>1</formula>
    </cfRule>
    <cfRule type="cellIs" dxfId="2" priority="10" operator="equal">
      <formula>TRUE</formula>
    </cfRule>
    <cfRule type="containsText" dxfId="1" priority="11" operator="containsText" text="YES">
      <formula>NOT(ISERROR(SEARCH("YES",K31)))</formula>
    </cfRule>
    <cfRule type="cellIs" dxfId="0" priority="12" operator="equal">
      <formula>"""YES"""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multirotor_fidelity0</vt:lpstr>
      <vt:lpstr>multirotor_fidelity1</vt:lpstr>
      <vt:lpstr>multirotor_fidelity2</vt:lpstr>
      <vt:lpstr>lift+cruise_fidelity0</vt:lpstr>
      <vt:lpstr>lift+cruise_fidelity1</vt:lpstr>
      <vt:lpstr>lift+cruise_fidelity2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HARIANSYAH Muhammad Alfiyandy</dc:creator>
  <cp:lastModifiedBy>HARIANSYAH Muhammad Alfiyandy</cp:lastModifiedBy>
  <dcterms:created xsi:type="dcterms:W3CDTF">2024-06-18T08:10:20Z</dcterms:created>
  <dcterms:modified xsi:type="dcterms:W3CDTF">2025-03-04T10:24:10Z</dcterms:modified>
</cp:coreProperties>
</file>