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F4386864-8006-A949-B884-56C25A455B42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fidelity0" sheetId="13" r:id="rId1"/>
    <sheet name="multirotor_fidelity1" sheetId="9" r:id="rId2"/>
    <sheet name="lift+cruise_fidelity0" sheetId="12" r:id="rId3"/>
    <sheet name="lift+cruise_fidelity1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2" l="1"/>
  <c r="O5" i="12"/>
  <c r="O19" i="12"/>
  <c r="O22" i="12" s="1"/>
  <c r="O7" i="13"/>
  <c r="C7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1" i="13"/>
  <c r="AN30" i="13"/>
  <c r="AM30" i="13"/>
  <c r="AN29" i="13"/>
  <c r="AM29" i="13"/>
  <c r="C29" i="13"/>
  <c r="AN28" i="13"/>
  <c r="AM28" i="13"/>
  <c r="AN27" i="13"/>
  <c r="AM27" i="13"/>
  <c r="AN26" i="13"/>
  <c r="AM26" i="13"/>
  <c r="G26" i="13"/>
  <c r="AN25" i="13"/>
  <c r="AM25" i="13"/>
  <c r="G25" i="13"/>
  <c r="AN24" i="13"/>
  <c r="AM24" i="13"/>
  <c r="G24" i="13"/>
  <c r="AN23" i="13"/>
  <c r="AM23" i="13"/>
  <c r="AN22" i="13"/>
  <c r="AM22" i="13"/>
  <c r="AN21" i="13"/>
  <c r="AM21" i="13"/>
  <c r="K21" i="13"/>
  <c r="AN20" i="13"/>
  <c r="AM20" i="13"/>
  <c r="O20" i="13"/>
  <c r="G15" i="13" s="1"/>
  <c r="G16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2" i="13"/>
  <c r="AN11" i="13"/>
  <c r="AM11" i="13"/>
  <c r="AN10" i="13"/>
  <c r="AM10" i="13"/>
  <c r="AN9" i="13"/>
  <c r="AM9" i="13"/>
  <c r="C9" i="13"/>
  <c r="C19" i="13" s="1"/>
  <c r="AN8" i="13"/>
  <c r="AM8" i="13"/>
  <c r="AN7" i="13"/>
  <c r="AM7" i="13"/>
  <c r="G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AO6" i="13" l="1"/>
  <c r="AK6" i="13"/>
  <c r="AG7" i="13" s="1"/>
  <c r="G14" i="13"/>
  <c r="K9" i="13" s="1"/>
  <c r="K31" i="13"/>
  <c r="AI7" i="13" l="1"/>
  <c r="AK7" i="13" s="1"/>
  <c r="AI8" i="13" s="1"/>
  <c r="AO7" i="13" l="1"/>
  <c r="AG8" i="13"/>
  <c r="AK8" i="13" s="1"/>
  <c r="AO8" i="13" l="1"/>
  <c r="AI9" i="13"/>
  <c r="AG9" i="13"/>
  <c r="AK9" i="13" l="1"/>
  <c r="AO9" i="13"/>
  <c r="AG10" i="13" l="1"/>
  <c r="AI10" i="13"/>
  <c r="AO10" i="13" l="1"/>
  <c r="AK10" i="13"/>
  <c r="AG11" i="13" s="1"/>
  <c r="AI11" i="13" l="1"/>
  <c r="AK11" i="13" s="1"/>
  <c r="AO11" i="13" l="1"/>
  <c r="AG12" i="13"/>
  <c r="AI12" i="13"/>
  <c r="AO12" i="13" l="1"/>
  <c r="AK12" i="13"/>
  <c r="AI13" i="13" s="1"/>
  <c r="AG13" i="13" l="1"/>
  <c r="AK13" i="13" s="1"/>
  <c r="AI14" i="13" s="1"/>
  <c r="AO13" i="13" l="1"/>
  <c r="AG14" i="13"/>
  <c r="AO14" i="13" s="1"/>
  <c r="AK14" i="13" l="1"/>
  <c r="AG15" i="13" s="1"/>
  <c r="AI15" i="13"/>
  <c r="AK15" i="13" l="1"/>
  <c r="AO15" i="13"/>
  <c r="AG16" i="13" l="1"/>
  <c r="AI16" i="13"/>
  <c r="AO16" i="13" l="1"/>
  <c r="AK16" i="13"/>
  <c r="AG17" i="13" l="1"/>
  <c r="AI17" i="13"/>
  <c r="AK17" i="13" l="1"/>
  <c r="AO17" i="13"/>
  <c r="AI18" i="13" l="1"/>
  <c r="AG18" i="13"/>
  <c r="AK18" i="13" l="1"/>
  <c r="AG19" i="13" s="1"/>
  <c r="AI19" i="13"/>
  <c r="AO18" i="13"/>
  <c r="AO19" i="13" l="1"/>
  <c r="AK19" i="13"/>
  <c r="AG20" i="13" l="1"/>
  <c r="AI20" i="13"/>
  <c r="AO20" i="13" l="1"/>
  <c r="AK20" i="13"/>
  <c r="AG21" i="13" l="1"/>
  <c r="AI21" i="13"/>
  <c r="AO21" i="13" l="1"/>
  <c r="AK21" i="13"/>
  <c r="AG22" i="13" l="1"/>
  <c r="AI22" i="13"/>
  <c r="AO22" i="13" l="1"/>
  <c r="AK22" i="13"/>
  <c r="AG23" i="13" l="1"/>
  <c r="AI23" i="13"/>
  <c r="AO23" i="13" l="1"/>
  <c r="AK23" i="13"/>
  <c r="AG24" i="13" l="1"/>
  <c r="AI24" i="13"/>
  <c r="AO24" i="13" l="1"/>
  <c r="AK24" i="13"/>
  <c r="AI25" i="13" l="1"/>
  <c r="AG25" i="13"/>
  <c r="AK25" i="13" l="1"/>
  <c r="AI26" i="13" s="1"/>
  <c r="AG26" i="13"/>
  <c r="AO25" i="13"/>
  <c r="AO26" i="13" l="1"/>
  <c r="AK26" i="13"/>
  <c r="AI27" i="13" l="1"/>
  <c r="AG27" i="13"/>
  <c r="AK27" i="13" l="1"/>
  <c r="AI28" i="13" s="1"/>
  <c r="AG28" i="13"/>
  <c r="AO27" i="13"/>
  <c r="AO28" i="13" l="1"/>
  <c r="AK28" i="13"/>
  <c r="AG29" i="13" l="1"/>
  <c r="AI29" i="13"/>
  <c r="AK29" i="13" l="1"/>
  <c r="AO29" i="13"/>
  <c r="AG30" i="13" l="1"/>
  <c r="AI30" i="13"/>
  <c r="AK30" i="13" l="1"/>
  <c r="AO30" i="13"/>
  <c r="AG31" i="13" l="1"/>
  <c r="AI31" i="13"/>
  <c r="AK31" i="13" l="1"/>
  <c r="AO31" i="13"/>
  <c r="AG32" i="13" l="1"/>
  <c r="AI32" i="13"/>
  <c r="AO32" i="13" l="1"/>
  <c r="AK32" i="13"/>
  <c r="AG33" i="13" l="1"/>
  <c r="AI33" i="13"/>
  <c r="AK33" i="13" l="1"/>
  <c r="AO33" i="13"/>
  <c r="AG34" i="13" l="1"/>
  <c r="AI34" i="13"/>
  <c r="AO34" i="13" l="1"/>
  <c r="AK34" i="13"/>
  <c r="AG35" i="13" l="1"/>
  <c r="AI35" i="13"/>
  <c r="AO35" i="13" l="1"/>
  <c r="AK35" i="13"/>
  <c r="AG36" i="13" l="1"/>
  <c r="AI36" i="13"/>
  <c r="AO36" i="13" l="1"/>
  <c r="AK36" i="13"/>
  <c r="AG37" i="13" l="1"/>
  <c r="AI37" i="13"/>
  <c r="AO37" i="13" l="1"/>
  <c r="AK37" i="13"/>
  <c r="AI38" i="13" l="1"/>
  <c r="AG38" i="13"/>
  <c r="AK38" i="13" l="1"/>
  <c r="AI39" i="13" s="1"/>
  <c r="AG39" i="13"/>
  <c r="AO38" i="13"/>
  <c r="AO39" i="13" l="1"/>
  <c r="AK39" i="13"/>
  <c r="AG40" i="13" l="1"/>
  <c r="AI40" i="13"/>
  <c r="AO40" i="13" l="1"/>
  <c r="AK40" i="13"/>
  <c r="AI41" i="13" l="1"/>
  <c r="AG41" i="13"/>
  <c r="AK41" i="13" l="1"/>
  <c r="AI42" i="13" s="1"/>
  <c r="AG42" i="13"/>
  <c r="AO41" i="13"/>
  <c r="AK42" i="13" l="1"/>
  <c r="AG43" i="13" s="1"/>
  <c r="AI43" i="13"/>
  <c r="AO42" i="13"/>
  <c r="AK43" i="13" l="1"/>
  <c r="AG44" i="13" s="1"/>
  <c r="AI44" i="13"/>
  <c r="AO43" i="13"/>
  <c r="AK44" i="13" l="1"/>
  <c r="G11" i="13" s="1"/>
  <c r="G9" i="13" s="1"/>
  <c r="K18" i="13"/>
  <c r="G30" i="13"/>
  <c r="G28" i="13" s="1"/>
  <c r="K39" i="13"/>
  <c r="K26" i="13"/>
  <c r="K24" i="13"/>
  <c r="K12" i="13"/>
  <c r="K23" i="13"/>
  <c r="AO44" i="13"/>
  <c r="K25" i="13" l="1"/>
  <c r="G27" i="13"/>
  <c r="O5" i="13"/>
  <c r="O6" i="13" s="1"/>
  <c r="O8" i="13" s="1"/>
  <c r="O11" i="13" s="1"/>
  <c r="K47" i="13"/>
  <c r="K19" i="13"/>
  <c r="G8" i="13"/>
  <c r="G10" i="13" s="1"/>
  <c r="G29" i="13"/>
  <c r="K35" i="13"/>
  <c r="K43" i="13"/>
  <c r="O9" i="13" l="1"/>
  <c r="O10" i="13" s="1"/>
  <c r="O14" i="13" s="1"/>
  <c r="O19" i="13" s="1"/>
  <c r="K22" i="13"/>
  <c r="O15" i="13" l="1"/>
  <c r="O18" i="13" s="1"/>
  <c r="O21" i="13" s="1"/>
  <c r="O24" i="13" s="1"/>
  <c r="O27" i="13" s="1"/>
  <c r="O29" i="13" s="1"/>
  <c r="K42" i="13"/>
  <c r="K34" i="13"/>
  <c r="O22" i="13"/>
  <c r="G17" i="13"/>
  <c r="K14" i="13"/>
  <c r="K15" i="13" s="1"/>
  <c r="AA4" i="13" l="1"/>
  <c r="W4" i="13"/>
  <c r="G20" i="13"/>
  <c r="Y4" i="13"/>
  <c r="AC4" i="13" s="1"/>
  <c r="X5" i="13" s="1"/>
  <c r="AB4" i="13" l="1"/>
  <c r="V5" i="13" s="1"/>
  <c r="AD5" i="13" s="1"/>
  <c r="Y5" i="13"/>
  <c r="Z5" i="13" l="1"/>
  <c r="AA5" i="13" s="1"/>
  <c r="W5" i="13"/>
  <c r="AB5" i="13" s="1"/>
  <c r="V6" i="13" s="1"/>
  <c r="AC5" i="13"/>
  <c r="X6" i="13" s="1"/>
  <c r="Y6" i="13" l="1"/>
  <c r="AD6" i="13"/>
  <c r="Z6" i="13"/>
  <c r="AA6" i="13" s="1"/>
  <c r="W6" i="13"/>
  <c r="AC6" i="13" l="1"/>
  <c r="X7" i="13" s="1"/>
  <c r="Y7" i="13" s="1"/>
  <c r="AB6" i="13"/>
  <c r="V7" i="13" s="1"/>
  <c r="Z7" i="13" l="1"/>
  <c r="AA7" i="13" s="1"/>
  <c r="AC7" i="13" s="1"/>
  <c r="X8" i="13" s="1"/>
  <c r="Y8" i="13" s="1"/>
  <c r="AD7" i="13"/>
  <c r="W7" i="13"/>
  <c r="AB7" i="13" l="1"/>
  <c r="V8" i="13" s="1"/>
  <c r="Z8" i="13" s="1"/>
  <c r="AA8" i="13" s="1"/>
  <c r="AC8" i="13" s="1"/>
  <c r="X9" i="13" s="1"/>
  <c r="Y9" i="13" s="1"/>
  <c r="AD8" i="13" l="1"/>
  <c r="W8" i="13"/>
  <c r="AB8" i="13" s="1"/>
  <c r="V9" i="13" s="1"/>
  <c r="Z9" i="13" s="1"/>
  <c r="AA9" i="13" s="1"/>
  <c r="AC9" i="13" s="1"/>
  <c r="X10" i="13" s="1"/>
  <c r="W9" i="13" l="1"/>
  <c r="AB9" i="13" s="1"/>
  <c r="V10" i="13" s="1"/>
  <c r="W10" i="13" s="1"/>
  <c r="AD9" i="13"/>
  <c r="Y10" i="13"/>
  <c r="Z10" i="13" l="1"/>
  <c r="AA10" i="13" s="1"/>
  <c r="AB10" i="13" s="1"/>
  <c r="V11" i="13" s="1"/>
  <c r="W11" i="13" s="1"/>
  <c r="AD10" i="13"/>
  <c r="AC10" i="13" l="1"/>
  <c r="X11" i="13" s="1"/>
  <c r="AD11" i="13" s="1"/>
  <c r="Z11" i="13" l="1"/>
  <c r="AA11" i="13" s="1"/>
  <c r="AB11" i="13" s="1"/>
  <c r="V12" i="13" s="1"/>
  <c r="W12" i="13" s="1"/>
  <c r="Y11" i="13"/>
  <c r="AC11" i="13" l="1"/>
  <c r="X12" i="13" s="1"/>
  <c r="AD12" i="13" s="1"/>
  <c r="Z12" i="13" l="1"/>
  <c r="AA12" i="13" s="1"/>
  <c r="AB12" i="13" s="1"/>
  <c r="V13" i="13" s="1"/>
  <c r="W13" i="13" s="1"/>
  <c r="Y12" i="13"/>
  <c r="AC12" i="13" l="1"/>
  <c r="X13" i="13" s="1"/>
  <c r="Y13" i="13" s="1"/>
  <c r="Z13" i="13"/>
  <c r="AA13" i="13" s="1"/>
  <c r="AB13" i="13" s="1"/>
  <c r="V14" i="13" s="1"/>
  <c r="AD13" i="13" l="1"/>
  <c r="W14" i="13"/>
  <c r="AC13" i="13"/>
  <c r="X14" i="13" s="1"/>
  <c r="Y14" i="13" l="1"/>
  <c r="AD14" i="13"/>
  <c r="Z14" i="13"/>
  <c r="AA14" i="13" s="1"/>
  <c r="AB14" i="13" s="1"/>
  <c r="V15" i="13" s="1"/>
  <c r="W15" i="13" l="1"/>
  <c r="AC14" i="13"/>
  <c r="X15" i="13" s="1"/>
  <c r="AD15" i="13" l="1"/>
  <c r="Y15" i="13"/>
  <c r="Z15" i="13"/>
  <c r="AA15" i="13" s="1"/>
  <c r="AB15" i="13" s="1"/>
  <c r="V16" i="13" s="1"/>
  <c r="W16" i="13" l="1"/>
  <c r="AC15" i="13"/>
  <c r="X16" i="13" s="1"/>
  <c r="AD16" i="13" l="1"/>
  <c r="Y16" i="13"/>
  <c r="Z16" i="13"/>
  <c r="AA16" i="13" s="1"/>
  <c r="AB16" i="13" s="1"/>
  <c r="V17" i="13" s="1"/>
  <c r="W17" i="13" l="1"/>
  <c r="AC16" i="13"/>
  <c r="X17" i="13" s="1"/>
  <c r="Z17" i="13" s="1"/>
  <c r="AA17" i="13" s="1"/>
  <c r="AB17" i="13" l="1"/>
  <c r="V18" i="13" s="1"/>
  <c r="W18" i="13" s="1"/>
  <c r="Y17" i="13"/>
  <c r="AC17" i="13" s="1"/>
  <c r="X18" i="13" s="1"/>
  <c r="AD17" i="13"/>
  <c r="Z18" i="13" l="1"/>
  <c r="AA18" i="13" s="1"/>
  <c r="AB18" i="13" s="1"/>
  <c r="V19" i="13" s="1"/>
  <c r="W19" i="13" s="1"/>
  <c r="Y18" i="13"/>
  <c r="AD18" i="13"/>
  <c r="AC18" i="13" l="1"/>
  <c r="X19" i="13" s="1"/>
  <c r="Y19" i="13" s="1"/>
  <c r="Z19" i="13" l="1"/>
  <c r="AA19" i="13" s="1"/>
  <c r="AB19" i="13" s="1"/>
  <c r="V20" i="13" s="1"/>
  <c r="W20" i="13" s="1"/>
  <c r="AD19" i="13"/>
  <c r="AC19" i="13" l="1"/>
  <c r="X20" i="13" s="1"/>
  <c r="AD20" i="13" s="1"/>
  <c r="Z20" i="13" l="1"/>
  <c r="AA20" i="13" s="1"/>
  <c r="AB20" i="13" s="1"/>
  <c r="V21" i="13" s="1"/>
  <c r="W21" i="13" s="1"/>
  <c r="Y20" i="13"/>
  <c r="AC20" i="13" l="1"/>
  <c r="X21" i="13" s="1"/>
  <c r="Z21" i="13" s="1"/>
  <c r="AA21" i="13" s="1"/>
  <c r="AB21" i="13" s="1"/>
  <c r="V22" i="13" s="1"/>
  <c r="W22" i="13" s="1"/>
  <c r="Y21" i="13" l="1"/>
  <c r="AC21" i="13"/>
  <c r="X22" i="13" s="1"/>
  <c r="AD22" i="13" s="1"/>
  <c r="AD21" i="13"/>
  <c r="Z22" i="13"/>
  <c r="AA22" i="13" s="1"/>
  <c r="AB22" i="13" s="1"/>
  <c r="V23" i="13" s="1"/>
  <c r="Y22" i="13" l="1"/>
  <c r="W23" i="13"/>
  <c r="AC22" i="13"/>
  <c r="X23" i="13" s="1"/>
  <c r="AD23" i="13" l="1"/>
  <c r="Y23" i="13"/>
  <c r="Z23" i="13"/>
  <c r="AA23" i="13" s="1"/>
  <c r="AB23" i="13" s="1"/>
  <c r="V24" i="13" s="1"/>
  <c r="W24" i="13" l="1"/>
  <c r="AC23" i="13"/>
  <c r="X24" i="13" s="1"/>
  <c r="AD24" i="13" l="1"/>
  <c r="Y24" i="13"/>
  <c r="Z24" i="13"/>
  <c r="AA24" i="13" s="1"/>
  <c r="AB24" i="13" s="1"/>
  <c r="V25" i="13" s="1"/>
  <c r="W25" i="13" l="1"/>
  <c r="AC24" i="13"/>
  <c r="X25" i="13" s="1"/>
  <c r="AD25" i="13" l="1"/>
  <c r="Y25" i="13"/>
  <c r="Z25" i="13"/>
  <c r="AA25" i="13" s="1"/>
  <c r="AB25" i="13" s="1"/>
  <c r="V26" i="13" s="1"/>
  <c r="W26" i="13" l="1"/>
  <c r="AC25" i="13"/>
  <c r="X26" i="13" s="1"/>
  <c r="AD26" i="13" l="1"/>
  <c r="Y26" i="13"/>
  <c r="Z26" i="13"/>
  <c r="AA26" i="13" s="1"/>
  <c r="AB26" i="13" s="1"/>
  <c r="V27" i="13" s="1"/>
  <c r="W27" i="13" l="1"/>
  <c r="AC26" i="13"/>
  <c r="X27" i="13" s="1"/>
  <c r="AD27" i="13" l="1"/>
  <c r="Y27" i="13"/>
  <c r="Z27" i="13"/>
  <c r="AA27" i="13" s="1"/>
  <c r="AB27" i="13" s="1"/>
  <c r="V28" i="13" s="1"/>
  <c r="W28" i="13" l="1"/>
  <c r="AC27" i="13"/>
  <c r="X28" i="13" s="1"/>
  <c r="Z28" i="13" s="1"/>
  <c r="AA28" i="13" s="1"/>
  <c r="AB28" i="13" l="1"/>
  <c r="V29" i="13" s="1"/>
  <c r="W29" i="13" s="1"/>
  <c r="AD28" i="13"/>
  <c r="Y28" i="13"/>
  <c r="AC28" i="13" s="1"/>
  <c r="X29" i="13" s="1"/>
  <c r="AD29" i="13" l="1"/>
  <c r="Y29" i="13"/>
  <c r="Z29" i="13"/>
  <c r="AA29" i="13" s="1"/>
  <c r="AB29" i="13" s="1"/>
  <c r="V30" i="13" s="1"/>
  <c r="W30" i="13" l="1"/>
  <c r="AC29" i="13"/>
  <c r="X30" i="13" s="1"/>
  <c r="Z30" i="13" s="1"/>
  <c r="AA30" i="13" s="1"/>
  <c r="AB30" i="13" l="1"/>
  <c r="V31" i="13" s="1"/>
  <c r="W31" i="13" s="1"/>
  <c r="AD30" i="13"/>
  <c r="Y30" i="13"/>
  <c r="AC30" i="13" s="1"/>
  <c r="X31" i="13" s="1"/>
  <c r="AD31" i="13" l="1"/>
  <c r="Y31" i="13"/>
  <c r="Z31" i="13"/>
  <c r="AA31" i="13" s="1"/>
  <c r="AB31" i="13" s="1"/>
  <c r="V32" i="13" s="1"/>
  <c r="W32" i="13" l="1"/>
  <c r="AC31" i="13"/>
  <c r="X32" i="13" s="1"/>
  <c r="AD32" i="13" l="1"/>
  <c r="Y32" i="13"/>
  <c r="Z32" i="13"/>
  <c r="AA32" i="13" s="1"/>
  <c r="AB32" i="13" s="1"/>
  <c r="V33" i="13" s="1"/>
  <c r="W33" i="13" l="1"/>
  <c r="AC32" i="13"/>
  <c r="X33" i="13" s="1"/>
  <c r="C54" i="12"/>
  <c r="C53" i="12"/>
  <c r="C49" i="12"/>
  <c r="C48" i="12"/>
  <c r="AN44" i="12"/>
  <c r="AM44" i="12"/>
  <c r="AN43" i="12"/>
  <c r="AM43" i="12"/>
  <c r="AN42" i="12"/>
  <c r="AM42" i="12"/>
  <c r="AN41" i="12"/>
  <c r="AM41" i="12"/>
  <c r="AN40" i="12"/>
  <c r="AM40" i="12"/>
  <c r="C39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G14" i="12" s="1"/>
  <c r="G15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29" i="12" s="1"/>
  <c r="AN11" i="12"/>
  <c r="AM11" i="12"/>
  <c r="AN10" i="12"/>
  <c r="AM10" i="12"/>
  <c r="C9" i="12"/>
  <c r="C23" i="12" s="1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G6" i="12" l="1"/>
  <c r="O25" i="12"/>
  <c r="AI6" i="12"/>
  <c r="AO6" i="12" s="1"/>
  <c r="G25" i="12"/>
  <c r="AD33" i="13"/>
  <c r="Y33" i="13"/>
  <c r="Z33" i="13"/>
  <c r="AA33" i="13" s="1"/>
  <c r="AB33" i="13" s="1"/>
  <c r="V34" i="13" s="1"/>
  <c r="K42" i="12"/>
  <c r="G17" i="9"/>
  <c r="G18" i="9" s="1"/>
  <c r="AI7" i="12" l="1"/>
  <c r="AK6" i="12"/>
  <c r="AG7" i="12" s="1"/>
  <c r="K11" i="12"/>
  <c r="AC33" i="13"/>
  <c r="X34" i="13" s="1"/>
  <c r="Z34" i="13" s="1"/>
  <c r="W34" i="13"/>
  <c r="C55" i="10"/>
  <c r="C54" i="10"/>
  <c r="C50" i="10"/>
  <c r="C49" i="10"/>
  <c r="K42" i="10"/>
  <c r="AR9" i="10"/>
  <c r="AR10" i="10" s="1"/>
  <c r="K21" i="9"/>
  <c r="K20" i="9"/>
  <c r="C32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O7" i="12" l="1"/>
  <c r="AK7" i="12"/>
  <c r="AI8" i="12" s="1"/>
  <c r="AG8" i="12"/>
  <c r="O25" i="13"/>
  <c r="O26" i="13" s="1"/>
  <c r="G18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8" i="12" l="1"/>
  <c r="AI9" i="12" s="1"/>
  <c r="AC34" i="13"/>
  <c r="AO8" i="12"/>
  <c r="G19" i="13"/>
  <c r="G21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AG9" i="12" l="1"/>
  <c r="K4" i="13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AO9" i="12" l="1"/>
  <c r="AK9" i="12"/>
  <c r="K48" i="13"/>
  <c r="K40" i="13"/>
  <c r="K32" i="13"/>
  <c r="K17" i="13"/>
  <c r="K5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AI10" i="12" l="1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AK10" i="12" l="1"/>
  <c r="AG11" i="12" s="1"/>
  <c r="AG12" i="12" s="1"/>
  <c r="AI11" i="12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AO11" i="12" l="1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I13" i="12" l="1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G14" i="12" l="1"/>
  <c r="AK13" i="12"/>
  <c r="AI14" i="12" s="1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AI15" i="12" l="1"/>
  <c r="AO14" i="12"/>
  <c r="AK14" i="12"/>
  <c r="AG15" i="12" s="1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AK15" i="12" l="1"/>
  <c r="AG16" i="12" s="1"/>
  <c r="AI16" i="12"/>
  <c r="AO15" i="12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AI17" i="12" l="1"/>
  <c r="AO16" i="12"/>
  <c r="AK16" i="12"/>
  <c r="AG17" i="12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7" i="12" l="1"/>
  <c r="AI18" i="12" s="1"/>
  <c r="AI19" i="12" s="1"/>
  <c r="AG18" i="12"/>
  <c r="AO17" i="12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K18" i="12" l="1"/>
  <c r="AG19" i="12" s="1"/>
  <c r="AK19" i="12" s="1"/>
  <c r="AO18" i="12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O19" i="12" l="1"/>
  <c r="AI20" i="12"/>
  <c r="AG20" i="12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K20" i="12" l="1"/>
  <c r="AI21" i="12" s="1"/>
  <c r="AO20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21" i="12" l="1"/>
  <c r="AK21" i="12" s="1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22" i="12" l="1"/>
  <c r="AI22" i="12"/>
  <c r="AO21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CC85" i="10" l="1"/>
  <c r="AO22" i="12"/>
  <c r="AK22" i="12"/>
  <c r="AG23" i="12" s="1"/>
  <c r="CI16" i="10"/>
  <c r="BX16" i="10"/>
  <c r="BR17" i="10"/>
  <c r="BP17" i="10"/>
  <c r="AK63" i="10"/>
  <c r="AI64" i="10" s="1"/>
  <c r="BR87" i="10"/>
  <c r="BT87" i="10" s="1"/>
  <c r="CI85" i="10"/>
  <c r="CC17" i="10"/>
  <c r="CE17" i="10" s="1"/>
  <c r="CC18" i="10" s="1"/>
  <c r="CE85" i="10"/>
  <c r="BR52" i="10"/>
  <c r="BX52" i="10" s="1"/>
  <c r="BR120" i="10"/>
  <c r="BP120" i="10"/>
  <c r="CE51" i="10"/>
  <c r="CC52" i="10" s="1"/>
  <c r="CA120" i="10"/>
  <c r="CC120" i="10"/>
  <c r="CI119" i="10"/>
  <c r="CI51" i="10"/>
  <c r="AI23" i="12" l="1"/>
  <c r="AK23" i="12" s="1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3" i="12" l="1"/>
  <c r="AG24" i="12"/>
  <c r="AI24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O24" i="12" l="1"/>
  <c r="AK24" i="12"/>
  <c r="AG25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5" i="12" l="1"/>
  <c r="AK25" i="12" s="1"/>
  <c r="AG26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I26" i="12" l="1"/>
  <c r="AK26" i="12" s="1"/>
  <c r="AG27" i="12" s="1"/>
  <c r="AO25" i="12"/>
  <c r="AI27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O26" i="12" l="1"/>
  <c r="AK27" i="12"/>
  <c r="AG28" i="12"/>
  <c r="AI28" i="12"/>
  <c r="AO27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O28" i="12" l="1"/>
  <c r="AK28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9" i="12" l="1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I30" i="12"/>
  <c r="AG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G33" i="12"/>
  <c r="AI33" i="12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33" i="12" l="1"/>
  <c r="AK33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I34" i="12" l="1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I35" i="12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35" i="12" l="1"/>
  <c r="AK35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6" i="12" l="1"/>
  <c r="AI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I39" i="12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9" i="12" l="1"/>
  <c r="AK39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I40" i="12" l="1"/>
  <c r="AG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G41" i="12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K41" i="12" l="1"/>
  <c r="AG42" i="12"/>
  <c r="AI42" i="12"/>
  <c r="AO41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2" i="12" l="1"/>
  <c r="AK4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43" i="12" l="1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I44" i="12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4" i="12" l="1"/>
  <c r="C5" i="12" s="1"/>
  <c r="O4" i="12" s="1"/>
  <c r="G10" i="12"/>
  <c r="K29" i="12"/>
  <c r="O6" i="12"/>
  <c r="O7" i="12" s="1"/>
  <c r="O9" i="12" s="1"/>
  <c r="G7" i="12"/>
  <c r="K23" i="12"/>
  <c r="K20" i="12"/>
  <c r="G29" i="12"/>
  <c r="G27" i="12" s="1"/>
  <c r="K27" i="12"/>
  <c r="K28" i="12"/>
  <c r="K14" i="12"/>
  <c r="K34" i="12"/>
  <c r="K24" i="12"/>
  <c r="K26" i="12"/>
  <c r="AO4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G26" i="12" l="1"/>
  <c r="K22" i="12"/>
  <c r="K21" i="12"/>
  <c r="G28" i="12"/>
  <c r="G8" i="12"/>
  <c r="G9" i="12" s="1"/>
  <c r="K4" i="12"/>
  <c r="K5" i="12" s="1"/>
  <c r="K25" i="12"/>
  <c r="K45" i="12" s="1"/>
  <c r="O10" i="12"/>
  <c r="K38" i="12"/>
  <c r="K46" i="12"/>
  <c r="O12" i="12"/>
  <c r="O13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37" i="12" l="1"/>
  <c r="O14" i="12"/>
  <c r="O1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O20" i="12" l="1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G19" i="12" l="1"/>
  <c r="AA4" i="12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AC4" i="12"/>
  <c r="X5" i="12" s="1"/>
  <c r="W5" i="12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Z6" i="12"/>
  <c r="AA6" i="12" s="1"/>
  <c r="K25" i="10"/>
  <c r="AO16" i="10"/>
  <c r="AI17" i="10"/>
  <c r="AO17" i="10" s="1"/>
  <c r="AC6" i="12" l="1"/>
  <c r="X7" i="12" s="1"/>
  <c r="Y7" i="12" s="1"/>
  <c r="AD6" i="12"/>
  <c r="AB6" i="12"/>
  <c r="V7" i="12" s="1"/>
  <c r="AK17" i="10"/>
  <c r="AI18" i="10" s="1"/>
  <c r="W7" i="12" l="1"/>
  <c r="Z7" i="12"/>
  <c r="AA7" i="12" s="1"/>
  <c r="AC7" i="12" s="1"/>
  <c r="X8" i="12" s="1"/>
  <c r="AD7" i="12"/>
  <c r="AG18" i="10"/>
  <c r="AK18" i="10" s="1"/>
  <c r="AG19" i="10" s="1"/>
  <c r="Y8" i="12" l="1"/>
  <c r="AB7" i="12"/>
  <c r="V8" i="12" s="1"/>
  <c r="AO18" i="10"/>
  <c r="AI19" i="10"/>
  <c r="AK19" i="10" s="1"/>
  <c r="AG20" i="10" s="1"/>
  <c r="W8" i="12" l="1"/>
  <c r="Z8" i="12"/>
  <c r="AA8" i="12" s="1"/>
  <c r="AD8" i="12"/>
  <c r="AO19" i="10"/>
  <c r="AI20" i="10"/>
  <c r="AO20" i="10" s="1"/>
  <c r="AB8" i="12" l="1"/>
  <c r="V9" i="12" s="1"/>
  <c r="AC8" i="12"/>
  <c r="X9" i="12" s="1"/>
  <c r="AK20" i="10"/>
  <c r="AG21" i="10" s="1"/>
  <c r="AD9" i="12" l="1"/>
  <c r="Y9" i="12"/>
  <c r="W9" i="12"/>
  <c r="Z9" i="12"/>
  <c r="AA9" i="12" s="1"/>
  <c r="AI21" i="10"/>
  <c r="AO21" i="10" s="1"/>
  <c r="AB9" i="12" l="1"/>
  <c r="V10" i="12" s="1"/>
  <c r="AC9" i="12"/>
  <c r="X10" i="12" s="1"/>
  <c r="AK21" i="10"/>
  <c r="AI22" i="10" s="1"/>
  <c r="AD10" i="12" l="1"/>
  <c r="Y10" i="12"/>
  <c r="W10" i="12"/>
  <c r="Z10" i="12"/>
  <c r="AA10" i="12" s="1"/>
  <c r="AG22" i="10"/>
  <c r="AK22" i="10" s="1"/>
  <c r="AB10" i="12" l="1"/>
  <c r="V11" i="12" s="1"/>
  <c r="W11" i="12" s="1"/>
  <c r="AC10" i="12"/>
  <c r="X11" i="12" s="1"/>
  <c r="AO22" i="10"/>
  <c r="AG23" i="10"/>
  <c r="AI23" i="10"/>
  <c r="Y11" i="12" l="1"/>
  <c r="Z11" i="12"/>
  <c r="AA11" i="12" s="1"/>
  <c r="AB11" i="12" s="1"/>
  <c r="V12" i="12" s="1"/>
  <c r="W12" i="12" s="1"/>
  <c r="AD11" i="12"/>
  <c r="AK23" i="10"/>
  <c r="AI24" i="10" s="1"/>
  <c r="AO23" i="10"/>
  <c r="AC11" i="12" l="1"/>
  <c r="X12" i="12" s="1"/>
  <c r="AG24" i="10"/>
  <c r="AO24" i="10" s="1"/>
  <c r="AD12" i="12" l="1"/>
  <c r="Y12" i="12"/>
  <c r="Z12" i="12"/>
  <c r="AA12" i="12" s="1"/>
  <c r="AB12" i="12" s="1"/>
  <c r="V13" i="12" s="1"/>
  <c r="W13" i="12" s="1"/>
  <c r="AK24" i="10"/>
  <c r="AI25" i="10" s="1"/>
  <c r="AC12" i="12" l="1"/>
  <c r="X13" i="12" s="1"/>
  <c r="AG25" i="10"/>
  <c r="AK25" i="10" s="1"/>
  <c r="AI26" i="10" s="1"/>
  <c r="Z13" i="12" l="1"/>
  <c r="AA13" i="12" s="1"/>
  <c r="AB13" i="12" s="1"/>
  <c r="V14" i="12" s="1"/>
  <c r="Y13" i="12"/>
  <c r="AD13" i="12"/>
  <c r="AO25" i="10"/>
  <c r="AG26" i="10"/>
  <c r="AO26" i="10" s="1"/>
  <c r="AC13" i="12" l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Y15" i="12"/>
  <c r="AO27" i="10"/>
  <c r="AG28" i="10"/>
  <c r="AO28" i="10" s="1"/>
  <c r="AD15" i="12" l="1"/>
  <c r="AC15" i="12"/>
  <c r="X16" i="12" s="1"/>
  <c r="AD16" i="12" s="1"/>
  <c r="W16" i="12"/>
  <c r="Z16" i="12"/>
  <c r="AA16" i="12" s="1"/>
  <c r="AK28" i="10"/>
  <c r="AG29" i="10" s="1"/>
  <c r="Y16" i="12" l="1"/>
  <c r="AC16" i="12" s="1"/>
  <c r="X17" i="12" s="1"/>
  <c r="AB16" i="12"/>
  <c r="V17" i="12" s="1"/>
  <c r="AI29" i="10"/>
  <c r="AO29" i="10" s="1"/>
  <c r="Y17" i="12" l="1"/>
  <c r="AD17" i="12"/>
  <c r="Z17" i="12"/>
  <c r="AA17" i="12" s="1"/>
  <c r="W17" i="12"/>
  <c r="AK29" i="10"/>
  <c r="AI30" i="10" s="1"/>
  <c r="AB17" i="12" l="1"/>
  <c r="V18" i="12" s="1"/>
  <c r="AC17" i="12"/>
  <c r="X18" i="12" s="1"/>
  <c r="AG30" i="10"/>
  <c r="AO30" i="10" s="1"/>
  <c r="AD18" i="12" l="1"/>
  <c r="Y18" i="12"/>
  <c r="W18" i="12"/>
  <c r="Z18" i="12"/>
  <c r="AA18" i="12" s="1"/>
  <c r="AK30" i="10"/>
  <c r="AG31" i="10" s="1"/>
  <c r="AB18" i="12" l="1"/>
  <c r="V19" i="12" s="1"/>
  <c r="AC18" i="12"/>
  <c r="X19" i="12" s="1"/>
  <c r="AI31" i="10"/>
  <c r="AK31" i="10" s="1"/>
  <c r="AG32" i="10" s="1"/>
  <c r="AD19" i="12" l="1"/>
  <c r="Y19" i="12"/>
  <c r="W19" i="12"/>
  <c r="Z19" i="12"/>
  <c r="AA19" i="12" s="1"/>
  <c r="AO31" i="10"/>
  <c r="AI32" i="10"/>
  <c r="AO32" i="10" s="1"/>
  <c r="AB19" i="12" l="1"/>
  <c r="V20" i="12" s="1"/>
  <c r="W20" i="12" s="1"/>
  <c r="AC19" i="12"/>
  <c r="X20" i="12" s="1"/>
  <c r="AK32" i="10"/>
  <c r="AG33" i="10" s="1"/>
  <c r="AD20" i="12" l="1"/>
  <c r="Y20" i="12"/>
  <c r="Z20" i="12"/>
  <c r="AA20" i="12" s="1"/>
  <c r="AB20" i="12" s="1"/>
  <c r="V21" i="12" s="1"/>
  <c r="AI33" i="10"/>
  <c r="AO33" i="10" s="1"/>
  <c r="W21" i="12" l="1"/>
  <c r="AC20" i="12"/>
  <c r="X21" i="12" s="1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AB33" i="12" s="1"/>
  <c r="V34" i="12" s="1"/>
  <c r="O23" i="10"/>
  <c r="W4" i="10" s="1"/>
  <c r="O28" i="10"/>
  <c r="O30" i="10" s="1"/>
  <c r="W34" i="12" l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AC5" i="10"/>
  <c r="X6" i="10" s="1"/>
  <c r="AD6" i="10" s="1"/>
  <c r="K6" i="12" l="1"/>
  <c r="K10" i="12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0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C6" i="9" s="1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C5" i="9" s="1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O22" i="9" l="1"/>
  <c r="K15" i="9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s="1"/>
  <c r="K4" i="9" l="1"/>
  <c r="K16" i="9" l="1"/>
  <c r="K17" i="9"/>
  <c r="K5" i="9"/>
  <c r="K41" i="9" l="1"/>
  <c r="K33" i="9"/>
  <c r="K13" i="9" l="1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<sst xmlns="http://schemas.openxmlformats.org/spreadsheetml/2006/main" count="2019" uniqueCount="279">
  <si>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</si>
  <si>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</si>
  <si>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</si>
  <si>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</si>
  <si>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</si>
  <si>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</si>
  <si>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</si>
  <si>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</si>
  <si>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</si>
  <si>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</si>
  <si>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</si>
  <si>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</si>
  <si>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</si>
  <si>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</si>
  <si>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</si>
  <si>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</si>
  <si>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</si>
  <si>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</si>
  <si>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</si>
  <si>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</si>
  <si>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</si>
  <si>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</si>
  <si>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</si>
  <si>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</si>
  <si>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</si>
  <si>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</si>
  <si>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</si>
  <si>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</si>
  <si>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</si>
  <si>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</si>
  <si>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</si>
  <si>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</si>
  <si>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</si>
  <si>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</si>
  <si>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</si>
  <si>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</si>
  <si>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</si>
  <si>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</si>
  <si>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</si>
  <si>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</si>
  <si>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</si>
  <si>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</si>
  <si>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</si>
  <si>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</si>
  <si>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</si>
  <si>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</si>
  <si>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</si>
  <si>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</si>
  <si>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</si>
  <si>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</si>
  <si>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</si>
  <si>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</si>
  <si>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</si>
  <si>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</si>
  <si>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</si>
  <si>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</si>
  <si>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</si>
  <si>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</si>
  <si>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</si>
  <si>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</si>
  <si>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</si>
  <si>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</si>
  <si>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</si>
  <si>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</si>
  <si>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</si>
  <si>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</si>
  <si>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</si>
  <si>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</si>
  <si>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</si>
  <si>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</si>
  <si>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</si>
  <si>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</si>
  <si>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</si>
  <si>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</si>
  <si>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</si>
  <si>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</si>
  <si>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</si>
  <si>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</si>
  <si>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</si>
  <si>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</si>
  <si>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</si>
  <si>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</si>
  <si>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</si>
  <si>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</si>
  <si>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</si>
  <si>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</si>
  <si>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</si>
  <si>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</si>
  <si>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</si>
  <si>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</si>
  <si>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</si>
  <si>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</si>
  <si>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</si>
  <si>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</si>
  <si>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</si>
  <si>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</si>
  <si>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</si>
  <si>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</si>
  <si>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</si>
  <si>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</si>
  <si>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</si>
  <si>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</si>
  <si>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</si>
  <si>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</si>
  <si>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</si>
  <si>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</si>
  <si>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</si>
  <si>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</si>
  <si>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</si>
  <si>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</si>
  <si>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</si>
  <si>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</si>
  <si>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</si>
  <si>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</si>
  <si>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</si>
  <si>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</si>
  <si>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</si>
  <si>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</si>
  <si>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</si>
  <si>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</si>
  <si>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</si>
  <si>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</si>
  <si>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</si>
  <si>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</si>
  <si>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</si>
  <si>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</si>
  <si>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</si>
  <si>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</si>
  <si>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</si>
  <si>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</si>
  <si>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</si>
  <si>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</si>
  <si>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</si>
  <si>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</si>
  <si>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</si>
  <si>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</si>
  <si>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</si>
  <si>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</si>
  <si>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</si>
  <si>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</si>
  <si>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</si>
  <si>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</si>
  <si>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</si>
  <si>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</si>
  <si>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</si>
  <si>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</si>
  <si>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</si>
  <si>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</si>
  <si>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</si>
  <si>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</si>
  <si>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</si>
  <si>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</si>
  <si>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</si>
  <si>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</si>
  <si>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</si>
  <si>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</si>
  <si>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</si>
  <si>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</si>
  <si>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</si>
  <si>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</si>
  <si>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</si>
  <si>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</si>
  <si>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</si>
  <si>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</si>
  <si>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</si>
  <si>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</si>
  <si>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</si>
  <si>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</si>
  <si>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</si>
  <si>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</si>
  <si>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</si>
  <si>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</si>
  <si>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</si>
  <si>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</si>
  <si>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</si>
  <si>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</si>
  <si>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</si>
  <si>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</si>
  <si>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</si>
  <si>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</si>
  <si>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</si>
  <si>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</si>
  <si>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</si>
  <si>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</si>
  <si>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</si>
  <si>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</si>
  <si>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</si>
  <si>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</si>
  <si>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</si>
  <si>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</si>
  <si>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</si>
  <si>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</si>
  <si>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</si>
  <si>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</si>
  <si>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</si>
  <si>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</si>
  <si>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</si>
  <si>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</si>
  <si>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</si>
  <si>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</si>
  <si>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</si>
  <si>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</si>
  <si>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</si>
  <si>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</si>
  <si>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</si>
  <si>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</si>
  <si>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</si>
  <si>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</si>
  <si>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</si>
  <si>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</si>
  <si>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</si>
  <si>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</si>
  <si>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</si>
  <si>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</si>
  <si>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</si>
  <si>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</si>
  <si>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</si>
  <si>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</si>
  <si>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</si>
  <si>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</si>
  <si>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</si>
  <si>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</si>
  <si>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</si>
  <si>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</si>
  <si>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</si>
  <si>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</si>
  <si>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</si>
  <si>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</si>
  <si>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</si>
  <si>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</si>
  <si>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</si>
  <si>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</si>
  <si>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</si>
  <si>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</si>
  <si>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</si>
  <si>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</si>
  <si>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</si>
  <si>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</si>
  <si>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</si>
  <si>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</si>
  <si>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</si>
  <si>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</si>
  <si>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</si>
  <si>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</si>
  <si>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</si>
  <si>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</si>
  <si>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</si>
  <si>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</si>
  <si>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</si>
  <si>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</si>
  <si>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</si>
  <si>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</si>
  <si>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</si>
  <si>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</si>
  <si>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</si>
  <si>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</si>
  <si>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</si>
  <si>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</si>
  <si>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</si>
  <si>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</si>
  <si>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</si>
  <si>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</si>
  <si>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</si>
  <si>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</si>
  <si>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</si>
  <si>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</si>
  <si>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</si>
  <si>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</si>
  <si>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</si>
  <si>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</si>
  <si>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</si>
  <si>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</si>
  <si>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</si>
  <si>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</si>
  <si>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hover_climb_v_tip</t>
  </si>
  <si>
    <t>efficiency T/P</t>
  </si>
  <si>
    <t>g/W</t>
  </si>
  <si>
    <t>CT/sigma</t>
  </si>
  <si>
    <t>W_empty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</si>
</sst>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28.01</c:v>
                </c:pt>
                <c:pt idx="1">
                  <c:v>35.85</c:v>
                </c:pt>
                <c:pt idx="2">
                  <c:v>23.33</c:v>
                </c:pt>
                <c:pt idx="3">
                  <c:v>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767.87</c:v>
                </c:pt>
                <c:pt idx="2">
                  <c:v>499.72</c:v>
                </c:pt>
                <c:pt idx="3">
                  <c:v>171.44</c:v>
                </c:pt>
                <c:pt idx="4">
                  <c:v>102.89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27.28</c:v>
                </c:pt>
                <c:pt idx="1">
                  <c:v>36.159999999999997</c:v>
                </c:pt>
                <c:pt idx="2">
                  <c:v>23.6</c:v>
                </c:pt>
                <c:pt idx="3">
                  <c:v>8.15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795.36</c:v>
                </c:pt>
                <c:pt idx="2">
                  <c:v>519.15</c:v>
                </c:pt>
                <c:pt idx="3">
                  <c:v>179.3</c:v>
                </c:pt>
                <c:pt idx="4">
                  <c:v>105.82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456.9</c:v>
                </c:pt>
                <c:pt idx="2">
                  <c:v>285.60000000000002</c:v>
                </c:pt>
                <c:pt idx="3">
                  <c:v>697.53</c:v>
                </c:pt>
                <c:pt idx="4">
                  <c:v>102.94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28</c:v>
                </c:pt>
                <c:pt idx="1">
                  <c:v>21.32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528.74</c:v>
                </c:pt>
                <c:pt idx="2">
                  <c:v>347.52</c:v>
                </c:pt>
                <c:pt idx="3">
                  <c:v>730.25</c:v>
                </c:pt>
                <c:pt idx="4">
                  <c:v>111.89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30</xdr:row>
      <xdr:rowOff>104900</xdr:rowOff>
    </xdr:from>
    <xdr:to>
      <xdr:col>8</xdr:col>
      <xdr:colOff>181756</xdr:colOff>
      <xdr:row>41</xdr:row>
      <xdr:rowOff>198033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4"/>
  <sheetViews>
    <sheetView tabSelected="1"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9" t="s">
        <v>0</v>
      </c>
      <c r="C1" s="59"/>
      <c r="D1" s="59"/>
    </row>
    <row r="2" spans="2:41" x14ac:dyDescent="0.2">
      <c r="U2" s="16" t="s">
        <v>96</v>
      </c>
      <c r="AF2" s="16" t="s">
        <v>79</v>
      </c>
    </row>
    <row r="3" spans="2:41" x14ac:dyDescent="0.2">
      <c r="B3" s="56" t="s">
        <v>127</v>
      </c>
      <c r="C3" s="57"/>
      <c r="D3" s="57"/>
      <c r="F3" s="56" t="s">
        <v>83</v>
      </c>
      <c r="G3" s="57"/>
      <c r="H3" s="57"/>
      <c r="J3" s="53" t="s">
        <v>101</v>
      </c>
      <c r="K3" s="53"/>
      <c r="L3" s="53"/>
      <c r="N3" s="53" t="s">
        <v>95</v>
      </c>
      <c r="O3" s="53"/>
      <c r="P3" s="53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MAX(G11,G21,G30)</f>
        <v>237.07365379647399</v>
      </c>
      <c r="L4" s="6" t="s">
        <v>104</v>
      </c>
      <c r="N4" s="6" t="s">
        <v>25</v>
      </c>
      <c r="O4" s="6">
        <f xml:space="preserve"> 0.5 * $C$45 * $C$7^2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2.0954507455147355E-2</v>
      </c>
      <c r="X4" s="3">
        <v>1</v>
      </c>
      <c r="Y4" s="2">
        <f t="shared" ref="Y4:Y34" si="1" xml:space="preserve"> $O$21 * TAN($O$18/180*PI()) + $O$22 / (2 * SQRT($O$21^2 + X4^2)) - X4</f>
        <v>-0.98314563508182251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-0.48197709580531267</v>
      </c>
      <c r="AB4" s="2">
        <f>W4*AA4</f>
        <v>-1.0099592647262696E-2</v>
      </c>
      <c r="AC4" s="2">
        <f>Y4*AA4</f>
        <v>0.47385367795040656</v>
      </c>
      <c r="AD4" s="2">
        <f>X4-V4</f>
        <v>1</v>
      </c>
      <c r="AF4" s="2">
        <v>0</v>
      </c>
      <c r="AG4" s="2"/>
      <c r="AH4" s="2">
        <f>K27</f>
        <v>7.8757931867812658E-2</v>
      </c>
      <c r="AI4" s="2"/>
      <c r="AJ4" s="2">
        <f>K27</f>
        <v>7.8757931867812658E-2</v>
      </c>
      <c r="AK4" s="2"/>
      <c r="AL4" s="2">
        <f>K27</f>
        <v>7.8757931867812658E-2</v>
      </c>
      <c r="AM4" s="2"/>
      <c r="AN4" s="2"/>
      <c r="AO4" s="2"/>
    </row>
    <row r="5" spans="2:41" x14ac:dyDescent="0.2">
      <c r="B5" s="10" t="s">
        <v>40</v>
      </c>
      <c r="C5" s="10">
        <v>2141.99321998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K4/$C$17</f>
        <v>59.268413449118498</v>
      </c>
      <c r="L5" s="6" t="s">
        <v>104</v>
      </c>
      <c r="N5" s="6" t="s">
        <v>119</v>
      </c>
      <c r="O5" s="6">
        <f xml:space="preserve"> $C$17 * 0.85 * ($C$5/$C$17 *2.20462/1000)^(2/3) * 0.3048^2</f>
        <v>0.35283371006752867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2.0954507455147355E-2</v>
      </c>
      <c r="X5" s="2">
        <f>IF(AC4&gt;0, Z4, X4)</f>
        <v>0.5</v>
      </c>
      <c r="Y5" s="2">
        <f t="shared" si="1"/>
        <v>-0.48197709580531267</v>
      </c>
      <c r="Z5" s="2">
        <f t="shared" ref="Z5:Z34" si="3" xml:space="preserve"> (V5 + X5)/2</f>
        <v>0.25</v>
      </c>
      <c r="AA5" s="2">
        <f t="shared" si="2"/>
        <v>-0.2305491471871596</v>
      </c>
      <c r="AB5" s="2">
        <f t="shared" ref="AB5:AB34" si="4">W5*AA5</f>
        <v>-4.8310438235112003E-3</v>
      </c>
      <c r="AC5" s="2">
        <f t="shared" ref="AC5:AC34" si="5">Y5*AA5</f>
        <v>0.11111940840165875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-993.53018731711279</v>
      </c>
      <c r="AI5" s="3">
        <v>5000</v>
      </c>
      <c r="AJ5" s="2">
        <f t="dataTable" ref="AJ5:AJ44" dt2D="0" dtr="0" r1="C5" ca="1"/>
        <v>1409.7404053106566</v>
      </c>
      <c r="AK5" s="2">
        <f>(AG5+AI5)/2</f>
        <v>2750</v>
      </c>
      <c r="AL5" s="2">
        <f t="dataTable" ref="AL5:AL44" dt2D="0" dtr="0" r1="C5"/>
        <v>332.18627033324947</v>
      </c>
      <c r="AM5" s="2">
        <f>AH5*AL5</f>
        <v>-330037.0873883664</v>
      </c>
      <c r="AN5" s="2">
        <f>AJ5*AL5</f>
        <v>468296.40737823042</v>
      </c>
      <c r="AO5" s="2">
        <f>AI5-AG5</f>
        <v>4500</v>
      </c>
    </row>
    <row r="6" spans="2:41" x14ac:dyDescent="0.2">
      <c r="B6" s="6" t="s">
        <v>269</v>
      </c>
      <c r="C6" s="17">
        <v>450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$C$8^2)</f>
        <v>7.0194036308374782E-3</v>
      </c>
      <c r="U6" s="2">
        <v>2</v>
      </c>
      <c r="V6" s="2">
        <f t="shared" ref="V6:V34" si="7">IF(AB5&gt;0, Z5, V5)</f>
        <v>0</v>
      </c>
      <c r="W6" s="2">
        <f t="shared" si="0"/>
        <v>2.0954507455147355E-2</v>
      </c>
      <c r="X6" s="2">
        <f t="shared" ref="X6:X34" si="8">IF(AC5&gt;0, Z5, X5)</f>
        <v>0.25</v>
      </c>
      <c r="Y6" s="2">
        <f t="shared" si="1"/>
        <v>-0.2305491471871596</v>
      </c>
      <c r="Z6" s="2">
        <f t="shared" si="3"/>
        <v>0.125</v>
      </c>
      <c r="AA6" s="2">
        <f t="shared" si="2"/>
        <v>-0.10457281100532603</v>
      </c>
      <c r="AB6" s="2">
        <f t="shared" si="4"/>
        <v>-2.1912717478168196E-3</v>
      </c>
      <c r="AC6" s="2">
        <f t="shared" si="5"/>
        <v>2.4109172396241937E-2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-993.53018731711279</v>
      </c>
      <c r="AI6" s="2">
        <f>IF(AN5&gt;0, AK5, AI5)</f>
        <v>2750</v>
      </c>
      <c r="AJ6" s="2">
        <v>332.18627033324947</v>
      </c>
      <c r="AK6" s="2">
        <f t="shared" ref="AK6:AK43" si="9">(AG6+AI6)/2</f>
        <v>1625</v>
      </c>
      <c r="AL6" s="2">
        <v>-303.48564187327042</v>
      </c>
      <c r="AM6" s="2">
        <f t="shared" ref="AM6:AM44" si="10">AH6*AL6</f>
        <v>301522.1466184046</v>
      </c>
      <c r="AN6" s="2">
        <f t="shared" ref="AN6:AN44" si="11">AJ6*AL6</f>
        <v>-100813.76347357394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f>180*1000/3600</f>
        <v>50</v>
      </c>
      <c r="D7" s="6" t="s">
        <v>10</v>
      </c>
      <c r="F7" t="s">
        <v>274</v>
      </c>
      <c r="G7" s="22">
        <f>550*0.3048</f>
        <v>167.64000000000001</v>
      </c>
      <c r="H7" s="6" t="s">
        <v>10</v>
      </c>
      <c r="J7" s="53" t="s">
        <v>23</v>
      </c>
      <c r="K7" s="53"/>
      <c r="L7" s="53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2.0954507455147355E-2</v>
      </c>
      <c r="X7" s="2">
        <f t="shared" si="8"/>
        <v>0.125</v>
      </c>
      <c r="Y7" s="2">
        <f t="shared" si="1"/>
        <v>-0.10457281100532603</v>
      </c>
      <c r="Z7" s="2">
        <f t="shared" si="3"/>
        <v>6.25E-2</v>
      </c>
      <c r="AA7" s="2">
        <f t="shared" si="2"/>
        <v>-4.1692855150157124E-2</v>
      </c>
      <c r="AB7" s="2">
        <f t="shared" si="4"/>
        <v>-8.7365324407034624E-4</v>
      </c>
      <c r="AC7" s="2">
        <f t="shared" si="5"/>
        <v>4.3599390618898146E-3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-303.48564187327042</v>
      </c>
      <c r="AI7" s="2">
        <f t="shared" ref="AI7:AI44" si="14">IF(AN6&gt;0, AK6, AI6)</f>
        <v>2750</v>
      </c>
      <c r="AJ7" s="2">
        <v>332.18627033324947</v>
      </c>
      <c r="AK7" s="2">
        <f t="shared" si="9"/>
        <v>2187.5</v>
      </c>
      <c r="AL7" s="2">
        <v>25.49307684112523</v>
      </c>
      <c r="AM7" s="2">
        <f t="shared" si="10"/>
        <v>-7736.7827884534954</v>
      </c>
      <c r="AN7" s="2">
        <f t="shared" si="11"/>
        <v>8468.4501151723271</v>
      </c>
      <c r="AO7" s="2">
        <f t="shared" si="12"/>
        <v>1125</v>
      </c>
    </row>
    <row r="8" spans="2:41" x14ac:dyDescent="0.2">
      <c r="B8" s="6" t="s">
        <v>98</v>
      </c>
      <c r="C8" s="17">
        <v>4</v>
      </c>
      <c r="D8" s="6" t="s">
        <v>8</v>
      </c>
      <c r="F8" t="s">
        <v>21</v>
      </c>
      <c r="G8" s="6">
        <f xml:space="preserve"> $C$5 * $C$42 / $C$17</f>
        <v>5248.6819199541251</v>
      </c>
      <c r="H8" s="6" t="s">
        <v>22</v>
      </c>
      <c r="J8" s="6" t="s">
        <v>99</v>
      </c>
      <c r="K8" s="6">
        <f xml:space="preserve"> $C$14 * (G11*G6 + G21*G14 + G30*G26)/3600</f>
        <v>130.53736178166619</v>
      </c>
      <c r="L8" s="6" t="s">
        <v>105</v>
      </c>
      <c r="N8" s="6" t="s">
        <v>122</v>
      </c>
      <c r="O8" s="6">
        <f xml:space="preserve"> $O$7 + O6</f>
        <v>1.9320253630837479E-2</v>
      </c>
      <c r="U8" s="2">
        <v>4</v>
      </c>
      <c r="V8" s="2">
        <f t="shared" si="7"/>
        <v>0</v>
      </c>
      <c r="W8" s="2">
        <f t="shared" si="0"/>
        <v>2.0954507455147355E-2</v>
      </c>
      <c r="X8" s="2">
        <f t="shared" si="8"/>
        <v>6.25E-2</v>
      </c>
      <c r="Y8" s="2">
        <f t="shared" si="1"/>
        <v>-4.1692855150157124E-2</v>
      </c>
      <c r="Z8" s="2">
        <f t="shared" si="3"/>
        <v>3.125E-2</v>
      </c>
      <c r="AA8" s="2">
        <f t="shared" si="2"/>
        <v>-1.0333469209833211E-2</v>
      </c>
      <c r="AB8" s="2">
        <f t="shared" si="4"/>
        <v>-2.1653275759498568E-4</v>
      </c>
      <c r="AC8" s="2">
        <f t="shared" si="5"/>
        <v>4.3083183496418466E-4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-303.48564187327042</v>
      </c>
      <c r="AI8" s="2">
        <f t="shared" si="14"/>
        <v>2187.5</v>
      </c>
      <c r="AJ8" s="2">
        <v>25.49307684112523</v>
      </c>
      <c r="AK8" s="2">
        <f t="shared" si="9"/>
        <v>1906.25</v>
      </c>
      <c r="AL8" s="2">
        <v>-133.28123693136672</v>
      </c>
      <c r="AM8" s="2">
        <f t="shared" si="10"/>
        <v>40448.941739779264</v>
      </c>
      <c r="AN8" s="2">
        <f t="shared" si="11"/>
        <v>-3397.7488145715497</v>
      </c>
      <c r="AO8" s="2">
        <f t="shared" si="12"/>
        <v>562.5</v>
      </c>
    </row>
    <row r="9" spans="2:41" x14ac:dyDescent="0.2">
      <c r="B9" s="6" t="s">
        <v>224</v>
      </c>
      <c r="C9" s="17">
        <f>(0.071475+0.069425+0.067375+0.065325+0.063275+0.061225+0.059175+0.057125)/8</f>
        <v>6.4299999999999982E-2</v>
      </c>
      <c r="F9" t="s">
        <v>100</v>
      </c>
      <c r="G9" s="6">
        <f>G11/$C$17</f>
        <v>59.268413449118498</v>
      </c>
      <c r="H9" s="6" t="s">
        <v>104</v>
      </c>
      <c r="J9" s="6" t="s">
        <v>265</v>
      </c>
      <c r="K9" s="6">
        <f xml:space="preserve"> $C$14 * (G6 + G14 + G26)/3600</f>
        <v>0.62222222222222223</v>
      </c>
      <c r="L9" s="6" t="s">
        <v>106</v>
      </c>
      <c r="N9" s="6" t="s">
        <v>41</v>
      </c>
      <c r="O9" s="6">
        <f xml:space="preserve"> O4 *O8 * PI() * $C$8 * $C$8</f>
        <v>1224.2997476669771</v>
      </c>
      <c r="P9" s="6" t="s">
        <v>22</v>
      </c>
      <c r="U9" s="2">
        <v>5</v>
      </c>
      <c r="V9" s="2">
        <f t="shared" si="7"/>
        <v>0</v>
      </c>
      <c r="W9" s="2">
        <f t="shared" si="0"/>
        <v>2.0954507455147355E-2</v>
      </c>
      <c r="X9" s="2">
        <f t="shared" si="8"/>
        <v>3.125E-2</v>
      </c>
      <c r="Y9" s="2">
        <f t="shared" si="1"/>
        <v>-1.0333469209833211E-2</v>
      </c>
      <c r="Z9" s="2">
        <f t="shared" si="3"/>
        <v>1.5625E-2</v>
      </c>
      <c r="AA9" s="2">
        <f t="shared" si="2"/>
        <v>5.3199392162050912E-3</v>
      </c>
      <c r="AB9" s="2">
        <f t="shared" si="4"/>
        <v>1.1147670596690036E-4</v>
      </c>
      <c r="AC9" s="2">
        <f t="shared" si="5"/>
        <v>-5.4973428088839534E-5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-133.28123693136672</v>
      </c>
      <c r="AI9" s="2">
        <f t="shared" si="14"/>
        <v>2187.5</v>
      </c>
      <c r="AJ9" s="2">
        <v>25.49307684112523</v>
      </c>
      <c r="AK9" s="2">
        <f t="shared" si="9"/>
        <v>2046.875</v>
      </c>
      <c r="AL9" s="2">
        <v>-53.322643936947316</v>
      </c>
      <c r="AM9" s="2">
        <f t="shared" si="10"/>
        <v>7106.9079403671803</v>
      </c>
      <c r="AN9" s="2">
        <f t="shared" si="11"/>
        <v>-1359.3582592565583</v>
      </c>
      <c r="AO9" s="2">
        <f t="shared" si="12"/>
        <v>281.25</v>
      </c>
    </row>
    <row r="10" spans="2:41" x14ac:dyDescent="0.2">
      <c r="F10" t="s">
        <v>275</v>
      </c>
      <c r="G10" s="6">
        <f xml:space="preserve"> (G8/$C$42*1000) / ($G$9*1000)</f>
        <v>9.0351381761673348</v>
      </c>
      <c r="H10" s="6" t="s">
        <v>276</v>
      </c>
      <c r="N10" s="6" t="s">
        <v>42</v>
      </c>
      <c r="O10" s="6">
        <f xml:space="preserve"> O9</f>
        <v>1224.2997476669771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5.3199392162050912E-3</v>
      </c>
      <c r="X10" s="2">
        <f t="shared" si="8"/>
        <v>3.125E-2</v>
      </c>
      <c r="Y10" s="2">
        <f t="shared" si="1"/>
        <v>-1.0333469209833211E-2</v>
      </c>
      <c r="Z10" s="2">
        <f t="shared" si="3"/>
        <v>2.34375E-2</v>
      </c>
      <c r="AA10" s="2">
        <f t="shared" si="2"/>
        <v>-2.5044512893860234E-3</v>
      </c>
      <c r="AB10" s="2">
        <f t="shared" si="4"/>
        <v>-1.3323528629480111E-5</v>
      </c>
      <c r="AC10" s="2">
        <f t="shared" si="5"/>
        <v>2.5879670286397557E-5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-53.322643936947316</v>
      </c>
      <c r="AI10" s="2">
        <f t="shared" si="14"/>
        <v>2187.5</v>
      </c>
      <c r="AJ10" s="2">
        <v>25.49307684112523</v>
      </c>
      <c r="AK10" s="2">
        <f t="shared" si="9"/>
        <v>2117.1875</v>
      </c>
      <c r="AL10" s="2">
        <v>-13.811324341588943</v>
      </c>
      <c r="AM10" s="2">
        <f t="shared" si="10"/>
        <v>736.45633016424051</v>
      </c>
      <c r="AN10" s="2">
        <f t="shared" si="11"/>
        <v>-352.09315271783026</v>
      </c>
      <c r="AO10" s="2">
        <f t="shared" si="12"/>
        <v>140.625</v>
      </c>
    </row>
    <row r="11" spans="2:41" x14ac:dyDescent="0.2">
      <c r="B11" s="53" t="s">
        <v>12</v>
      </c>
      <c r="C11" s="53"/>
      <c r="D11" s="53"/>
      <c r="F11" s="42" t="s">
        <v>85</v>
      </c>
      <c r="G11" s="43">
        <f xml:space="preserve"> 1/1000 * (($C$5*$C$42)/$C$20 * ( ($G$4/2) + SQRT( ($G$4/2)^2 + ($C$5*$C$42) / (2*$C$39*PI()*$C$8^2 * $C$17) ) ) )</f>
        <v>237.07365379647399</v>
      </c>
      <c r="H11" s="43" t="s">
        <v>104</v>
      </c>
      <c r="J11" s="56" t="s">
        <v>54</v>
      </c>
      <c r="K11" s="56"/>
      <c r="L11" s="56"/>
      <c r="N11" s="6" t="s">
        <v>118</v>
      </c>
      <c r="O11" s="6">
        <f>($O$8*PI()*$C$8^2)/(0.3048^2)/($C$5*2.20462/1000)^(2/3) + 0.85</f>
        <v>4.5637973064659114</v>
      </c>
      <c r="U11" s="2">
        <v>7</v>
      </c>
      <c r="V11" s="2">
        <f t="shared" si="7"/>
        <v>1.5625E-2</v>
      </c>
      <c r="W11" s="2">
        <f t="shared" si="0"/>
        <v>5.3199392162050912E-3</v>
      </c>
      <c r="X11" s="2">
        <f t="shared" si="8"/>
        <v>2.34375E-2</v>
      </c>
      <c r="Y11" s="2">
        <f t="shared" si="1"/>
        <v>-2.5044512893860234E-3</v>
      </c>
      <c r="Z11" s="2">
        <f t="shared" si="3"/>
        <v>1.953125E-2</v>
      </c>
      <c r="AA11" s="2">
        <f t="shared" si="2"/>
        <v>1.4083289354174661E-3</v>
      </c>
      <c r="AB11" s="2">
        <f t="shared" si="4"/>
        <v>7.4922243328437454E-6</v>
      </c>
      <c r="AC11" s="2">
        <f t="shared" si="5"/>
        <v>-3.5270912181859184E-6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-13.811324341588943</v>
      </c>
      <c r="AI11" s="2">
        <f t="shared" si="14"/>
        <v>2187.5</v>
      </c>
      <c r="AJ11" s="2">
        <v>25.49307684112523</v>
      </c>
      <c r="AK11" s="2">
        <f t="shared" si="9"/>
        <v>2152.34375</v>
      </c>
      <c r="AL11" s="2">
        <v>5.8669276898435783</v>
      </c>
      <c r="AM11" s="2">
        <f t="shared" si="10"/>
        <v>-81.030041213078789</v>
      </c>
      <c r="AN11" s="2">
        <f t="shared" si="11"/>
        <v>149.56603841850767</v>
      </c>
      <c r="AO11" s="2">
        <f t="shared" si="12"/>
        <v>70.3125</v>
      </c>
    </row>
    <row r="12" spans="2:41" x14ac:dyDescent="0.2">
      <c r="B12" s="6" t="s">
        <v>71</v>
      </c>
      <c r="C12" s="6">
        <f>C23*100</f>
        <v>600</v>
      </c>
      <c r="D12" s="6" t="s">
        <v>7</v>
      </c>
      <c r="J12" s="10" t="s">
        <v>82</v>
      </c>
      <c r="K12" s="6">
        <f>C5</f>
        <v>2141.99321998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1.4083289354174661E-3</v>
      </c>
      <c r="X12" s="2">
        <f t="shared" si="8"/>
        <v>2.34375E-2</v>
      </c>
      <c r="Y12" s="2">
        <f t="shared" si="1"/>
        <v>-2.5044512893860234E-3</v>
      </c>
      <c r="Z12" s="2">
        <f t="shared" si="3"/>
        <v>2.1484375E-2</v>
      </c>
      <c r="AA12" s="2">
        <f t="shared" si="2"/>
        <v>-5.4791566832938787E-4</v>
      </c>
      <c r="AB12" s="2">
        <f t="shared" si="4"/>
        <v>-7.7164548987687625E-7</v>
      </c>
      <c r="AC12" s="2">
        <f t="shared" si="5"/>
        <v>1.3722281020223401E-6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-13.811324341588943</v>
      </c>
      <c r="AI12" s="2">
        <f t="shared" si="14"/>
        <v>2152.34375</v>
      </c>
      <c r="AJ12" s="2">
        <v>5.8669276898435783</v>
      </c>
      <c r="AK12" s="2">
        <f t="shared" si="9"/>
        <v>2134.765625</v>
      </c>
      <c r="AL12" s="2">
        <v>-3.9657090605476242</v>
      </c>
      <c r="AM12" s="2">
        <f t="shared" si="10"/>
        <v>54.771694079601218</v>
      </c>
      <c r="AN12" s="2">
        <f t="shared" si="11"/>
        <v>-23.266528297190419</v>
      </c>
      <c r="AO12" s="2">
        <f t="shared" si="12"/>
        <v>35.15625</v>
      </c>
    </row>
    <row r="13" spans="2:41" x14ac:dyDescent="0.2">
      <c r="B13" s="6" t="s">
        <v>13</v>
      </c>
      <c r="C13" s="17">
        <v>96000</v>
      </c>
      <c r="D13" s="6" t="s">
        <v>8</v>
      </c>
      <c r="F13" s="56" t="s">
        <v>89</v>
      </c>
      <c r="G13" s="57"/>
      <c r="H13" s="57"/>
      <c r="J13" s="11" t="s">
        <v>55</v>
      </c>
      <c r="K13" s="6">
        <f xml:space="preserve"> K8 * 1000 / ($C$34 * $C$35 * $C$36)</f>
        <v>767.8668340098011</v>
      </c>
      <c r="L13" s="6" t="s">
        <v>7</v>
      </c>
      <c r="N13" s="56" t="s">
        <v>76</v>
      </c>
      <c r="O13" s="58"/>
      <c r="P13" s="58"/>
      <c r="U13" s="2">
        <v>9</v>
      </c>
      <c r="V13" s="2">
        <f t="shared" si="7"/>
        <v>1.953125E-2</v>
      </c>
      <c r="W13" s="2">
        <f t="shared" si="0"/>
        <v>1.4083289354174661E-3</v>
      </c>
      <c r="X13" s="2">
        <f t="shared" si="8"/>
        <v>2.1484375E-2</v>
      </c>
      <c r="Y13" s="2">
        <f t="shared" si="1"/>
        <v>-5.4791566832938787E-4</v>
      </c>
      <c r="Z13" s="2">
        <f t="shared" si="3"/>
        <v>2.05078125E-2</v>
      </c>
      <c r="AA13" s="2">
        <f t="shared" si="2"/>
        <v>4.3024310782956154E-4</v>
      </c>
      <c r="AB13" s="2">
        <f t="shared" si="4"/>
        <v>6.0592381802030846E-7</v>
      </c>
      <c r="AC13" s="2">
        <f t="shared" si="5"/>
        <v>-2.3573693997054711E-7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-3.9657090605476242</v>
      </c>
      <c r="AI13" s="2">
        <f t="shared" si="14"/>
        <v>2152.34375</v>
      </c>
      <c r="AJ13" s="2">
        <v>5.8669276898435783</v>
      </c>
      <c r="AK13" s="2">
        <f t="shared" si="9"/>
        <v>2143.5546875</v>
      </c>
      <c r="AL13" s="2">
        <v>0.95224317195561525</v>
      </c>
      <c r="AM13" s="2">
        <f t="shared" si="10"/>
        <v>-3.7763193748689927</v>
      </c>
      <c r="AN13" s="2">
        <f t="shared" si="11"/>
        <v>5.5867418330108789</v>
      </c>
      <c r="AO13" s="2">
        <f t="shared" si="12"/>
        <v>17.578125</v>
      </c>
    </row>
    <row r="14" spans="2:41" x14ac:dyDescent="0.2">
      <c r="B14" s="6" t="s">
        <v>263</v>
      </c>
      <c r="C14" s="17">
        <v>1</v>
      </c>
      <c r="F14" s="9" t="s">
        <v>92</v>
      </c>
      <c r="G14" s="6">
        <f xml:space="preserve"> $C$13/$C$7</f>
        <v>1920</v>
      </c>
      <c r="H14" s="6" t="s">
        <v>14</v>
      </c>
      <c r="J14" s="12" t="s">
        <v>135</v>
      </c>
      <c r="K14" s="6">
        <f xml:space="preserve"> $C$52 * $C$17 * (0.0095 * MAX(G8,O19,G27) - 1.9275)</f>
        <v>153.64776327113154</v>
      </c>
      <c r="L14" s="6" t="s">
        <v>7</v>
      </c>
      <c r="N14" s="6" t="s">
        <v>77</v>
      </c>
      <c r="O14" s="6">
        <f xml:space="preserve"> SQRT( ($C$5*$C$48)^2 + O10^2)</f>
        <v>21028.389904096253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4.3024310782956154E-4</v>
      </c>
      <c r="X14" s="2">
        <f t="shared" si="8"/>
        <v>2.1484375E-2</v>
      </c>
      <c r="Y14" s="2">
        <f t="shared" si="1"/>
        <v>-5.4791566832938787E-4</v>
      </c>
      <c r="Z14" s="2">
        <f t="shared" si="3"/>
        <v>2.099609375E-2</v>
      </c>
      <c r="AA14" s="2">
        <f t="shared" si="2"/>
        <v>-5.8827173488380791E-5</v>
      </c>
      <c r="AB14" s="2">
        <f t="shared" si="4"/>
        <v>-2.530998594646974E-8</v>
      </c>
      <c r="AC14" s="2">
        <f t="shared" si="5"/>
        <v>3.2232330077815011E-8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-3.9657090605476242</v>
      </c>
      <c r="AI14" s="2">
        <f t="shared" si="14"/>
        <v>2143.5546875</v>
      </c>
      <c r="AJ14" s="2">
        <v>0.95224317195561525</v>
      </c>
      <c r="AK14" s="2">
        <f t="shared" si="9"/>
        <v>2139.16015625</v>
      </c>
      <c r="AL14" s="2">
        <v>-1.5063188241697389</v>
      </c>
      <c r="AM14" s="2">
        <f t="shared" si="10"/>
        <v>5.973622209083377</v>
      </c>
      <c r="AN14" s="2">
        <f t="shared" si="11"/>
        <v>-1.434381815103845</v>
      </c>
      <c r="AO14" s="2">
        <f t="shared" si="12"/>
        <v>8.7890625</v>
      </c>
    </row>
    <row r="15" spans="2:41" x14ac:dyDescent="0.2">
      <c r="F15" t="s">
        <v>130</v>
      </c>
      <c r="G15" s="8">
        <f>O20*$C$8</f>
        <v>188.49555921538757</v>
      </c>
      <c r="H15" s="6" t="s">
        <v>10</v>
      </c>
      <c r="J15" s="12" t="s">
        <v>136</v>
      </c>
      <c r="K15" s="6">
        <f xml:space="preserve"> $C$52 * $C$17 * ( 0.0037 * $C$18^0.28 * ($C$8*3.28084)^1.5 * ($G$7*3.28084)^0.43 * ( 0.01742 * $C$18^0.66 * ($C$9*$C$8*3.28084) * ($C$8*3.28084)^1.3 * ($G$7*3.28084)^0.67 + 0.5*(K14/$C$17)* 2.20462 * $C$42*3.28084 )^0.55 ) * 0.453592</f>
        <v>283.73463270545733</v>
      </c>
      <c r="L15" s="6" t="s">
        <v>7</v>
      </c>
      <c r="N15" s="6" t="s">
        <v>78</v>
      </c>
      <c r="O15" s="6">
        <f>$C$5*$C$48/O14</f>
        <v>0.99830370264520663</v>
      </c>
      <c r="U15" s="2">
        <v>11</v>
      </c>
      <c r="V15" s="2">
        <f t="shared" si="7"/>
        <v>2.05078125E-2</v>
      </c>
      <c r="W15" s="2">
        <f t="shared" si="0"/>
        <v>4.3024310782956154E-4</v>
      </c>
      <c r="X15" s="2">
        <f t="shared" si="8"/>
        <v>2.099609375E-2</v>
      </c>
      <c r="Y15" s="2">
        <f t="shared" si="1"/>
        <v>-5.8827173488380791E-5</v>
      </c>
      <c r="Z15" s="2">
        <f t="shared" si="3"/>
        <v>2.0751953125E-2</v>
      </c>
      <c r="AA15" s="2">
        <f t="shared" si="2"/>
        <v>1.8571024535793748E-4</v>
      </c>
      <c r="AB15" s="2">
        <f t="shared" si="4"/>
        <v>7.9900553118589432E-8</v>
      </c>
      <c r="AC15" s="2">
        <f t="shared" si="5"/>
        <v>-1.0924808822241152E-8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-1.5063188241697389</v>
      </c>
      <c r="AI15" s="2">
        <f t="shared" si="14"/>
        <v>2143.5546875</v>
      </c>
      <c r="AJ15" s="2">
        <v>0.95224317195561525</v>
      </c>
      <c r="AK15" s="2">
        <f t="shared" si="9"/>
        <v>2141.357421875</v>
      </c>
      <c r="AL15" s="2">
        <v>-0.27693541258781806</v>
      </c>
      <c r="AM15" s="2">
        <f t="shared" si="10"/>
        <v>0.41715302506024365</v>
      </c>
      <c r="AN15" s="2">
        <f t="shared" si="11"/>
        <v>-0.26370985570946087</v>
      </c>
      <c r="AO15" s="2">
        <f t="shared" si="12"/>
        <v>4.39453125</v>
      </c>
    </row>
    <row r="16" spans="2:41" x14ac:dyDescent="0.2">
      <c r="B16" s="55" t="s">
        <v>115</v>
      </c>
      <c r="C16" s="55"/>
      <c r="D16" s="55"/>
      <c r="F16" s="6" t="s">
        <v>133</v>
      </c>
      <c r="G16" s="6">
        <f>G15/$C$47</f>
        <v>0.56652610777154422</v>
      </c>
      <c r="H16" s="6" t="s">
        <v>131</v>
      </c>
      <c r="J16" s="13" t="s">
        <v>56</v>
      </c>
      <c r="K16" s="6">
        <f xml:space="preserve"> $C$52 * 0.2138 * K4</f>
        <v>40.54907774534891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1.8571024535793748E-4</v>
      </c>
      <c r="X16" s="2">
        <f t="shared" si="8"/>
        <v>2.099609375E-2</v>
      </c>
      <c r="Y16" s="2">
        <f t="shared" si="1"/>
        <v>-5.8827173488380791E-5</v>
      </c>
      <c r="Z16" s="2">
        <f t="shared" si="3"/>
        <v>2.08740234375E-2</v>
      </c>
      <c r="AA16" s="2">
        <f t="shared" si="2"/>
        <v>6.3442105295789808E-5</v>
      </c>
      <c r="AB16" s="2">
        <f t="shared" si="4"/>
        <v>1.178184894050523E-8</v>
      </c>
      <c r="AC16" s="2">
        <f t="shared" si="5"/>
        <v>-3.7321197347035487E-9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-0.27693541258781806</v>
      </c>
      <c r="AI16" s="2">
        <f t="shared" si="14"/>
        <v>2143.5546875</v>
      </c>
      <c r="AJ16" s="2">
        <v>0.95224317195561525</v>
      </c>
      <c r="AK16" s="2">
        <f t="shared" si="9"/>
        <v>2142.4560546875</v>
      </c>
      <c r="AL16" s="2">
        <v>0.33767788571776691</v>
      </c>
      <c r="AM16" s="2">
        <f t="shared" si="10"/>
        <v>-9.3514964603031853E-2</v>
      </c>
      <c r="AN16" s="2">
        <f t="shared" si="11"/>
        <v>0.32155146099515214</v>
      </c>
      <c r="AO16" s="2">
        <f t="shared" si="12"/>
        <v>2.197265625</v>
      </c>
    </row>
    <row r="17" spans="2:41" x14ac:dyDescent="0.2">
      <c r="B17" s="6" t="s">
        <v>97</v>
      </c>
      <c r="C17" s="17">
        <v>4</v>
      </c>
      <c r="F17" s="9" t="s">
        <v>21</v>
      </c>
      <c r="G17" s="6">
        <f>O19</f>
        <v>5257.0974760240633</v>
      </c>
      <c r="H17" s="6" t="s">
        <v>22</v>
      </c>
      <c r="J17" s="13" t="s">
        <v>80</v>
      </c>
      <c r="K17" s="6">
        <f xml:space="preserve"> $C$52 * 0.1149 * K4</f>
        <v>21.791810256971889</v>
      </c>
      <c r="L17" s="6" t="s">
        <v>7</v>
      </c>
      <c r="N17" s="56" t="s">
        <v>27</v>
      </c>
      <c r="O17" s="58"/>
      <c r="P17" s="58"/>
      <c r="U17" s="2">
        <v>13</v>
      </c>
      <c r="V17" s="2">
        <f t="shared" si="7"/>
        <v>2.08740234375E-2</v>
      </c>
      <c r="W17" s="2">
        <f t="shared" si="0"/>
        <v>6.3442105295789808E-5</v>
      </c>
      <c r="X17" s="2">
        <f t="shared" si="8"/>
        <v>2.099609375E-2</v>
      </c>
      <c r="Y17" s="2">
        <f t="shared" si="1"/>
        <v>-5.8827173488380791E-5</v>
      </c>
      <c r="Z17" s="2">
        <f t="shared" si="3"/>
        <v>2.093505859375E-2</v>
      </c>
      <c r="AA17" s="2">
        <f t="shared" si="2"/>
        <v>2.3076082206162363E-6</v>
      </c>
      <c r="AB17" s="2">
        <f t="shared" si="4"/>
        <v>1.4639952371376541E-10</v>
      </c>
      <c r="AC17" s="2">
        <f t="shared" si="5"/>
        <v>-1.3575006913740502E-10</v>
      </c>
      <c r="AD17" s="2">
        <f t="shared" si="6"/>
        <v>1.220703125E-4</v>
      </c>
      <c r="AF17" s="2">
        <v>13</v>
      </c>
      <c r="AG17" s="2">
        <f t="shared" si="13"/>
        <v>2141.357421875</v>
      </c>
      <c r="AH17" s="2">
        <v>-0.27693541258781806</v>
      </c>
      <c r="AI17" s="2">
        <f t="shared" si="14"/>
        <v>2142.4560546875</v>
      </c>
      <c r="AJ17" s="2">
        <v>0.33767788571776691</v>
      </c>
      <c r="AK17" s="2">
        <f t="shared" si="9"/>
        <v>2141.90673828125</v>
      </c>
      <c r="AL17" s="2">
        <v>3.0367241452040616E-2</v>
      </c>
      <c r="AM17" s="2">
        <f t="shared" si="10"/>
        <v>-8.4097645406747586E-3</v>
      </c>
      <c r="AN17" s="2">
        <f t="shared" si="11"/>
        <v>1.0254345888606006E-2</v>
      </c>
      <c r="AO17" s="2">
        <f t="shared" si="12"/>
        <v>1.0986328125</v>
      </c>
    </row>
    <row r="18" spans="2:41" x14ac:dyDescent="0.2">
      <c r="B18" t="s">
        <v>114</v>
      </c>
      <c r="C18" s="1">
        <v>3</v>
      </c>
      <c r="D18"/>
      <c r="F18" s="9" t="s">
        <v>100</v>
      </c>
      <c r="G18" s="6">
        <f xml:space="preserve"> 1/1000 * (O24 + O19 * (O26 * O29 + $C$7 * SIN(O18/180*PI())))</f>
        <v>52.319436125920461</v>
      </c>
      <c r="H18" s="6" t="s">
        <v>104</v>
      </c>
      <c r="J18" s="14" t="s">
        <v>63</v>
      </c>
      <c r="K18" s="6">
        <f xml:space="preserve"> $C$53 * (14.86 * ($C$5*2.20462)^0.144 * ($C$24/(PI()*$C$25))^0.778 * ($C$24*3.28084)^0.383 * $C$23^0.455 * 0.453592)</f>
        <v>131.29611187229784</v>
      </c>
      <c r="L18" s="6" t="s">
        <v>7</v>
      </c>
      <c r="N18" s="6" t="s">
        <v>28</v>
      </c>
      <c r="O18" s="6">
        <f xml:space="preserve"> ACOS(O15)/PI()*180</f>
        <v>3.3377210124212797</v>
      </c>
      <c r="P18" s="6" t="s">
        <v>43</v>
      </c>
      <c r="U18" s="2">
        <v>14</v>
      </c>
      <c r="V18" s="2">
        <f t="shared" si="7"/>
        <v>2.093505859375E-2</v>
      </c>
      <c r="W18" s="2">
        <f t="shared" si="0"/>
        <v>2.3076082206162363E-6</v>
      </c>
      <c r="X18" s="2">
        <f t="shared" si="8"/>
        <v>2.099609375E-2</v>
      </c>
      <c r="Y18" s="2">
        <f t="shared" si="1"/>
        <v>-5.8827173488380791E-5</v>
      </c>
      <c r="Z18" s="2">
        <f t="shared" si="3"/>
        <v>2.0965576171875E-2</v>
      </c>
      <c r="AA18" s="2">
        <f t="shared" si="2"/>
        <v>-2.8259747057578222E-5</v>
      </c>
      <c r="AB18" s="2">
        <f t="shared" si="4"/>
        <v>-6.5212424622603005E-11</v>
      </c>
      <c r="AC18" s="2">
        <f t="shared" si="5"/>
        <v>1.6624410428939127E-9</v>
      </c>
      <c r="AD18" s="2">
        <f t="shared" si="6"/>
        <v>6.103515625E-5</v>
      </c>
      <c r="AF18" s="2">
        <v>14</v>
      </c>
      <c r="AG18" s="2">
        <f t="shared" si="13"/>
        <v>2141.357421875</v>
      </c>
      <c r="AH18" s="2">
        <v>-0.27693541258781806</v>
      </c>
      <c r="AI18" s="2">
        <f t="shared" si="14"/>
        <v>2141.90673828125</v>
      </c>
      <c r="AJ18" s="2">
        <v>3.0367241452040616E-2</v>
      </c>
      <c r="AK18" s="2">
        <f t="shared" si="9"/>
        <v>2141.632080078125</v>
      </c>
      <c r="AL18" s="2">
        <v>-0.12328508440714359</v>
      </c>
      <c r="AM18" s="2">
        <f t="shared" si="10"/>
        <v>3.4142005716216284E-2</v>
      </c>
      <c r="AN18" s="2">
        <f t="shared" si="11"/>
        <v>-3.743827925626937E-3</v>
      </c>
      <c r="AO18" s="2">
        <f t="shared" si="12"/>
        <v>0.54931640625</v>
      </c>
    </row>
    <row r="19" spans="2:41" x14ac:dyDescent="0.2">
      <c r="B19" s="6" t="s">
        <v>128</v>
      </c>
      <c r="C19" s="6">
        <f>$C$18*$C$9/PI()</f>
        <v>6.1401977044853208E-2</v>
      </c>
      <c r="F19" t="s">
        <v>275</v>
      </c>
      <c r="G19" s="6">
        <f xml:space="preserve"> (G17/$C$48*1000) / ($G$18*1000)</f>
        <v>10.252561047036165</v>
      </c>
      <c r="H19" s="6" t="s">
        <v>276</v>
      </c>
      <c r="J19" s="14" t="s">
        <v>64</v>
      </c>
      <c r="K19" s="6">
        <f xml:space="preserve"> $C$53 * C29 * $C$5</f>
        <v>23.990324063776004</v>
      </c>
      <c r="L19" s="6" t="s">
        <v>7</v>
      </c>
      <c r="N19" s="6" t="s">
        <v>21</v>
      </c>
      <c r="O19" s="6">
        <f xml:space="preserve"> O14 / $C$17</f>
        <v>5257.0974760240633</v>
      </c>
      <c r="P19" s="6" t="s">
        <v>22</v>
      </c>
      <c r="U19" s="2">
        <v>15</v>
      </c>
      <c r="V19" s="2">
        <f t="shared" si="7"/>
        <v>2.093505859375E-2</v>
      </c>
      <c r="W19" s="2">
        <f t="shared" si="0"/>
        <v>2.3076082206162363E-6</v>
      </c>
      <c r="X19" s="2">
        <f t="shared" si="8"/>
        <v>2.0965576171875E-2</v>
      </c>
      <c r="Y19" s="2">
        <f t="shared" si="1"/>
        <v>-2.8259747057578222E-5</v>
      </c>
      <c r="Z19" s="2">
        <f t="shared" si="3"/>
        <v>2.09503173828125E-2</v>
      </c>
      <c r="AA19" s="2">
        <f t="shared" si="2"/>
        <v>-1.2976060524041988E-5</v>
      </c>
      <c r="AB19" s="2">
        <f t="shared" si="4"/>
        <v>-2.9943663936493116E-11</v>
      </c>
      <c r="AC19" s="2">
        <f t="shared" si="5"/>
        <v>3.667001882132525E-10</v>
      </c>
      <c r="AD19" s="2">
        <f t="shared" si="6"/>
        <v>3.0517578125E-5</v>
      </c>
      <c r="AF19" s="2">
        <v>15</v>
      </c>
      <c r="AG19" s="2">
        <f t="shared" si="13"/>
        <v>2141.632080078125</v>
      </c>
      <c r="AH19" s="2">
        <v>-0.12328508440714359</v>
      </c>
      <c r="AI19" s="2">
        <f t="shared" si="14"/>
        <v>2141.90673828125</v>
      </c>
      <c r="AJ19" s="2">
        <v>3.0367241452040616E-2</v>
      </c>
      <c r="AK19" s="2">
        <f t="shared" si="9"/>
        <v>2141.7694091796875</v>
      </c>
      <c r="AL19" s="2">
        <v>-4.6459171178867109E-2</v>
      </c>
      <c r="AM19" s="2">
        <f t="shared" si="10"/>
        <v>5.7277228402725644E-3</v>
      </c>
      <c r="AN19" s="2">
        <f t="shared" si="11"/>
        <v>-1.410836868850344E-3</v>
      </c>
      <c r="AO19" s="2">
        <f t="shared" si="12"/>
        <v>0.274658203125</v>
      </c>
    </row>
    <row r="20" spans="2:41" x14ac:dyDescent="0.2">
      <c r="B20" s="6" t="s">
        <v>129</v>
      </c>
      <c r="C20" s="17">
        <v>0.75</v>
      </c>
      <c r="F20" s="9" t="s">
        <v>277</v>
      </c>
      <c r="G20" s="6">
        <f>O22/ ($C$18*$C$9/PI())</f>
        <v>4.7533140070795364E-2</v>
      </c>
      <c r="J20" s="14" t="s">
        <v>65</v>
      </c>
      <c r="K20" s="6">
        <f xml:space="preserve"> $C$53 * 0</f>
        <v>0</v>
      </c>
      <c r="L20" s="6" t="s">
        <v>7</v>
      </c>
      <c r="N20" s="6" t="s">
        <v>29</v>
      </c>
      <c r="O20" s="6">
        <f>$C$6*2*PI()/60</f>
        <v>47.123889803846893</v>
      </c>
      <c r="P20" s="6" t="s">
        <v>30</v>
      </c>
      <c r="U20" s="2">
        <v>16</v>
      </c>
      <c r="V20" s="2">
        <f t="shared" si="7"/>
        <v>2.093505859375E-2</v>
      </c>
      <c r="W20" s="2">
        <f t="shared" si="0"/>
        <v>2.3076082206162363E-6</v>
      </c>
      <c r="X20" s="2">
        <f t="shared" si="8"/>
        <v>2.09503173828125E-2</v>
      </c>
      <c r="Y20" s="2">
        <f t="shared" si="1"/>
        <v>-1.2976060524041988E-5</v>
      </c>
      <c r="Z20" s="2">
        <f t="shared" si="3"/>
        <v>2.094268798828125E-2</v>
      </c>
      <c r="AA20" s="2">
        <f t="shared" si="2"/>
        <v>-5.3342239280593229E-6</v>
      </c>
      <c r="AB20" s="2">
        <f t="shared" si="4"/>
        <v>-1.2309298986997524E-11</v>
      </c>
      <c r="AC20" s="2">
        <f t="shared" si="5"/>
        <v>6.9217212539290767E-11</v>
      </c>
      <c r="AD20" s="2">
        <f t="shared" si="6"/>
        <v>1.52587890625E-5</v>
      </c>
      <c r="AF20" s="2">
        <v>16</v>
      </c>
      <c r="AG20" s="2">
        <f t="shared" si="13"/>
        <v>2141.7694091796875</v>
      </c>
      <c r="AH20" s="2">
        <v>-4.6459171178867109E-2</v>
      </c>
      <c r="AI20" s="2">
        <f t="shared" si="14"/>
        <v>2141.90673828125</v>
      </c>
      <c r="AJ20" s="2">
        <v>3.0367241452040616E-2</v>
      </c>
      <c r="AK20" s="2">
        <f t="shared" si="9"/>
        <v>2141.8380737304688</v>
      </c>
      <c r="AL20" s="2">
        <v>-8.0460272881737183E-3</v>
      </c>
      <c r="AM20" s="2">
        <f t="shared" si="10"/>
        <v>3.7381175909109867E-4</v>
      </c>
      <c r="AN20" s="2">
        <f t="shared" si="11"/>
        <v>-2.4433565338967888E-4</v>
      </c>
      <c r="AO20" s="2">
        <f t="shared" si="12"/>
        <v>0.1373291015625</v>
      </c>
    </row>
    <row r="21" spans="2:41" x14ac:dyDescent="0.2">
      <c r="F21" s="44" t="s">
        <v>225</v>
      </c>
      <c r="G21" s="43">
        <f>$C$17 * G18</f>
        <v>209.27774450368184</v>
      </c>
      <c r="H21" s="43" t="s">
        <v>104</v>
      </c>
      <c r="J21" s="14" t="s">
        <v>66</v>
      </c>
      <c r="K21" s="6">
        <f xml:space="preserve"> $C$53 * 0</f>
        <v>0</v>
      </c>
      <c r="L21" s="6" t="s">
        <v>7</v>
      </c>
      <c r="N21" s="6" t="s">
        <v>31</v>
      </c>
      <c r="O21" s="6">
        <f xml:space="preserve"> $C$7 * COS(O18/180*PI()) / (O20 * $C$8)</f>
        <v>0.26480828163821046</v>
      </c>
      <c r="U21" s="2">
        <v>17</v>
      </c>
      <c r="V21" s="2">
        <f t="shared" si="7"/>
        <v>2.093505859375E-2</v>
      </c>
      <c r="W21" s="2">
        <f t="shared" si="0"/>
        <v>2.3076082206162363E-6</v>
      </c>
      <c r="X21" s="2">
        <f t="shared" si="8"/>
        <v>2.094268798828125E-2</v>
      </c>
      <c r="Y21" s="2">
        <f t="shared" si="1"/>
        <v>-5.3342239280593229E-6</v>
      </c>
      <c r="Z21" s="2">
        <f t="shared" si="3"/>
        <v>2.0938873291015625E-2</v>
      </c>
      <c r="AA21" s="2">
        <f t="shared" si="2"/>
        <v>-1.5133072977999151E-6</v>
      </c>
      <c r="AB21" s="2">
        <f t="shared" si="4"/>
        <v>-3.4921203607216268E-12</v>
      </c>
      <c r="AC21" s="2">
        <f t="shared" si="5"/>
        <v>8.0723199984311026E-12</v>
      </c>
      <c r="AD21" s="2">
        <f t="shared" si="6"/>
        <v>7.62939453125E-6</v>
      </c>
      <c r="AF21" s="2">
        <v>17</v>
      </c>
      <c r="AG21" s="2">
        <f t="shared" si="13"/>
        <v>2141.8380737304688</v>
      </c>
      <c r="AH21" s="2">
        <v>-8.0460272881737183E-3</v>
      </c>
      <c r="AI21" s="2">
        <f t="shared" si="14"/>
        <v>2141.90673828125</v>
      </c>
      <c r="AJ21" s="2">
        <v>3.0367241452040616E-2</v>
      </c>
      <c r="AK21" s="2">
        <f t="shared" si="9"/>
        <v>2141.8724060058594</v>
      </c>
      <c r="AL21" s="2">
        <v>1.1167250345579305E-2</v>
      </c>
      <c r="AM21" s="2">
        <f t="shared" si="10"/>
        <v>-8.9852001014398478E-5</v>
      </c>
      <c r="AN21" s="2">
        <f t="shared" si="11"/>
        <v>3.3911858759959074E-4</v>
      </c>
      <c r="AO21" s="2">
        <f t="shared" si="12"/>
        <v>6.866455078125E-2</v>
      </c>
    </row>
    <row r="22" spans="2:41" x14ac:dyDescent="0.2">
      <c r="B22" s="55" t="s">
        <v>107</v>
      </c>
      <c r="C22" s="55"/>
      <c r="D22" s="55"/>
      <c r="J22" s="14" t="s">
        <v>117</v>
      </c>
      <c r="K22" s="6">
        <f>$C$53*(0.14*$G$11*1000/745.7)*0.453592</f>
        <v>16.151116843984482</v>
      </c>
      <c r="L22" s="6" t="s">
        <v>7</v>
      </c>
      <c r="N22" s="6" t="s">
        <v>32</v>
      </c>
      <c r="O22" s="6">
        <f xml:space="preserve"> O19 / ($C$45 * PI() * $C$8^2 * O20^2 * $C$8^2)</f>
        <v>2.9186287754967692E-3</v>
      </c>
      <c r="U22" s="2">
        <v>18</v>
      </c>
      <c r="V22" s="2">
        <f t="shared" si="7"/>
        <v>2.093505859375E-2</v>
      </c>
      <c r="W22" s="2">
        <f t="shared" si="0"/>
        <v>2.3076082206162363E-6</v>
      </c>
      <c r="X22" s="2">
        <f t="shared" si="8"/>
        <v>2.0938873291015625E-2</v>
      </c>
      <c r="Y22" s="2">
        <f t="shared" si="1"/>
        <v>-1.5133072977999151E-6</v>
      </c>
      <c r="Z22" s="2">
        <f t="shared" si="3"/>
        <v>2.0936965942382812E-2</v>
      </c>
      <c r="AA22" s="2">
        <f t="shared" si="2"/>
        <v>3.9715060038553185E-7</v>
      </c>
      <c r="AB22" s="2">
        <f t="shared" si="4"/>
        <v>9.16467990272327E-13</v>
      </c>
      <c r="AC22" s="2">
        <f t="shared" si="5"/>
        <v>-6.0101090188904312E-13</v>
      </c>
      <c r="AD22" s="2">
        <f t="shared" si="6"/>
        <v>3.814697265625E-6</v>
      </c>
      <c r="AF22" s="2">
        <v>18</v>
      </c>
      <c r="AG22" s="2">
        <f t="shared" si="13"/>
        <v>2141.8380737304688</v>
      </c>
      <c r="AH22" s="2">
        <v>-8.0460272881737183E-3</v>
      </c>
      <c r="AI22" s="2">
        <f t="shared" si="14"/>
        <v>2141.8724060058594</v>
      </c>
      <c r="AJ22" s="2">
        <v>1.1167250345579305E-2</v>
      </c>
      <c r="AK22" s="2">
        <f t="shared" si="9"/>
        <v>2141.8552398681641</v>
      </c>
      <c r="AL22" s="2">
        <v>1.5672664164867456E-3</v>
      </c>
      <c r="AM22" s="2">
        <f t="shared" si="10"/>
        <v>-1.261026835489059E-5</v>
      </c>
      <c r="AN22" s="2">
        <f t="shared" si="11"/>
        <v>1.7502056431126447E-5</v>
      </c>
      <c r="AO22" s="2">
        <f t="shared" si="12"/>
        <v>3.4332275390625E-2</v>
      </c>
    </row>
    <row r="23" spans="2:41" x14ac:dyDescent="0.2">
      <c r="B23" t="s">
        <v>108</v>
      </c>
      <c r="C23" s="1">
        <v>6</v>
      </c>
      <c r="D23"/>
      <c r="F23" s="56" t="s">
        <v>84</v>
      </c>
      <c r="G23" s="57"/>
      <c r="H23" s="57"/>
      <c r="J23" s="15" t="s">
        <v>67</v>
      </c>
      <c r="K23" s="6">
        <f xml:space="preserve"> $C$54 * (0.0268 * $C$5)</f>
        <v>45.924334636371206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2.0936965942382812E-2</v>
      </c>
      <c r="W23" s="2">
        <f t="shared" si="0"/>
        <v>3.9715060038553185E-7</v>
      </c>
      <c r="X23" s="2">
        <f t="shared" si="8"/>
        <v>2.0938873291015625E-2</v>
      </c>
      <c r="Y23" s="2">
        <f t="shared" si="1"/>
        <v>-1.5133072977999151E-6</v>
      </c>
      <c r="Z23" s="2">
        <f t="shared" si="3"/>
        <v>2.0937919616699219E-2</v>
      </c>
      <c r="AA23" s="2">
        <f t="shared" si="2"/>
        <v>-5.5807831396068042E-7</v>
      </c>
      <c r="AB23" s="2">
        <f t="shared" si="4"/>
        <v>-2.2164113745162958E-13</v>
      </c>
      <c r="AC23" s="2">
        <f t="shared" si="5"/>
        <v>8.4454398526056988E-13</v>
      </c>
      <c r="AD23" s="2">
        <f t="shared" si="6"/>
        <v>1.9073486328125E-6</v>
      </c>
      <c r="AF23" s="2">
        <v>19</v>
      </c>
      <c r="AG23" s="2">
        <f t="shared" si="13"/>
        <v>2141.8380737304688</v>
      </c>
      <c r="AH23" s="2">
        <v>-8.0460272881737183E-3</v>
      </c>
      <c r="AI23" s="2">
        <f t="shared" si="14"/>
        <v>2141.8552398681641</v>
      </c>
      <c r="AJ23" s="2">
        <v>1.5672664164867456E-3</v>
      </c>
      <c r="AK23" s="2">
        <f t="shared" si="9"/>
        <v>2141.8466567993164</v>
      </c>
      <c r="AL23" s="2">
        <v>-3.2393814319675585E-3</v>
      </c>
      <c r="AM23" s="2">
        <f t="shared" si="10"/>
        <v>2.6064151398414232E-5</v>
      </c>
      <c r="AN23" s="2">
        <f t="shared" si="11"/>
        <v>-5.0769737285134979E-6</v>
      </c>
      <c r="AO23" s="2">
        <f t="shared" si="12"/>
        <v>1.71661376953125E-2</v>
      </c>
    </row>
    <row r="24" spans="2:41" x14ac:dyDescent="0.2">
      <c r="B24" t="s">
        <v>109</v>
      </c>
      <c r="C24" s="1">
        <v>6.4008000000000003</v>
      </c>
      <c r="D24" t="s">
        <v>8</v>
      </c>
      <c r="F24" t="s">
        <v>88</v>
      </c>
      <c r="G24" s="1">
        <f>300*0.3048/60</f>
        <v>1.524</v>
      </c>
      <c r="H24" t="s">
        <v>10</v>
      </c>
      <c r="J24" s="15" t="s">
        <v>68</v>
      </c>
      <c r="K24" s="6">
        <f xml:space="preserve"> $C$54 * (11.5 * ($C$5*2.20462/1000)^0.4 * 0.453592)</f>
        <v>7.7645081037823616</v>
      </c>
      <c r="L24" s="6" t="s">
        <v>7</v>
      </c>
      <c r="N24" s="6" t="s">
        <v>33</v>
      </c>
      <c r="O24" s="6">
        <f xml:space="preserve"> ($C$19 * O23 / 8) * (1 + 4.65 *O21^ 2) * ( PI() * $C$45 * O20^3 *$C$8^ 5)</f>
        <v>30755.189325977801</v>
      </c>
      <c r="P24" s="6" t="s">
        <v>20</v>
      </c>
      <c r="U24" s="2">
        <v>20</v>
      </c>
      <c r="V24" s="2">
        <f t="shared" si="7"/>
        <v>2.0936965942382812E-2</v>
      </c>
      <c r="W24" s="2">
        <f t="shared" si="0"/>
        <v>3.9715060038553185E-7</v>
      </c>
      <c r="X24" s="2">
        <f t="shared" si="8"/>
        <v>2.0937919616699219E-2</v>
      </c>
      <c r="Y24" s="2">
        <f t="shared" si="1"/>
        <v>-5.5807831396068042E-7</v>
      </c>
      <c r="Z24" s="2">
        <f t="shared" si="3"/>
        <v>2.0937442779541016E-2</v>
      </c>
      <c r="AA24" s="2">
        <f t="shared" si="2"/>
        <v>-8.046384810181384E-8</v>
      </c>
      <c r="AB24" s="2">
        <f t="shared" si="4"/>
        <v>-3.1956265582965603E-14</v>
      </c>
      <c r="AC24" s="2">
        <f t="shared" si="5"/>
        <v>4.490512868344856E-14</v>
      </c>
      <c r="AD24" s="2">
        <f t="shared" si="6"/>
        <v>9.5367431640625E-7</v>
      </c>
      <c r="AF24" s="2">
        <v>20</v>
      </c>
      <c r="AG24" s="2">
        <f t="shared" si="13"/>
        <v>2141.8466567993164</v>
      </c>
      <c r="AH24" s="2">
        <v>-3.2393814319675585E-3</v>
      </c>
      <c r="AI24" s="2">
        <f t="shared" si="14"/>
        <v>2141.8552398681641</v>
      </c>
      <c r="AJ24" s="2">
        <v>1.5672664164867456E-3</v>
      </c>
      <c r="AK24" s="2">
        <f t="shared" si="9"/>
        <v>2141.8509483337402</v>
      </c>
      <c r="AL24" s="2">
        <v>-8.4271655896372977E-4</v>
      </c>
      <c r="AM24" s="2">
        <f t="shared" si="10"/>
        <v>2.7298803735187003E-6</v>
      </c>
      <c r="AN24" s="2">
        <f t="shared" si="11"/>
        <v>-1.320761361481126E-6</v>
      </c>
      <c r="AO24" s="2">
        <f t="shared" si="12"/>
        <v>8.58306884765625E-3</v>
      </c>
    </row>
    <row r="25" spans="2:41" x14ac:dyDescent="0.2">
      <c r="B25" t="s">
        <v>110</v>
      </c>
      <c r="C25" s="1">
        <v>2.0560284000000002</v>
      </c>
      <c r="D25" t="s">
        <v>8</v>
      </c>
      <c r="F25" t="s">
        <v>94</v>
      </c>
      <c r="G25" s="1">
        <f>1000*0.3048</f>
        <v>304.8</v>
      </c>
      <c r="H25" t="s">
        <v>8</v>
      </c>
      <c r="J25" s="15" t="s">
        <v>69</v>
      </c>
      <c r="K25" s="6">
        <f xml:space="preserve"> $C$54 * (8 * ($C$5/1000))</f>
        <v>13.708756607872003</v>
      </c>
      <c r="L25" s="6" t="s">
        <v>7</v>
      </c>
      <c r="N25" s="6" t="s">
        <v>34</v>
      </c>
      <c r="O25" s="18">
        <f>Z34</f>
        <v>2.0937362220138311E-2</v>
      </c>
      <c r="U25" s="2">
        <v>21</v>
      </c>
      <c r="V25" s="2">
        <f t="shared" si="7"/>
        <v>2.0936965942382812E-2</v>
      </c>
      <c r="W25" s="2">
        <f t="shared" si="0"/>
        <v>3.9715060038553185E-7</v>
      </c>
      <c r="X25" s="2">
        <f t="shared" si="8"/>
        <v>2.0937442779541016E-2</v>
      </c>
      <c r="Y25" s="2">
        <f t="shared" si="1"/>
        <v>-8.046384810181384E-8</v>
      </c>
      <c r="Z25" s="2">
        <f t="shared" si="3"/>
        <v>2.0937204360961914E-2</v>
      </c>
      <c r="AA25" s="2">
        <f t="shared" si="2"/>
        <v>1.5834337831546752E-7</v>
      </c>
      <c r="AB25" s="2">
        <f t="shared" si="4"/>
        <v>6.2886167765061325E-14</v>
      </c>
      <c r="AC25" s="2">
        <f t="shared" si="5"/>
        <v>-1.2740917540703822E-14</v>
      </c>
      <c r="AD25" s="2">
        <f t="shared" si="6"/>
        <v>4.76837158203125E-7</v>
      </c>
      <c r="AF25" s="2">
        <v>21</v>
      </c>
      <c r="AG25" s="2">
        <f t="shared" si="13"/>
        <v>2141.8509483337402</v>
      </c>
      <c r="AH25" s="2">
        <v>-8.4271655896372977E-4</v>
      </c>
      <c r="AI25" s="2">
        <f t="shared" si="14"/>
        <v>2141.8552398681641</v>
      </c>
      <c r="AJ25" s="2">
        <v>1.5672664164867456E-3</v>
      </c>
      <c r="AK25" s="2">
        <f t="shared" si="9"/>
        <v>2141.8530941009521</v>
      </c>
      <c r="AL25" s="2">
        <v>3.6227486202733417E-4</v>
      </c>
      <c r="AM25" s="2">
        <f t="shared" si="10"/>
        <v>-3.05295025126735E-7</v>
      </c>
      <c r="AN25" s="2">
        <f t="shared" si="11"/>
        <v>5.677812247928102E-7</v>
      </c>
      <c r="AO25" s="2">
        <f t="shared" si="12"/>
        <v>4.291534423828125E-3</v>
      </c>
    </row>
    <row r="26" spans="2:41" x14ac:dyDescent="0.2">
      <c r="F26" t="s">
        <v>93</v>
      </c>
      <c r="G26" s="8">
        <f>$G$25/$G$24</f>
        <v>200</v>
      </c>
      <c r="H26" t="s">
        <v>14</v>
      </c>
      <c r="J26" s="15" t="s">
        <v>70</v>
      </c>
      <c r="K26" s="6">
        <f xml:space="preserve"> $C$54 * (13 * ($C$5*2.20462/1000)^1.3 * 0.453592)</f>
        <v>35.489191931337515</v>
      </c>
      <c r="L26" s="6" t="s">
        <v>7</v>
      </c>
      <c r="N26" s="6" t="s">
        <v>35</v>
      </c>
      <c r="O26" s="6">
        <f xml:space="preserve"> O20 * $C$8 * O25 - $C$7 * SIN(O18/180*PI())</f>
        <v>1.0355358688695628</v>
      </c>
      <c r="P26" s="6" t="s">
        <v>10</v>
      </c>
      <c r="U26" s="2">
        <v>22</v>
      </c>
      <c r="V26" s="2">
        <f t="shared" si="7"/>
        <v>2.0937204360961914E-2</v>
      </c>
      <c r="W26" s="2">
        <f t="shared" si="0"/>
        <v>1.5834337831546752E-7</v>
      </c>
      <c r="X26" s="2">
        <f t="shared" si="8"/>
        <v>2.0937442779541016E-2</v>
      </c>
      <c r="Y26" s="2">
        <f t="shared" si="1"/>
        <v>-8.046384810181384E-8</v>
      </c>
      <c r="Z26" s="2">
        <f t="shared" si="3"/>
        <v>2.0937323570251465E-2</v>
      </c>
      <c r="AA26" s="2">
        <f t="shared" si="2"/>
        <v>3.8939765648060565E-8</v>
      </c>
      <c r="AB26" s="2">
        <f t="shared" si="4"/>
        <v>6.1658540435265E-15</v>
      </c>
      <c r="AC26" s="2">
        <f t="shared" si="5"/>
        <v>-3.1332433882257739E-15</v>
      </c>
      <c r="AD26" s="2">
        <f t="shared" si="6"/>
        <v>2.384185791015625E-7</v>
      </c>
      <c r="AF26" s="2">
        <v>22</v>
      </c>
      <c r="AG26" s="2">
        <f t="shared" si="13"/>
        <v>2141.8509483337402</v>
      </c>
      <c r="AH26" s="2">
        <v>-8.4271655896372977E-4</v>
      </c>
      <c r="AI26" s="2">
        <f t="shared" si="14"/>
        <v>2141.8530941009521</v>
      </c>
      <c r="AJ26" s="2">
        <v>3.6227486202733417E-4</v>
      </c>
      <c r="AK26" s="2">
        <f t="shared" si="9"/>
        <v>2141.8520212173462</v>
      </c>
      <c r="AL26" s="2">
        <v>-2.3356205838354072E-4</v>
      </c>
      <c r="AM26" s="2">
        <f t="shared" si="10"/>
        <v>1.9682661414546319E-7</v>
      </c>
      <c r="AN26" s="2">
        <f t="shared" si="11"/>
        <v>-8.4613662475717378E-8</v>
      </c>
      <c r="AO26" s="2">
        <f t="shared" si="12"/>
        <v>2.1457672119140625E-3</v>
      </c>
    </row>
    <row r="27" spans="2:41" x14ac:dyDescent="0.2">
      <c r="B27" s="55" t="s">
        <v>111</v>
      </c>
      <c r="C27" s="55"/>
      <c r="D27" s="55"/>
      <c r="F27" t="s">
        <v>21</v>
      </c>
      <c r="G27" s="6">
        <f xml:space="preserve"> $C$5 * $C$42 / $C$17</f>
        <v>5248.6819199541251</v>
      </c>
      <c r="H27" t="s">
        <v>22</v>
      </c>
      <c r="J27" s="10" t="s">
        <v>57</v>
      </c>
      <c r="K27" s="10">
        <f>$C$5 - $C$12 - SUM(K13:K26)</f>
        <v>7.8757931867812658E-2</v>
      </c>
      <c r="L27" s="10" t="s">
        <v>7</v>
      </c>
      <c r="N27" s="6" t="s">
        <v>36</v>
      </c>
      <c r="O27" s="6">
        <f xml:space="preserve"> 1/$C$20 - O24 * SQRT( (2*$C$45*PI()*$C$8^2) / O19^3 )</f>
        <v>0.52088300239369367</v>
      </c>
      <c r="U27" s="2">
        <v>23</v>
      </c>
      <c r="V27" s="2">
        <f t="shared" si="7"/>
        <v>2.0937323570251465E-2</v>
      </c>
      <c r="W27" s="2">
        <f t="shared" si="0"/>
        <v>3.8939765648060565E-8</v>
      </c>
      <c r="X27" s="2">
        <f t="shared" si="8"/>
        <v>2.0937442779541016E-2</v>
      </c>
      <c r="Y27" s="2">
        <f t="shared" si="1"/>
        <v>-8.046384810181384E-8</v>
      </c>
      <c r="Z27" s="2">
        <f t="shared" si="3"/>
        <v>2.093738317489624E-2</v>
      </c>
      <c r="AA27" s="2">
        <f t="shared" si="2"/>
        <v>-2.0762041089833483E-8</v>
      </c>
      <c r="AB27" s="2">
        <f t="shared" si="4"/>
        <v>-8.0846901441351976E-16</v>
      </c>
      <c r="AC27" s="2">
        <f t="shared" si="5"/>
        <v>1.6705937205359788E-15</v>
      </c>
      <c r="AD27" s="2">
        <f t="shared" si="6"/>
        <v>1.1920928955078125E-7</v>
      </c>
      <c r="AF27" s="2">
        <v>23</v>
      </c>
      <c r="AG27" s="2">
        <f t="shared" si="13"/>
        <v>2141.8520212173462</v>
      </c>
      <c r="AH27" s="2">
        <v>-2.3356205838354072E-4</v>
      </c>
      <c r="AI27" s="2">
        <f t="shared" si="14"/>
        <v>2141.8530941009521</v>
      </c>
      <c r="AJ27" s="2">
        <v>3.6227486202733417E-4</v>
      </c>
      <c r="AK27" s="2">
        <f t="shared" si="9"/>
        <v>2141.8525576591492</v>
      </c>
      <c r="AL27" s="2">
        <v>5.769759127360885E-5</v>
      </c>
      <c r="AM27" s="2">
        <f t="shared" si="10"/>
        <v>-1.34759681816363E-8</v>
      </c>
      <c r="AN27" s="2">
        <f t="shared" si="11"/>
        <v>2.0902386917956165E-8</v>
      </c>
      <c r="AO27" s="2">
        <f t="shared" si="12"/>
        <v>1.0728836059570312E-3</v>
      </c>
    </row>
    <row r="28" spans="2:41" x14ac:dyDescent="0.2">
      <c r="B28" s="6" t="s">
        <v>124</v>
      </c>
      <c r="C28" s="21" t="s">
        <v>260</v>
      </c>
      <c r="F28" t="s">
        <v>100</v>
      </c>
      <c r="G28" s="6">
        <f>G30/$C$17</f>
        <v>49.590493139190322</v>
      </c>
      <c r="H28" t="s">
        <v>20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2.0937323570251465E-2</v>
      </c>
      <c r="W28" s="2">
        <f t="shared" si="0"/>
        <v>3.8939765648060565E-8</v>
      </c>
      <c r="X28" s="2">
        <f t="shared" si="8"/>
        <v>2.093738317489624E-2</v>
      </c>
      <c r="Y28" s="2">
        <f t="shared" si="1"/>
        <v>-2.0762041089833483E-8</v>
      </c>
      <c r="Z28" s="2">
        <f t="shared" si="3"/>
        <v>2.0937353372573853E-2</v>
      </c>
      <c r="AA28" s="2">
        <f t="shared" si="2"/>
        <v>9.0888623155427339E-9</v>
      </c>
      <c r="AB28" s="2">
        <f t="shared" si="4"/>
        <v>3.5391816857472317E-16</v>
      </c>
      <c r="AC28" s="2">
        <f t="shared" si="5"/>
        <v>-1.8870333285513735E-16</v>
      </c>
      <c r="AD28" s="2">
        <f t="shared" si="6"/>
        <v>5.9604644775390625E-8</v>
      </c>
      <c r="AF28" s="2">
        <v>24</v>
      </c>
      <c r="AG28" s="2">
        <f t="shared" si="13"/>
        <v>2141.8520212173462</v>
      </c>
      <c r="AH28" s="2">
        <v>-2.3356205838354072E-4</v>
      </c>
      <c r="AI28" s="2">
        <f t="shared" si="14"/>
        <v>2141.8525576591492</v>
      </c>
      <c r="AJ28" s="2">
        <v>5.769759127360885E-5</v>
      </c>
      <c r="AK28" s="2">
        <f t="shared" si="9"/>
        <v>2141.8522894382477</v>
      </c>
      <c r="AL28" s="2">
        <v>-8.1273426985717379E-5</v>
      </c>
      <c r="AM28" s="2">
        <f t="shared" si="10"/>
        <v>1.8982388898668554E-8</v>
      </c>
      <c r="AN28" s="2">
        <f t="shared" si="11"/>
        <v>-4.6892809716274131E-9</v>
      </c>
      <c r="AO28" s="2">
        <f t="shared" si="12"/>
        <v>5.3644180297851562E-4</v>
      </c>
    </row>
    <row r="29" spans="2:41" x14ac:dyDescent="0.2">
      <c r="B29" s="6" t="s">
        <v>126</v>
      </c>
      <c r="C29" s="6">
        <f>IF(C28="wheeled",0.0325,0.014)</f>
        <v>1.4E-2</v>
      </c>
      <c r="F29" t="s">
        <v>275</v>
      </c>
      <c r="G29" s="6">
        <f xml:space="preserve"> (G27/$C$42*1000) / (G28*1000)</f>
        <v>10.798406531105998</v>
      </c>
      <c r="H29" s="6" t="s">
        <v>276</v>
      </c>
      <c r="N29" s="6" t="s">
        <v>38</v>
      </c>
      <c r="O29" s="6">
        <f xml:space="preserve"> 1/$C$51 * LN( EXP($C$51 * O27) + EXP($C$51 * O28) )</f>
        <v>1.1500000002119424</v>
      </c>
      <c r="U29" s="2">
        <v>25</v>
      </c>
      <c r="V29" s="2">
        <f t="shared" si="7"/>
        <v>2.0937353372573853E-2</v>
      </c>
      <c r="W29" s="2">
        <f t="shared" si="0"/>
        <v>9.0888623155427339E-9</v>
      </c>
      <c r="X29" s="2">
        <f t="shared" si="8"/>
        <v>2.093738317489624E-2</v>
      </c>
      <c r="Y29" s="2">
        <f t="shared" si="1"/>
        <v>-2.0762041089833483E-8</v>
      </c>
      <c r="Z29" s="2">
        <f t="shared" si="3"/>
        <v>2.0937368273735046E-2</v>
      </c>
      <c r="AA29" s="2">
        <f t="shared" si="2"/>
        <v>-5.8365893784717571E-9</v>
      </c>
      <c r="AB29" s="2">
        <f t="shared" si="4"/>
        <v>-5.304795725328894E-17</v>
      </c>
      <c r="AC29" s="2">
        <f t="shared" si="5"/>
        <v>1.211795085003163E-16</v>
      </c>
      <c r="AD29" s="2">
        <f t="shared" si="6"/>
        <v>2.9802322387695312E-8</v>
      </c>
      <c r="AF29" s="2">
        <v>25</v>
      </c>
      <c r="AG29" s="2">
        <f t="shared" si="13"/>
        <v>2141.8522894382477</v>
      </c>
      <c r="AH29" s="2">
        <v>-8.1273426985717379E-5</v>
      </c>
      <c r="AI29" s="2">
        <f t="shared" si="14"/>
        <v>2141.8525576591492</v>
      </c>
      <c r="AJ29" s="2">
        <v>5.769759127360885E-5</v>
      </c>
      <c r="AK29" s="2">
        <f t="shared" si="9"/>
        <v>2141.8524235486984</v>
      </c>
      <c r="AL29" s="2">
        <v>-1.178791808342794E-5</v>
      </c>
      <c r="AM29" s="2">
        <f t="shared" si="10"/>
        <v>9.5804449966709818E-10</v>
      </c>
      <c r="AN29" s="2">
        <f t="shared" si="11"/>
        <v>-6.8013447954440785E-10</v>
      </c>
      <c r="AO29" s="2">
        <f t="shared" si="12"/>
        <v>2.6822090148925781E-4</v>
      </c>
    </row>
    <row r="30" spans="2:41" x14ac:dyDescent="0.2">
      <c r="B30" t="s">
        <v>261</v>
      </c>
      <c r="C30" s="1">
        <v>2.8540374719999999</v>
      </c>
      <c r="D30" t="s">
        <v>8</v>
      </c>
      <c r="F30" s="42" t="s">
        <v>86</v>
      </c>
      <c r="G30" s="43">
        <f xml:space="preserve"> 1/1000 * IF($G$24&gt;= 2*SQRT(($C$5*$C$42)/(2*$C$39*$C$17*PI()*$C$8*$C$8)), ($C$5*$C$42)/$C$20 * ( ($G$24/2) - SQRT( ($G$24/2)^2 - ($C$5*$C$42)/(2*$C$39*$C$17*PI()*$C$8*$C$8 ) ) ), 1/$C$20 * SQRT(($C$5*$C$42)^3/(2*$C$39*$C$17*PI()*$C$8*$C$8)) )</f>
        <v>198.36197255676129</v>
      </c>
      <c r="H30" s="42" t="s">
        <v>104</v>
      </c>
      <c r="J30" s="53" t="s">
        <v>116</v>
      </c>
      <c r="K30" s="53"/>
      <c r="L30" s="53"/>
      <c r="U30" s="2">
        <v>26</v>
      </c>
      <c r="V30" s="2">
        <f t="shared" si="7"/>
        <v>2.0937353372573853E-2</v>
      </c>
      <c r="W30" s="2">
        <f t="shared" si="0"/>
        <v>9.0888623155427339E-9</v>
      </c>
      <c r="X30" s="2">
        <f t="shared" si="8"/>
        <v>2.0937368273735046E-2</v>
      </c>
      <c r="Y30" s="2">
        <f t="shared" si="1"/>
        <v>-5.8365893784717571E-9</v>
      </c>
      <c r="Z30" s="2">
        <f t="shared" si="3"/>
        <v>2.0937360823154449E-2</v>
      </c>
      <c r="AA30" s="2">
        <f t="shared" si="2"/>
        <v>1.6261364685354884E-9</v>
      </c>
      <c r="AB30" s="2">
        <f t="shared" si="4"/>
        <v>1.4779730468801944E-17</v>
      </c>
      <c r="AC30" s="2">
        <f t="shared" si="5"/>
        <v>-9.491090840199804E-18</v>
      </c>
      <c r="AD30" s="2">
        <f t="shared" si="6"/>
        <v>1.4901161193847656E-8</v>
      </c>
      <c r="AF30" s="2">
        <v>26</v>
      </c>
      <c r="AG30" s="2">
        <f t="shared" si="13"/>
        <v>2141.8524235486984</v>
      </c>
      <c r="AH30" s="2">
        <v>-1.178791808342794E-5</v>
      </c>
      <c r="AI30" s="2">
        <f t="shared" si="14"/>
        <v>2141.8525576591492</v>
      </c>
      <c r="AJ30" s="2">
        <v>5.769759127360885E-5</v>
      </c>
      <c r="AK30" s="2">
        <f t="shared" si="9"/>
        <v>2141.8524906039238</v>
      </c>
      <c r="AL30" s="2">
        <v>2.2954836140343104E-5</v>
      </c>
      <c r="AM30" s="2">
        <f t="shared" si="10"/>
        <v>-2.7058972804087569E-10</v>
      </c>
      <c r="AN30" s="2">
        <f t="shared" si="11"/>
        <v>1.3244387533781813E-9</v>
      </c>
      <c r="AO30" s="2">
        <f t="shared" si="12"/>
        <v>1.3411045074462891E-4</v>
      </c>
    </row>
    <row r="31" spans="2:41" x14ac:dyDescent="0.2">
      <c r="B31" t="s">
        <v>262</v>
      </c>
      <c r="C31" s="1">
        <f>(0.750222528+0.849998808)/2</f>
        <v>0.80011066800000008</v>
      </c>
      <c r="D31"/>
      <c r="J31" s="6" t="s">
        <v>60</v>
      </c>
      <c r="K31" s="6">
        <f>ROUND($C$12,2)</f>
        <v>600</v>
      </c>
      <c r="L31" s="6" t="s">
        <v>7</v>
      </c>
      <c r="U31" s="2">
        <v>27</v>
      </c>
      <c r="V31" s="2">
        <f t="shared" si="7"/>
        <v>2.0937360823154449E-2</v>
      </c>
      <c r="W31" s="2">
        <f t="shared" si="0"/>
        <v>1.6261364685354884E-9</v>
      </c>
      <c r="X31" s="2">
        <f t="shared" si="8"/>
        <v>2.0937368273735046E-2</v>
      </c>
      <c r="Y31" s="2">
        <f t="shared" si="1"/>
        <v>-5.8365893784717571E-9</v>
      </c>
      <c r="Z31" s="2">
        <f t="shared" si="3"/>
        <v>2.0937364548444748E-2</v>
      </c>
      <c r="AA31" s="2">
        <f t="shared" si="2"/>
        <v>-2.1052264549681343E-9</v>
      </c>
      <c r="AB31" s="2">
        <f t="shared" si="4"/>
        <v>-3.4233855129493674E-18</v>
      </c>
      <c r="AC31" s="2">
        <f t="shared" si="5"/>
        <v>1.2287342366344763E-17</v>
      </c>
      <c r="AD31" s="2">
        <f t="shared" si="6"/>
        <v>7.4505805969238281E-9</v>
      </c>
      <c r="AF31" s="2">
        <v>27</v>
      </c>
      <c r="AG31" s="2">
        <f t="shared" si="13"/>
        <v>2141.8524235486984</v>
      </c>
      <c r="AH31" s="2">
        <v>-1.178791808342794E-5</v>
      </c>
      <c r="AI31" s="2">
        <f t="shared" si="14"/>
        <v>2141.8524906039238</v>
      </c>
      <c r="AJ31" s="2">
        <v>2.2954836140343104E-5</v>
      </c>
      <c r="AK31" s="2">
        <f t="shared" si="9"/>
        <v>2141.8524570763111</v>
      </c>
      <c r="AL31" s="2">
        <v>5.5834605063864728E-6</v>
      </c>
      <c r="AM31" s="2">
        <f t="shared" si="10"/>
        <v>-6.5817375071338824E-11</v>
      </c>
      <c r="AN31" s="2">
        <f t="shared" si="11"/>
        <v>1.2816742102017862E-10</v>
      </c>
      <c r="AO31" s="2">
        <f t="shared" si="12"/>
        <v>6.7055225372314453E-5</v>
      </c>
    </row>
    <row r="32" spans="2:41" x14ac:dyDescent="0.2">
      <c r="J32" s="11" t="s">
        <v>55</v>
      </c>
      <c r="K32" s="6">
        <f>ROUND(K13,2)</f>
        <v>767.87</v>
      </c>
      <c r="L32" s="6" t="s">
        <v>7</v>
      </c>
      <c r="U32" s="2">
        <v>28</v>
      </c>
      <c r="V32" s="2">
        <f t="shared" si="7"/>
        <v>2.0937360823154449E-2</v>
      </c>
      <c r="W32" s="2">
        <f t="shared" si="0"/>
        <v>1.6261364685354884E-9</v>
      </c>
      <c r="X32" s="2">
        <f t="shared" si="8"/>
        <v>2.0937364548444748E-2</v>
      </c>
      <c r="Y32" s="2">
        <f t="shared" si="1"/>
        <v>-2.1052264549681343E-9</v>
      </c>
      <c r="Z32" s="2">
        <f t="shared" si="3"/>
        <v>2.0937362685799599E-2</v>
      </c>
      <c r="AA32" s="2">
        <f t="shared" si="2"/>
        <v>-2.3954499495104642E-10</v>
      </c>
      <c r="AB32" s="2">
        <f t="shared" si="4"/>
        <v>-3.8953285214504603E-19</v>
      </c>
      <c r="AC32" s="2">
        <f t="shared" si="5"/>
        <v>5.0429646052615109E-19</v>
      </c>
      <c r="AD32" s="2">
        <f t="shared" si="6"/>
        <v>3.7252902984619141E-9</v>
      </c>
      <c r="AF32" s="2">
        <v>28</v>
      </c>
      <c r="AG32" s="2">
        <f t="shared" si="13"/>
        <v>2141.8524235486984</v>
      </c>
      <c r="AH32" s="2">
        <v>-1.178791808342794E-5</v>
      </c>
      <c r="AI32" s="2">
        <f t="shared" si="14"/>
        <v>2141.8524570763111</v>
      </c>
      <c r="AJ32" s="2">
        <v>5.5834605063864728E-6</v>
      </c>
      <c r="AK32" s="2">
        <f t="shared" si="9"/>
        <v>2141.8524403125048</v>
      </c>
      <c r="AL32" s="2">
        <v>-3.1022291295812465E-6</v>
      </c>
      <c r="AM32" s="2">
        <f t="shared" si="10"/>
        <v>3.6568822855527693E-11</v>
      </c>
      <c r="AN32" s="2">
        <f t="shared" si="11"/>
        <v>-1.7321173826778574E-11</v>
      </c>
      <c r="AO32" s="2">
        <f t="shared" si="12"/>
        <v>3.3527612686157227E-5</v>
      </c>
    </row>
    <row r="33" spans="2:41" x14ac:dyDescent="0.2">
      <c r="B33" s="53" t="s">
        <v>2</v>
      </c>
      <c r="C33" s="53"/>
      <c r="D33" s="53"/>
      <c r="F33" s="9"/>
      <c r="J33" s="19" t="s">
        <v>81</v>
      </c>
      <c r="K33" s="6">
        <f>ROUND(SUM(K14:K17),2)</f>
        <v>499.72</v>
      </c>
      <c r="L33" s="6" t="s">
        <v>7</v>
      </c>
      <c r="U33" s="2">
        <v>29</v>
      </c>
      <c r="V33" s="2">
        <f t="shared" si="7"/>
        <v>2.0937360823154449E-2</v>
      </c>
      <c r="W33" s="2">
        <f t="shared" si="0"/>
        <v>1.6261364685354884E-9</v>
      </c>
      <c r="X33" s="2">
        <f t="shared" si="8"/>
        <v>2.0937362685799599E-2</v>
      </c>
      <c r="Y33" s="2">
        <f t="shared" si="1"/>
        <v>-2.3954499495104642E-10</v>
      </c>
      <c r="Z33" s="2">
        <f t="shared" si="3"/>
        <v>2.0937361754477024E-2</v>
      </c>
      <c r="AA33" s="2">
        <f t="shared" si="2"/>
        <v>6.9329574026166796E-10</v>
      </c>
      <c r="AB33" s="2">
        <f t="shared" si="4"/>
        <v>1.1273934867198059E-18</v>
      </c>
      <c r="AC33" s="2">
        <f t="shared" si="5"/>
        <v>-1.6607552460056324E-19</v>
      </c>
      <c r="AD33" s="2">
        <f t="shared" si="6"/>
        <v>1.862645149230957E-9</v>
      </c>
      <c r="AF33" s="2">
        <v>29</v>
      </c>
      <c r="AG33" s="2">
        <f t="shared" si="13"/>
        <v>2141.8524403125048</v>
      </c>
      <c r="AH33" s="2">
        <v>-3.1022291295812465E-6</v>
      </c>
      <c r="AI33" s="2">
        <f t="shared" si="14"/>
        <v>2141.8524570763111</v>
      </c>
      <c r="AJ33" s="2">
        <v>5.5834605063864728E-6</v>
      </c>
      <c r="AK33" s="2">
        <f t="shared" si="9"/>
        <v>2141.8524486944079</v>
      </c>
      <c r="AL33" s="2">
        <v>1.2406144378473982E-6</v>
      </c>
      <c r="AM33" s="2">
        <f t="shared" si="10"/>
        <v>-3.8486702476692617E-12</v>
      </c>
      <c r="AN33" s="2">
        <f t="shared" si="11"/>
        <v>6.9269217173738034E-12</v>
      </c>
      <c r="AO33" s="2">
        <f t="shared" si="12"/>
        <v>1.6763806343078613E-5</v>
      </c>
    </row>
    <row r="34" spans="2:41" x14ac:dyDescent="0.2">
      <c r="B34" s="6" t="s">
        <v>3</v>
      </c>
      <c r="C34" s="17">
        <v>250</v>
      </c>
      <c r="D34" s="6" t="s">
        <v>4</v>
      </c>
      <c r="J34" s="20" t="s">
        <v>72</v>
      </c>
      <c r="K34" s="6">
        <f>ROUND(SUM(K18:K22),2)</f>
        <v>171.44</v>
      </c>
      <c r="L34" s="6" t="s">
        <v>7</v>
      </c>
      <c r="U34" s="2">
        <v>30</v>
      </c>
      <c r="V34" s="2">
        <f t="shared" si="7"/>
        <v>2.0937361754477024E-2</v>
      </c>
      <c r="W34" s="2">
        <f t="shared" si="0"/>
        <v>6.9329574026166796E-10</v>
      </c>
      <c r="X34" s="2">
        <f t="shared" si="8"/>
        <v>2.0937362685799599E-2</v>
      </c>
      <c r="Y34" s="2">
        <f t="shared" si="1"/>
        <v>-2.3954499495104642E-10</v>
      </c>
      <c r="Z34" s="2">
        <f t="shared" si="3"/>
        <v>2.0937362220138311E-2</v>
      </c>
      <c r="AA34" s="2">
        <f t="shared" si="2"/>
        <v>2.2687537265531077E-10</v>
      </c>
      <c r="AB34" s="2">
        <f t="shared" si="4"/>
        <v>1.5729172943220546E-19</v>
      </c>
      <c r="AC34" s="2">
        <f t="shared" si="5"/>
        <v>-5.4346859997233193E-20</v>
      </c>
      <c r="AD34" s="2">
        <f>X34-V34</f>
        <v>9.3132257461547852E-10</v>
      </c>
      <c r="AF34" s="2">
        <v>30</v>
      </c>
      <c r="AG34" s="2">
        <f t="shared" si="13"/>
        <v>2141.8524403125048</v>
      </c>
      <c r="AH34" s="2">
        <v>-3.1022291295812465E-6</v>
      </c>
      <c r="AI34" s="2">
        <f t="shared" si="14"/>
        <v>2141.8524486944079</v>
      </c>
      <c r="AJ34" s="2">
        <v>1.2406144378473982E-6</v>
      </c>
      <c r="AK34" s="2">
        <f t="shared" si="9"/>
        <v>2141.8524445034564</v>
      </c>
      <c r="AL34" s="2">
        <v>-9.3080666374589782E-7</v>
      </c>
      <c r="AM34" s="2">
        <f t="shared" si="10"/>
        <v>2.8875755462808606E-12</v>
      </c>
      <c r="AN34" s="2">
        <f t="shared" si="11"/>
        <v>-1.1547721858877292E-12</v>
      </c>
      <c r="AO34" s="2">
        <f t="shared" si="12"/>
        <v>8.3819031715393066E-6</v>
      </c>
    </row>
    <row r="35" spans="2:41" x14ac:dyDescent="0.2">
      <c r="B35" s="6" t="s">
        <v>5</v>
      </c>
      <c r="C35" s="17">
        <v>0.85</v>
      </c>
      <c r="J35" s="15" t="s">
        <v>73</v>
      </c>
      <c r="K35" s="6">
        <f>ROUND(SUM(K23:K26),2)</f>
        <v>102.89</v>
      </c>
      <c r="L35" s="6" t="s">
        <v>7</v>
      </c>
      <c r="AF35" s="2">
        <v>31</v>
      </c>
      <c r="AG35" s="2">
        <f t="shared" si="13"/>
        <v>2141.8524445034564</v>
      </c>
      <c r="AH35" s="2">
        <v>-9.3080666374589782E-7</v>
      </c>
      <c r="AI35" s="2">
        <f t="shared" si="14"/>
        <v>2141.8524486944079</v>
      </c>
      <c r="AJ35" s="2">
        <v>1.2406144378473982E-6</v>
      </c>
      <c r="AK35" s="2">
        <f t="shared" si="9"/>
        <v>2141.8524465989321</v>
      </c>
      <c r="AL35" s="2">
        <v>1.5490491023228969E-7</v>
      </c>
      <c r="AM35" s="2">
        <f t="shared" si="10"/>
        <v>-1.4418652269117536E-13</v>
      </c>
      <c r="AN35" s="2">
        <f t="shared" si="11"/>
        <v>1.9217726812763376E-13</v>
      </c>
      <c r="AO35" s="2">
        <f t="shared" si="12"/>
        <v>4.1909515857696533E-6</v>
      </c>
    </row>
    <row r="36" spans="2:41" x14ac:dyDescent="0.2">
      <c r="B36" s="6" t="s">
        <v>6</v>
      </c>
      <c r="C36" s="17">
        <v>0.8</v>
      </c>
      <c r="J36" s="10" t="s">
        <v>62</v>
      </c>
      <c r="K36" s="10">
        <f>SUM(K31:K35)</f>
        <v>2141.92</v>
      </c>
      <c r="L36" s="6" t="s">
        <v>7</v>
      </c>
      <c r="AF36" s="2">
        <v>32</v>
      </c>
      <c r="AG36" s="2">
        <f t="shared" si="13"/>
        <v>2141.8524445034564</v>
      </c>
      <c r="AH36" s="2">
        <v>-9.3080666374589782E-7</v>
      </c>
      <c r="AI36" s="2">
        <f t="shared" si="14"/>
        <v>2141.8524465989321</v>
      </c>
      <c r="AJ36" s="2">
        <v>1.5490491023228969E-7</v>
      </c>
      <c r="AK36" s="2">
        <f t="shared" si="9"/>
        <v>2141.8524455511943</v>
      </c>
      <c r="AL36" s="2">
        <v>-3.8795110413047951E-7</v>
      </c>
      <c r="AM36" s="2">
        <f t="shared" si="10"/>
        <v>3.6110747293222903E-13</v>
      </c>
      <c r="AN36" s="2">
        <f t="shared" si="11"/>
        <v>-6.00955309598496E-14</v>
      </c>
      <c r="AO36" s="2">
        <f t="shared" si="12"/>
        <v>2.0954757928848267E-6</v>
      </c>
    </row>
    <row r="37" spans="2:41" x14ac:dyDescent="0.2">
      <c r="AF37" s="2">
        <v>33</v>
      </c>
      <c r="AG37" s="2">
        <f t="shared" si="13"/>
        <v>2141.8524455511943</v>
      </c>
      <c r="AH37" s="2">
        <v>-3.8795110413047951E-7</v>
      </c>
      <c r="AI37" s="2">
        <f t="shared" si="14"/>
        <v>2141.8524465989321</v>
      </c>
      <c r="AJ37" s="2">
        <v>1.5490491023228969E-7</v>
      </c>
      <c r="AK37" s="2">
        <f t="shared" si="9"/>
        <v>2141.8524460750632</v>
      </c>
      <c r="AL37" s="2">
        <v>-1.1652423381747212E-7</v>
      </c>
      <c r="AM37" s="2">
        <f t="shared" si="10"/>
        <v>4.5205705167446469E-14</v>
      </c>
      <c r="AN37" s="2">
        <f t="shared" si="11"/>
        <v>-1.8050175979381854E-14</v>
      </c>
      <c r="AO37" s="2">
        <f t="shared" si="12"/>
        <v>1.0477378964424133E-6</v>
      </c>
    </row>
    <row r="38" spans="2:41" x14ac:dyDescent="0.2">
      <c r="B38" s="53" t="s">
        <v>272</v>
      </c>
      <c r="C38" s="54"/>
      <c r="D38" s="54"/>
      <c r="J38" s="53" t="s">
        <v>59</v>
      </c>
      <c r="K38" s="53"/>
      <c r="L38" s="53"/>
      <c r="AF38" s="2">
        <v>34</v>
      </c>
      <c r="AG38" s="2">
        <f t="shared" si="13"/>
        <v>2141.8524460750632</v>
      </c>
      <c r="AH38" s="2">
        <v>-1.1652423381747212E-7</v>
      </c>
      <c r="AI38" s="2">
        <f t="shared" si="14"/>
        <v>2141.8524465989321</v>
      </c>
      <c r="AJ38" s="2">
        <v>1.5490491023228969E-7</v>
      </c>
      <c r="AK38" s="2">
        <f t="shared" si="9"/>
        <v>2141.8524463369977</v>
      </c>
      <c r="AL38" s="2">
        <v>1.9190110833733343E-8</v>
      </c>
      <c r="AM38" s="2">
        <f t="shared" si="10"/>
        <v>-2.2361129617731489E-15</v>
      </c>
      <c r="AN38" s="2">
        <f t="shared" si="11"/>
        <v>2.9726423960471534E-15</v>
      </c>
      <c r="AO38" s="2">
        <f t="shared" si="12"/>
        <v>5.2386894822120667E-7</v>
      </c>
    </row>
    <row r="39" spans="2:41" x14ac:dyDescent="0.2">
      <c r="B39" s="6" t="s">
        <v>15</v>
      </c>
      <c r="C39" s="17">
        <v>1.0397562309141399</v>
      </c>
      <c r="D39" s="6" t="s">
        <v>16</v>
      </c>
      <c r="J39" s="6" t="s">
        <v>60</v>
      </c>
      <c r="K39" s="6">
        <f>ROUND($C$12/$C$5 * 100, 2)</f>
        <v>28.01</v>
      </c>
      <c r="L39" s="6" t="s">
        <v>61</v>
      </c>
      <c r="AF39" s="2">
        <v>35</v>
      </c>
      <c r="AG39" s="2">
        <f t="shared" si="13"/>
        <v>2141.8524460750632</v>
      </c>
      <c r="AH39" s="2">
        <v>-1.1652423381747212E-7</v>
      </c>
      <c r="AI39" s="2">
        <f t="shared" si="14"/>
        <v>2141.8524463369977</v>
      </c>
      <c r="AJ39" s="2">
        <v>1.9190110833733343E-8</v>
      </c>
      <c r="AK39" s="2">
        <f t="shared" si="9"/>
        <v>2141.8524462060304</v>
      </c>
      <c r="AL39" s="2">
        <v>-4.8666606744518504E-8</v>
      </c>
      <c r="AM39" s="2">
        <f t="shared" si="10"/>
        <v>5.6708390634012399E-15</v>
      </c>
      <c r="AN39" s="2">
        <f t="shared" si="11"/>
        <v>-9.3391757732902469E-16</v>
      </c>
      <c r="AO39" s="2">
        <f t="shared" si="12"/>
        <v>2.6193447411060333E-7</v>
      </c>
    </row>
    <row r="40" spans="2:41" x14ac:dyDescent="0.2">
      <c r="B40" s="6" t="s">
        <v>214</v>
      </c>
      <c r="C40" s="41">
        <v>1.7363179204150701E-5</v>
      </c>
      <c r="D40" s="6" t="s">
        <v>210</v>
      </c>
      <c r="J40" s="11" t="s">
        <v>55</v>
      </c>
      <c r="K40" s="6">
        <f>ROUND(K13/$C$5 * 100, 2)</f>
        <v>35.85</v>
      </c>
      <c r="L40" s="6" t="s">
        <v>61</v>
      </c>
      <c r="AF40" s="2">
        <v>36</v>
      </c>
      <c r="AG40" s="2">
        <f t="shared" si="13"/>
        <v>2141.8524462060304</v>
      </c>
      <c r="AH40" s="2">
        <v>-4.8666606744518504E-8</v>
      </c>
      <c r="AI40" s="2">
        <f t="shared" si="14"/>
        <v>2141.8524463369977</v>
      </c>
      <c r="AJ40" s="2">
        <v>1.9190110833733343E-8</v>
      </c>
      <c r="AK40" s="2">
        <f t="shared" si="9"/>
        <v>2141.8524462715141</v>
      </c>
      <c r="AL40" s="2">
        <v>-1.4736770026502199E-8</v>
      </c>
      <c r="AM40" s="2">
        <f t="shared" si="10"/>
        <v>7.1718859156419007E-16</v>
      </c>
      <c r="AN40" s="2">
        <f t="shared" si="11"/>
        <v>-2.8280025013981666E-16</v>
      </c>
      <c r="AO40" s="2">
        <f t="shared" si="12"/>
        <v>1.3096723705530167E-7</v>
      </c>
    </row>
    <row r="41" spans="2:41" x14ac:dyDescent="0.2">
      <c r="B41" s="6" t="s">
        <v>132</v>
      </c>
      <c r="C41" s="17">
        <v>333.91694458017901</v>
      </c>
      <c r="D41" s="6" t="s">
        <v>10</v>
      </c>
      <c r="J41" s="19" t="s">
        <v>81</v>
      </c>
      <c r="K41" s="6">
        <f>ROUND(SUM(K14:K17)/$C$5 * 100, 2)</f>
        <v>23.33</v>
      </c>
      <c r="L41" s="6" t="s">
        <v>61</v>
      </c>
      <c r="AF41" s="2">
        <v>37</v>
      </c>
      <c r="AG41" s="2">
        <f t="shared" si="13"/>
        <v>2141.8524462715141</v>
      </c>
      <c r="AH41" s="2">
        <v>-1.4736770026502199E-8</v>
      </c>
      <c r="AI41" s="2">
        <f t="shared" si="14"/>
        <v>2141.8524463369977</v>
      </c>
      <c r="AJ41" s="2">
        <v>1.9190110833733343E-8</v>
      </c>
      <c r="AK41" s="2">
        <f t="shared" si="9"/>
        <v>2141.8524463042559</v>
      </c>
      <c r="AL41" s="2">
        <v>2.2259882825892419E-9</v>
      </c>
      <c r="AM41" s="2">
        <f t="shared" si="10"/>
        <v>-3.2803877402206247E-17</v>
      </c>
      <c r="AN41" s="2">
        <f t="shared" si="11"/>
        <v>4.2716961857479288E-17</v>
      </c>
      <c r="AO41" s="2">
        <f t="shared" si="12"/>
        <v>6.5483618527650833E-8</v>
      </c>
    </row>
    <row r="42" spans="2:41" x14ac:dyDescent="0.2">
      <c r="B42" s="6" t="s">
        <v>17</v>
      </c>
      <c r="C42" s="1">
        <v>9.80149119240094</v>
      </c>
      <c r="D42" s="6" t="s">
        <v>18</v>
      </c>
      <c r="J42" s="20" t="s">
        <v>72</v>
      </c>
      <c r="K42" s="6">
        <f>ROUND(SUM(K18:K22)/$C$5 * 100, 2)</f>
        <v>8</v>
      </c>
      <c r="L42" s="6" t="s">
        <v>61</v>
      </c>
      <c r="AF42" s="2">
        <v>38</v>
      </c>
      <c r="AG42" s="2">
        <f t="shared" si="13"/>
        <v>2141.8524462715141</v>
      </c>
      <c r="AH42" s="2">
        <v>-1.4736770026502199E-8</v>
      </c>
      <c r="AI42" s="2">
        <f t="shared" si="14"/>
        <v>2141.8524463042559</v>
      </c>
      <c r="AJ42" s="2">
        <v>2.2259882825892419E-9</v>
      </c>
      <c r="AK42" s="2">
        <f t="shared" si="9"/>
        <v>2141.852446287885</v>
      </c>
      <c r="AL42" s="2">
        <v>-6.2552771851187572E-9</v>
      </c>
      <c r="AM42" s="2">
        <f t="shared" si="10"/>
        <v>9.2182581329121151E-17</v>
      </c>
      <c r="AN42" s="2">
        <f t="shared" si="11"/>
        <v>-1.3924173718422169E-17</v>
      </c>
      <c r="AO42" s="2">
        <f t="shared" si="12"/>
        <v>3.2741809263825417E-8</v>
      </c>
    </row>
    <row r="43" spans="2:41" x14ac:dyDescent="0.2">
      <c r="J43" s="15" t="s">
        <v>73</v>
      </c>
      <c r="K43" s="6">
        <f>ROUND(SUM(K23:K26)/$C$5*100, 2)</f>
        <v>4.8</v>
      </c>
      <c r="L43" s="6" t="s">
        <v>61</v>
      </c>
      <c r="AF43" s="2">
        <v>39</v>
      </c>
      <c r="AG43" s="2">
        <f t="shared" si="13"/>
        <v>2141.852446287885</v>
      </c>
      <c r="AH43" s="2">
        <v>-6.2552771851187572E-9</v>
      </c>
      <c r="AI43" s="2">
        <f t="shared" si="14"/>
        <v>2141.8524463042559</v>
      </c>
      <c r="AJ43" s="2">
        <v>2.2259882825892419E-9</v>
      </c>
      <c r="AK43" s="2">
        <f t="shared" si="9"/>
        <v>2141.8524462960704</v>
      </c>
      <c r="AL43" s="2">
        <v>-2.0147581381024793E-9</v>
      </c>
      <c r="AM43" s="2">
        <f t="shared" si="10"/>
        <v>1.2602870614804785E-17</v>
      </c>
      <c r="AN43" s="2">
        <f t="shared" si="11"/>
        <v>-4.4848280076674364E-18</v>
      </c>
      <c r="AO43" s="2">
        <f t="shared" si="12"/>
        <v>1.6370904631912708E-8</v>
      </c>
    </row>
    <row r="44" spans="2:41" x14ac:dyDescent="0.2">
      <c r="B44" s="53" t="s">
        <v>273</v>
      </c>
      <c r="C44" s="54"/>
      <c r="D44" s="54"/>
      <c r="J44" s="10" t="s">
        <v>62</v>
      </c>
      <c r="K44" s="10">
        <f>SUM(K39:K43)</f>
        <v>99.99</v>
      </c>
      <c r="L44" s="10" t="s">
        <v>61</v>
      </c>
      <c r="AF44" s="2">
        <v>40</v>
      </c>
      <c r="AG44" s="2">
        <f t="shared" si="13"/>
        <v>2141.8524462960704</v>
      </c>
      <c r="AH44" s="2">
        <v>-2.0147581381024793E-9</v>
      </c>
      <c r="AI44" s="2">
        <f t="shared" si="14"/>
        <v>2141.8524463042559</v>
      </c>
      <c r="AJ44" s="2">
        <v>2.2259882825892419E-9</v>
      </c>
      <c r="AK44" s="5">
        <f>(AG44+AI44)/2</f>
        <v>2141.8524463001631</v>
      </c>
      <c r="AL44" s="2">
        <v>1.0618350643198937E-10</v>
      </c>
      <c r="AM44" s="2">
        <f t="shared" si="10"/>
        <v>-2.1393408371610754E-19</v>
      </c>
      <c r="AN44" s="2">
        <f t="shared" si="11"/>
        <v>2.3636324112184774E-19</v>
      </c>
      <c r="AO44" s="2">
        <f t="shared" si="12"/>
        <v>8.1854523159563541E-9</v>
      </c>
    </row>
    <row r="45" spans="2:41" x14ac:dyDescent="0.2">
      <c r="B45" s="6" t="s">
        <v>15</v>
      </c>
      <c r="C45" s="17">
        <v>1.00854450666398</v>
      </c>
      <c r="D45" s="6" t="s">
        <v>16</v>
      </c>
    </row>
    <row r="46" spans="2:41" x14ac:dyDescent="0.2">
      <c r="B46" s="6" t="s">
        <v>214</v>
      </c>
      <c r="C46" s="41">
        <v>1.7265641515845801E-5</v>
      </c>
      <c r="D46" s="6" t="s">
        <v>210</v>
      </c>
      <c r="J46" s="53" t="s">
        <v>59</v>
      </c>
      <c r="K46" s="53"/>
      <c r="L46" s="53"/>
    </row>
    <row r="47" spans="2:41" x14ac:dyDescent="0.2">
      <c r="B47" s="6" t="s">
        <v>132</v>
      </c>
      <c r="C47" s="17">
        <v>332.721752148093</v>
      </c>
      <c r="D47" s="6" t="s">
        <v>10</v>
      </c>
      <c r="J47" s="6" t="s">
        <v>60</v>
      </c>
      <c r="K47" s="6">
        <f>ROUND($C$12/$C$5 * 100, 2)</f>
        <v>28.01</v>
      </c>
      <c r="L47" s="6" t="s">
        <v>61</v>
      </c>
    </row>
    <row r="48" spans="2:41" x14ac:dyDescent="0.2">
      <c r="B48" s="6" t="s">
        <v>17</v>
      </c>
      <c r="C48" s="1">
        <v>9.8005536647414697</v>
      </c>
      <c r="D48" s="6" t="s">
        <v>18</v>
      </c>
      <c r="J48" s="11" t="s">
        <v>55</v>
      </c>
      <c r="K48" s="6">
        <f>ROUND(K13/$C$5 * 100, 2)</f>
        <v>35.85</v>
      </c>
      <c r="L48" s="6" t="s">
        <v>61</v>
      </c>
    </row>
    <row r="49" spans="2:12" x14ac:dyDescent="0.2">
      <c r="J49" s="20" t="s">
        <v>278</v>
      </c>
      <c r="K49" s="6">
        <f>ROUND(SUM(K14:K26)/$C$5 * 100, 2)</f>
        <v>36.14</v>
      </c>
      <c r="L49" s="6" t="s">
        <v>61</v>
      </c>
    </row>
    <row r="50" spans="2:12" x14ac:dyDescent="0.2">
      <c r="B50" s="53" t="s">
        <v>74</v>
      </c>
      <c r="C50" s="53"/>
      <c r="D50" s="53"/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6" t="s">
        <v>264</v>
      </c>
      <c r="C51" s="17">
        <v>30</v>
      </c>
    </row>
    <row r="52" spans="2:12" x14ac:dyDescent="0.2">
      <c r="B52" s="6" t="s">
        <v>266</v>
      </c>
      <c r="C52" s="17">
        <v>0.8</v>
      </c>
    </row>
    <row r="53" spans="2:12" x14ac:dyDescent="0.2">
      <c r="B53" s="6" t="s">
        <v>267</v>
      </c>
      <c r="C53" s="17">
        <v>0.8</v>
      </c>
    </row>
    <row r="54" spans="2:12" x14ac:dyDescent="0.2">
      <c r="B54" s="6" t="s">
        <v>268</v>
      </c>
      <c r="C54" s="17">
        <v>0.8</v>
      </c>
    </row>
  </sheetData>
  <mergeCells count="22">
    <mergeCell ref="N17:P17"/>
    <mergeCell ref="B1:D1"/>
    <mergeCell ref="B3:D3"/>
    <mergeCell ref="F3:H3"/>
    <mergeCell ref="J3:L3"/>
    <mergeCell ref="N3:P3"/>
    <mergeCell ref="J7:L7"/>
    <mergeCell ref="B11:D11"/>
    <mergeCell ref="J11:L11"/>
    <mergeCell ref="F13:H13"/>
    <mergeCell ref="N13:P13"/>
    <mergeCell ref="B16:D16"/>
    <mergeCell ref="B44:D44"/>
    <mergeCell ref="J46:L46"/>
    <mergeCell ref="B50:D50"/>
    <mergeCell ref="B22:D22"/>
    <mergeCell ref="F23:H23"/>
    <mergeCell ref="B27:D27"/>
    <mergeCell ref="J30:L30"/>
    <mergeCell ref="B33:D33"/>
    <mergeCell ref="B38:D38"/>
    <mergeCell ref="J38:L38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F13" sqref="F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9" t="s">
        <v>0</v>
      </c>
      <c r="C1" s="59"/>
      <c r="D1" s="59"/>
    </row>
    <row r="2" spans="2:87" x14ac:dyDescent="0.2">
      <c r="U2" s="16" t="s">
        <v>96</v>
      </c>
      <c r="AF2" s="16" t="s">
        <v>79</v>
      </c>
      <c r="AQ2" s="60" t="s">
        <v>137</v>
      </c>
      <c r="AR2" s="60"/>
      <c r="AS2" s="60"/>
      <c r="AT2"/>
      <c r="AU2" s="60" t="s">
        <v>138</v>
      </c>
      <c r="AV2" s="60"/>
      <c r="AW2" s="60"/>
      <c r="AX2"/>
      <c r="AY2" s="60" t="s">
        <v>139</v>
      </c>
      <c r="AZ2" s="60"/>
      <c r="BA2" s="60"/>
      <c r="BB2" s="60"/>
      <c r="BC2" s="60"/>
      <c r="BD2" s="60"/>
      <c r="BE2" s="60"/>
      <c r="BF2"/>
      <c r="BG2" s="60" t="s">
        <v>140</v>
      </c>
      <c r="BH2" s="60"/>
      <c r="BI2" s="60"/>
      <c r="BJ2" s="60"/>
      <c r="BK2" s="60"/>
      <c r="BL2" s="60"/>
      <c r="BM2" s="60"/>
      <c r="BN2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Y2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6" t="s">
        <v>127</v>
      </c>
      <c r="C3" s="57"/>
      <c r="D3" s="57"/>
      <c r="F3" s="56" t="s">
        <v>83</v>
      </c>
      <c r="G3" s="57"/>
      <c r="H3" s="57"/>
      <c r="J3" s="53" t="s">
        <v>101</v>
      </c>
      <c r="K3" s="53"/>
      <c r="L3" s="53"/>
      <c r="N3" s="53" t="s">
        <v>95</v>
      </c>
      <c r="O3" s="53"/>
      <c r="P3" s="53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2" t="s">
        <v>146</v>
      </c>
      <c r="AZ3" s="62"/>
      <c r="BA3" s="62"/>
      <c r="BB3"/>
      <c r="BC3" s="62" t="s">
        <v>147</v>
      </c>
      <c r="BD3" s="62"/>
      <c r="BE3" s="62"/>
      <c r="BF3"/>
      <c r="BG3" s="62" t="s">
        <v>146</v>
      </c>
      <c r="BH3" s="62"/>
      <c r="BI3" s="62"/>
      <c r="BJ3" s="2"/>
      <c r="BK3" s="62" t="s">
        <v>147</v>
      </c>
      <c r="BL3" s="62"/>
      <c r="BM3" s="62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MAX(G13,G20,G27)</f>
        <v>335.65316595005885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2.079593899207342E-2</v>
      </c>
      <c r="X4" s="3">
        <v>1</v>
      </c>
      <c r="Y4" s="2">
        <f t="shared" ref="Y4:Y34" si="1" xml:space="preserve"> $O$21 * TAN($O$18/180*PI()) + $O$22 / (2 * SQRT($O$21^2 + X4^2)) - X4</f>
        <v>-0.983413893071162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-0.48221401886946036</v>
      </c>
      <c r="AB4" s="2">
        <f>W4*AA4</f>
        <v>-1.0028093317531838E-2</v>
      </c>
      <c r="AC4" s="2">
        <f>Y4*AA4</f>
        <v>0.47421596558990681</v>
      </c>
      <c r="AD4" s="2">
        <f>X4-V4</f>
        <v>1</v>
      </c>
      <c r="AF4" s="2">
        <v>0</v>
      </c>
      <c r="AG4" s="2"/>
      <c r="AH4" s="2">
        <f>K27</f>
        <v>-6.7251221480546519E-8</v>
      </c>
      <c r="AI4" s="2"/>
      <c r="AJ4" s="2">
        <f>K27</f>
        <v>-6.7251221480546519E-8</v>
      </c>
      <c r="AK4" s="2"/>
      <c r="AL4" s="2">
        <f>K27</f>
        <v>-6.7251221480546519E-8</v>
      </c>
      <c r="AM4" s="2"/>
      <c r="AN4" s="2"/>
      <c r="AO4" s="2"/>
      <c r="AQ4" s="2" t="s">
        <v>151</v>
      </c>
      <c r="AR4" s="2">
        <f>$C$6</f>
        <v>354.77660330943763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0.21164140267072989</v>
      </c>
      <c r="BI4" s="5" t="s">
        <v>155</v>
      </c>
      <c r="BJ4" s="2"/>
      <c r="BK4" s="28" t="s">
        <v>154</v>
      </c>
      <c r="BL4" s="29">
        <f>CE34</f>
        <v>0.16675684452209205</v>
      </c>
      <c r="BM4" s="5" t="s">
        <v>155</v>
      </c>
      <c r="BN4"/>
      <c r="BO4" s="30">
        <v>0</v>
      </c>
      <c r="BP4" s="30"/>
      <c r="BQ4" s="30">
        <f>$BH$20</f>
        <v>4.5094475792373245E-9</v>
      </c>
      <c r="BR4" s="30"/>
      <c r="BS4" s="30">
        <f>$BH$20</f>
        <v>4.5094475792373245E-9</v>
      </c>
      <c r="BT4" s="30"/>
      <c r="BU4" s="30">
        <f>$BH$20</f>
        <v>4.5094475792373245E-9</v>
      </c>
      <c r="BV4" s="30"/>
      <c r="BW4" s="30"/>
      <c r="BX4" s="30"/>
      <c r="BY4"/>
      <c r="BZ4" s="30">
        <v>0</v>
      </c>
      <c r="CA4" s="30"/>
      <c r="CB4" s="30">
        <f>$BL$20</f>
        <v>-5.9246087896758226E-10</v>
      </c>
      <c r="CC4" s="30"/>
      <c r="CD4" s="30">
        <f>$BL$20</f>
        <v>-5.9246087896758226E-10</v>
      </c>
      <c r="CE4" s="30"/>
      <c r="CF4" s="30">
        <f>$BL$20</f>
        <v>-5.9246087896758226E-10</v>
      </c>
      <c r="CG4" s="30"/>
      <c r="CH4" s="30"/>
      <c r="CI4" s="30"/>
    </row>
    <row r="5" spans="2:87" x14ac:dyDescent="0.2">
      <c r="B5" s="10" t="s">
        <v>40</v>
      </c>
      <c r="C5" s="10">
        <f>AK44</f>
        <v>2199.6379470074316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83.913291487514712</v>
      </c>
      <c r="L5" s="6" t="s">
        <v>104</v>
      </c>
      <c r="N5" s="6" t="s">
        <v>119</v>
      </c>
      <c r="O5" s="6">
        <f xml:space="preserve"> $C$18 * 0.85 * ($C$5/$C$18 *2.20462/1000)^(2/3) * 0.3048^2</f>
        <v>0.35913589339704005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2.079593899207342E-2</v>
      </c>
      <c r="X5" s="2">
        <f>IF(AC4&gt;0, Z4, X4)</f>
        <v>0.5</v>
      </c>
      <c r="Y5" s="2">
        <f t="shared" si="1"/>
        <v>-0.48221401886946036</v>
      </c>
      <c r="Z5" s="2">
        <f t="shared" ref="Z5:Z34" si="3" xml:space="preserve"> (V5 + X5)/2</f>
        <v>0.25</v>
      </c>
      <c r="AA5" s="2">
        <f t="shared" si="2"/>
        <v>-0.23074784605746987</v>
      </c>
      <c r="AB5" s="2">
        <f t="shared" ref="AB5:AB34" si="4">W5*AA5</f>
        <v>-4.7986181291634926E-3</v>
      </c>
      <c r="AC5" s="2">
        <f t="shared" ref="AC5:AC34" si="5">Y5*AA5</f>
        <v>0.11126984619284411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-1109.6381341663828</v>
      </c>
      <c r="AI5" s="3">
        <v>5000</v>
      </c>
      <c r="AJ5" s="2">
        <f t="dataTable" ref="AJ5:AJ44" dt2D="0" dtr="0" r1="C5" ca="1"/>
        <v>1577.2774231711323</v>
      </c>
      <c r="AK5" s="2">
        <f>(AG5+AI5)/2</f>
        <v>2750</v>
      </c>
      <c r="AL5" s="2">
        <f t="dataTable" ref="AL5:AL44" dt2D="0" dtr="0" r1="C5" ca="1"/>
        <v>350.07921175644037</v>
      </c>
      <c r="AM5" s="2">
        <f>AH5*AL5</f>
        <v>-388461.2433438545</v>
      </c>
      <c r="AN5" s="2">
        <f>AJ5*AL5</f>
        <v>552172.03702497948</v>
      </c>
      <c r="AO5" s="2">
        <f>AI5-AG5</f>
        <v>4500</v>
      </c>
      <c r="AQ5" s="2" t="s">
        <v>157</v>
      </c>
      <c r="AR5" s="3">
        <v>7.8645777892370496</v>
      </c>
      <c r="AS5" s="26" t="s">
        <v>43</v>
      </c>
      <c r="AT5"/>
      <c r="AU5" s="2" t="s">
        <v>29</v>
      </c>
      <c r="AV5" s="2">
        <f>AR4*2*PI()/60</f>
        <v>37.152119020748984</v>
      </c>
      <c r="AW5" s="26" t="s">
        <v>30</v>
      </c>
      <c r="AX5"/>
      <c r="AY5" s="2" t="s">
        <v>158</v>
      </c>
      <c r="AZ5" s="2">
        <f>(1+$BH$18)*$AR$3</f>
        <v>5.4138353680604014</v>
      </c>
      <c r="BA5" s="26" t="s">
        <v>10</v>
      </c>
      <c r="BB5"/>
      <c r="BC5" s="2" t="s">
        <v>158</v>
      </c>
      <c r="BD5" s="2">
        <f>(1+$BL$18)*$AR$3</f>
        <v>6.9742578231405874</v>
      </c>
      <c r="BE5" s="26" t="s">
        <v>10</v>
      </c>
      <c r="BF5"/>
      <c r="BG5" s="2" t="s">
        <v>159</v>
      </c>
      <c r="BH5" s="2">
        <f>($AR$35+$AR$5)/180*PI()</f>
        <v>0.25769049508901193</v>
      </c>
      <c r="BI5" s="2" t="s">
        <v>155</v>
      </c>
      <c r="BJ5" s="2"/>
      <c r="BK5" s="2" t="s">
        <v>159</v>
      </c>
      <c r="BL5" s="2">
        <f>($AR$36+$AR$5)/180*PI()</f>
        <v>0.23465214896268677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-2.3673228762944749</v>
      </c>
      <c r="BR5" s="3">
        <f>0.9*PI()</f>
        <v>2.8274333882308138</v>
      </c>
      <c r="BS5" s="2">
        <f t="dataTable" ref="BS5:BS34" dt2D="0" dtr="0" r1="BH4" ca="1"/>
        <v>0.5418406336433601</v>
      </c>
      <c r="BT5" s="2">
        <f t="shared" ref="BT5:BT34" si="7">(BP5+BR5)/2</f>
        <v>1.4294246573833558</v>
      </c>
      <c r="BU5" s="2">
        <f t="dataTable" ref="BU5:BU34" dt2D="0" dtr="0" r1="BH4" ca="1"/>
        <v>1.0861838500730727</v>
      </c>
      <c r="BV5" s="2">
        <f t="shared" ref="BV5:BV34" si="8">BQ5*BU5</f>
        <v>-2.5713478761395931</v>
      </c>
      <c r="BW5" s="2">
        <f t="shared" ref="BW5:BW34" si="9">BS5*BU5</f>
        <v>0.5885385455767782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-1.3214200304781507</v>
      </c>
      <c r="CC5" s="3">
        <f>0.9*PI()</f>
        <v>2.8274333882308138</v>
      </c>
      <c r="CD5" s="2">
        <f t="dataTable" ref="CD5:CD34" dt2D="0" dtr="0" r1="BL4" ca="1"/>
        <v>0.43990838910458613</v>
      </c>
      <c r="CE5" s="2">
        <f t="shared" ref="CE5:CE34" si="11">(CA5+CC5)/2</f>
        <v>1.4294246573833558</v>
      </c>
      <c r="CF5" s="2">
        <f t="dataTable" ref="CF5:CF34" dt2D="0" dtr="0" r1="BL4" ca="1"/>
        <v>1.0341455636792418</v>
      </c>
      <c r="CG5" s="2">
        <f t="shared" ref="CG5:CG34" si="12">CB5*CF5</f>
        <v>-1.366540662275868</v>
      </c>
      <c r="CH5" s="2">
        <f t="shared" ref="CH5:CH34" si="13">CD5*CF5</f>
        <v>0.45492930901778944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354.77660330943763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7.1447815844828625E-3</v>
      </c>
      <c r="U6" s="2">
        <v>2</v>
      </c>
      <c r="V6" s="2">
        <f t="shared" ref="V6:V34" si="15">IF(AB5&gt;0, Z5, V5)</f>
        <v>0</v>
      </c>
      <c r="W6" s="2">
        <f t="shared" si="0"/>
        <v>2.079593899207342E-2</v>
      </c>
      <c r="X6" s="2">
        <f t="shared" ref="X6:X34" si="16">IF(AC5&gt;0, Z5, X5)</f>
        <v>0.25</v>
      </c>
      <c r="Y6" s="2">
        <f t="shared" si="1"/>
        <v>-0.23074784605746987</v>
      </c>
      <c r="Z6" s="2">
        <f t="shared" si="3"/>
        <v>0.125</v>
      </c>
      <c r="AA6" s="2">
        <f t="shared" si="2"/>
        <v>-0.10474543600339661</v>
      </c>
      <c r="AB6" s="2">
        <f t="shared" si="4"/>
        <v>-2.1782796968247667E-3</v>
      </c>
      <c r="AC6" s="2">
        <f t="shared" si="5"/>
        <v>2.4169783742134323E-2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-1109.6381341663828</v>
      </c>
      <c r="AI6" s="2">
        <f>IF(AN5&gt;0, AK5, AI5)</f>
        <v>2750</v>
      </c>
      <c r="AJ6" s="2">
        <v>350.07921175644037</v>
      </c>
      <c r="AK6" s="2">
        <f t="shared" ref="AK6:AK43" si="17">(AG6+AI6)/2</f>
        <v>1625</v>
      </c>
      <c r="AL6" s="2">
        <v>-373.903866724213</v>
      </c>
      <c r="AM6" s="2">
        <f t="shared" ref="AM6:AM44" si="18">AH6*AL6</f>
        <v>414897.98902945156</v>
      </c>
      <c r="AN6" s="2">
        <f t="shared" ref="AN6:AN44" si="19">AJ6*AL6</f>
        <v>-130895.97093549762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5.9129433884906275</v>
      </c>
      <c r="AW6" s="26" t="s">
        <v>162</v>
      </c>
      <c r="AX6"/>
      <c r="AY6" s="2" t="s">
        <v>163</v>
      </c>
      <c r="AZ6" s="2">
        <f>(1-$BH$19)*$AV$5*$AR$19</f>
        <v>25.197153355945627</v>
      </c>
      <c r="BA6" s="26" t="s">
        <v>10</v>
      </c>
      <c r="BB6"/>
      <c r="BC6" s="2" t="s">
        <v>163</v>
      </c>
      <c r="BD6" s="2">
        <f>(1-$BL$19)*$AV$5*$AR$20</f>
        <v>41.434528527140422</v>
      </c>
      <c r="BE6" s="26" t="s">
        <v>10</v>
      </c>
      <c r="BF6"/>
      <c r="BG6" s="2" t="s">
        <v>28</v>
      </c>
      <c r="BH6" s="2">
        <f>BH5-BH4</f>
        <v>4.6049092418282034E-2</v>
      </c>
      <c r="BI6" s="2" t="s">
        <v>155</v>
      </c>
      <c r="BJ6" s="2"/>
      <c r="BK6" s="2" t="s">
        <v>28</v>
      </c>
      <c r="BL6" s="2">
        <f>BL5-BL4</f>
        <v>6.7895304440594717E-2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-2.3673228762944749</v>
      </c>
      <c r="BR6" s="2">
        <f t="shared" ref="BR6:BR34" si="22">IF(BW5&gt;0,BT5,BR5)</f>
        <v>1.4294246573833558</v>
      </c>
      <c r="BS6" s="2">
        <v>1.0861838500730727</v>
      </c>
      <c r="BT6" s="2">
        <f t="shared" si="7"/>
        <v>0.73042029195962688</v>
      </c>
      <c r="BU6" s="2">
        <v>0.68978434333859862</v>
      </c>
      <c r="BV6" s="2">
        <f t="shared" si="8"/>
        <v>-1.6329422556952269</v>
      </c>
      <c r="BW6" s="2">
        <f t="shared" si="9"/>
        <v>0.74923261376764527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-1.3214200304781507</v>
      </c>
      <c r="CC6" s="2">
        <f t="shared" ref="CC6:CC34" si="24">IF(CH5&gt;0,CE5,CC5)</f>
        <v>1.4294246573833558</v>
      </c>
      <c r="CD6" s="2">
        <v>1.0341455636792418</v>
      </c>
      <c r="CE6" s="2">
        <f t="shared" si="11"/>
        <v>0.73042029195962688</v>
      </c>
      <c r="CF6" s="2">
        <v>0.66885654997031829</v>
      </c>
      <c r="CG6" s="2">
        <f t="shared" si="12"/>
        <v>-0.88384044264728878</v>
      </c>
      <c r="CH6" s="2">
        <f t="shared" si="13"/>
        <v>0.69169503388960774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148.60847608299594</v>
      </c>
      <c r="H7" s="6" t="s">
        <v>10</v>
      </c>
      <c r="J7" s="53" t="s">
        <v>23</v>
      </c>
      <c r="K7" s="53"/>
      <c r="L7" s="53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2.079593899207342E-2</v>
      </c>
      <c r="X7" s="2">
        <f t="shared" si="16"/>
        <v>0.125</v>
      </c>
      <c r="Y7" s="2">
        <f t="shared" si="1"/>
        <v>-0.10474543600339661</v>
      </c>
      <c r="Z7" s="2">
        <f t="shared" si="3"/>
        <v>6.25E-2</v>
      </c>
      <c r="AA7" s="2">
        <f t="shared" si="2"/>
        <v>-4.1855349800880154E-2</v>
      </c>
      <c r="AB7" s="2">
        <f t="shared" si="4"/>
        <v>-8.7042130095099602E-4</v>
      </c>
      <c r="AC7" s="2">
        <f t="shared" si="5"/>
        <v>4.3841568639678714E-3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-373.903866724213</v>
      </c>
      <c r="AI7" s="2">
        <f t="shared" ref="AI7:AI44" si="26">IF(AN6&gt;0, AK6, AI6)</f>
        <v>2750</v>
      </c>
      <c r="AJ7" s="2">
        <v>350.07921175644037</v>
      </c>
      <c r="AK7" s="2">
        <f t="shared" si="17"/>
        <v>2187.5</v>
      </c>
      <c r="AL7" s="2">
        <v>-7.8168393756629939</v>
      </c>
      <c r="AM7" s="2">
        <f t="shared" si="18"/>
        <v>2922.7464681224765</v>
      </c>
      <c r="AN7" s="2">
        <f t="shared" si="19"/>
        <v>-2736.5129670588062</v>
      </c>
      <c r="AO7" s="2">
        <f t="shared" si="20"/>
        <v>1125</v>
      </c>
      <c r="AQ7" s="60" t="s">
        <v>165</v>
      </c>
      <c r="AR7" s="60"/>
      <c r="AS7" s="60"/>
      <c r="AT7"/>
      <c r="AU7" s="2" t="s">
        <v>166</v>
      </c>
      <c r="AV7" s="33">
        <f>$AR$3/(AV6*AR9)</f>
        <v>5.3695761846461194E-2</v>
      </c>
      <c r="AW7"/>
      <c r="AX7"/>
      <c r="AY7" s="2" t="s">
        <v>167</v>
      </c>
      <c r="AZ7" s="2">
        <f>SQRT(AZ5^2 + AZ6^2)</f>
        <v>25.772197241126023</v>
      </c>
      <c r="BA7" s="26" t="s">
        <v>10</v>
      </c>
      <c r="BB7"/>
      <c r="BC7" s="2" t="s">
        <v>167</v>
      </c>
      <c r="BD7" s="2">
        <f>SQRT(BD5^2 + BD6^2)</f>
        <v>42.017382432155998</v>
      </c>
      <c r="BE7" s="26" t="s">
        <v>10</v>
      </c>
      <c r="BF7"/>
      <c r="BG7" s="2" t="s">
        <v>168</v>
      </c>
      <c r="BH7" s="2">
        <f>BH6/PI()*180</f>
        <v>2.6384186459754386</v>
      </c>
      <c r="BI7" s="2" t="s">
        <v>43</v>
      </c>
      <c r="BJ7" s="2"/>
      <c r="BK7" s="2" t="s">
        <v>168</v>
      </c>
      <c r="BL7" s="2">
        <f>BL6/PI()*180</f>
        <v>3.8901143932019142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-2.3673228762944749</v>
      </c>
      <c r="BR7" s="2">
        <f t="shared" si="22"/>
        <v>0.73042029195962688</v>
      </c>
      <c r="BS7" s="2">
        <v>0.68978434333859862</v>
      </c>
      <c r="BT7" s="2">
        <f t="shared" si="7"/>
        <v>0.38091810924776243</v>
      </c>
      <c r="BU7" s="2">
        <v>0.38799641537606</v>
      </c>
      <c r="BV7" s="2">
        <f t="shared" si="8"/>
        <v>-0.91851279004000019</v>
      </c>
      <c r="BW7" s="2">
        <f t="shared" si="9"/>
        <v>0.26763385259790567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-1.3214200304781507</v>
      </c>
      <c r="CC7" s="2">
        <f t="shared" si="24"/>
        <v>0.73042029195962688</v>
      </c>
      <c r="CD7" s="2">
        <v>0.66885654997031829</v>
      </c>
      <c r="CE7" s="2">
        <f t="shared" si="11"/>
        <v>0.38091810924776243</v>
      </c>
      <c r="CF7" s="2">
        <v>0.38246065926255596</v>
      </c>
      <c r="CG7" s="2">
        <f t="shared" si="12"/>
        <v>-0.5053911760194203</v>
      </c>
      <c r="CH7" s="2">
        <f t="shared" si="13"/>
        <v>0.25581131705372662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G7/$C$42</f>
        <v>0.44504622629988327</v>
      </c>
      <c r="H8" s="6" t="s">
        <v>131</v>
      </c>
      <c r="J8" s="6" t="s">
        <v>99</v>
      </c>
      <c r="K8" s="6">
        <f xml:space="preserve"> $C$15 * (G13*G6 + G20*G16 + G27*G25)/3600</f>
        <v>135.21157246231408</v>
      </c>
      <c r="L8" s="6" t="s">
        <v>105</v>
      </c>
      <c r="N8" s="6" t="s">
        <v>122</v>
      </c>
      <c r="O8" s="6">
        <f xml:space="preserve"> $O$7 + O6</f>
        <v>1.9445631584482863E-2</v>
      </c>
      <c r="U8" s="2">
        <v>4</v>
      </c>
      <c r="V8" s="2">
        <f t="shared" si="15"/>
        <v>0</v>
      </c>
      <c r="W8" s="2">
        <f t="shared" si="0"/>
        <v>2.079593899207342E-2</v>
      </c>
      <c r="X8" s="2">
        <f t="shared" si="16"/>
        <v>6.25E-2</v>
      </c>
      <c r="Y8" s="2">
        <f t="shared" si="1"/>
        <v>-4.1855349800880154E-2</v>
      </c>
      <c r="Z8" s="2">
        <f t="shared" si="3"/>
        <v>3.125E-2</v>
      </c>
      <c r="AA8" s="2">
        <f t="shared" si="2"/>
        <v>-1.0493049333460788E-2</v>
      </c>
      <c r="AB8" s="2">
        <f t="shared" si="4"/>
        <v>-2.182128137794672E-4</v>
      </c>
      <c r="AC8" s="2">
        <f t="shared" si="5"/>
        <v>4.3919025032989359E-4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-7.8168393756629939</v>
      </c>
      <c r="AI8" s="2">
        <f t="shared" si="26"/>
        <v>2750</v>
      </c>
      <c r="AJ8" s="2">
        <v>350.07921175644037</v>
      </c>
      <c r="AK8" s="2">
        <f t="shared" si="17"/>
        <v>2468.75</v>
      </c>
      <c r="AL8" s="2">
        <v>172.2745192962559</v>
      </c>
      <c r="AM8" s="2">
        <f t="shared" si="18"/>
        <v>-1346.6422458583875</v>
      </c>
      <c r="AN8" s="2">
        <f t="shared" si="19"/>
        <v>60309.727920952944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441232.89819662541</v>
      </c>
      <c r="BA8" s="26"/>
      <c r="BB8"/>
      <c r="BC8" s="2" t="s">
        <v>170</v>
      </c>
      <c r="BD8" s="37">
        <f>$AR$45*BD7*$AR$28/$AR$46</f>
        <v>698726.40774863318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-2.3673228762944749</v>
      </c>
      <c r="BR8" s="2">
        <f t="shared" si="22"/>
        <v>0.38091810924776243</v>
      </c>
      <c r="BS8" s="2">
        <v>0.38799641537606</v>
      </c>
      <c r="BT8" s="2">
        <f t="shared" si="7"/>
        <v>0.20616701789183017</v>
      </c>
      <c r="BU8" s="2">
        <v>-1.7617803726867748E-2</v>
      </c>
      <c r="BV8" s="2">
        <f t="shared" si="8"/>
        <v>4.1707029792680074E-2</v>
      </c>
      <c r="BW8" s="2">
        <f t="shared" si="9"/>
        <v>-6.835644692823677E-3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-1.3214200304781507</v>
      </c>
      <c r="CC8" s="2">
        <f t="shared" si="24"/>
        <v>0.38091810924776243</v>
      </c>
      <c r="CD8" s="2">
        <v>0.38246065926255596</v>
      </c>
      <c r="CE8" s="2">
        <f t="shared" si="11"/>
        <v>0.20616701789183017</v>
      </c>
      <c r="CF8" s="2">
        <v>9.7826934375015842E-2</v>
      </c>
      <c r="CG8" s="2">
        <f t="shared" si="12"/>
        <v>-0.12927047060341748</v>
      </c>
      <c r="CH8" s="2">
        <f t="shared" si="13"/>
        <v>3.7414953814703354E-2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5389.9329910160568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1232.244788138187</v>
      </c>
      <c r="P9" s="6" t="s">
        <v>22</v>
      </c>
      <c r="U9" s="2">
        <v>5</v>
      </c>
      <c r="V9" s="2">
        <f t="shared" si="15"/>
        <v>0</v>
      </c>
      <c r="W9" s="2">
        <f t="shared" si="0"/>
        <v>2.079593899207342E-2</v>
      </c>
      <c r="X9" s="2">
        <f t="shared" si="16"/>
        <v>3.125E-2</v>
      </c>
      <c r="Y9" s="2">
        <f t="shared" si="1"/>
        <v>-1.0493049333460788E-2</v>
      </c>
      <c r="Z9" s="2">
        <f t="shared" si="3"/>
        <v>1.5625E-2</v>
      </c>
      <c r="AA9" s="2">
        <f t="shared" si="2"/>
        <v>5.161115874879673E-3</v>
      </c>
      <c r="AB9" s="2">
        <f t="shared" si="4"/>
        <v>1.0733025086501931E-4</v>
      </c>
      <c r="AC9" s="2">
        <f t="shared" si="5"/>
        <v>-5.4155843490820043E-5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-7.8168393756629939</v>
      </c>
      <c r="AI9" s="2">
        <f t="shared" si="26"/>
        <v>2468.75</v>
      </c>
      <c r="AJ9" s="2">
        <v>172.2745192962559</v>
      </c>
      <c r="AK9" s="2">
        <f t="shared" si="17"/>
        <v>2328.125</v>
      </c>
      <c r="AL9" s="2">
        <v>82.503023243452844</v>
      </c>
      <c r="AM9" s="2">
        <f t="shared" si="18"/>
        <v>-644.91288070066139</v>
      </c>
      <c r="AN9" s="2">
        <f t="shared" si="19"/>
        <v>14213.168669753666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0" t="s">
        <v>173</v>
      </c>
      <c r="AV9" s="60"/>
      <c r="AW9" s="60"/>
      <c r="AX9"/>
      <c r="AY9" s="2" t="s">
        <v>174</v>
      </c>
      <c r="AZ9" s="33">
        <f xml:space="preserve"> $BH$8 * PI() * $AR$45 * AZ7^2 *$BH$14 * $AR$19 * AZ4</f>
        <v>58.378607801983577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201.99379441517971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0.99999999999999845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0.99999999990928057</v>
      </c>
      <c r="BM9" s="2"/>
      <c r="BN9"/>
      <c r="BO9" s="2">
        <v>5</v>
      </c>
      <c r="BP9" s="2">
        <f t="shared" si="21"/>
        <v>0.20616701789183017</v>
      </c>
      <c r="BQ9" s="2">
        <v>-1.7617803726867748E-2</v>
      </c>
      <c r="BR9" s="2">
        <f t="shared" si="22"/>
        <v>0.38091810924776243</v>
      </c>
      <c r="BS9" s="2">
        <v>0.38799641537606</v>
      </c>
      <c r="BT9" s="2">
        <f t="shared" si="7"/>
        <v>0.2935425635697963</v>
      </c>
      <c r="BU9" s="2">
        <v>0.21621440453706814</v>
      </c>
      <c r="BV9" s="2">
        <f t="shared" si="8"/>
        <v>-3.8092229420556498E-3</v>
      </c>
      <c r="BW9" s="2">
        <f t="shared" si="9"/>
        <v>8.3890413913051756E-2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-1.3214200304781507</v>
      </c>
      <c r="CC9" s="2">
        <f t="shared" si="24"/>
        <v>0.20616701789183017</v>
      </c>
      <c r="CD9" s="2">
        <v>9.7826934375015842E-2</v>
      </c>
      <c r="CE9" s="2">
        <f t="shared" si="11"/>
        <v>0.11879147221386405</v>
      </c>
      <c r="CF9" s="2">
        <v>-0.16823117555689324</v>
      </c>
      <c r="CG9" s="2">
        <f t="shared" si="12"/>
        <v>0.22230404513176499</v>
      </c>
      <c r="CH9" s="2">
        <f t="shared" si="13"/>
        <v>-1.6457540171035963E-2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5389.9330146532311</v>
      </c>
      <c r="H10" s="6" t="s">
        <v>22</v>
      </c>
      <c r="N10" s="6" t="s">
        <v>42</v>
      </c>
      <c r="O10" s="6">
        <f xml:space="preserve"> O9</f>
        <v>1232.244788138187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5.161115874879673E-3</v>
      </c>
      <c r="X10" s="2">
        <f t="shared" si="16"/>
        <v>3.125E-2</v>
      </c>
      <c r="Y10" s="2">
        <f t="shared" si="1"/>
        <v>-1.0493049333460788E-2</v>
      </c>
      <c r="Z10" s="2">
        <f t="shared" si="3"/>
        <v>2.34375E-2</v>
      </c>
      <c r="AA10" s="2">
        <f t="shared" si="2"/>
        <v>-2.6635913788807634E-3</v>
      </c>
      <c r="AB10" s="2">
        <f t="shared" si="4"/>
        <v>-1.3747103749734146E-5</v>
      </c>
      <c r="AC10" s="2">
        <f t="shared" si="5"/>
        <v>2.7949195742776696E-5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-7.8168393756629939</v>
      </c>
      <c r="AI10" s="2">
        <f t="shared" si="26"/>
        <v>2328.125</v>
      </c>
      <c r="AJ10" s="2">
        <v>82.503023243452844</v>
      </c>
      <c r="AK10" s="2">
        <f t="shared" si="17"/>
        <v>2257.8125</v>
      </c>
      <c r="AL10" s="2">
        <v>37.40996067208448</v>
      </c>
      <c r="AM10" s="2">
        <f t="shared" si="18"/>
        <v>-292.42765362355402</v>
      </c>
      <c r="AN10" s="2">
        <f t="shared" si="19"/>
        <v>3086.4348548656426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5389.9330146532311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11.508414232171607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47.718207729544375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0.93238365894673181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0.996598371307169</v>
      </c>
      <c r="BM10" s="2"/>
      <c r="BN10"/>
      <c r="BO10" s="2">
        <v>6</v>
      </c>
      <c r="BP10" s="2">
        <f t="shared" si="21"/>
        <v>0.20616701789183017</v>
      </c>
      <c r="BQ10" s="2">
        <v>-1.7617803726867748E-2</v>
      </c>
      <c r="BR10" s="2">
        <f t="shared" si="22"/>
        <v>0.2935425635697963</v>
      </c>
      <c r="BS10" s="2">
        <v>0.21621440453706814</v>
      </c>
      <c r="BT10" s="2">
        <f t="shared" si="7"/>
        <v>0.24985479073081324</v>
      </c>
      <c r="BU10" s="2">
        <v>0.1102073157529225</v>
      </c>
      <c r="BV10" s="2">
        <f t="shared" si="8"/>
        <v>-1.9416108581999287E-3</v>
      </c>
      <c r="BW10" s="2">
        <f t="shared" si="9"/>
        <v>2.3828409151146788E-2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-0.16823117555689324</v>
      </c>
      <c r="CC10" s="2">
        <f t="shared" si="24"/>
        <v>0.20616701789183017</v>
      </c>
      <c r="CD10" s="2">
        <v>9.7826934375015842E-2</v>
      </c>
      <c r="CE10" s="2">
        <f t="shared" si="11"/>
        <v>0.16247924505284711</v>
      </c>
      <c r="CF10" s="2">
        <v>-1.2253932345834495E-2</v>
      </c>
      <c r="CG10" s="2">
        <f t="shared" si="12"/>
        <v>2.0614934437343754E-3</v>
      </c>
      <c r="CH10" s="2">
        <f t="shared" si="13"/>
        <v>-1.1987646354318351E-3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-2.3637174308532849E-5</v>
      </c>
      <c r="H11" s="6" t="s">
        <v>22</v>
      </c>
      <c r="J11" s="56" t="s">
        <v>54</v>
      </c>
      <c r="K11" s="56"/>
      <c r="L11" s="56"/>
      <c r="N11" s="6" t="s">
        <v>118</v>
      </c>
      <c r="O11" s="6">
        <f>($O$8*PI()*$C$9^2)/(0.3048^2)/($C$5*2.20462/1000)^(2/3) + 0.85</f>
        <v>4.5223045089815859</v>
      </c>
      <c r="U11" s="2">
        <v>7</v>
      </c>
      <c r="V11" s="2">
        <f t="shared" si="15"/>
        <v>1.5625E-2</v>
      </c>
      <c r="W11" s="2">
        <f t="shared" si="0"/>
        <v>5.161115874879673E-3</v>
      </c>
      <c r="X11" s="2">
        <f t="shared" si="16"/>
        <v>2.34375E-2</v>
      </c>
      <c r="Y11" s="2">
        <f t="shared" si="1"/>
        <v>-2.6635913788807634E-3</v>
      </c>
      <c r="Z11" s="2">
        <f t="shared" si="3"/>
        <v>1.953125E-2</v>
      </c>
      <c r="AA11" s="2">
        <f t="shared" si="2"/>
        <v>1.2493628042306998E-3</v>
      </c>
      <c r="AB11" s="2">
        <f t="shared" si="4"/>
        <v>6.4481062023992494E-6</v>
      </c>
      <c r="AC11" s="2">
        <f t="shared" si="5"/>
        <v>-3.3277919944431868E-6</v>
      </c>
      <c r="AD11" s="2">
        <f t="shared" si="6"/>
        <v>7.8125E-3</v>
      </c>
      <c r="AF11" s="2">
        <v>7</v>
      </c>
      <c r="AG11" s="2">
        <f t="shared" si="25"/>
        <v>2187.5</v>
      </c>
      <c r="AH11" s="2">
        <v>-7.8168393756629939</v>
      </c>
      <c r="AI11" s="2">
        <f t="shared" si="26"/>
        <v>2257.8125</v>
      </c>
      <c r="AJ11" s="2">
        <v>37.40996067208448</v>
      </c>
      <c r="AK11" s="2">
        <f t="shared" si="17"/>
        <v>2222.65625</v>
      </c>
      <c r="AL11" s="2">
        <v>14.813051131591692</v>
      </c>
      <c r="AM11" s="2">
        <f t="shared" si="18"/>
        <v>-115.79124135913521</v>
      </c>
      <c r="AN11" s="2">
        <f t="shared" si="19"/>
        <v>554.15566026642171</v>
      </c>
      <c r="AO11" s="2">
        <f t="shared" si="20"/>
        <v>70.3125</v>
      </c>
      <c r="AQ11" s="66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2258.6407908698347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0.93238365894673036</v>
      </c>
      <c r="BI11" s="2"/>
      <c r="BJ11" s="2"/>
      <c r="BK11" s="2" t="s">
        <v>183</v>
      </c>
      <c r="BL11" s="2">
        <f>IF(BL4=0,1,BL9*BL10)</f>
        <v>0.99659837121675821</v>
      </c>
      <c r="BM11" s="2"/>
      <c r="BN11"/>
      <c r="BO11" s="2">
        <v>7</v>
      </c>
      <c r="BP11" s="2">
        <f t="shared" si="21"/>
        <v>0.20616701789183017</v>
      </c>
      <c r="BQ11" s="2">
        <v>-1.7617803726867748E-2</v>
      </c>
      <c r="BR11" s="2">
        <f t="shared" si="22"/>
        <v>0.24985479073081324</v>
      </c>
      <c r="BS11" s="2">
        <v>0.1102073157529225</v>
      </c>
      <c r="BT11" s="2">
        <f t="shared" si="7"/>
        <v>0.2280109043113217</v>
      </c>
      <c r="BU11" s="2">
        <v>4.9705743476111702E-2</v>
      </c>
      <c r="BV11" s="2">
        <f t="shared" si="8"/>
        <v>-8.7570603266017304E-4</v>
      </c>
      <c r="BW11" s="2">
        <f t="shared" si="9"/>
        <v>5.4779365660056105E-3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-1.2253932345834495E-2</v>
      </c>
      <c r="CC11" s="2">
        <f t="shared" si="24"/>
        <v>0.20616701789183017</v>
      </c>
      <c r="CD11" s="2">
        <v>9.7826934375015842E-2</v>
      </c>
      <c r="CE11" s="2">
        <f t="shared" si="11"/>
        <v>0.18432313147233864</v>
      </c>
      <c r="CF11" s="2">
        <v>4.6588992517362232E-2</v>
      </c>
      <c r="CG11" s="2">
        <f t="shared" si="12"/>
        <v>-5.7089836236834629E-4</v>
      </c>
      <c r="CH11" s="2">
        <f t="shared" si="13"/>
        <v>4.5576583135940995E-3</v>
      </c>
      <c r="CI11" s="2">
        <f t="shared" si="14"/>
        <v>4.3687772838983063E-2</v>
      </c>
    </row>
    <row r="12" spans="2:87" x14ac:dyDescent="0.2">
      <c r="B12" s="53" t="s">
        <v>12</v>
      </c>
      <c r="C12" s="53"/>
      <c r="D12" s="53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2199.6379470074316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1.2493628042306998E-3</v>
      </c>
      <c r="X12" s="2">
        <f t="shared" si="16"/>
        <v>2.34375E-2</v>
      </c>
      <c r="Y12" s="2">
        <f t="shared" si="1"/>
        <v>-2.6635913788807634E-3</v>
      </c>
      <c r="Z12" s="2">
        <f t="shared" si="3"/>
        <v>2.1484375E-2</v>
      </c>
      <c r="AA12" s="2">
        <f t="shared" si="2"/>
        <v>-7.0696490207732693E-4</v>
      </c>
      <c r="AB12" s="2">
        <f t="shared" si="4"/>
        <v>-8.832556525520112E-7</v>
      </c>
      <c r="AC12" s="2">
        <f t="shared" si="5"/>
        <v>1.8830656183444511E-6</v>
      </c>
      <c r="AD12" s="2">
        <f t="shared" si="6"/>
        <v>3.90625E-3</v>
      </c>
      <c r="AF12" s="2">
        <v>8</v>
      </c>
      <c r="AG12" s="2">
        <f t="shared" si="25"/>
        <v>2187.5</v>
      </c>
      <c r="AH12" s="2">
        <v>-7.8168393756629939</v>
      </c>
      <c r="AI12" s="2">
        <f t="shared" si="26"/>
        <v>2222.65625</v>
      </c>
      <c r="AJ12" s="2">
        <v>14.813051131591692</v>
      </c>
      <c r="AK12" s="2">
        <f t="shared" si="17"/>
        <v>2205.078125</v>
      </c>
      <c r="AL12" s="2">
        <v>3.5021945390683413</v>
      </c>
      <c r="AM12" s="2">
        <f t="shared" si="18"/>
        <v>-27.37609217422132</v>
      </c>
      <c r="AN12" s="2">
        <f t="shared" si="19"/>
        <v>51.87818678000054</v>
      </c>
      <c r="AO12" s="2">
        <f t="shared" si="20"/>
        <v>35.15625</v>
      </c>
      <c r="AQ12" s="66"/>
      <c r="AR12" s="3" t="s">
        <v>219</v>
      </c>
      <c r="AS12" s="26"/>
      <c r="AT12"/>
      <c r="AU12" s="4" t="s">
        <v>184</v>
      </c>
      <c r="AV12" s="38">
        <f>AV11*AV5/1000</f>
        <v>83.913291487514712</v>
      </c>
      <c r="AW12" s="26" t="s">
        <v>104</v>
      </c>
      <c r="AX12"/>
      <c r="AY12" s="62" t="s">
        <v>185</v>
      </c>
      <c r="AZ12" s="62"/>
      <c r="BA12" s="62"/>
      <c r="BB12"/>
      <c r="BC12" s="62" t="s">
        <v>186</v>
      </c>
      <c r="BD12" s="62"/>
      <c r="BE12" s="62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0.4644890240076352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0.61270596365271746</v>
      </c>
      <c r="BM12" s="2"/>
      <c r="BN12"/>
      <c r="BO12" s="2">
        <v>8</v>
      </c>
      <c r="BP12" s="2">
        <f t="shared" si="21"/>
        <v>0.20616701789183017</v>
      </c>
      <c r="BQ12" s="2">
        <v>-1.7617803726867748E-2</v>
      </c>
      <c r="BR12" s="2">
        <f t="shared" si="22"/>
        <v>0.2280109043113217</v>
      </c>
      <c r="BS12" s="2">
        <v>4.9705743476111702E-2</v>
      </c>
      <c r="BT12" s="2">
        <f t="shared" si="7"/>
        <v>0.21708896110157594</v>
      </c>
      <c r="BU12" s="2">
        <v>1.7013438925616436E-2</v>
      </c>
      <c r="BV12" s="2">
        <f t="shared" si="8"/>
        <v>-2.9973942771056205E-4</v>
      </c>
      <c r="BW12" s="2">
        <f t="shared" si="9"/>
        <v>8.4566563088318413E-4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-1.2253932345834495E-2</v>
      </c>
      <c r="CC12" s="2">
        <f t="shared" si="24"/>
        <v>0.18432313147233864</v>
      </c>
      <c r="CD12" s="2">
        <v>4.6588992517362232E-2</v>
      </c>
      <c r="CE12" s="2">
        <f t="shared" si="11"/>
        <v>0.17340118826259288</v>
      </c>
      <c r="CF12" s="2">
        <v>1.8286127751026976E-2</v>
      </c>
      <c r="CG12" s="2">
        <f t="shared" si="12"/>
        <v>-2.2407697232837125E-4</v>
      </c>
      <c r="CH12" s="2">
        <f t="shared" si="13"/>
        <v>8.5193226896412562E-4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C24*100</f>
        <v>600</v>
      </c>
      <c r="D13" s="6" t="s">
        <v>7</v>
      </c>
      <c r="F13" s="42" t="s">
        <v>85</v>
      </c>
      <c r="G13" s="43">
        <f>$C$18 * AV12</f>
        <v>335.65316595005885</v>
      </c>
      <c r="H13" s="43" t="s">
        <v>104</v>
      </c>
      <c r="J13" s="11" t="s">
        <v>55</v>
      </c>
      <c r="K13" s="6">
        <f xml:space="preserve"> K8 * 1000 / ($C$35 * $C$36 * $C$37)</f>
        <v>795.36219095478862</v>
      </c>
      <c r="L13" s="6" t="s">
        <v>7</v>
      </c>
      <c r="N13" s="56" t="s">
        <v>76</v>
      </c>
      <c r="O13" s="58"/>
      <c r="P13" s="58"/>
      <c r="U13" s="2">
        <v>9</v>
      </c>
      <c r="V13" s="2">
        <f t="shared" si="15"/>
        <v>1.953125E-2</v>
      </c>
      <c r="W13" s="2">
        <f t="shared" si="0"/>
        <v>1.2493628042306998E-3</v>
      </c>
      <c r="X13" s="2">
        <f t="shared" si="16"/>
        <v>2.1484375E-2</v>
      </c>
      <c r="Y13" s="2">
        <f t="shared" si="1"/>
        <v>-7.0696490207732693E-4</v>
      </c>
      <c r="Z13" s="2">
        <f t="shared" si="3"/>
        <v>2.05078125E-2</v>
      </c>
      <c r="AA13" s="2">
        <f t="shared" si="2"/>
        <v>2.7123639708455036E-4</v>
      </c>
      <c r="AB13" s="2">
        <f t="shared" si="4"/>
        <v>3.3887266567098546E-7</v>
      </c>
      <c r="AC13" s="2">
        <f t="shared" si="5"/>
        <v>-1.9175461290468609E-7</v>
      </c>
      <c r="AD13" s="2">
        <f t="shared" si="6"/>
        <v>1.953125E-3</v>
      </c>
      <c r="AF13" s="2">
        <v>9</v>
      </c>
      <c r="AG13" s="2">
        <f t="shared" si="25"/>
        <v>2187.5</v>
      </c>
      <c r="AH13" s="2">
        <v>-7.8168393756629939</v>
      </c>
      <c r="AI13" s="2">
        <f t="shared" si="26"/>
        <v>2205.078125</v>
      </c>
      <c r="AJ13" s="2">
        <v>3.5021945390683413</v>
      </c>
      <c r="AK13" s="2">
        <f t="shared" si="17"/>
        <v>2196.2890625</v>
      </c>
      <c r="AL13" s="2">
        <v>-2.1563006385056269</v>
      </c>
      <c r="AM13" s="2">
        <f t="shared" si="18"/>
        <v>16.855455736838039</v>
      </c>
      <c r="AN13" s="2">
        <f t="shared" si="19"/>
        <v>-7.5517843207639839</v>
      </c>
      <c r="AO13" s="2">
        <f t="shared" si="20"/>
        <v>17.578125</v>
      </c>
      <c r="AQ13" s="66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2.924050618151466E-2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2.3033676882949734E-2</v>
      </c>
      <c r="BM13" s="2"/>
      <c r="BN13"/>
      <c r="BO13" s="2">
        <v>9</v>
      </c>
      <c r="BP13" s="2">
        <f t="shared" si="21"/>
        <v>0.20616701789183017</v>
      </c>
      <c r="BQ13" s="2">
        <v>-1.7617803726867748E-2</v>
      </c>
      <c r="BR13" s="2">
        <f t="shared" si="22"/>
        <v>0.21708896110157594</v>
      </c>
      <c r="BS13" s="2">
        <v>1.7013438925616436E-2</v>
      </c>
      <c r="BT13" s="2">
        <f t="shared" si="7"/>
        <v>0.21162798949670306</v>
      </c>
      <c r="BU13" s="2">
        <v>-4.2509053191475132E-5</v>
      </c>
      <c r="BV13" s="2">
        <f t="shared" si="8"/>
        <v>7.4891615574238995E-7</v>
      </c>
      <c r="BW13" s="2">
        <f t="shared" si="9"/>
        <v>-7.2322518025894261E-7</v>
      </c>
      <c r="BX13" s="2">
        <f t="shared" si="10"/>
        <v>1.0921943209745766E-2</v>
      </c>
      <c r="BY13"/>
      <c r="BZ13" s="2">
        <v>9</v>
      </c>
      <c r="CA13" s="2">
        <f t="shared" si="23"/>
        <v>0.16247924505284711</v>
      </c>
      <c r="CB13" s="2">
        <v>-1.2253932345834495E-2</v>
      </c>
      <c r="CC13" s="2">
        <f t="shared" si="24"/>
        <v>0.17340118826259288</v>
      </c>
      <c r="CD13" s="2">
        <v>1.8286127751026976E-2</v>
      </c>
      <c r="CE13" s="2">
        <f t="shared" si="11"/>
        <v>0.16794021665771999</v>
      </c>
      <c r="CF13" s="2">
        <v>3.3213499307126332E-3</v>
      </c>
      <c r="CG13" s="2">
        <f t="shared" si="12"/>
        <v>-4.0699597347794694E-5</v>
      </c>
      <c r="CH13" s="2">
        <f t="shared" si="13"/>
        <v>6.0734629138875807E-5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$C$53 * $C$18 * (0.0095 * MAX(G9,O19,G26) - 1.9275)</f>
        <v>157.9377270197738</v>
      </c>
      <c r="L14" s="6" t="s">
        <v>7</v>
      </c>
      <c r="N14" s="6" t="s">
        <v>77</v>
      </c>
      <c r="O14" s="6">
        <f xml:space="preserve"> SQRT( ($C$5*$C$49)^2 + O10^2)</f>
        <v>21592.858818391291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2.7123639708455036E-4</v>
      </c>
      <c r="X14" s="2">
        <f t="shared" si="16"/>
        <v>2.1484375E-2</v>
      </c>
      <c r="Y14" s="2">
        <f t="shared" si="1"/>
        <v>-7.0696490207732693E-4</v>
      </c>
      <c r="Z14" s="2">
        <f t="shared" si="3"/>
        <v>2.099609375E-2</v>
      </c>
      <c r="AA14" s="2">
        <f t="shared" si="2"/>
        <v>-2.1785490311728231E-4</v>
      </c>
      <c r="AB14" s="2">
        <f t="shared" si="4"/>
        <v>-5.9090179008735433E-8</v>
      </c>
      <c r="AC14" s="2">
        <f t="shared" si="5"/>
        <v>1.5401577024937503E-7</v>
      </c>
      <c r="AD14" s="2">
        <f t="shared" si="6"/>
        <v>9.765625E-4</v>
      </c>
      <c r="AF14" s="2">
        <v>10</v>
      </c>
      <c r="AG14" s="2">
        <f t="shared" si="25"/>
        <v>2196.2890625</v>
      </c>
      <c r="AH14" s="2">
        <v>-2.1563006385056269</v>
      </c>
      <c r="AI14" s="2">
        <f t="shared" si="26"/>
        <v>2205.078125</v>
      </c>
      <c r="AJ14" s="2">
        <v>3.5021945390683413</v>
      </c>
      <c r="AK14" s="2">
        <f t="shared" si="17"/>
        <v>2200.68359375</v>
      </c>
      <c r="AL14" s="2">
        <v>0.67320996918465426</v>
      </c>
      <c r="AM14" s="2">
        <f t="shared" si="18"/>
        <v>-1.4516430864012233</v>
      </c>
      <c r="AN14" s="2">
        <f t="shared" si="19"/>
        <v>2.3577122777248625</v>
      </c>
      <c r="AO14" s="2">
        <f t="shared" si="20"/>
        <v>8.7890625</v>
      </c>
      <c r="AQ14" s="66"/>
      <c r="AR14" s="3" t="s">
        <v>219</v>
      </c>
      <c r="AS14" s="26"/>
      <c r="AT14"/>
      <c r="AU14" s="60" t="s">
        <v>189</v>
      </c>
      <c r="AV14" s="60"/>
      <c r="AW14" s="60"/>
      <c r="AX14"/>
      <c r="AY14" s="2" t="s">
        <v>158</v>
      </c>
      <c r="AZ14" s="2">
        <f>(1+$BH$37)*$AR$3</f>
        <v>8.0427836620607334</v>
      </c>
      <c r="BA14" s="26" t="s">
        <v>10</v>
      </c>
      <c r="BB14"/>
      <c r="BC14" s="2" t="s">
        <v>158</v>
      </c>
      <c r="BD14" s="2">
        <f>(1+$BL$37)*$AR$3</f>
        <v>8.7298333798365242</v>
      </c>
      <c r="BE14" s="26" t="s">
        <v>10</v>
      </c>
      <c r="BF14"/>
      <c r="BG14" s="2" t="s">
        <v>190</v>
      </c>
      <c r="BH14" s="2">
        <f xml:space="preserve"> BH12*COS(BH4) - BH13*SIN(BH4)</f>
        <v>0.44798267469994624</v>
      </c>
      <c r="BI14" s="2"/>
      <c r="BJ14" s="2"/>
      <c r="BK14" s="2" t="s">
        <v>190</v>
      </c>
      <c r="BL14" s="2">
        <f xml:space="preserve"> BL12*COS(BL4) - BL13*SIN(BL4)</f>
        <v>0.60038342411356604</v>
      </c>
      <c r="BM14" s="2"/>
      <c r="BN14"/>
      <c r="BO14" s="2">
        <v>10</v>
      </c>
      <c r="BP14" s="2">
        <f t="shared" si="21"/>
        <v>0.21162798949670306</v>
      </c>
      <c r="BQ14" s="2">
        <v>-4.2509053191475132E-5</v>
      </c>
      <c r="BR14" s="2">
        <f t="shared" si="22"/>
        <v>0.21708896110157594</v>
      </c>
      <c r="BS14" s="2">
        <v>1.7013438925616436E-2</v>
      </c>
      <c r="BT14" s="2">
        <f t="shared" si="7"/>
        <v>0.21435847529913948</v>
      </c>
      <c r="BU14" s="2">
        <v>8.5480783936445343E-3</v>
      </c>
      <c r="BV14" s="2">
        <f t="shared" si="8"/>
        <v>-3.6337071912033481E-7</v>
      </c>
      <c r="BW14" s="2">
        <f t="shared" si="9"/>
        <v>1.4543220968165274E-4</v>
      </c>
      <c r="BX14" s="2">
        <f t="shared" si="10"/>
        <v>5.4609716048728829E-3</v>
      </c>
      <c r="BY14"/>
      <c r="BZ14" s="2">
        <v>10</v>
      </c>
      <c r="CA14" s="2">
        <f t="shared" si="23"/>
        <v>0.16247924505284711</v>
      </c>
      <c r="CB14" s="2">
        <v>-1.2253932345834495E-2</v>
      </c>
      <c r="CC14" s="2">
        <f t="shared" si="24"/>
        <v>0.16794021665771999</v>
      </c>
      <c r="CD14" s="2">
        <v>3.3213499307126332E-3</v>
      </c>
      <c r="CE14" s="2">
        <f t="shared" si="11"/>
        <v>0.16520973085528357</v>
      </c>
      <c r="CF14" s="2">
        <v>-4.3864204652343877E-3</v>
      </c>
      <c r="CG14" s="2">
        <f t="shared" si="12"/>
        <v>5.3750899621366061E-5</v>
      </c>
      <c r="CH14" s="2">
        <f t="shared" si="13"/>
        <v>-1.456883730828271E-5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6" t="s">
        <v>89</v>
      </c>
      <c r="G15" s="57"/>
      <c r="H15" s="57"/>
      <c r="J15" s="12" t="s">
        <v>136</v>
      </c>
      <c r="K15" s="6">
        <f xml:space="preserve"> $C$53 * C18 * 0.0037 * C19^0.28 * (C9*3.28084)^1.5 * (G7*3.28084)^0.43 * (0.01742 * C19^0.66 * (C10*C9)*3.28084 * (C9*3.28084)^1.3 * (G7*3.28084)^0.67 + 9.80665*3.28084 * 0.5*(K14/C18)*2.20462)^0.55 * 0.453592</f>
        <v>272.95141052886044</v>
      </c>
      <c r="L15" s="6" t="s">
        <v>7</v>
      </c>
      <c r="N15" s="6" t="s">
        <v>78</v>
      </c>
      <c r="O15" s="6">
        <f>$C$5*$C$49/O14</f>
        <v>0.99837033733980451</v>
      </c>
      <c r="U15" s="2">
        <v>11</v>
      </c>
      <c r="V15" s="2">
        <f t="shared" si="15"/>
        <v>2.05078125E-2</v>
      </c>
      <c r="W15" s="2">
        <f t="shared" si="0"/>
        <v>2.7123639708455036E-4</v>
      </c>
      <c r="X15" s="2">
        <f t="shared" si="16"/>
        <v>2.099609375E-2</v>
      </c>
      <c r="Y15" s="2">
        <f t="shared" si="1"/>
        <v>-2.1785490311728231E-4</v>
      </c>
      <c r="Z15" s="2">
        <f t="shared" si="3"/>
        <v>2.0751953125E-2</v>
      </c>
      <c r="AA15" s="2">
        <f t="shared" si="2"/>
        <v>2.6693085865052424E-5</v>
      </c>
      <c r="AB15" s="2">
        <f t="shared" si="4"/>
        <v>7.240136437105358E-9</v>
      </c>
      <c r="AC15" s="2">
        <f t="shared" si="5"/>
        <v>-5.8152196350322934E-9</v>
      </c>
      <c r="AD15" s="2">
        <f t="shared" si="6"/>
        <v>4.8828125E-4</v>
      </c>
      <c r="AF15" s="2">
        <v>11</v>
      </c>
      <c r="AG15" s="2">
        <f t="shared" si="25"/>
        <v>2196.2890625</v>
      </c>
      <c r="AH15" s="2">
        <v>-2.1563006385056269</v>
      </c>
      <c r="AI15" s="2">
        <f t="shared" si="26"/>
        <v>2200.68359375</v>
      </c>
      <c r="AJ15" s="2">
        <v>0.67320996918465426</v>
      </c>
      <c r="AK15" s="2">
        <f t="shared" si="17"/>
        <v>2198.486328125</v>
      </c>
      <c r="AL15" s="2">
        <v>-0.74148181009218206</v>
      </c>
      <c r="AM15" s="2">
        <f t="shared" si="18"/>
        <v>1.5988577005420801</v>
      </c>
      <c r="AN15" s="2">
        <f t="shared" si="19"/>
        <v>-0.49917294652313954</v>
      </c>
      <c r="AO15" s="2">
        <f t="shared" si="20"/>
        <v>4.39453125</v>
      </c>
      <c r="AQ15" s="66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46.150186545452769</v>
      </c>
      <c r="AW15" s="26" t="s">
        <v>104</v>
      </c>
      <c r="AX15"/>
      <c r="AY15" s="2" t="s">
        <v>163</v>
      </c>
      <c r="AZ15" s="2">
        <f>(1-$BH$38)*$AV$5*$AR$21</f>
        <v>57.744370654720434</v>
      </c>
      <c r="BA15" s="26" t="s">
        <v>10</v>
      </c>
      <c r="BB15"/>
      <c r="BC15" s="2" t="s">
        <v>163</v>
      </c>
      <c r="BD15" s="2">
        <f>(1-$BL$38)*$AV$5*$AR$22</f>
        <v>74.097549106731464</v>
      </c>
      <c r="BE15" s="26" t="s">
        <v>10</v>
      </c>
      <c r="BF15"/>
      <c r="BG15" s="2" t="s">
        <v>192</v>
      </c>
      <c r="BH15" s="2">
        <f xml:space="preserve"> BH12*SIN(BH4) + BH13*COS(BH4)</f>
        <v>0.12616094401199937</v>
      </c>
      <c r="BI15" s="2"/>
      <c r="BJ15" s="2"/>
      <c r="BK15" s="2" t="s">
        <v>192</v>
      </c>
      <c r="BL15" s="2">
        <f xml:space="preserve"> BL12*SIN(BL4) + BL13*COS(BL4)</f>
        <v>0.12441419619972333</v>
      </c>
      <c r="BM15" s="2"/>
      <c r="BN15"/>
      <c r="BO15" s="2">
        <v>11</v>
      </c>
      <c r="BP15" s="2">
        <f t="shared" si="21"/>
        <v>0.21162798949670306</v>
      </c>
      <c r="BQ15" s="2">
        <v>-4.2509053191475132E-5</v>
      </c>
      <c r="BR15" s="2">
        <f t="shared" si="22"/>
        <v>0.21435847529913948</v>
      </c>
      <c r="BS15" s="2">
        <v>8.5480783936445343E-3</v>
      </c>
      <c r="BT15" s="2">
        <f t="shared" si="7"/>
        <v>0.21299323239792128</v>
      </c>
      <c r="BU15" s="2">
        <v>4.2687166593983195E-3</v>
      </c>
      <c r="BV15" s="2">
        <f t="shared" si="8"/>
        <v>-1.8145910353369919E-7</v>
      </c>
      <c r="BW15" s="2">
        <f t="shared" si="9"/>
        <v>3.6489324644793249E-5</v>
      </c>
      <c r="BX15" s="2">
        <f t="shared" si="10"/>
        <v>2.7304858024364276E-3</v>
      </c>
      <c r="BY15"/>
      <c r="BZ15" s="2">
        <v>11</v>
      </c>
      <c r="CA15" s="2">
        <f t="shared" si="23"/>
        <v>0.16520973085528357</v>
      </c>
      <c r="CB15" s="2">
        <v>-4.3864204652343877E-3</v>
      </c>
      <c r="CC15" s="2">
        <f t="shared" si="24"/>
        <v>0.16794021665771999</v>
      </c>
      <c r="CD15" s="2">
        <v>3.3213499307126332E-3</v>
      </c>
      <c r="CE15" s="2">
        <f t="shared" si="11"/>
        <v>0.16657497375650177</v>
      </c>
      <c r="CF15" s="2">
        <v>-5.1302990712875224E-4</v>
      </c>
      <c r="CG15" s="2">
        <f t="shared" si="12"/>
        <v>2.2503648839068562E-6</v>
      </c>
      <c r="CH15" s="2">
        <f t="shared" si="13"/>
        <v>-1.7039518464955898E-6</v>
      </c>
      <c r="CI15" s="2">
        <f t="shared" si="14"/>
        <v>2.7304858024364276E-3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$C$53 * 0.2138 * K4</f>
        <v>57.410117504098068</v>
      </c>
      <c r="L16" s="6" t="s">
        <v>7</v>
      </c>
      <c r="O16" s="6">
        <f>O18/180*PI()</f>
        <v>5.709825717221384E-2</v>
      </c>
      <c r="U16" s="2">
        <v>12</v>
      </c>
      <c r="V16" s="2">
        <f t="shared" si="15"/>
        <v>2.0751953125E-2</v>
      </c>
      <c r="W16" s="2">
        <f t="shared" si="0"/>
        <v>2.6693085865052424E-5</v>
      </c>
      <c r="X16" s="2">
        <f t="shared" si="16"/>
        <v>2.099609375E-2</v>
      </c>
      <c r="Y16" s="2">
        <f t="shared" si="1"/>
        <v>-2.1785490311728231E-4</v>
      </c>
      <c r="Z16" s="2">
        <f t="shared" si="3"/>
        <v>2.08740234375E-2</v>
      </c>
      <c r="AA16" s="2">
        <f t="shared" si="2"/>
        <v>-9.5580324096511404E-5</v>
      </c>
      <c r="AB16" s="2">
        <f t="shared" si="4"/>
        <v>-2.5513337981177183E-9</v>
      </c>
      <c r="AC16" s="2">
        <f t="shared" si="5"/>
        <v>2.0822642245963937E-8</v>
      </c>
      <c r="AD16" s="2">
        <f t="shared" si="6"/>
        <v>2.44140625E-4</v>
      </c>
      <c r="AF16" s="2">
        <v>12</v>
      </c>
      <c r="AG16" s="2">
        <f t="shared" si="25"/>
        <v>2198.486328125</v>
      </c>
      <c r="AH16" s="2">
        <v>-0.74148181009218206</v>
      </c>
      <c r="AI16" s="2">
        <f t="shared" si="26"/>
        <v>2200.68359375</v>
      </c>
      <c r="AJ16" s="2">
        <v>0.67320996918465426</v>
      </c>
      <c r="AK16" s="2">
        <f t="shared" si="17"/>
        <v>2199.5849609375</v>
      </c>
      <c r="AL16" s="2">
        <v>-3.4125103122505607E-2</v>
      </c>
      <c r="AM16" s="2">
        <f t="shared" si="18"/>
        <v>2.530314323285783E-2</v>
      </c>
      <c r="AN16" s="2">
        <f t="shared" si="19"/>
        <v>-2.297335962152515E-2</v>
      </c>
      <c r="AO16" s="2">
        <f t="shared" si="20"/>
        <v>2.197265625</v>
      </c>
      <c r="AQ16" s="66"/>
      <c r="AR16" s="3" t="s">
        <v>219</v>
      </c>
      <c r="AS16" s="26"/>
      <c r="AT16"/>
      <c r="AU16" s="2" t="s">
        <v>193</v>
      </c>
      <c r="AV16" s="2">
        <f>AV15/AV12</f>
        <v>0.54997469086669493</v>
      </c>
      <c r="AW16" s="26"/>
      <c r="AX16"/>
      <c r="AY16" s="2" t="s">
        <v>167</v>
      </c>
      <c r="AZ16" s="2">
        <f>SQRT(AZ14^2 + AZ15^2)</f>
        <v>58.301789949747253</v>
      </c>
      <c r="BA16" s="26" t="s">
        <v>10</v>
      </c>
      <c r="BB16"/>
      <c r="BC16" s="2" t="s">
        <v>167</v>
      </c>
      <c r="BD16" s="2">
        <f>SQRT(BD14^2 + BD15^2)</f>
        <v>74.610031325983158</v>
      </c>
      <c r="BE16" s="26" t="s">
        <v>10</v>
      </c>
      <c r="BF16"/>
      <c r="BG16" s="2" t="s">
        <v>38</v>
      </c>
      <c r="BH16" s="2">
        <f xml:space="preserve"> 4*BH11*SIN(BH4)*SIN(BH4) / (BH8*BH14)</f>
        <v>1.883836293557166</v>
      </c>
      <c r="BI16" s="2"/>
      <c r="BJ16" s="2"/>
      <c r="BK16" s="2" t="s">
        <v>38</v>
      </c>
      <c r="BL16" s="2">
        <f xml:space="preserve"> 4*BL11*SIN(BL4)*SIN(BL4) / (BL8*BL14)</f>
        <v>1.5728128812773974</v>
      </c>
      <c r="BM16" s="2"/>
      <c r="BN16"/>
      <c r="BO16" s="2">
        <v>12</v>
      </c>
      <c r="BP16" s="2">
        <f t="shared" si="21"/>
        <v>0.21162798949670306</v>
      </c>
      <c r="BQ16" s="2">
        <v>-4.2509053191475132E-5</v>
      </c>
      <c r="BR16" s="2">
        <f t="shared" si="22"/>
        <v>0.21299323239792128</v>
      </c>
      <c r="BS16" s="2">
        <v>4.2687166593983195E-3</v>
      </c>
      <c r="BT16" s="2">
        <f t="shared" si="7"/>
        <v>0.21231061094731218</v>
      </c>
      <c r="BU16" s="2">
        <v>2.1171224340515993E-3</v>
      </c>
      <c r="BV16" s="2">
        <f t="shared" si="8"/>
        <v>-8.9996870161964743E-8</v>
      </c>
      <c r="BW16" s="2">
        <f t="shared" si="9"/>
        <v>9.0373958042219816E-6</v>
      </c>
      <c r="BX16" s="2">
        <f t="shared" si="10"/>
        <v>1.3652429012182277E-3</v>
      </c>
      <c r="BY16"/>
      <c r="BZ16" s="2">
        <v>12</v>
      </c>
      <c r="CA16" s="2">
        <f t="shared" si="23"/>
        <v>0.16657497375650177</v>
      </c>
      <c r="CB16" s="2">
        <v>-5.1302990712875224E-4</v>
      </c>
      <c r="CC16" s="2">
        <f t="shared" si="24"/>
        <v>0.16794021665771999</v>
      </c>
      <c r="CD16" s="2">
        <v>3.3213499307126332E-3</v>
      </c>
      <c r="CE16" s="2">
        <f t="shared" si="11"/>
        <v>0.16725759520711087</v>
      </c>
      <c r="CF16" s="2">
        <v>1.408980157924733E-3</v>
      </c>
      <c r="CG16" s="2">
        <f t="shared" si="12"/>
        <v>-7.2284895956638047E-7</v>
      </c>
      <c r="CH16" s="2">
        <f t="shared" si="13"/>
        <v>4.679716149898787E-6</v>
      </c>
      <c r="CI16" s="2">
        <f t="shared" si="14"/>
        <v>1.3652429012182277E-3</v>
      </c>
    </row>
    <row r="17" spans="2:87" x14ac:dyDescent="0.2">
      <c r="B17" s="55" t="s">
        <v>115</v>
      </c>
      <c r="C17" s="55"/>
      <c r="D17" s="55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$C$53 * 0.1149 * K4</f>
        <v>30.853239014129411</v>
      </c>
      <c r="L17" s="6" t="s">
        <v>7</v>
      </c>
      <c r="N17" s="56" t="s">
        <v>27</v>
      </c>
      <c r="O17" s="58"/>
      <c r="P17" s="58"/>
      <c r="U17" s="2">
        <v>13</v>
      </c>
      <c r="V17" s="2">
        <f t="shared" si="15"/>
        <v>2.0751953125E-2</v>
      </c>
      <c r="W17" s="2">
        <f t="shared" si="0"/>
        <v>2.6693085865052424E-5</v>
      </c>
      <c r="X17" s="2">
        <f t="shared" si="16"/>
        <v>2.08740234375E-2</v>
      </c>
      <c r="Y17" s="2">
        <f t="shared" si="1"/>
        <v>-9.5580324096511404E-5</v>
      </c>
      <c r="Z17" s="2">
        <f t="shared" si="3"/>
        <v>2.081298828125E-2</v>
      </c>
      <c r="AA17" s="2">
        <f t="shared" si="2"/>
        <v>-3.4443472959402865E-5</v>
      </c>
      <c r="AB17" s="2">
        <f t="shared" si="4"/>
        <v>-9.1940258119595196E-10</v>
      </c>
      <c r="AC17" s="2">
        <f t="shared" si="5"/>
        <v>3.2921183084691527E-9</v>
      </c>
      <c r="AD17" s="2">
        <f t="shared" si="6"/>
        <v>1.220703125E-4</v>
      </c>
      <c r="AF17" s="2">
        <v>13</v>
      </c>
      <c r="AG17" s="2">
        <f t="shared" si="25"/>
        <v>2199.5849609375</v>
      </c>
      <c r="AH17" s="2">
        <v>-3.4125103122505607E-2</v>
      </c>
      <c r="AI17" s="2">
        <f t="shared" si="26"/>
        <v>2200.68359375</v>
      </c>
      <c r="AJ17" s="2">
        <v>0.67320996918465426</v>
      </c>
      <c r="AK17" s="2">
        <f t="shared" si="17"/>
        <v>2200.13427734375</v>
      </c>
      <c r="AL17" s="2">
        <v>0.31955027413096104</v>
      </c>
      <c r="AM17" s="2">
        <f t="shared" si="18"/>
        <v>-1.0904686057543982E-2</v>
      </c>
      <c r="AN17" s="2">
        <f t="shared" si="19"/>
        <v>0.21512443020065211</v>
      </c>
      <c r="AO17" s="2">
        <f t="shared" si="20"/>
        <v>1.0986328125</v>
      </c>
      <c r="AQ17" s="66"/>
      <c r="AR17" s="3" t="s">
        <v>219</v>
      </c>
      <c r="AS17" s="26"/>
      <c r="AT17"/>
      <c r="AU17" s="2" t="s">
        <v>190</v>
      </c>
      <c r="AV17" s="2">
        <f>AV10/($AR$45*AV6^2*AR9^4)</f>
        <v>3.6197989210548086E-2</v>
      </c>
      <c r="AW17" s="2"/>
      <c r="AX17"/>
      <c r="AY17" s="2" t="s">
        <v>170</v>
      </c>
      <c r="AZ17" s="37">
        <f>$AR$45*AZ16*$AR$29/$AR$46</f>
        <v>940898.85925418406</v>
      </c>
      <c r="BA17" s="26"/>
      <c r="BB17"/>
      <c r="BC17" s="2" t="s">
        <v>170</v>
      </c>
      <c r="BD17" s="37">
        <f>$AR$45*BD16*$AR$30/$AR$46</f>
        <v>1167451.6843766465</v>
      </c>
      <c r="BE17" s="26"/>
      <c r="BF17"/>
      <c r="BG17" s="2" t="s">
        <v>194</v>
      </c>
      <c r="BH17" s="2">
        <f xml:space="preserve"> 4*BH11*SIN(BH4)*COS(BH4) / (BH8*BH15)</f>
        <v>31.133350605476984</v>
      </c>
      <c r="BI17" s="2"/>
      <c r="BJ17" s="2"/>
      <c r="BK17" s="2" t="s">
        <v>194</v>
      </c>
      <c r="BL17" s="2">
        <f xml:space="preserve"> 4*BL11*SIN(BL4)*COS(BL4) / (BL8*BL15)</f>
        <v>45.092074944607759</v>
      </c>
      <c r="BM17" s="2"/>
      <c r="BN17"/>
      <c r="BO17" s="2">
        <v>13</v>
      </c>
      <c r="BP17" s="2">
        <f t="shared" si="21"/>
        <v>0.21162798949670306</v>
      </c>
      <c r="BQ17" s="2">
        <v>-4.2509053191475132E-5</v>
      </c>
      <c r="BR17" s="2">
        <f t="shared" si="22"/>
        <v>0.21231061094731218</v>
      </c>
      <c r="BS17" s="2">
        <v>2.1171224340515993E-3</v>
      </c>
      <c r="BT17" s="2">
        <f t="shared" si="7"/>
        <v>0.21196930022200761</v>
      </c>
      <c r="BU17" s="2">
        <v>1.0383158539563619E-3</v>
      </c>
      <c r="BV17" s="2">
        <f t="shared" si="8"/>
        <v>-4.4137823865382918E-8</v>
      </c>
      <c r="BW17" s="2">
        <f t="shared" si="9"/>
        <v>2.1982417880424579E-6</v>
      </c>
      <c r="BX17" s="2">
        <f t="shared" si="10"/>
        <v>6.8262145060912771E-4</v>
      </c>
      <c r="BY17"/>
      <c r="BZ17" s="2">
        <v>13</v>
      </c>
      <c r="CA17" s="2">
        <f t="shared" si="23"/>
        <v>0.16657497375650177</v>
      </c>
      <c r="CB17" s="2">
        <v>-5.1302990712875224E-4</v>
      </c>
      <c r="CC17" s="2">
        <f t="shared" si="24"/>
        <v>0.16725759520711087</v>
      </c>
      <c r="CD17" s="2">
        <v>1.408980157924733E-3</v>
      </c>
      <c r="CE17" s="2">
        <f t="shared" si="11"/>
        <v>0.16691628448180632</v>
      </c>
      <c r="CF17" s="2">
        <v>4.4918711674243883E-4</v>
      </c>
      <c r="CG17" s="2">
        <f t="shared" si="12"/>
        <v>-2.3044642478580538E-7</v>
      </c>
      <c r="CH17" s="2">
        <f t="shared" si="13"/>
        <v>6.3289573468551689E-7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G17/$C$48</f>
        <v>0.56652610777154422</v>
      </c>
      <c r="H18" s="6" t="s">
        <v>131</v>
      </c>
      <c r="J18" s="14" t="s">
        <v>63</v>
      </c>
      <c r="K18" s="6">
        <f xml:space="preserve"> $C$54 * (14.86 * ($C$5*2.20462)^0.144 * ($C$25/(PI()*$C$26))^0.778 * ($C$25*3.28084)^0.383 * $C$24^0.455 * 0.453592)</f>
        <v>131.79915727476529</v>
      </c>
      <c r="L18" s="6" t="s">
        <v>7</v>
      </c>
      <c r="N18" s="6" t="s">
        <v>28</v>
      </c>
      <c r="O18" s="6">
        <f xml:space="preserve"> ACOS(O15)/PI()*180</f>
        <v>3.2714891535204353</v>
      </c>
      <c r="P18" s="6" t="s">
        <v>43</v>
      </c>
      <c r="U18" s="2">
        <v>14</v>
      </c>
      <c r="V18" s="2">
        <f t="shared" si="15"/>
        <v>2.0751953125E-2</v>
      </c>
      <c r="W18" s="2">
        <f t="shared" si="0"/>
        <v>2.6693085865052424E-5</v>
      </c>
      <c r="X18" s="2">
        <f t="shared" si="16"/>
        <v>2.081298828125E-2</v>
      </c>
      <c r="Y18" s="2">
        <f t="shared" si="1"/>
        <v>-3.4443472959402865E-5</v>
      </c>
      <c r="Z18" s="2">
        <f t="shared" si="3"/>
        <v>2.0782470703125E-2</v>
      </c>
      <c r="AA18" s="2">
        <f t="shared" si="2"/>
        <v>-3.8751570051107076E-6</v>
      </c>
      <c r="AB18" s="2">
        <f t="shared" si="4"/>
        <v>-1.0343989867797951E-10</v>
      </c>
      <c r="AC18" s="2">
        <f t="shared" si="5"/>
        <v>1.3347386551897124E-10</v>
      </c>
      <c r="AD18" s="2">
        <f t="shared" si="6"/>
        <v>6.103515625E-5</v>
      </c>
      <c r="AF18" s="2">
        <v>14</v>
      </c>
      <c r="AG18" s="2">
        <f t="shared" si="25"/>
        <v>2199.5849609375</v>
      </c>
      <c r="AH18" s="2">
        <v>-3.4125103122505607E-2</v>
      </c>
      <c r="AI18" s="2">
        <f t="shared" si="26"/>
        <v>2200.13427734375</v>
      </c>
      <c r="AJ18" s="2">
        <v>0.31955027413096104</v>
      </c>
      <c r="AK18" s="2">
        <f t="shared" si="17"/>
        <v>2199.859619140625</v>
      </c>
      <c r="AL18" s="2">
        <v>0.14271796375305712</v>
      </c>
      <c r="AM18" s="2">
        <f t="shared" si="18"/>
        <v>-4.8702652305070912E-3</v>
      </c>
      <c r="AN18" s="2">
        <f t="shared" si="19"/>
        <v>4.5605564440701962E-2</v>
      </c>
      <c r="AO18" s="2">
        <f t="shared" si="20"/>
        <v>0.54931640625</v>
      </c>
      <c r="AQ18" s="66"/>
      <c r="AR18" s="3" t="s">
        <v>219</v>
      </c>
      <c r="AT18"/>
      <c r="AU18" s="2" t="s">
        <v>192</v>
      </c>
      <c r="AV18" s="2">
        <f>AV11/($AR$45*AV6^2*AR9^5)</f>
        <v>1.8960869911587876E-3</v>
      </c>
      <c r="AW18" s="26"/>
      <c r="AX18"/>
      <c r="AY18" s="2" t="s">
        <v>174</v>
      </c>
      <c r="AZ18" s="33">
        <f xml:space="preserve"> $BH$27 * PI() * $AR$45 * AZ16^2 *$BH$33 * $AR$21 * AZ13</f>
        <v>401.88101372547118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627.49978811317771</v>
      </c>
      <c r="BE18" s="26" t="s">
        <v>22</v>
      </c>
      <c r="BF18"/>
      <c r="BG18" s="2" t="s">
        <v>45</v>
      </c>
      <c r="BH18" s="2">
        <f>1/(BH16-1)</f>
        <v>1.1314312472678749</v>
      </c>
      <c r="BI18" s="2"/>
      <c r="BJ18" s="2"/>
      <c r="BK18" s="2" t="s">
        <v>45</v>
      </c>
      <c r="BL18" s="2">
        <f>1/(BL16-1)</f>
        <v>1.7457707965120424</v>
      </c>
      <c r="BM18" s="2"/>
      <c r="BN18"/>
      <c r="BO18" s="2">
        <v>14</v>
      </c>
      <c r="BP18" s="2">
        <f t="shared" si="21"/>
        <v>0.21162798949670306</v>
      </c>
      <c r="BQ18" s="2">
        <v>-4.2509053191475132E-5</v>
      </c>
      <c r="BR18" s="2">
        <f t="shared" si="22"/>
        <v>0.21196930022200761</v>
      </c>
      <c r="BS18" s="2">
        <v>1.0383158539563619E-3</v>
      </c>
      <c r="BT18" s="2">
        <f t="shared" si="7"/>
        <v>0.21179864485935535</v>
      </c>
      <c r="BU18" s="2">
        <v>4.9815625775123662E-4</v>
      </c>
      <c r="BV18" s="2">
        <f t="shared" si="8"/>
        <v>-2.1176150858413515E-8</v>
      </c>
      <c r="BW18" s="2">
        <f t="shared" si="9"/>
        <v>5.1724354017068081E-7</v>
      </c>
      <c r="BX18" s="2">
        <f t="shared" si="10"/>
        <v>3.4131072530454998E-4</v>
      </c>
      <c r="BY18"/>
      <c r="BZ18" s="2">
        <v>14</v>
      </c>
      <c r="CA18" s="2">
        <f t="shared" si="23"/>
        <v>0.16657497375650177</v>
      </c>
      <c r="CB18" s="2">
        <v>-5.1302990712875224E-4</v>
      </c>
      <c r="CC18" s="2">
        <f t="shared" si="24"/>
        <v>0.16691628448180632</v>
      </c>
      <c r="CD18" s="2">
        <v>4.4918711674243883E-4</v>
      </c>
      <c r="CE18" s="2">
        <f t="shared" si="11"/>
        <v>0.16674562911915403</v>
      </c>
      <c r="CF18" s="2">
        <v>-3.1617521985737029E-5</v>
      </c>
      <c r="CG18" s="2">
        <f t="shared" si="12"/>
        <v>1.6220734367983949E-8</v>
      </c>
      <c r="CH18" s="2">
        <f t="shared" si="13"/>
        <v>-1.4202183539313885E-8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52.76024491437343</v>
      </c>
      <c r="H19" s="6" t="s">
        <v>104</v>
      </c>
      <c r="J19" s="14" t="s">
        <v>64</v>
      </c>
      <c r="K19" s="6">
        <f xml:space="preserve"> $C$54 * C30 * $C$5</f>
        <v>24.635945006483237</v>
      </c>
      <c r="L19" s="6" t="s">
        <v>7</v>
      </c>
      <c r="N19" s="6" t="s">
        <v>21</v>
      </c>
      <c r="O19" s="6">
        <f xml:space="preserve"> O14 / $C$18</f>
        <v>5398.2147045978227</v>
      </c>
      <c r="P19" s="6" t="s">
        <v>22</v>
      </c>
      <c r="U19" s="2">
        <v>15</v>
      </c>
      <c r="V19" s="2">
        <f t="shared" si="15"/>
        <v>2.0751953125E-2</v>
      </c>
      <c r="W19" s="2">
        <f t="shared" si="0"/>
        <v>2.6693085865052424E-5</v>
      </c>
      <c r="X19" s="2">
        <f t="shared" si="16"/>
        <v>2.0782470703125E-2</v>
      </c>
      <c r="Y19" s="2">
        <f t="shared" si="1"/>
        <v>-3.8751570051107076E-6</v>
      </c>
      <c r="Z19" s="2">
        <f t="shared" si="3"/>
        <v>2.07672119140625E-2</v>
      </c>
      <c r="AA19" s="2">
        <f t="shared" si="2"/>
        <v>1.1408973565860819E-5</v>
      </c>
      <c r="AB19" s="2">
        <f t="shared" si="4"/>
        <v>3.0454071102563621E-10</v>
      </c>
      <c r="AC19" s="2">
        <f t="shared" si="5"/>
        <v>-4.4211563834868441E-11</v>
      </c>
      <c r="AD19" s="2">
        <f t="shared" si="6"/>
        <v>3.0517578125E-5</v>
      </c>
      <c r="AF19" s="2">
        <v>15</v>
      </c>
      <c r="AG19" s="2">
        <f t="shared" si="25"/>
        <v>2199.5849609375</v>
      </c>
      <c r="AH19" s="2">
        <v>-3.4125103122505607E-2</v>
      </c>
      <c r="AI19" s="2">
        <f t="shared" si="26"/>
        <v>2199.859619140625</v>
      </c>
      <c r="AJ19" s="2">
        <v>0.14271796375305712</v>
      </c>
      <c r="AK19" s="2">
        <f t="shared" si="17"/>
        <v>2199.7222900390625</v>
      </c>
      <c r="AL19" s="2">
        <v>5.4296064980917436E-2</v>
      </c>
      <c r="AM19" s="2">
        <f t="shared" si="18"/>
        <v>-1.852858816620073E-3</v>
      </c>
      <c r="AN19" s="2">
        <f t="shared" si="19"/>
        <v>7.7490238338802087E-3</v>
      </c>
      <c r="AO19" s="2">
        <f t="shared" si="20"/>
        <v>0.274658203125</v>
      </c>
      <c r="AQ19" s="66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1.1913465923983244E-2</v>
      </c>
      <c r="AW19" s="26"/>
      <c r="AX19"/>
      <c r="AY19" s="2" t="s">
        <v>178</v>
      </c>
      <c r="AZ19" s="33">
        <f xml:space="preserve"> $BH$27 * PI() * $AR$45 * AZ16^2 * $BH$34 * $AR$21^2 * AZ13</f>
        <v>110.31122493345579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194.48530170367101</v>
      </c>
      <c r="BE19" s="26" t="s">
        <v>179</v>
      </c>
      <c r="BF19"/>
      <c r="BG19" s="2" t="s">
        <v>197</v>
      </c>
      <c r="BH19" s="2">
        <f>1/(BH17+1)</f>
        <v>3.1120315222576089E-2</v>
      </c>
      <c r="BI19" s="2"/>
      <c r="BJ19" s="2"/>
      <c r="BK19" s="2" t="s">
        <v>197</v>
      </c>
      <c r="BL19" s="2">
        <f>1/(BL17+1)</f>
        <v>2.1695703680117973E-2</v>
      </c>
      <c r="BM19" s="2"/>
      <c r="BN19"/>
      <c r="BO19" s="2">
        <v>15</v>
      </c>
      <c r="BP19" s="2">
        <f t="shared" si="21"/>
        <v>0.21162798949670306</v>
      </c>
      <c r="BQ19" s="2">
        <v>-4.2509053191475132E-5</v>
      </c>
      <c r="BR19" s="2">
        <f t="shared" si="22"/>
        <v>0.21179864485935535</v>
      </c>
      <c r="BS19" s="2">
        <v>4.9815625775123662E-4</v>
      </c>
      <c r="BT19" s="2">
        <f t="shared" si="7"/>
        <v>0.21171331717802921</v>
      </c>
      <c r="BU19" s="2">
        <v>2.278868876382234E-4</v>
      </c>
      <c r="BV19" s="2">
        <f t="shared" si="8"/>
        <v>-9.6872558282529558E-9</v>
      </c>
      <c r="BW19" s="2">
        <f t="shared" si="9"/>
        <v>1.1352327913643391E-7</v>
      </c>
      <c r="BX19" s="2">
        <f t="shared" si="10"/>
        <v>1.7065536265228887E-4</v>
      </c>
      <c r="BY19"/>
      <c r="BZ19" s="2">
        <v>15</v>
      </c>
      <c r="CA19" s="2">
        <f t="shared" si="23"/>
        <v>0.16674562911915403</v>
      </c>
      <c r="CB19" s="2">
        <v>-3.1617521985737029E-5</v>
      </c>
      <c r="CC19" s="2">
        <f t="shared" si="24"/>
        <v>0.16691628448180632</v>
      </c>
      <c r="CD19" s="2">
        <v>4.4918711674243883E-4</v>
      </c>
      <c r="CE19" s="2">
        <f t="shared" si="11"/>
        <v>0.16683095680048016</v>
      </c>
      <c r="CF19" s="2">
        <v>2.0886065598825498E-4</v>
      </c>
      <c r="CG19" s="2">
        <f t="shared" si="12"/>
        <v>-6.6036563826641104E-9</v>
      </c>
      <c r="CH19" s="2">
        <f t="shared" si="13"/>
        <v>9.3817515864298643E-8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211.04097965749372</v>
      </c>
      <c r="H20" s="43" t="s">
        <v>104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2.07672119140625E-2</v>
      </c>
      <c r="W20" s="2">
        <f t="shared" si="0"/>
        <v>1.1408973565860819E-5</v>
      </c>
      <c r="X20" s="2">
        <f t="shared" si="16"/>
        <v>2.0782470703125E-2</v>
      </c>
      <c r="Y20" s="2">
        <f t="shared" si="1"/>
        <v>-3.8751570051107076E-6</v>
      </c>
      <c r="Z20" s="2">
        <f t="shared" si="3"/>
        <v>2.077484130859375E-2</v>
      </c>
      <c r="AA20" s="2">
        <f t="shared" si="2"/>
        <v>3.7669105642998413E-6</v>
      </c>
      <c r="AB20" s="2">
        <f t="shared" si="4"/>
        <v>4.2976583053058752E-11</v>
      </c>
      <c r="AC20" s="2">
        <f t="shared" si="5"/>
        <v>-1.459736986087206E-11</v>
      </c>
      <c r="AD20" s="2">
        <f t="shared" si="6"/>
        <v>1.52587890625E-5</v>
      </c>
      <c r="AF20" s="2">
        <v>16</v>
      </c>
      <c r="AG20" s="2">
        <f t="shared" si="25"/>
        <v>2199.5849609375</v>
      </c>
      <c r="AH20" s="2">
        <v>-3.4125103122505607E-2</v>
      </c>
      <c r="AI20" s="2">
        <f t="shared" si="26"/>
        <v>2199.7222900390625</v>
      </c>
      <c r="AJ20" s="2">
        <v>5.4296064980917436E-2</v>
      </c>
      <c r="AK20" s="2">
        <f t="shared" si="17"/>
        <v>2199.6536254882812</v>
      </c>
      <c r="AL20" s="2">
        <v>1.0092227643781371E-2</v>
      </c>
      <c r="AM20" s="2">
        <f t="shared" si="18"/>
        <v>-3.4439830907984103E-4</v>
      </c>
      <c r="AN20" s="2">
        <f t="shared" si="19"/>
        <v>5.4796824794896455E-4</v>
      </c>
      <c r="AO20" s="2">
        <f t="shared" si="20"/>
        <v>0.1373291015625</v>
      </c>
      <c r="AQ20" s="66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0.16314971817374341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4.5094475792373245E-9</v>
      </c>
      <c r="BI20" s="40"/>
      <c r="BJ20" s="2"/>
      <c r="BK20" s="7" t="s">
        <v>199</v>
      </c>
      <c r="BL20" s="40">
        <f>SIN(BL4)/(1+BL18) - $AR$3*COS(BL4)/($AV$5*$AR$20*(1-BL19))</f>
        <v>-5.9246087896758226E-10</v>
      </c>
      <c r="BM20" s="40"/>
      <c r="BN20"/>
      <c r="BO20" s="2">
        <v>16</v>
      </c>
      <c r="BP20" s="2">
        <f t="shared" si="21"/>
        <v>0.21162798949670306</v>
      </c>
      <c r="BQ20" s="2">
        <v>-4.2509053191475132E-5</v>
      </c>
      <c r="BR20" s="2">
        <f t="shared" si="22"/>
        <v>0.21171331717802921</v>
      </c>
      <c r="BS20" s="2">
        <v>2.278868876382234E-4</v>
      </c>
      <c r="BT20" s="2">
        <f t="shared" si="7"/>
        <v>0.21167065333736612</v>
      </c>
      <c r="BU20" s="2">
        <v>9.2704747452779235E-5</v>
      </c>
      <c r="BV20" s="2">
        <f t="shared" si="8"/>
        <v>-3.9407910405724612E-9</v>
      </c>
      <c r="BW20" s="2">
        <f t="shared" si="9"/>
        <v>2.112619636630138E-8</v>
      </c>
      <c r="BX20" s="2">
        <f t="shared" si="10"/>
        <v>8.5327681326158311E-5</v>
      </c>
      <c r="BY20"/>
      <c r="BZ20" s="2">
        <v>16</v>
      </c>
      <c r="CA20" s="2">
        <f t="shared" si="23"/>
        <v>0.16674562911915403</v>
      </c>
      <c r="CB20" s="2">
        <v>-3.1617521985737029E-5</v>
      </c>
      <c r="CC20" s="2">
        <f t="shared" si="24"/>
        <v>0.16683095680048016</v>
      </c>
      <c r="CD20" s="2">
        <v>2.0886065598825498E-4</v>
      </c>
      <c r="CE20" s="2">
        <f t="shared" si="11"/>
        <v>0.16678829295981709</v>
      </c>
      <c r="CF20" s="2">
        <v>8.8640545348309119E-5</v>
      </c>
      <c r="CG20" s="2">
        <f t="shared" si="12"/>
        <v>-2.8025943913778838E-9</v>
      </c>
      <c r="CH20" s="2">
        <f t="shared" si="13"/>
        <v>1.8513522448604507E-8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0.26482595703992157</v>
      </c>
      <c r="U21" s="2">
        <v>17</v>
      </c>
      <c r="V21" s="2">
        <f t="shared" si="15"/>
        <v>2.077484130859375E-2</v>
      </c>
      <c r="W21" s="2">
        <f t="shared" si="0"/>
        <v>3.7669105642998413E-6</v>
      </c>
      <c r="X21" s="2">
        <f t="shared" si="16"/>
        <v>2.0782470703125E-2</v>
      </c>
      <c r="Y21" s="2">
        <f t="shared" si="1"/>
        <v>-3.8751570051107076E-6</v>
      </c>
      <c r="Z21" s="2">
        <f t="shared" si="3"/>
        <v>2.0778656005859375E-2</v>
      </c>
      <c r="AA21" s="2">
        <f t="shared" si="2"/>
        <v>-5.4122649428139935E-8</v>
      </c>
      <c r="AB21" s="2">
        <f t="shared" si="4"/>
        <v>-2.0387517989875708E-13</v>
      </c>
      <c r="AC21" s="2">
        <f t="shared" si="5"/>
        <v>2.0973376406660751E-13</v>
      </c>
      <c r="AD21" s="2">
        <f t="shared" si="6"/>
        <v>7.62939453125E-6</v>
      </c>
      <c r="AF21" s="2">
        <v>17</v>
      </c>
      <c r="AG21" s="2">
        <f t="shared" si="25"/>
        <v>2199.5849609375</v>
      </c>
      <c r="AH21" s="2">
        <v>-3.4125103122505607E-2</v>
      </c>
      <c r="AI21" s="2">
        <f t="shared" si="26"/>
        <v>2199.6536254882812</v>
      </c>
      <c r="AJ21" s="2">
        <v>1.0092227643781371E-2</v>
      </c>
      <c r="AK21" s="2">
        <f t="shared" si="17"/>
        <v>2199.6192932128906</v>
      </c>
      <c r="AL21" s="2">
        <v>-1.2016460625318359E-2</v>
      </c>
      <c r="AM21" s="2">
        <f t="shared" si="18"/>
        <v>4.1006295800651721E-4</v>
      </c>
      <c r="AN21" s="2">
        <f t="shared" si="19"/>
        <v>-1.2127285610324832E-4</v>
      </c>
      <c r="AO21" s="2">
        <f t="shared" si="20"/>
        <v>6.866455078125E-2</v>
      </c>
      <c r="AQ21" s="66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2" t="s">
        <v>200</v>
      </c>
      <c r="AZ21" s="62"/>
      <c r="BA21" s="62"/>
      <c r="BB21"/>
      <c r="BC21" s="62" t="s">
        <v>201</v>
      </c>
      <c r="BD21" s="62"/>
      <c r="BE21" s="62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0.21162798949670306</v>
      </c>
      <c r="BQ21" s="2">
        <v>-4.2509053191475132E-5</v>
      </c>
      <c r="BR21" s="2">
        <f t="shared" si="22"/>
        <v>0.21167065333736612</v>
      </c>
      <c r="BS21" s="2">
        <v>9.2704747452779235E-5</v>
      </c>
      <c r="BT21" s="2">
        <f t="shared" si="7"/>
        <v>0.21164932141703457</v>
      </c>
      <c r="BU21" s="2">
        <v>2.5101805800023524E-5</v>
      </c>
      <c r="BV21" s="2">
        <f t="shared" si="8"/>
        <v>-1.067053997955279E-9</v>
      </c>
      <c r="BW21" s="2">
        <f t="shared" si="9"/>
        <v>2.32705656729989E-9</v>
      </c>
      <c r="BX21" s="2">
        <f t="shared" si="10"/>
        <v>4.2663840663065278E-5</v>
      </c>
      <c r="BY21"/>
      <c r="BZ21" s="2">
        <v>17</v>
      </c>
      <c r="CA21" s="2">
        <f t="shared" si="23"/>
        <v>0.16674562911915403</v>
      </c>
      <c r="CB21" s="2">
        <v>-3.1617521985737029E-5</v>
      </c>
      <c r="CC21" s="2">
        <f t="shared" si="24"/>
        <v>0.16678829295981709</v>
      </c>
      <c r="CD21" s="2">
        <v>8.8640545348309119E-5</v>
      </c>
      <c r="CE21" s="2">
        <f t="shared" si="11"/>
        <v>0.16676696103948557</v>
      </c>
      <c r="CF21" s="2">
        <v>2.8516257981399395E-5</v>
      </c>
      <c r="CG21" s="2">
        <f t="shared" si="12"/>
        <v>-9.016134136778444E-10</v>
      </c>
      <c r="CH21" s="2">
        <f t="shared" si="13"/>
        <v>2.5276966587643149E-9</v>
      </c>
      <c r="CI21" s="2">
        <f t="shared" si="14"/>
        <v>4.2663840663065278E-5</v>
      </c>
    </row>
    <row r="22" spans="2:87" x14ac:dyDescent="0.2">
      <c r="F22" s="56" t="s">
        <v>84</v>
      </c>
      <c r="G22" s="57"/>
      <c r="H22" s="57"/>
      <c r="J22" s="14" t="s">
        <v>117</v>
      </c>
      <c r="K22" s="6">
        <f>$C$54*(0.14*$G$13*1000/745.7)*0.453592</f>
        <v>22.867043281691483</v>
      </c>
      <c r="L22" s="6" t="s">
        <v>7</v>
      </c>
      <c r="N22" s="6" t="s">
        <v>32</v>
      </c>
      <c r="O22" s="6">
        <f xml:space="preserve"> O19 / ($C$46 * PI() * $C$9^2 * O20^2 * $C$9^2)</f>
        <v>2.996974061257996E-3</v>
      </c>
      <c r="U22" s="2">
        <v>18</v>
      </c>
      <c r="V22" s="2">
        <f t="shared" si="15"/>
        <v>2.077484130859375E-2</v>
      </c>
      <c r="W22" s="2">
        <f t="shared" si="0"/>
        <v>3.7669105642998413E-6</v>
      </c>
      <c r="X22" s="2">
        <f t="shared" si="16"/>
        <v>2.0778656005859375E-2</v>
      </c>
      <c r="Y22" s="2">
        <f t="shared" si="1"/>
        <v>-5.4122649428139935E-8</v>
      </c>
      <c r="Z22" s="2">
        <f t="shared" si="3"/>
        <v>2.0776748657226562E-2</v>
      </c>
      <c r="AA22" s="2">
        <f t="shared" si="2"/>
        <v>1.8563941001810413E-6</v>
      </c>
      <c r="AB22" s="2">
        <f t="shared" si="4"/>
        <v>6.9928705474758626E-12</v>
      </c>
      <c r="AC22" s="2">
        <f t="shared" si="5"/>
        <v>-1.0047296708456579E-13</v>
      </c>
      <c r="AD22" s="2">
        <f t="shared" si="6"/>
        <v>3.814697265625E-6</v>
      </c>
      <c r="AF22" s="2">
        <v>18</v>
      </c>
      <c r="AG22" s="2">
        <f t="shared" si="25"/>
        <v>2199.6192932128906</v>
      </c>
      <c r="AH22" s="2">
        <v>-1.2016460625318359E-2</v>
      </c>
      <c r="AI22" s="2">
        <f t="shared" si="26"/>
        <v>2199.6536254882812</v>
      </c>
      <c r="AJ22" s="2">
        <v>1.0092227643781371E-2</v>
      </c>
      <c r="AK22" s="2">
        <f t="shared" si="17"/>
        <v>2199.6364593505859</v>
      </c>
      <c r="AL22" s="2">
        <v>-9.6896020795611548E-4</v>
      </c>
      <c r="AM22" s="2">
        <f t="shared" si="18"/>
        <v>1.1643472186404951E-5</v>
      </c>
      <c r="AN22" s="2">
        <f t="shared" si="19"/>
        <v>-9.7789669964588539E-6</v>
      </c>
      <c r="AO22" s="2">
        <f t="shared" si="20"/>
        <v>3.4332275390625E-2</v>
      </c>
      <c r="AQ22" s="66"/>
      <c r="AR22" s="3">
        <f>0.505*($AR$9/2)</f>
        <v>2.02</v>
      </c>
      <c r="AS22" s="26" t="s">
        <v>8</v>
      </c>
      <c r="AT22"/>
      <c r="AU22" s="60" t="s">
        <v>202</v>
      </c>
      <c r="AV22" s="60"/>
      <c r="AW22" s="60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2" t="s">
        <v>185</v>
      </c>
      <c r="BH22" s="62"/>
      <c r="BI22" s="62"/>
      <c r="BJ22" s="2"/>
      <c r="BK22" s="62" t="s">
        <v>186</v>
      </c>
      <c r="BL22" s="62"/>
      <c r="BM22" s="62"/>
      <c r="BN22"/>
      <c r="BO22" s="2">
        <v>18</v>
      </c>
      <c r="BP22" s="2">
        <f t="shared" si="21"/>
        <v>0.21162798949670306</v>
      </c>
      <c r="BQ22" s="2">
        <v>-4.2509053191475132E-5</v>
      </c>
      <c r="BR22" s="2">
        <f t="shared" si="22"/>
        <v>0.21164932141703457</v>
      </c>
      <c r="BS22" s="2">
        <v>2.5101805800023524E-5</v>
      </c>
      <c r="BT22" s="2">
        <f t="shared" si="7"/>
        <v>0.21163865545686883</v>
      </c>
      <c r="BU22" s="2">
        <v>-8.7026338893292365E-6</v>
      </c>
      <c r="BV22" s="2">
        <f t="shared" si="8"/>
        <v>3.6994072690743061E-10</v>
      </c>
      <c r="BW22" s="2">
        <f t="shared" si="9"/>
        <v>-2.1845182583864592E-10</v>
      </c>
      <c r="BX22" s="2">
        <f t="shared" si="10"/>
        <v>2.1331920331518761E-5</v>
      </c>
      <c r="BY22"/>
      <c r="BZ22" s="2">
        <v>18</v>
      </c>
      <c r="CA22" s="2">
        <f t="shared" si="23"/>
        <v>0.16674562911915403</v>
      </c>
      <c r="CB22" s="2">
        <v>-3.1617521985737029E-5</v>
      </c>
      <c r="CC22" s="2">
        <f t="shared" si="24"/>
        <v>0.16676696103948557</v>
      </c>
      <c r="CD22" s="2">
        <v>2.8516257981399395E-5</v>
      </c>
      <c r="CE22" s="2">
        <f t="shared" si="11"/>
        <v>0.1667562950793198</v>
      </c>
      <c r="CF22" s="2">
        <v>-1.5494452129116709E-6</v>
      </c>
      <c r="CG22" s="2">
        <f t="shared" si="12"/>
        <v>4.8989618084929745E-11</v>
      </c>
      <c r="CH22" s="2">
        <f t="shared" si="13"/>
        <v>-4.418437941943352E-11</v>
      </c>
      <c r="CI22" s="2">
        <f t="shared" si="14"/>
        <v>2.1331920331546517E-5</v>
      </c>
    </row>
    <row r="23" spans="2:87" x14ac:dyDescent="0.2">
      <c r="B23" s="55" t="s">
        <v>107</v>
      </c>
      <c r="C23" s="55"/>
      <c r="D23" s="55"/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$C$55 * (0.0268 * $C$5)</f>
        <v>47.16023758383934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2.0776748657226562E-2</v>
      </c>
      <c r="W23" s="2">
        <f t="shared" si="0"/>
        <v>1.8563941001810413E-6</v>
      </c>
      <c r="X23" s="2">
        <f t="shared" si="16"/>
        <v>2.0778656005859375E-2</v>
      </c>
      <c r="Y23" s="2">
        <f t="shared" si="1"/>
        <v>-5.4122649428139935E-8</v>
      </c>
      <c r="Z23" s="2">
        <f t="shared" si="3"/>
        <v>2.0777702331542969E-2</v>
      </c>
      <c r="AA23" s="2">
        <f t="shared" si="2"/>
        <v>9.0113576106318205E-7</v>
      </c>
      <c r="AB23" s="2">
        <f t="shared" si="4"/>
        <v>1.6728631102998437E-12</v>
      </c>
      <c r="AC23" s="2">
        <f t="shared" si="5"/>
        <v>-4.8771854883182673E-14</v>
      </c>
      <c r="AD23" s="2">
        <f t="shared" si="6"/>
        <v>1.9073486328125E-6</v>
      </c>
      <c r="AF23" s="2">
        <v>19</v>
      </c>
      <c r="AG23" s="2">
        <f t="shared" si="25"/>
        <v>2199.6364593505859</v>
      </c>
      <c r="AH23" s="2">
        <v>-9.6896020795611548E-4</v>
      </c>
      <c r="AI23" s="2">
        <f t="shared" si="26"/>
        <v>2199.6536254882812</v>
      </c>
      <c r="AJ23" s="2">
        <v>1.0092227643781371E-2</v>
      </c>
      <c r="AK23" s="2">
        <f t="shared" si="17"/>
        <v>2199.6450424194336</v>
      </c>
      <c r="AL23" s="2">
        <v>4.5684702949984057E-3</v>
      </c>
      <c r="AM23" s="2">
        <f t="shared" si="18"/>
        <v>-4.4266659270829915E-6</v>
      </c>
      <c r="AN23" s="2">
        <f t="shared" si="19"/>
        <v>4.6106042200976941E-5</v>
      </c>
      <c r="AO23" s="2">
        <f t="shared" si="20"/>
        <v>1.71661376953125E-2</v>
      </c>
      <c r="AQ23" s="66"/>
      <c r="AR23" s="3">
        <f>0.615*($AR$9/2)</f>
        <v>2.46</v>
      </c>
      <c r="AS23" s="26" t="s">
        <v>8</v>
      </c>
      <c r="AT23"/>
      <c r="AU23" s="69" t="s">
        <v>203</v>
      </c>
      <c r="AV23" s="66">
        <f>BH20</f>
        <v>4.5094475792373245E-9</v>
      </c>
      <c r="AW23" s="66"/>
      <c r="AX23"/>
      <c r="AY23" s="2" t="s">
        <v>158</v>
      </c>
      <c r="AZ23" s="2">
        <f>(1+$BH$56)*$AR$3</f>
        <v>9.1080061544057873</v>
      </c>
      <c r="BA23" s="26" t="s">
        <v>10</v>
      </c>
      <c r="BB23"/>
      <c r="BC23" s="2" t="s">
        <v>158</v>
      </c>
      <c r="BD23" s="2">
        <f>(1+$BL$56)*$AR$3</f>
        <v>9.2195320492201844</v>
      </c>
      <c r="BE23" s="26" t="s">
        <v>10</v>
      </c>
      <c r="BF23"/>
      <c r="BG23" s="28" t="s">
        <v>154</v>
      </c>
      <c r="BH23" s="29">
        <f>BT68</f>
        <v>0.13839223898584713</v>
      </c>
      <c r="BI23" s="5" t="s">
        <v>155</v>
      </c>
      <c r="BJ23" s="2"/>
      <c r="BK23" s="28" t="s">
        <v>154</v>
      </c>
      <c r="BL23" s="29">
        <f>CE68</f>
        <v>0.11727478882305584</v>
      </c>
      <c r="BM23" s="5" t="s">
        <v>155</v>
      </c>
      <c r="BN23"/>
      <c r="BO23" s="2">
        <v>19</v>
      </c>
      <c r="BP23" s="2">
        <f t="shared" si="21"/>
        <v>0.21163865545686883</v>
      </c>
      <c r="BQ23" s="2">
        <v>-8.7026338893292365E-6</v>
      </c>
      <c r="BR23" s="2">
        <f t="shared" si="22"/>
        <v>0.21164932141703457</v>
      </c>
      <c r="BS23" s="2">
        <v>2.5101805800023524E-5</v>
      </c>
      <c r="BT23" s="2">
        <f t="shared" si="7"/>
        <v>0.2116439884369517</v>
      </c>
      <c r="BU23" s="2">
        <v>8.1998333895938469E-6</v>
      </c>
      <c r="BV23" s="2">
        <f t="shared" si="8"/>
        <v>-7.136014794313284E-11</v>
      </c>
      <c r="BW23" s="2">
        <f t="shared" si="9"/>
        <v>2.0583062533813339E-10</v>
      </c>
      <c r="BX23" s="2">
        <f t="shared" si="10"/>
        <v>1.0665960165745503E-5</v>
      </c>
      <c r="BY23"/>
      <c r="BZ23" s="2">
        <v>19</v>
      </c>
      <c r="CA23" s="2">
        <f t="shared" si="23"/>
        <v>0.1667562950793198</v>
      </c>
      <c r="CB23" s="2">
        <v>-1.5494452129116709E-6</v>
      </c>
      <c r="CC23" s="2">
        <f t="shared" si="24"/>
        <v>0.16676696103948557</v>
      </c>
      <c r="CD23" s="2">
        <v>2.8516257981399395E-5</v>
      </c>
      <c r="CE23" s="2">
        <f t="shared" si="11"/>
        <v>0.1667616280594027</v>
      </c>
      <c r="CF23" s="2">
        <v>1.3483703054831264E-5</v>
      </c>
      <c r="CG23" s="2">
        <f t="shared" si="12"/>
        <v>-2.0892259150630776E-11</v>
      </c>
      <c r="CH23" s="2">
        <f t="shared" si="13"/>
        <v>3.8450475485615143E-10</v>
      </c>
      <c r="CI23" s="2">
        <f t="shared" si="14"/>
        <v>1.0665960165773258E-5</v>
      </c>
    </row>
    <row r="24" spans="2:87" x14ac:dyDescent="0.2">
      <c r="B24" t="s">
        <v>108</v>
      </c>
      <c r="C24" s="1">
        <v>6</v>
      </c>
      <c r="D2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$C$55 * (11.5 * ($C$5*2.20462/1000)^0.4 * 0.453592)</f>
        <v>7.847425332984348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30756.198925103556</v>
      </c>
      <c r="P24" s="6" t="s">
        <v>20</v>
      </c>
      <c r="U24" s="2">
        <v>20</v>
      </c>
      <c r="V24" s="2">
        <f t="shared" si="15"/>
        <v>2.0777702331542969E-2</v>
      </c>
      <c r="W24" s="2">
        <f t="shared" si="0"/>
        <v>9.0113576106318205E-7</v>
      </c>
      <c r="X24" s="2">
        <f t="shared" si="16"/>
        <v>2.0778656005859375E-2</v>
      </c>
      <c r="Y24" s="2">
        <f t="shared" si="1"/>
        <v>-5.4122649428139935E-8</v>
      </c>
      <c r="Z24" s="2">
        <f t="shared" si="3"/>
        <v>2.0778179168701172E-2</v>
      </c>
      <c r="AA24" s="2">
        <f t="shared" si="2"/>
        <v>4.2350656473746917E-7</v>
      </c>
      <c r="AB24" s="2">
        <f t="shared" si="4"/>
        <v>3.8163691052995306E-13</v>
      </c>
      <c r="AC24" s="2">
        <f t="shared" si="5"/>
        <v>-2.2921297333801893E-14</v>
      </c>
      <c r="AD24" s="2">
        <f t="shared" si="6"/>
        <v>9.5367431640625E-7</v>
      </c>
      <c r="AF24" s="2">
        <v>20</v>
      </c>
      <c r="AG24" s="2">
        <f t="shared" si="25"/>
        <v>2199.6364593505859</v>
      </c>
      <c r="AH24" s="2">
        <v>-9.6896020795611548E-4</v>
      </c>
      <c r="AI24" s="2">
        <f t="shared" si="26"/>
        <v>2199.6450424194336</v>
      </c>
      <c r="AJ24" s="2">
        <v>4.5684702949984057E-3</v>
      </c>
      <c r="AK24" s="2">
        <f t="shared" si="17"/>
        <v>2199.6407508850098</v>
      </c>
      <c r="AL24" s="2">
        <v>1.79291666950121E-3</v>
      </c>
      <c r="AM24" s="2">
        <f t="shared" si="18"/>
        <v>-1.7372649089278785E-6</v>
      </c>
      <c r="AN24" s="2">
        <f t="shared" si="19"/>
        <v>8.1908865460237516E-6</v>
      </c>
      <c r="AO24" s="2">
        <f t="shared" si="20"/>
        <v>8.58306884765625E-3</v>
      </c>
      <c r="AQ24" s="66"/>
      <c r="AR24" s="3">
        <f>0.725*($AR$9/2)</f>
        <v>2.9</v>
      </c>
      <c r="AS24" s="26" t="s">
        <v>8</v>
      </c>
      <c r="AT24"/>
      <c r="AU24" s="69"/>
      <c r="AV24" s="66">
        <f>BL20</f>
        <v>-5.9246087896758226E-10</v>
      </c>
      <c r="AW24" s="66"/>
      <c r="AX24"/>
      <c r="AY24" s="2" t="s">
        <v>163</v>
      </c>
      <c r="AZ24" s="2">
        <f>(1-$BH$57)*$AV$5*$AR$23</f>
        <v>90.467450414032342</v>
      </c>
      <c r="BA24" s="26" t="s">
        <v>10</v>
      </c>
      <c r="BB24"/>
      <c r="BC24" s="2" t="s">
        <v>163</v>
      </c>
      <c r="BD24" s="2">
        <f>(1-$BL$57)*$AV$5*$AR$24</f>
        <v>106.83562013409943</v>
      </c>
      <c r="BE24" s="26" t="s">
        <v>10</v>
      </c>
      <c r="BF24"/>
      <c r="BG24" s="2" t="s">
        <v>159</v>
      </c>
      <c r="BH24" s="2">
        <f>($AR$37+$AR$5)/180*PI()</f>
        <v>0.21161380283636164</v>
      </c>
      <c r="BI24" s="2" t="s">
        <v>155</v>
      </c>
      <c r="BJ24" s="2"/>
      <c r="BK24" s="2" t="s">
        <v>159</v>
      </c>
      <c r="BL24" s="2">
        <f>($AR$38+$AR$5)/180*PI()</f>
        <v>0.18857545671003648</v>
      </c>
      <c r="BM24" s="2" t="s">
        <v>155</v>
      </c>
      <c r="BN24"/>
      <c r="BO24" s="2">
        <v>20</v>
      </c>
      <c r="BP24" s="2">
        <f t="shared" si="21"/>
        <v>0.21163865545686883</v>
      </c>
      <c r="BQ24" s="2">
        <v>-8.7026338893292365E-6</v>
      </c>
      <c r="BR24" s="2">
        <f t="shared" si="22"/>
        <v>0.2116439884369517</v>
      </c>
      <c r="BS24" s="2">
        <v>8.1998333895938469E-6</v>
      </c>
      <c r="BT24" s="2">
        <f t="shared" si="7"/>
        <v>0.21164132194691027</v>
      </c>
      <c r="BU24" s="2">
        <v>-2.5133838907342998E-7</v>
      </c>
      <c r="BV24" s="2">
        <f t="shared" si="8"/>
        <v>2.187305982439849E-12</v>
      </c>
      <c r="BW24" s="2">
        <f t="shared" si="9"/>
        <v>-2.0609329148110403E-12</v>
      </c>
      <c r="BX24" s="2">
        <f t="shared" si="10"/>
        <v>5.3329800828727514E-6</v>
      </c>
      <c r="BY24"/>
      <c r="BZ24" s="2">
        <v>20</v>
      </c>
      <c r="CA24" s="2">
        <f t="shared" si="23"/>
        <v>0.1667562950793198</v>
      </c>
      <c r="CB24" s="2">
        <v>-1.5494452129116709E-6</v>
      </c>
      <c r="CC24" s="2">
        <f t="shared" si="24"/>
        <v>0.1667616280594027</v>
      </c>
      <c r="CD24" s="2">
        <v>1.3483703054831264E-5</v>
      </c>
      <c r="CE24" s="2">
        <f t="shared" si="11"/>
        <v>0.16675896156936126</v>
      </c>
      <c r="CF24" s="2">
        <v>5.9672030919555308E-6</v>
      </c>
      <c r="CG24" s="2">
        <f t="shared" si="12"/>
        <v>-9.2458542653022192E-12</v>
      </c>
      <c r="CH24" s="2">
        <f t="shared" si="13"/>
        <v>8.0459994559799361E-11</v>
      </c>
      <c r="CI24" s="2">
        <f t="shared" si="14"/>
        <v>5.332980082900507E-6</v>
      </c>
    </row>
    <row r="25" spans="2:87" x14ac:dyDescent="0.2">
      <c r="B25" t="s">
        <v>109</v>
      </c>
      <c r="C25" s="1">
        <v>6.4008000000000003</v>
      </c>
      <c r="D25" t="s">
        <v>8</v>
      </c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$C$55 * (8 * ($C$5/1000))</f>
        <v>14.077682860847563</v>
      </c>
      <c r="L25" s="6" t="s">
        <v>7</v>
      </c>
      <c r="N25" s="6" t="s">
        <v>34</v>
      </c>
      <c r="O25" s="18">
        <f>Z34</f>
        <v>2.077860152348876E-2</v>
      </c>
      <c r="U25" s="2">
        <v>21</v>
      </c>
      <c r="V25" s="2">
        <f t="shared" si="15"/>
        <v>2.0778179168701172E-2</v>
      </c>
      <c r="W25" s="2">
        <f t="shared" si="0"/>
        <v>4.2350656473746917E-7</v>
      </c>
      <c r="X25" s="2">
        <f t="shared" si="16"/>
        <v>2.0778656005859375E-2</v>
      </c>
      <c r="Y25" s="2">
        <f t="shared" si="1"/>
        <v>-5.4122649428139935E-8</v>
      </c>
      <c r="Z25" s="2">
        <f t="shared" si="3"/>
        <v>2.0778417587280273E-2</v>
      </c>
      <c r="AA25" s="2">
        <f t="shared" si="2"/>
        <v>1.8469195988551901E-7</v>
      </c>
      <c r="AB25" s="2">
        <f t="shared" si="4"/>
        <v>7.821825746574662E-14</v>
      </c>
      <c r="AC25" s="2">
        <f t="shared" si="5"/>
        <v>-9.9960181970800288E-15</v>
      </c>
      <c r="AD25" s="2">
        <f t="shared" si="6"/>
        <v>4.76837158203125E-7</v>
      </c>
      <c r="AF25" s="2">
        <v>21</v>
      </c>
      <c r="AG25" s="2">
        <f t="shared" si="25"/>
        <v>2199.6364593505859</v>
      </c>
      <c r="AH25" s="2">
        <v>-9.6896020795611548E-4</v>
      </c>
      <c r="AI25" s="2">
        <f t="shared" si="26"/>
        <v>2199.6407508850098</v>
      </c>
      <c r="AJ25" s="2">
        <v>1.79291666950121E-3</v>
      </c>
      <c r="AK25" s="2">
        <f t="shared" si="17"/>
        <v>2199.6386051177979</v>
      </c>
      <c r="AL25" s="2">
        <v>4.1197814221050066E-4</v>
      </c>
      <c r="AM25" s="2">
        <f t="shared" si="18"/>
        <v>-3.9919042634966084E-7</v>
      </c>
      <c r="AN25" s="2">
        <f t="shared" si="19"/>
        <v>7.3864247863934665E-7</v>
      </c>
      <c r="AO25" s="2">
        <f t="shared" si="20"/>
        <v>4.291534423828125E-3</v>
      </c>
      <c r="AQ25" s="66"/>
      <c r="AR25" s="3">
        <f>0.835*($AR$9/2)</f>
        <v>3.34</v>
      </c>
      <c r="AS25" s="26" t="s">
        <v>8</v>
      </c>
      <c r="AT25"/>
      <c r="AU25" s="69"/>
      <c r="AV25" s="66">
        <f>BH39</f>
        <v>5.4337276067517593E-9</v>
      </c>
      <c r="AW25" s="66"/>
      <c r="AX25"/>
      <c r="AY25" s="2" t="s">
        <v>167</v>
      </c>
      <c r="AZ25" s="2">
        <f>SQRT(AZ23^2 + AZ24^2)</f>
        <v>90.924778583860714</v>
      </c>
      <c r="BA25" s="26" t="s">
        <v>10</v>
      </c>
      <c r="BB25"/>
      <c r="BC25" s="2" t="s">
        <v>167</v>
      </c>
      <c r="BD25" s="2">
        <f>SQRT(BD23^2 + BD24^2)</f>
        <v>107.23268858255952</v>
      </c>
      <c r="BE25" s="26" t="s">
        <v>10</v>
      </c>
      <c r="BF25"/>
      <c r="BG25" s="2" t="s">
        <v>28</v>
      </c>
      <c r="BH25" s="2">
        <f>BH24-BH23</f>
        <v>7.3221563850514509E-2</v>
      </c>
      <c r="BI25" s="2" t="s">
        <v>155</v>
      </c>
      <c r="BJ25" s="2"/>
      <c r="BK25" s="2" t="s">
        <v>28</v>
      </c>
      <c r="BL25" s="2">
        <f>BL24-BL23</f>
        <v>7.130066788698064E-2</v>
      </c>
      <c r="BM25" s="2" t="s">
        <v>155</v>
      </c>
      <c r="BN25"/>
      <c r="BO25" s="2">
        <v>21</v>
      </c>
      <c r="BP25" s="2">
        <f t="shared" si="21"/>
        <v>0.21164132194691027</v>
      </c>
      <c r="BQ25" s="2">
        <v>-2.5133838907342998E-7</v>
      </c>
      <c r="BR25" s="2">
        <f t="shared" si="22"/>
        <v>0.2116439884369517</v>
      </c>
      <c r="BS25" s="2">
        <v>8.1998333895938469E-6</v>
      </c>
      <c r="BT25" s="2">
        <f t="shared" si="7"/>
        <v>0.21164265519193098</v>
      </c>
      <c r="BU25" s="2">
        <v>3.9742629651257078E-6</v>
      </c>
      <c r="BV25" s="2">
        <f t="shared" si="8"/>
        <v>-9.9888485140888857E-13</v>
      </c>
      <c r="BW25" s="2">
        <f t="shared" si="9"/>
        <v>3.2588294160464022E-11</v>
      </c>
      <c r="BX25" s="2">
        <f t="shared" si="10"/>
        <v>2.6664900414363757E-6</v>
      </c>
      <c r="BY25"/>
      <c r="BZ25" s="2">
        <v>21</v>
      </c>
      <c r="CA25" s="2">
        <f t="shared" si="23"/>
        <v>0.1667562950793198</v>
      </c>
      <c r="CB25" s="2">
        <v>-1.5494452129116709E-6</v>
      </c>
      <c r="CC25" s="2">
        <f t="shared" si="24"/>
        <v>0.16675896156936126</v>
      </c>
      <c r="CD25" s="2">
        <v>5.9672030919555308E-6</v>
      </c>
      <c r="CE25" s="2">
        <f t="shared" si="11"/>
        <v>0.16675762832434055</v>
      </c>
      <c r="CF25" s="2">
        <v>2.2088974827305652E-6</v>
      </c>
      <c r="CG25" s="2">
        <f t="shared" si="12"/>
        <v>-3.4225656304295145E-12</v>
      </c>
      <c r="CH25" s="2">
        <f t="shared" si="13"/>
        <v>1.3180939888762617E-11</v>
      </c>
      <c r="CI25" s="2">
        <f t="shared" si="14"/>
        <v>2.6664900414641313E-6</v>
      </c>
    </row>
    <row r="26" spans="2:87" x14ac:dyDescent="0.2">
      <c r="B26" t="s">
        <v>110</v>
      </c>
      <c r="C26" s="1">
        <v>2.0560284000000002</v>
      </c>
      <c r="D26" t="s">
        <v>8</v>
      </c>
      <c r="F26" t="s">
        <v>21</v>
      </c>
      <c r="G26" s="6">
        <f xml:space="preserve"> $C$5 * $C$43 / $C$18</f>
        <v>5389.9329910160568</v>
      </c>
      <c r="H26" t="s">
        <v>22</v>
      </c>
      <c r="J26" s="15" t="s">
        <v>70</v>
      </c>
      <c r="K26" s="6">
        <f xml:space="preserve"> $C$55 * (13 * ($C$5*2.20462/1000)^1.3 * 0.453592)</f>
        <v>36.735770712421377</v>
      </c>
      <c r="L26" s="6" t="s">
        <v>7</v>
      </c>
      <c r="N26" s="6" t="s">
        <v>35</v>
      </c>
      <c r="O26" s="6">
        <f xml:space="preserve"> O20 * $C$9 * O25 - $C$8 * SIN(O18/180*PI())</f>
        <v>1.0633122721236696</v>
      </c>
      <c r="P26" s="6" t="s">
        <v>10</v>
      </c>
      <c r="U26" s="2">
        <v>22</v>
      </c>
      <c r="V26" s="2">
        <f t="shared" si="15"/>
        <v>2.0778417587280273E-2</v>
      </c>
      <c r="W26" s="2">
        <f t="shared" si="0"/>
        <v>1.8469195988551901E-7</v>
      </c>
      <c r="X26" s="2">
        <f t="shared" si="16"/>
        <v>2.0778656005859375E-2</v>
      </c>
      <c r="Y26" s="2">
        <f t="shared" si="1"/>
        <v>-5.4122649428139935E-8</v>
      </c>
      <c r="Z26" s="2">
        <f t="shared" si="3"/>
        <v>2.0778536796569824E-2</v>
      </c>
      <c r="AA26" s="2">
        <f t="shared" si="2"/>
        <v>6.5284655785535772E-8</v>
      </c>
      <c r="AB26" s="2">
        <f t="shared" si="4"/>
        <v>1.2057551027482089E-14</v>
      </c>
      <c r="AC26" s="2">
        <f t="shared" si="5"/>
        <v>-3.5333785381173402E-15</v>
      </c>
      <c r="AD26" s="2">
        <f t="shared" si="6"/>
        <v>2.384185791015625E-7</v>
      </c>
      <c r="AF26" s="2">
        <v>22</v>
      </c>
      <c r="AG26" s="2">
        <f t="shared" si="25"/>
        <v>2199.6364593505859</v>
      </c>
      <c r="AH26" s="2">
        <v>-9.6896020795611548E-4</v>
      </c>
      <c r="AI26" s="2">
        <f t="shared" si="26"/>
        <v>2199.6386051177979</v>
      </c>
      <c r="AJ26" s="2">
        <v>4.1197814221050066E-4</v>
      </c>
      <c r="AK26" s="2">
        <f t="shared" si="17"/>
        <v>2199.6375322341919</v>
      </c>
      <c r="AL26" s="2">
        <v>-2.7849105572386179E-4</v>
      </c>
      <c r="AM26" s="2">
        <f t="shared" si="18"/>
        <v>2.6984675126811125E-7</v>
      </c>
      <c r="AN26" s="2">
        <f t="shared" si="19"/>
        <v>-1.147322277593576E-7</v>
      </c>
      <c r="AO26" s="2">
        <f t="shared" si="20"/>
        <v>2.1457672119140625E-3</v>
      </c>
      <c r="AQ26" s="66"/>
      <c r="AR26" s="3">
        <f>0.945*($AR$9/2)</f>
        <v>3.78</v>
      </c>
      <c r="AS26" s="6" t="s">
        <v>8</v>
      </c>
      <c r="AT26"/>
      <c r="AU26" s="69"/>
      <c r="AV26" s="66">
        <f>BL39</f>
        <v>-2.5539294845611238E-9</v>
      </c>
      <c r="AW26" s="66"/>
      <c r="AX26"/>
      <c r="AY26" s="2" t="s">
        <v>170</v>
      </c>
      <c r="AZ26" s="37">
        <f>$AR$45*AZ25*$AR$31/$AR$46</f>
        <v>1378087.1442761635</v>
      </c>
      <c r="BA26" s="26"/>
      <c r="BB26"/>
      <c r="BC26" s="2" t="s">
        <v>170</v>
      </c>
      <c r="BD26" s="37">
        <f>$AR$45*BD25*$AR$32/$AR$46</f>
        <v>1572599.97380851</v>
      </c>
      <c r="BE26" s="26"/>
      <c r="BF26"/>
      <c r="BG26" s="2" t="s">
        <v>168</v>
      </c>
      <c r="BH26" s="2">
        <f>BH25/PI()*180</f>
        <v>4.1952865779821584</v>
      </c>
      <c r="BI26" s="2" t="s">
        <v>43</v>
      </c>
      <c r="BJ26" s="2"/>
      <c r="BK26" s="2" t="s">
        <v>168</v>
      </c>
      <c r="BL26" s="2">
        <f>BL25/PI()*180</f>
        <v>4.0852273463879518</v>
      </c>
      <c r="BM26" s="2" t="s">
        <v>43</v>
      </c>
      <c r="BN26"/>
      <c r="BO26" s="2">
        <v>22</v>
      </c>
      <c r="BP26" s="2">
        <f t="shared" si="21"/>
        <v>0.21164132194691027</v>
      </c>
      <c r="BQ26" s="2">
        <v>-2.5133838907342998E-7</v>
      </c>
      <c r="BR26" s="2">
        <f t="shared" si="22"/>
        <v>0.21164265519193098</v>
      </c>
      <c r="BS26" s="2">
        <v>3.9742629651257078E-6</v>
      </c>
      <c r="BT26" s="2">
        <f t="shared" si="7"/>
        <v>0.21164198856942062</v>
      </c>
      <c r="BU26" s="2">
        <v>1.8614661542182276E-6</v>
      </c>
      <c r="BV26" s="2">
        <f t="shared" si="8"/>
        <v>-4.6785790451592226E-13</v>
      </c>
      <c r="BW26" s="2">
        <f t="shared" si="9"/>
        <v>7.3979559975444815E-12</v>
      </c>
      <c r="BX26" s="2">
        <f t="shared" si="10"/>
        <v>1.3332450207181878E-6</v>
      </c>
      <c r="BY26"/>
      <c r="BZ26" s="2">
        <v>22</v>
      </c>
      <c r="CA26" s="2">
        <f t="shared" si="23"/>
        <v>0.1667562950793198</v>
      </c>
      <c r="CB26" s="2">
        <v>-1.5494452129116709E-6</v>
      </c>
      <c r="CC26" s="2">
        <f t="shared" si="24"/>
        <v>0.16675762832434055</v>
      </c>
      <c r="CD26" s="2">
        <v>2.2088974827305652E-6</v>
      </c>
      <c r="CE26" s="2">
        <f t="shared" si="11"/>
        <v>0.16675696170183019</v>
      </c>
      <c r="CF26" s="2">
        <v>3.2973077080528101E-7</v>
      </c>
      <c r="CG26" s="2">
        <f t="shared" si="12"/>
        <v>-5.1089976437391804E-13</v>
      </c>
      <c r="CH26" s="2">
        <f t="shared" si="13"/>
        <v>7.2834146961059413E-13</v>
      </c>
      <c r="CI26" s="2">
        <f t="shared" si="14"/>
        <v>1.3332450207459434E-6</v>
      </c>
    </row>
    <row r="27" spans="2:87" x14ac:dyDescent="0.2">
      <c r="F27" s="42" t="s">
        <v>86</v>
      </c>
      <c r="G27" s="43">
        <f xml:space="preserve"> 1/1000 * IF($G$23&gt;= 2*SQRT(($C$5*$C$43)/(2*$C$40*$C$18*PI()*$C$9*$C$9)), ($C$5*$C$43)/$C$21 * ( ($G$23/2) - SQRT( ($G$23/2)^2 - ($C$5*$C$43)/(2*$C$40*$C$18*PI()*$C$9*$C$9 ) ) ), 1/$C$21 * SQRT(($C$5*$C$43)^3/(2*$C$40*$C$18*PI()*$C$9*$C$9)) )</f>
        <v>206.42300003967824</v>
      </c>
      <c r="H27" s="42" t="s">
        <v>104</v>
      </c>
      <c r="J27" s="10" t="s">
        <v>57</v>
      </c>
      <c r="K27" s="10">
        <f>$C$5 - $C$13 - SUM(K13:K26)</f>
        <v>-6.7251221480546519E-8</v>
      </c>
      <c r="L27" s="10" t="s">
        <v>7</v>
      </c>
      <c r="N27" s="6" t="s">
        <v>36</v>
      </c>
      <c r="O27" s="6">
        <f xml:space="preserve"> 1/$C$21 - O24 * SQRT( (2*$C$46*PI()*$C$9^2) / O19^3 )</f>
        <v>0.55250621159120694</v>
      </c>
      <c r="U27" s="2">
        <v>23</v>
      </c>
      <c r="V27" s="2">
        <f t="shared" si="15"/>
        <v>2.0778536796569824E-2</v>
      </c>
      <c r="W27" s="2">
        <f t="shared" si="0"/>
        <v>6.5284655785535772E-8</v>
      </c>
      <c r="X27" s="2">
        <f t="shared" si="16"/>
        <v>2.0778656005859375E-2</v>
      </c>
      <c r="Y27" s="2">
        <f t="shared" si="1"/>
        <v>-5.4122649428139935E-8</v>
      </c>
      <c r="Z27" s="2">
        <f t="shared" si="3"/>
        <v>2.07785964012146E-2</v>
      </c>
      <c r="AA27" s="2">
        <f t="shared" si="2"/>
        <v>5.5810033192105202E-9</v>
      </c>
      <c r="AB27" s="2">
        <f t="shared" si="4"/>
        <v>3.6435388063259144E-16</v>
      </c>
      <c r="AC27" s="2">
        <f t="shared" si="5"/>
        <v>-3.0205868610291635E-16</v>
      </c>
      <c r="AD27" s="2">
        <f t="shared" si="6"/>
        <v>1.1920928955078125E-7</v>
      </c>
      <c r="AF27" s="2">
        <v>23</v>
      </c>
      <c r="AG27" s="2">
        <f t="shared" si="25"/>
        <v>2199.6375322341919</v>
      </c>
      <c r="AH27" s="2">
        <v>-2.7849105572386179E-4</v>
      </c>
      <c r="AI27" s="2">
        <f t="shared" si="26"/>
        <v>2199.6386051177979</v>
      </c>
      <c r="AJ27" s="2">
        <v>4.1197814221050066E-4</v>
      </c>
      <c r="AK27" s="2">
        <f t="shared" si="17"/>
        <v>2199.6380686759949</v>
      </c>
      <c r="AL27" s="2">
        <v>7.3581537208156078E-5</v>
      </c>
      <c r="AM27" s="2">
        <f t="shared" si="18"/>
        <v>-2.0491799978884003E-8</v>
      </c>
      <c r="AN27" s="2">
        <f t="shared" si="19"/>
        <v>3.0313985000008968E-8</v>
      </c>
      <c r="AO27" s="2">
        <f t="shared" si="20"/>
        <v>1.0728836059570312E-3</v>
      </c>
      <c r="AQ27" s="66" t="s">
        <v>204</v>
      </c>
      <c r="AR27" s="3">
        <f>0.071475*($AR$9/2)</f>
        <v>0.28589999999999999</v>
      </c>
      <c r="AS27" s="26" t="s">
        <v>8</v>
      </c>
      <c r="AT27"/>
      <c r="AU27" s="69"/>
      <c r="AV27" s="66">
        <f>BH58</f>
        <v>3.5025512559738736E-9</v>
      </c>
      <c r="AW27" s="66"/>
      <c r="AX27"/>
      <c r="AY27" s="2" t="s">
        <v>174</v>
      </c>
      <c r="AZ27" s="33">
        <f xml:space="preserve"> $BH$46 * PI() * $AR$45 * AZ25^2 * $BH$52 * $AR$23 * AZ22</f>
        <v>845.98190247960474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1025.8346442037246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0.21164132194691027</v>
      </c>
      <c r="BQ27" s="2">
        <v>-2.5133838907342998E-7</v>
      </c>
      <c r="BR27" s="2">
        <f t="shared" si="22"/>
        <v>0.21164198856942062</v>
      </c>
      <c r="BS27" s="2">
        <v>1.8614661542182276E-6</v>
      </c>
      <c r="BT27" s="2">
        <f t="shared" si="7"/>
        <v>0.21164165525816545</v>
      </c>
      <c r="BU27" s="2">
        <v>8.0506484913256404E-7</v>
      </c>
      <c r="BV27" s="2">
        <f t="shared" si="8"/>
        <v>-2.0234370228062259E-13</v>
      </c>
      <c r="BW27" s="2">
        <f t="shared" si="9"/>
        <v>1.4986009686110717E-12</v>
      </c>
      <c r="BX27" s="2">
        <f t="shared" si="10"/>
        <v>6.6662251035909392E-7</v>
      </c>
      <c r="BY27"/>
      <c r="BZ27" s="2">
        <v>23</v>
      </c>
      <c r="CA27" s="2">
        <f t="shared" si="23"/>
        <v>0.1667562950793198</v>
      </c>
      <c r="CB27" s="2">
        <v>-1.5494452129116709E-6</v>
      </c>
      <c r="CC27" s="2">
        <f t="shared" si="24"/>
        <v>0.16675696170183019</v>
      </c>
      <c r="CD27" s="2">
        <v>3.2973077080528101E-7</v>
      </c>
      <c r="CE27" s="2">
        <f t="shared" si="11"/>
        <v>0.16675662839057498</v>
      </c>
      <c r="CF27" s="2">
        <v>-6.0985606214342125E-7</v>
      </c>
      <c r="CG27" s="2">
        <f t="shared" si="12"/>
        <v>9.449385560532865E-13</v>
      </c>
      <c r="CH27" s="2">
        <f t="shared" si="13"/>
        <v>-2.0108830945082366E-13</v>
      </c>
      <c r="CI27" s="2">
        <f t="shared" si="14"/>
        <v>6.666225103868495E-7</v>
      </c>
    </row>
    <row r="28" spans="2:87" x14ac:dyDescent="0.2">
      <c r="B28" s="55" t="s">
        <v>111</v>
      </c>
      <c r="C28" s="55"/>
      <c r="D28" s="55"/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2.07785964012146E-2</v>
      </c>
      <c r="W28" s="2">
        <f t="shared" si="0"/>
        <v>5.5810033192105202E-9</v>
      </c>
      <c r="X28" s="2">
        <f t="shared" si="16"/>
        <v>2.0778656005859375E-2</v>
      </c>
      <c r="Y28" s="2">
        <f t="shared" si="1"/>
        <v>-5.4122649428139935E-8</v>
      </c>
      <c r="Z28" s="2">
        <f t="shared" si="3"/>
        <v>2.0778626203536987E-2</v>
      </c>
      <c r="AA28" s="2">
        <f t="shared" si="2"/>
        <v>-2.4270823021504961E-8</v>
      </c>
      <c r="AB28" s="2">
        <f t="shared" si="4"/>
        <v>-1.3545554384299031E-16</v>
      </c>
      <c r="AC28" s="2">
        <f t="shared" si="5"/>
        <v>1.3136012457253411E-15</v>
      </c>
      <c r="AD28" s="2">
        <f t="shared" si="6"/>
        <v>5.9604644775390625E-8</v>
      </c>
      <c r="AF28" s="2">
        <v>24</v>
      </c>
      <c r="AG28" s="2">
        <f t="shared" si="25"/>
        <v>2199.6375322341919</v>
      </c>
      <c r="AH28" s="2">
        <v>-2.7849105572386179E-4</v>
      </c>
      <c r="AI28" s="2">
        <f t="shared" si="26"/>
        <v>2199.6380686759949</v>
      </c>
      <c r="AJ28" s="2">
        <v>7.3581537208156078E-5</v>
      </c>
      <c r="AK28" s="2">
        <f t="shared" si="17"/>
        <v>2199.6378004550934</v>
      </c>
      <c r="AL28" s="2">
        <v>-1.0245476096315542E-4</v>
      </c>
      <c r="AM28" s="2">
        <f t="shared" si="18"/>
        <v>2.8532734544565055E-8</v>
      </c>
      <c r="AN28" s="2">
        <f t="shared" si="19"/>
        <v>-7.5387788059631578E-9</v>
      </c>
      <c r="AO28" s="2">
        <f t="shared" si="20"/>
        <v>5.3644180297851562E-4</v>
      </c>
      <c r="AQ28" s="66"/>
      <c r="AR28" s="3">
        <f>0.069425*($AR$9/2)</f>
        <v>0.2777</v>
      </c>
      <c r="AS28" s="26" t="s">
        <v>8</v>
      </c>
      <c r="AT28"/>
      <c r="AU28" s="69"/>
      <c r="AV28" s="66">
        <f>BL58</f>
        <v>5.4190308282353605E-9</v>
      </c>
      <c r="AW28" s="66"/>
      <c r="AX28"/>
      <c r="AY28" s="2" t="s">
        <v>178</v>
      </c>
      <c r="AZ28" s="33">
        <f xml:space="preserve"> $BH$46 * PI() * $AR$45 * AZ25^2 * $BH$53 * $AR$23^2 * AZ22</f>
        <v>293.6506516598202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403.30135380350089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0.99999996275801661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0.99999777902252029</v>
      </c>
      <c r="BM28" s="2"/>
      <c r="BN28"/>
      <c r="BO28" s="2">
        <v>24</v>
      </c>
      <c r="BP28" s="2">
        <f t="shared" si="21"/>
        <v>0.21164132194691027</v>
      </c>
      <c r="BQ28" s="2">
        <v>-2.5133838907342998E-7</v>
      </c>
      <c r="BR28" s="2">
        <f t="shared" si="22"/>
        <v>0.21164165525816545</v>
      </c>
      <c r="BS28" s="2">
        <v>8.0506484913256404E-7</v>
      </c>
      <c r="BT28" s="2">
        <f t="shared" si="7"/>
        <v>0.21164148860253784</v>
      </c>
      <c r="BU28" s="2">
        <v>2.7686347163491387E-7</v>
      </c>
      <c r="BV28" s="2">
        <f t="shared" si="8"/>
        <v>-6.9586418953996527E-14</v>
      </c>
      <c r="BW28" s="2">
        <f t="shared" si="9"/>
        <v>2.2289304902207985E-13</v>
      </c>
      <c r="BX28" s="2">
        <f t="shared" si="10"/>
        <v>3.3331125517954696E-7</v>
      </c>
      <c r="BY28"/>
      <c r="BZ28" s="2">
        <v>24</v>
      </c>
      <c r="CA28" s="2">
        <f t="shared" si="23"/>
        <v>0.16675662839057498</v>
      </c>
      <c r="CB28" s="2">
        <v>-6.0985606214342125E-7</v>
      </c>
      <c r="CC28" s="2">
        <f t="shared" si="24"/>
        <v>0.16675696170183019</v>
      </c>
      <c r="CD28" s="2">
        <v>3.2973077080528101E-7</v>
      </c>
      <c r="CE28" s="2">
        <f t="shared" si="11"/>
        <v>0.16675679504620258</v>
      </c>
      <c r="CF28" s="2">
        <v>-1.4006235590779958E-7</v>
      </c>
      <c r="CG28" s="2">
        <f t="shared" si="12"/>
        <v>8.5417876828461011E-14</v>
      </c>
      <c r="CH28" s="2">
        <f t="shared" si="13"/>
        <v>-4.6182868574282364E-14</v>
      </c>
      <c r="CI28" s="2">
        <f t="shared" si="14"/>
        <v>3.3331125520730254E-7</v>
      </c>
    </row>
    <row r="29" spans="2:87" x14ac:dyDescent="0.2">
      <c r="B29" s="6" t="s">
        <v>124</v>
      </c>
      <c r="C29" s="21" t="s">
        <v>260</v>
      </c>
      <c r="N29" s="6" t="s">
        <v>38</v>
      </c>
      <c r="O29" s="6">
        <f xml:space="preserve"> 1/$C$52 * LN( EXP($C$52 * O27) + EXP($C$52 * O28) )</f>
        <v>1.1500000005473072</v>
      </c>
      <c r="U29" s="2">
        <v>25</v>
      </c>
      <c r="V29" s="2">
        <f t="shared" si="15"/>
        <v>2.07785964012146E-2</v>
      </c>
      <c r="W29" s="2">
        <f t="shared" si="0"/>
        <v>5.5810033192105202E-9</v>
      </c>
      <c r="X29" s="2">
        <f t="shared" si="16"/>
        <v>2.0778626203536987E-2</v>
      </c>
      <c r="Y29" s="2">
        <f t="shared" si="1"/>
        <v>-2.4270823021504961E-8</v>
      </c>
      <c r="Z29" s="2">
        <f t="shared" si="3"/>
        <v>2.0778611302375793E-2</v>
      </c>
      <c r="AA29" s="2">
        <f t="shared" si="2"/>
        <v>-9.3449098424736032E-9</v>
      </c>
      <c r="AB29" s="2">
        <f t="shared" si="4"/>
        <v>-5.2153972848568237E-17</v>
      </c>
      <c r="AC29" s="2">
        <f t="shared" si="5"/>
        <v>2.2680865293859663E-16</v>
      </c>
      <c r="AD29" s="2">
        <f t="shared" si="6"/>
        <v>2.9802322387695312E-8</v>
      </c>
      <c r="AF29" s="2">
        <v>25</v>
      </c>
      <c r="AG29" s="2">
        <f t="shared" si="25"/>
        <v>2199.6378004550934</v>
      </c>
      <c r="AH29" s="2">
        <v>-1.0245476096315542E-4</v>
      </c>
      <c r="AI29" s="2">
        <f t="shared" si="26"/>
        <v>2199.6380686759949</v>
      </c>
      <c r="AJ29" s="2">
        <v>7.3581537208156078E-5</v>
      </c>
      <c r="AK29" s="2">
        <f t="shared" si="17"/>
        <v>2199.6379345655441</v>
      </c>
      <c r="AL29" s="2">
        <v>-2.1274612208799226E-5</v>
      </c>
      <c r="AM29" s="2">
        <f t="shared" si="18"/>
        <v>2.1796853084363527E-9</v>
      </c>
      <c r="AN29" s="2">
        <f t="shared" si="19"/>
        <v>-1.5654186698308517E-9</v>
      </c>
      <c r="AO29" s="2">
        <f t="shared" si="20"/>
        <v>2.6822090148925781E-4</v>
      </c>
      <c r="AQ29" s="66"/>
      <c r="AR29" s="3">
        <f>0.067375*($AR$9/2)</f>
        <v>0.26950000000000002</v>
      </c>
      <c r="AS29" s="26" t="s">
        <v>8</v>
      </c>
      <c r="AT29"/>
      <c r="AU29" s="69"/>
      <c r="AV29" s="66">
        <f>BH77</f>
        <v>-3.9115081694462983E-9</v>
      </c>
      <c r="AW29" s="66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0.9996717367470519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0.99996375188046305</v>
      </c>
      <c r="BM29" s="2"/>
      <c r="BN29"/>
      <c r="BO29" s="2">
        <v>25</v>
      </c>
      <c r="BP29" s="2">
        <f t="shared" si="21"/>
        <v>0.21164132194691027</v>
      </c>
      <c r="BQ29" s="2">
        <v>-2.5133838907342998E-7</v>
      </c>
      <c r="BR29" s="2">
        <f t="shared" si="22"/>
        <v>0.21164148860253784</v>
      </c>
      <c r="BS29" s="2">
        <v>2.7686347163491387E-7</v>
      </c>
      <c r="BT29" s="2">
        <f t="shared" si="7"/>
        <v>0.21164140527472405</v>
      </c>
      <c r="BU29" s="2">
        <v>1.2762601656057804E-8</v>
      </c>
      <c r="BV29" s="2">
        <f t="shared" si="8"/>
        <v>-3.207731740619458E-15</v>
      </c>
      <c r="BW29" s="2">
        <f t="shared" si="9"/>
        <v>3.5334982015896646E-15</v>
      </c>
      <c r="BX29" s="2">
        <f t="shared" si="10"/>
        <v>1.6665562757589569E-7</v>
      </c>
      <c r="BY29"/>
      <c r="BZ29" s="2">
        <v>25</v>
      </c>
      <c r="CA29" s="2">
        <f t="shared" si="23"/>
        <v>0.16675679504620258</v>
      </c>
      <c r="CB29" s="2">
        <v>-1.4006235590779958E-7</v>
      </c>
      <c r="CC29" s="2">
        <f t="shared" si="24"/>
        <v>0.16675696170183019</v>
      </c>
      <c r="CD29" s="2">
        <v>3.2973077080528101E-7</v>
      </c>
      <c r="CE29" s="2">
        <f t="shared" si="11"/>
        <v>0.16675687837401637</v>
      </c>
      <c r="CF29" s="2">
        <v>9.4834279831812474E-8</v>
      </c>
      <c r="CG29" s="2">
        <f t="shared" si="12"/>
        <v>-1.3282712654063178E-14</v>
      </c>
      <c r="CH29" s="2">
        <f t="shared" si="13"/>
        <v>3.1269780187707241E-14</v>
      </c>
      <c r="CI29" s="2">
        <f t="shared" si="14"/>
        <v>1.6665562760365127E-7</v>
      </c>
    </row>
    <row r="30" spans="2:87" x14ac:dyDescent="0.2">
      <c r="B30" s="6" t="s">
        <v>126</v>
      </c>
      <c r="C30" s="6">
        <f>IF(C29="wheeled",0.0325,0.014)</f>
        <v>1.4E-2</v>
      </c>
      <c r="F30" s="9"/>
      <c r="J30" s="53" t="s">
        <v>116</v>
      </c>
      <c r="K30" s="53"/>
      <c r="L30" s="53"/>
      <c r="U30" s="2">
        <v>26</v>
      </c>
      <c r="V30" s="2">
        <f t="shared" si="15"/>
        <v>2.07785964012146E-2</v>
      </c>
      <c r="W30" s="2">
        <f t="shared" si="0"/>
        <v>5.5810033192105202E-9</v>
      </c>
      <c r="X30" s="2">
        <f t="shared" si="16"/>
        <v>2.0778611302375793E-2</v>
      </c>
      <c r="Y30" s="2">
        <f t="shared" si="1"/>
        <v>-9.3449098424736032E-9</v>
      </c>
      <c r="Z30" s="2">
        <f t="shared" si="3"/>
        <v>2.0778603851795197E-2</v>
      </c>
      <c r="AA30" s="2">
        <f t="shared" si="2"/>
        <v>-1.8819532598968181E-9</v>
      </c>
      <c r="AB30" s="2">
        <f t="shared" si="4"/>
        <v>-1.05031873900832E-17</v>
      </c>
      <c r="AC30" s="2">
        <f t="shared" si="5"/>
        <v>1.7586683541485058E-17</v>
      </c>
      <c r="AD30" s="2">
        <f t="shared" si="6"/>
        <v>1.4901161193847656E-8</v>
      </c>
      <c r="AF30" s="2">
        <v>26</v>
      </c>
      <c r="AG30" s="2">
        <f t="shared" si="25"/>
        <v>2199.6379345655441</v>
      </c>
      <c r="AH30" s="2">
        <v>-2.1274612208799226E-5</v>
      </c>
      <c r="AI30" s="2">
        <f t="shared" si="26"/>
        <v>2199.6380686759949</v>
      </c>
      <c r="AJ30" s="2">
        <v>7.3581537208156078E-5</v>
      </c>
      <c r="AK30" s="2">
        <f t="shared" si="17"/>
        <v>2199.6380016207695</v>
      </c>
      <c r="AL30" s="2">
        <v>3.2991462603604305E-5</v>
      </c>
      <c r="AM30" s="2">
        <f t="shared" si="18"/>
        <v>-7.0188057309278325E-10</v>
      </c>
      <c r="AN30" s="2">
        <f t="shared" si="19"/>
        <v>2.4275625331186001E-9</v>
      </c>
      <c r="AO30" s="2">
        <f t="shared" si="20"/>
        <v>1.3411045074462891E-4</v>
      </c>
      <c r="AQ30" s="66"/>
      <c r="AR30" s="3">
        <f>0.065325*($AR$9/2)</f>
        <v>0.26129999999999998</v>
      </c>
      <c r="AS30" s="26" t="s">
        <v>8</v>
      </c>
      <c r="AT30"/>
      <c r="AU30" s="38" t="s">
        <v>205</v>
      </c>
      <c r="AV30" s="66" t="b">
        <f>IF(AV23&lt;0.00001,IF(AV24&lt;0.00001,IF(AV25&lt;0.00001,IF(AV26&lt;0.00001,IF(AV27&lt;0.00001,IF(AV28&lt;0.00001,IF(AV29&lt;0.00001,TRUE,FALSE),FALSE),FALSE),FALSE),FALSE),FALSE),FALSE)</f>
        <v>1</v>
      </c>
      <c r="AW30" s="66"/>
      <c r="AX30"/>
      <c r="AY30" s="62" t="s">
        <v>206</v>
      </c>
      <c r="AZ30" s="62"/>
      <c r="BA30" s="62"/>
      <c r="BB30"/>
      <c r="BC30" s="62" t="s">
        <v>220</v>
      </c>
      <c r="BD30" s="62"/>
      <c r="BE30" s="62"/>
      <c r="BF30"/>
      <c r="BG30" s="2" t="s">
        <v>183</v>
      </c>
      <c r="BH30" s="2">
        <f>IF(BH23=0,1,BH28*BH29)</f>
        <v>0.99967169951729373</v>
      </c>
      <c r="BI30" s="2"/>
      <c r="BJ30" s="2"/>
      <c r="BK30" s="2" t="s">
        <v>183</v>
      </c>
      <c r="BL30" s="2">
        <f>IF(BL23=0,1,BL28*BL29)</f>
        <v>0.99996153098348961</v>
      </c>
      <c r="BM30" s="2"/>
      <c r="BN30"/>
      <c r="BO30" s="2">
        <v>26</v>
      </c>
      <c r="BP30" s="2">
        <f t="shared" si="21"/>
        <v>0.21164132194691027</v>
      </c>
      <c r="BQ30" s="2">
        <v>-2.5133838907342998E-7</v>
      </c>
      <c r="BR30" s="2">
        <f t="shared" si="22"/>
        <v>0.21164140527472405</v>
      </c>
      <c r="BS30" s="2">
        <v>1.2762601656057804E-8</v>
      </c>
      <c r="BT30" s="2">
        <f t="shared" si="7"/>
        <v>0.21164136361081715</v>
      </c>
      <c r="BU30" s="2">
        <v>-1.1928787865822521E-7</v>
      </c>
      <c r="BV30" s="2">
        <f t="shared" si="8"/>
        <v>2.9981623257945115E-14</v>
      </c>
      <c r="BW30" s="2">
        <f t="shared" si="9"/>
        <v>-1.5224236777110875E-15</v>
      </c>
      <c r="BX30" s="2">
        <f t="shared" si="10"/>
        <v>8.3327813787947846E-8</v>
      </c>
      <c r="BY30"/>
      <c r="BZ30" s="2">
        <v>26</v>
      </c>
      <c r="CA30" s="2">
        <f t="shared" si="23"/>
        <v>0.16675679504620258</v>
      </c>
      <c r="CB30" s="2">
        <v>-1.4006235590779958E-7</v>
      </c>
      <c r="CC30" s="2">
        <f t="shared" si="24"/>
        <v>0.16675687837401637</v>
      </c>
      <c r="CD30" s="2">
        <v>9.4834279831812474E-8</v>
      </c>
      <c r="CE30" s="2">
        <f t="shared" si="11"/>
        <v>0.16675683671010949</v>
      </c>
      <c r="CF30" s="2">
        <v>-2.2614019885847103E-8</v>
      </c>
      <c r="CG30" s="2">
        <f t="shared" si="12"/>
        <v>3.1673729017575741E-15</v>
      </c>
      <c r="CH30" s="2">
        <f t="shared" si="13"/>
        <v>-2.1445842899765963E-15</v>
      </c>
      <c r="CI30" s="2">
        <f t="shared" si="14"/>
        <v>8.3327813787947846E-8</v>
      </c>
    </row>
    <row r="31" spans="2:87" x14ac:dyDescent="0.2">
      <c r="B31" t="s">
        <v>261</v>
      </c>
      <c r="C31" s="1">
        <v>2.8540374719999999</v>
      </c>
      <c r="D31" t="s">
        <v>8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2.07785964012146E-2</v>
      </c>
      <c r="W31" s="2">
        <f t="shared" si="0"/>
        <v>5.5810033192105202E-9</v>
      </c>
      <c r="X31" s="2">
        <f t="shared" si="16"/>
        <v>2.0778603851795197E-2</v>
      </c>
      <c r="Y31" s="2">
        <f t="shared" si="1"/>
        <v>-1.8819532598968181E-9</v>
      </c>
      <c r="Z31" s="2">
        <f t="shared" si="3"/>
        <v>2.0778600126504898E-2</v>
      </c>
      <c r="AA31" s="2">
        <f t="shared" si="2"/>
        <v>1.8495250296568511E-9</v>
      </c>
      <c r="AB31" s="2">
        <f t="shared" si="4"/>
        <v>1.0322205329477822E-17</v>
      </c>
      <c r="AC31" s="2">
        <f t="shared" si="5"/>
        <v>-3.4807196588234699E-18</v>
      </c>
      <c r="AD31" s="2">
        <f t="shared" si="6"/>
        <v>7.4505805969238281E-9</v>
      </c>
      <c r="AF31" s="2">
        <v>27</v>
      </c>
      <c r="AG31" s="2">
        <f t="shared" si="25"/>
        <v>2199.6379345655441</v>
      </c>
      <c r="AH31" s="2">
        <v>-2.1274612208799226E-5</v>
      </c>
      <c r="AI31" s="2">
        <f t="shared" si="26"/>
        <v>2199.6380016207695</v>
      </c>
      <c r="AJ31" s="2">
        <v>3.2991462603604305E-5</v>
      </c>
      <c r="AK31" s="2">
        <f t="shared" si="17"/>
        <v>2199.6379680931568</v>
      </c>
      <c r="AL31" s="2">
        <v>1.2696424164460041E-5</v>
      </c>
      <c r="AM31" s="2">
        <f t="shared" si="18"/>
        <v>-2.701115005373151E-10</v>
      </c>
      <c r="AN31" s="2">
        <f t="shared" si="19"/>
        <v>4.1887360302128146E-10</v>
      </c>
      <c r="AO31" s="2">
        <f t="shared" si="20"/>
        <v>6.7055225372314453E-5</v>
      </c>
      <c r="AQ31" s="66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0.64850114497394684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0.63561108987502191</v>
      </c>
      <c r="BM31" s="2"/>
      <c r="BN31"/>
      <c r="BO31" s="2">
        <v>27</v>
      </c>
      <c r="BP31" s="2">
        <f t="shared" si="21"/>
        <v>0.21164136361081715</v>
      </c>
      <c r="BQ31" s="2">
        <v>-1.1928787865822521E-7</v>
      </c>
      <c r="BR31" s="2">
        <f t="shared" si="22"/>
        <v>0.21164140527472405</v>
      </c>
      <c r="BS31" s="2">
        <v>1.2762601656057804E-8</v>
      </c>
      <c r="BT31" s="2">
        <f t="shared" si="7"/>
        <v>0.21164138444277059</v>
      </c>
      <c r="BU31" s="2">
        <v>-5.3262634747142101E-8</v>
      </c>
      <c r="BV31" s="2">
        <f t="shared" si="8"/>
        <v>6.3535867107344569E-15</v>
      </c>
      <c r="BW31" s="2">
        <f t="shared" si="9"/>
        <v>-6.7976979042987766E-16</v>
      </c>
      <c r="BX31" s="2">
        <f t="shared" si="10"/>
        <v>4.1663906907851711E-8</v>
      </c>
      <c r="BY31"/>
      <c r="BZ31" s="2">
        <v>27</v>
      </c>
      <c r="CA31" s="2">
        <f t="shared" si="23"/>
        <v>0.16675683671010949</v>
      </c>
      <c r="CB31" s="2">
        <v>-2.2614019885847103E-8</v>
      </c>
      <c r="CC31" s="2">
        <f t="shared" si="24"/>
        <v>0.16675687837401637</v>
      </c>
      <c r="CD31" s="2">
        <v>9.4834279831812474E-8</v>
      </c>
      <c r="CE31" s="2">
        <f t="shared" si="11"/>
        <v>0.16675685754206293</v>
      </c>
      <c r="CF31" s="2">
        <v>3.6110134493672064E-8</v>
      </c>
      <c r="CG31" s="2">
        <f t="shared" si="12"/>
        <v>-8.1659529952051344E-16</v>
      </c>
      <c r="CH31" s="2">
        <f t="shared" si="13"/>
        <v>3.4244785993372806E-15</v>
      </c>
      <c r="CI31" s="2">
        <f t="shared" si="14"/>
        <v>4.1663906880096135E-8</v>
      </c>
    </row>
    <row r="32" spans="2:87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795.36</v>
      </c>
      <c r="L32" s="6" t="s">
        <v>7</v>
      </c>
      <c r="U32" s="2">
        <v>28</v>
      </c>
      <c r="V32" s="2">
        <f t="shared" si="15"/>
        <v>2.0778600126504898E-2</v>
      </c>
      <c r="W32" s="2">
        <f t="shared" si="0"/>
        <v>1.8495250296568511E-9</v>
      </c>
      <c r="X32" s="2">
        <f t="shared" si="16"/>
        <v>2.0778603851795197E-2</v>
      </c>
      <c r="Y32" s="2">
        <f t="shared" si="1"/>
        <v>-1.8819532598968181E-9</v>
      </c>
      <c r="Z32" s="2">
        <f t="shared" si="3"/>
        <v>2.0778601989150047E-2</v>
      </c>
      <c r="AA32" s="2">
        <f t="shared" si="2"/>
        <v>-1.6214113385260021E-11</v>
      </c>
      <c r="AB32" s="2">
        <f t="shared" si="4"/>
        <v>-2.9988408539732585E-20</v>
      </c>
      <c r="AC32" s="2">
        <f t="shared" si="5"/>
        <v>3.0514203541726728E-20</v>
      </c>
      <c r="AD32" s="2">
        <f t="shared" si="6"/>
        <v>3.7252902984619141E-9</v>
      </c>
      <c r="AF32" s="2">
        <v>28</v>
      </c>
      <c r="AG32" s="2">
        <f t="shared" si="25"/>
        <v>2199.6379345655441</v>
      </c>
      <c r="AH32" s="2">
        <v>-2.1274612208799226E-5</v>
      </c>
      <c r="AI32" s="2">
        <f t="shared" si="26"/>
        <v>2199.6379680931568</v>
      </c>
      <c r="AJ32" s="2">
        <v>1.2696424164460041E-5</v>
      </c>
      <c r="AK32" s="2">
        <f t="shared" si="17"/>
        <v>2199.6379513293505</v>
      </c>
      <c r="AL32" s="2">
        <v>2.5489048312010709E-6</v>
      </c>
      <c r="AM32" s="2">
        <f t="shared" si="18"/>
        <v>-5.4226961840937634E-11</v>
      </c>
      <c r="AN32" s="2">
        <f t="shared" si="19"/>
        <v>3.2361976891770218E-11</v>
      </c>
      <c r="AO32" s="2">
        <f t="shared" si="20"/>
        <v>3.3527612686157227E-5</v>
      </c>
      <c r="AQ32" s="66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9.1088510257843307</v>
      </c>
      <c r="BA32" s="26" t="s">
        <v>10</v>
      </c>
      <c r="BB32"/>
      <c r="BC32" s="2" t="s">
        <v>158</v>
      </c>
      <c r="BD32" s="2">
        <f>(1+$BL$75)*$AR$3</f>
        <v>9.1564729022839053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2.1808968780703365E-2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2.2237637247308303E-2</v>
      </c>
      <c r="BM32" s="2"/>
      <c r="BN32"/>
      <c r="BO32" s="2">
        <v>28</v>
      </c>
      <c r="BP32" s="2">
        <f t="shared" si="21"/>
        <v>0.21164138444277059</v>
      </c>
      <c r="BQ32" s="2">
        <v>-5.3262634747142101E-8</v>
      </c>
      <c r="BR32" s="2">
        <f t="shared" si="22"/>
        <v>0.21164140527472405</v>
      </c>
      <c r="BS32" s="2">
        <v>1.2762601656057804E-8</v>
      </c>
      <c r="BT32" s="2">
        <f t="shared" si="7"/>
        <v>0.21164139485874733</v>
      </c>
      <c r="BU32" s="2">
        <v>-2.0250015608791472E-8</v>
      </c>
      <c r="BV32" s="2">
        <f t="shared" si="8"/>
        <v>1.0785691849949866E-15</v>
      </c>
      <c r="BW32" s="2">
        <f t="shared" si="9"/>
        <v>-2.5844288274395843E-16</v>
      </c>
      <c r="BX32" s="2">
        <f t="shared" si="10"/>
        <v>2.0831953467803643E-8</v>
      </c>
      <c r="BY32"/>
      <c r="BZ32" s="2">
        <v>28</v>
      </c>
      <c r="CA32" s="2">
        <f t="shared" si="23"/>
        <v>0.16675683671010949</v>
      </c>
      <c r="CB32" s="2">
        <v>-2.2614019885847103E-8</v>
      </c>
      <c r="CC32" s="2">
        <f t="shared" si="24"/>
        <v>0.16675685754206293</v>
      </c>
      <c r="CD32" s="2">
        <v>3.6110134493672064E-8</v>
      </c>
      <c r="CE32" s="2">
        <f t="shared" si="11"/>
        <v>0.16675684712608621</v>
      </c>
      <c r="CF32" s="2">
        <v>6.7480584939327848E-9</v>
      </c>
      <c r="CG32" s="2">
        <f t="shared" si="12"/>
        <v>-1.5260072897265544E-16</v>
      </c>
      <c r="CH32" s="2">
        <f t="shared" si="13"/>
        <v>2.4367329978707902E-16</v>
      </c>
      <c r="CI32" s="2">
        <f t="shared" si="14"/>
        <v>2.0831953440048068E-8</v>
      </c>
    </row>
    <row r="33" spans="2:87" x14ac:dyDescent="0.2">
      <c r="J33" s="19" t="s">
        <v>81</v>
      </c>
      <c r="K33" s="6">
        <f>ROUND(SUM(K14:K17),2)</f>
        <v>519.15</v>
      </c>
      <c r="L33" s="6" t="s">
        <v>7</v>
      </c>
      <c r="U33" s="2">
        <v>29</v>
      </c>
      <c r="V33" s="2">
        <f t="shared" si="15"/>
        <v>2.0778600126504898E-2</v>
      </c>
      <c r="W33" s="2">
        <f t="shared" si="0"/>
        <v>1.8495250296568511E-9</v>
      </c>
      <c r="X33" s="2">
        <f t="shared" si="16"/>
        <v>2.0778601989150047E-2</v>
      </c>
      <c r="Y33" s="2">
        <f t="shared" si="1"/>
        <v>-1.6214113385260021E-11</v>
      </c>
      <c r="Z33" s="2">
        <f t="shared" si="3"/>
        <v>2.0778601057827473E-2</v>
      </c>
      <c r="AA33" s="2">
        <f t="shared" si="2"/>
        <v>9.1665545640107204E-10</v>
      </c>
      <c r="AB33" s="2">
        <f t="shared" si="4"/>
        <v>1.6953772101853071E-18</v>
      </c>
      <c r="AC33" s="2">
        <f t="shared" si="5"/>
        <v>-1.4862755505304255E-20</v>
      </c>
      <c r="AD33" s="2">
        <f t="shared" si="6"/>
        <v>1.862645149230957E-9</v>
      </c>
      <c r="AF33" s="2">
        <v>29</v>
      </c>
      <c r="AG33" s="2">
        <f t="shared" si="25"/>
        <v>2199.6379345655441</v>
      </c>
      <c r="AH33" s="2">
        <v>-2.1274612208799226E-5</v>
      </c>
      <c r="AI33" s="2">
        <f t="shared" si="26"/>
        <v>2199.6379513293505</v>
      </c>
      <c r="AJ33" s="2">
        <v>2.5489048312010709E-6</v>
      </c>
      <c r="AK33" s="2">
        <f t="shared" si="17"/>
        <v>2199.6379429474473</v>
      </c>
      <c r="AL33" s="2">
        <v>-2.5248539259337122E-6</v>
      </c>
      <c r="AM33" s="2">
        <f t="shared" si="18"/>
        <v>5.371528815810401E-11</v>
      </c>
      <c r="AN33" s="2">
        <f t="shared" si="19"/>
        <v>-6.4356123698894298E-12</v>
      </c>
      <c r="AO33" s="2">
        <f t="shared" si="20"/>
        <v>1.6763806343078613E-5</v>
      </c>
      <c r="AQ33" s="66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123.18020396939714</v>
      </c>
      <c r="BA33" s="26" t="s">
        <v>10</v>
      </c>
      <c r="BB33"/>
      <c r="BC33" s="2" t="s">
        <v>163</v>
      </c>
      <c r="BD33" s="2">
        <f>(1-$BL$76)*$AV$5*$AR$26</f>
        <v>139.35622576038062</v>
      </c>
      <c r="BE33" s="26" t="s">
        <v>10</v>
      </c>
      <c r="BF33"/>
      <c r="BG33" s="2" t="s">
        <v>190</v>
      </c>
      <c r="BH33" s="2">
        <f xml:space="preserve"> BH31*COS(BH23) - BH32*SIN(BH23)</f>
        <v>0.63929230284993899</v>
      </c>
      <c r="BI33" s="2"/>
      <c r="BJ33"/>
      <c r="BK33" s="2" t="s">
        <v>190</v>
      </c>
      <c r="BL33" s="2">
        <f xml:space="preserve"> BL31*COS(BL23) - BL32*SIN(BL23)</f>
        <v>0.62864325756244954</v>
      </c>
      <c r="BM33" s="2"/>
      <c r="BN33"/>
      <c r="BO33" s="2">
        <v>29</v>
      </c>
      <c r="BP33" s="2">
        <f t="shared" si="21"/>
        <v>0.21164139485874733</v>
      </c>
      <c r="BQ33" s="2">
        <v>-2.0250015608791472E-8</v>
      </c>
      <c r="BR33" s="2">
        <f t="shared" si="22"/>
        <v>0.21164140527472405</v>
      </c>
      <c r="BS33" s="2">
        <v>1.2762601656057804E-8</v>
      </c>
      <c r="BT33" s="2">
        <f t="shared" si="7"/>
        <v>0.21164140006673571</v>
      </c>
      <c r="BU33" s="2">
        <v>-3.7437067057499718E-9</v>
      </c>
      <c r="BV33" s="2">
        <f t="shared" si="8"/>
        <v>7.5810119226174225E-17</v>
      </c>
      <c r="BW33" s="2">
        <f t="shared" si="9"/>
        <v>-4.7779437402599294E-17</v>
      </c>
      <c r="BX33" s="2">
        <f t="shared" si="10"/>
        <v>1.0415976720024034E-8</v>
      </c>
      <c r="BY33"/>
      <c r="BZ33" s="2">
        <v>29</v>
      </c>
      <c r="CA33" s="2">
        <f t="shared" si="23"/>
        <v>0.16675683671010949</v>
      </c>
      <c r="CB33" s="2">
        <v>-2.2614019885847103E-8</v>
      </c>
      <c r="CC33" s="2">
        <f t="shared" si="24"/>
        <v>0.16675684712608621</v>
      </c>
      <c r="CD33" s="2">
        <v>6.7480584939327848E-9</v>
      </c>
      <c r="CE33" s="2">
        <f t="shared" si="11"/>
        <v>0.16675684191809786</v>
      </c>
      <c r="CF33" s="2">
        <v>-7.9329804253402969E-9</v>
      </c>
      <c r="CG33" s="2">
        <f t="shared" si="12"/>
        <v>1.7939657709268128E-16</v>
      </c>
      <c r="CH33" s="2">
        <f t="shared" si="13"/>
        <v>-5.3532215941420108E-17</v>
      </c>
      <c r="CI33" s="2">
        <f t="shared" si="14"/>
        <v>1.0415976720024034E-8</v>
      </c>
    </row>
    <row r="34" spans="2:87" x14ac:dyDescent="0.2">
      <c r="B34" s="53" t="s">
        <v>2</v>
      </c>
      <c r="C34" s="53"/>
      <c r="D34" s="53"/>
      <c r="J34" s="20" t="s">
        <v>72</v>
      </c>
      <c r="K34" s="6">
        <f>ROUND(SUM(K18:K22),2)</f>
        <v>179.3</v>
      </c>
      <c r="L34" s="6" t="s">
        <v>7</v>
      </c>
      <c r="U34" s="2">
        <v>30</v>
      </c>
      <c r="V34" s="2">
        <f t="shared" si="15"/>
        <v>2.0778601057827473E-2</v>
      </c>
      <c r="W34" s="2">
        <f t="shared" si="0"/>
        <v>9.1665545640107204E-10</v>
      </c>
      <c r="X34" s="2">
        <f t="shared" si="16"/>
        <v>2.0778601989150047E-2</v>
      </c>
      <c r="Y34" s="2">
        <f t="shared" si="1"/>
        <v>-1.6214113385260021E-11</v>
      </c>
      <c r="Z34" s="2">
        <f t="shared" si="3"/>
        <v>2.077860152348876E-2</v>
      </c>
      <c r="AA34" s="2">
        <f t="shared" si="2"/>
        <v>4.5022066977318254E-10</v>
      </c>
      <c r="AB34" s="2">
        <f t="shared" si="4"/>
        <v>4.1269723353213299E-19</v>
      </c>
      <c r="AC34" s="2">
        <f t="shared" si="5"/>
        <v>-7.2999289880900905E-21</v>
      </c>
      <c r="AD34" s="2">
        <f>X34-V34</f>
        <v>9.3132257461547852E-10</v>
      </c>
      <c r="AF34" s="2">
        <v>30</v>
      </c>
      <c r="AG34" s="2">
        <f t="shared" si="25"/>
        <v>2199.6379429474473</v>
      </c>
      <c r="AH34" s="2">
        <v>-2.5248539259337122E-6</v>
      </c>
      <c r="AI34" s="2">
        <f t="shared" si="26"/>
        <v>2199.6379513293505</v>
      </c>
      <c r="AJ34" s="2">
        <v>2.5489048312010709E-6</v>
      </c>
      <c r="AK34" s="2">
        <f t="shared" si="17"/>
        <v>2199.6379471383989</v>
      </c>
      <c r="AL34" s="2">
        <v>1.2025338946841657E-8</v>
      </c>
      <c r="AM34" s="2">
        <f t="shared" si="18"/>
        <v>-3.036222425061673E-14</v>
      </c>
      <c r="AN34" s="2">
        <f t="shared" si="19"/>
        <v>3.0651444538435098E-14</v>
      </c>
      <c r="AO34" s="2">
        <f t="shared" si="20"/>
        <v>8.3819031715393066E-6</v>
      </c>
      <c r="AQ34" s="66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123.51653256528947</v>
      </c>
      <c r="BA34" s="26" t="s">
        <v>10</v>
      </c>
      <c r="BB34"/>
      <c r="BC34" s="2" t="s">
        <v>167</v>
      </c>
      <c r="BD34" s="2">
        <f>SQRT(BD32^2 + BD33^2)</f>
        <v>139.65671718248439</v>
      </c>
      <c r="BE34" s="26" t="s">
        <v>10</v>
      </c>
      <c r="BF34"/>
      <c r="BG34" s="2" t="s">
        <v>192</v>
      </c>
      <c r="BH34" s="2">
        <f xml:space="preserve"> BH31*SIN(BH23) + BH32*COS(BH23)</f>
        <v>0.11106177411071552</v>
      </c>
      <c r="BI34" s="2"/>
      <c r="BJ34"/>
      <c r="BK34" s="2" t="s">
        <v>192</v>
      </c>
      <c r="BL34" s="2">
        <f xml:space="preserve"> BL31*SIN(BL23) + BL32*COS(BL23)</f>
        <v>9.645529951084969E-2</v>
      </c>
      <c r="BM34" s="2"/>
      <c r="BN34"/>
      <c r="BO34" s="2">
        <v>30</v>
      </c>
      <c r="BP34" s="2">
        <f t="shared" si="21"/>
        <v>0.21164140006673571</v>
      </c>
      <c r="BQ34" s="2">
        <v>-3.7437067057499718E-9</v>
      </c>
      <c r="BR34" s="2">
        <f t="shared" si="22"/>
        <v>0.21164140527472405</v>
      </c>
      <c r="BS34" s="2">
        <v>1.2762601656057804E-8</v>
      </c>
      <c r="BT34" s="5">
        <f t="shared" si="7"/>
        <v>0.21164140267072989</v>
      </c>
      <c r="BU34" s="2">
        <v>4.5094475792373245E-9</v>
      </c>
      <c r="BV34" s="2">
        <f t="shared" si="8"/>
        <v>-1.6882049141618749E-17</v>
      </c>
      <c r="BW34" s="2">
        <f t="shared" si="9"/>
        <v>5.7552283142680137E-17</v>
      </c>
      <c r="BX34" s="2">
        <f t="shared" si="10"/>
        <v>5.2079883461342291E-9</v>
      </c>
      <c r="BY34"/>
      <c r="BZ34" s="2">
        <v>30</v>
      </c>
      <c r="CA34" s="2">
        <f t="shared" si="23"/>
        <v>0.16675684191809786</v>
      </c>
      <c r="CB34" s="2">
        <v>-7.9329804253402969E-9</v>
      </c>
      <c r="CC34" s="2">
        <f t="shared" si="24"/>
        <v>0.16675684712608621</v>
      </c>
      <c r="CD34" s="2">
        <v>6.7480584939327848E-9</v>
      </c>
      <c r="CE34" s="5">
        <f t="shared" si="11"/>
        <v>0.16675684452209205</v>
      </c>
      <c r="CF34" s="2">
        <v>-5.9246087896758226E-10</v>
      </c>
      <c r="CG34" s="2">
        <f t="shared" si="12"/>
        <v>4.6999805556297368E-18</v>
      </c>
      <c r="CH34" s="2">
        <f t="shared" si="13"/>
        <v>-3.9979606666400768E-18</v>
      </c>
      <c r="CI34" s="2">
        <f t="shared" si="14"/>
        <v>5.2079883461342291E-9</v>
      </c>
    </row>
    <row r="35" spans="2:87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105.82</v>
      </c>
      <c r="L35" s="6" t="s">
        <v>7</v>
      </c>
      <c r="AF35" s="2">
        <v>31</v>
      </c>
      <c r="AG35" s="2">
        <f t="shared" si="25"/>
        <v>2199.6379429474473</v>
      </c>
      <c r="AH35" s="2">
        <v>-2.5248539259337122E-6</v>
      </c>
      <c r="AI35" s="2">
        <f t="shared" si="26"/>
        <v>2199.6379471383989</v>
      </c>
      <c r="AJ35" s="2">
        <v>1.2025338946841657E-8</v>
      </c>
      <c r="AK35" s="2">
        <f t="shared" si="17"/>
        <v>2199.6379450429231</v>
      </c>
      <c r="AL35" s="2">
        <v>-1.2564146345539484E-6</v>
      </c>
      <c r="AM35" s="2">
        <f t="shared" si="18"/>
        <v>3.1722634226541069E-12</v>
      </c>
      <c r="AN35" s="2">
        <f t="shared" si="19"/>
        <v>-1.5108811838283424E-14</v>
      </c>
      <c r="AO35" s="2">
        <f t="shared" si="20"/>
        <v>4.1909515857696533E-6</v>
      </c>
      <c r="AQ35" s="66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1750756.040098923</v>
      </c>
      <c r="BA35" s="26"/>
      <c r="BB35"/>
      <c r="BC35" s="2" t="s">
        <v>170</v>
      </c>
      <c r="BD35" s="37">
        <f>$AR$45*BD34*$AR$34/$AR$46</f>
        <v>1910954.372430505</v>
      </c>
      <c r="BE35" s="26"/>
      <c r="BF35"/>
      <c r="BG35" s="2" t="s">
        <v>38</v>
      </c>
      <c r="BH35" s="2">
        <f xml:space="preserve"> 4*BH30*SIN(BH23)*SIN(BH23) / (BH27*BH33)</f>
        <v>1.4615845644654686</v>
      </c>
      <c r="BI35" s="2"/>
      <c r="BJ35"/>
      <c r="BK35" s="2" t="s">
        <v>38</v>
      </c>
      <c r="BL35" s="2">
        <f xml:space="preserve"> 4*BL30*SIN(BL23)*SIN(BL23) / (BL27*BL33)</f>
        <v>1.4103503025257655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5</v>
      </c>
      <c r="C36" s="17">
        <v>0.85</v>
      </c>
      <c r="J36" s="10" t="s">
        <v>62</v>
      </c>
      <c r="K36" s="10">
        <f>SUM(K31:K35)</f>
        <v>2199.6300000000006</v>
      </c>
      <c r="L36" s="6" t="s">
        <v>7</v>
      </c>
      <c r="AF36" s="2">
        <v>32</v>
      </c>
      <c r="AG36" s="2">
        <f t="shared" si="25"/>
        <v>2199.6379450429231</v>
      </c>
      <c r="AH36" s="2">
        <v>-1.2564146345539484E-6</v>
      </c>
      <c r="AI36" s="2">
        <f t="shared" si="26"/>
        <v>2199.6379471383989</v>
      </c>
      <c r="AJ36" s="2">
        <v>1.2025338946841657E-8</v>
      </c>
      <c r="AK36" s="2">
        <f t="shared" si="17"/>
        <v>2199.637946090661</v>
      </c>
      <c r="AL36" s="2">
        <v>-6.2219260144047439E-7</v>
      </c>
      <c r="AM36" s="2">
        <f t="shared" si="18"/>
        <v>7.8173188996100411E-13</v>
      </c>
      <c r="AN36" s="2">
        <f t="shared" si="19"/>
        <v>-7.4820769225388653E-15</v>
      </c>
      <c r="AO36" s="2">
        <f t="shared" si="20"/>
        <v>2.0954757928848267E-6</v>
      </c>
      <c r="AQ36" s="66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1135.7882198279981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1092.5750440860913</v>
      </c>
      <c r="BE36" s="26" t="s">
        <v>22</v>
      </c>
      <c r="BF36"/>
      <c r="BG36" s="2" t="s">
        <v>194</v>
      </c>
      <c r="BH36" s="2">
        <f xml:space="preserve"> 4*BH30*SIN(BH23)*COS(BH23) / (BH27*BH34)</f>
        <v>60.403489425298659</v>
      </c>
      <c r="BI36" s="2"/>
      <c r="BJ36"/>
      <c r="BK36" s="2" t="s">
        <v>194</v>
      </c>
      <c r="BL36" s="2">
        <f xml:space="preserve"> 4*BL30*SIN(BL23)*COS(BL23) / (BL27*BL34)</f>
        <v>78.019486061246752</v>
      </c>
      <c r="BM36" s="2"/>
      <c r="BN36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Y36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B37" s="6" t="s">
        <v>6</v>
      </c>
      <c r="C37" s="17">
        <v>0.8</v>
      </c>
      <c r="AF37" s="2">
        <v>33</v>
      </c>
      <c r="AG37" s="2">
        <f t="shared" si="25"/>
        <v>2199.637946090661</v>
      </c>
      <c r="AH37" s="2">
        <v>-6.2219260144047439E-7</v>
      </c>
      <c r="AI37" s="2">
        <f t="shared" si="26"/>
        <v>2199.6379471383989</v>
      </c>
      <c r="AJ37" s="2">
        <v>1.2025338946841657E-8</v>
      </c>
      <c r="AK37" s="2">
        <f t="shared" si="17"/>
        <v>2199.6379466145299</v>
      </c>
      <c r="AL37" s="2">
        <v>-3.0508454074151814E-7</v>
      </c>
      <c r="AM37" s="2">
        <f t="shared" si="18"/>
        <v>1.8982134406323757E-13</v>
      </c>
      <c r="AN37" s="2">
        <f t="shared" si="19"/>
        <v>-3.6687450098582784E-15</v>
      </c>
      <c r="AO37" s="2">
        <f t="shared" si="20"/>
        <v>1.0477378964424133E-6</v>
      </c>
      <c r="AQ37" s="66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524.30000878124952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673.36562802642106</v>
      </c>
      <c r="BE37" s="26" t="s">
        <v>179</v>
      </c>
      <c r="BF37"/>
      <c r="BG37" s="2" t="s">
        <v>45</v>
      </c>
      <c r="BH37" s="2">
        <f>1/(BH35-1)</f>
        <v>2.1664502606538321</v>
      </c>
      <c r="BI37" s="2"/>
      <c r="BJ37"/>
      <c r="BK37" s="2" t="s">
        <v>45</v>
      </c>
      <c r="BL37" s="2">
        <f>1/(BL35-1)</f>
        <v>2.4369422755261909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J38" s="53" t="s">
        <v>59</v>
      </c>
      <c r="K38" s="53"/>
      <c r="L38" s="53"/>
      <c r="AF38" s="2">
        <v>34</v>
      </c>
      <c r="AG38" s="2">
        <f t="shared" si="25"/>
        <v>2199.6379466145299</v>
      </c>
      <c r="AH38" s="2">
        <v>-3.0508454074151814E-7</v>
      </c>
      <c r="AI38" s="2">
        <f t="shared" si="26"/>
        <v>2199.6379471383989</v>
      </c>
      <c r="AJ38" s="2">
        <v>1.2025338946841657E-8</v>
      </c>
      <c r="AK38" s="2">
        <f t="shared" si="17"/>
        <v>2199.6379468764644</v>
      </c>
      <c r="AL38" s="2">
        <v>-1.4652914614998735E-7</v>
      </c>
      <c r="AM38" s="2">
        <f t="shared" si="18"/>
        <v>4.4703777258415683E-14</v>
      </c>
      <c r="AN38" s="2">
        <f t="shared" si="19"/>
        <v>-1.7620626480448962E-15</v>
      </c>
      <c r="AO38" s="2">
        <f t="shared" si="20"/>
        <v>5.2386894822120667E-7</v>
      </c>
      <c r="AQ38" s="66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1.6285719416916283E-2</v>
      </c>
      <c r="BI38" s="2"/>
      <c r="BJ38"/>
      <c r="BK38" s="2" t="s">
        <v>197</v>
      </c>
      <c r="BL38" s="2">
        <f>1/(BL36+1)</f>
        <v>1.2655106352184016E-2</v>
      </c>
      <c r="BM38" s="2"/>
      <c r="BN38"/>
      <c r="BO38" s="30">
        <v>0</v>
      </c>
      <c r="BP38" s="30"/>
      <c r="BQ38" s="30">
        <f>$BH$39</f>
        <v>5.4337276067517593E-9</v>
      </c>
      <c r="BR38" s="30"/>
      <c r="BS38" s="30">
        <f>$BH$39</f>
        <v>5.4337276067517593E-9</v>
      </c>
      <c r="BT38" s="30"/>
      <c r="BU38" s="30">
        <f>$BH$39</f>
        <v>5.4337276067517593E-9</v>
      </c>
      <c r="BV38" s="30"/>
      <c r="BW38" s="30"/>
      <c r="BX38" s="30"/>
      <c r="BY38"/>
      <c r="BZ38" s="30">
        <v>0</v>
      </c>
      <c r="CA38" s="30"/>
      <c r="CB38" s="30">
        <f>$BL$39</f>
        <v>-2.5539294845611238E-9</v>
      </c>
      <c r="CC38" s="30"/>
      <c r="CD38" s="30">
        <f>$BL$39</f>
        <v>-2.5539294845611238E-9</v>
      </c>
      <c r="CE38" s="30"/>
      <c r="CF38" s="30">
        <f>$BL$39</f>
        <v>-2.5539294845611238E-9</v>
      </c>
      <c r="CG38" s="30"/>
      <c r="CH38" s="30"/>
      <c r="CI38" s="30"/>
    </row>
    <row r="39" spans="2:87" x14ac:dyDescent="0.2">
      <c r="B39" s="53" t="s">
        <v>272</v>
      </c>
      <c r="C39" s="54"/>
      <c r="D39" s="54"/>
      <c r="J39" s="6" t="s">
        <v>60</v>
      </c>
      <c r="K39" s="6">
        <f>ROUND($C$13/$C$5 * 100, 2)</f>
        <v>27.28</v>
      </c>
      <c r="L39" s="6" t="s">
        <v>61</v>
      </c>
      <c r="AF39" s="2">
        <v>35</v>
      </c>
      <c r="AG39" s="2">
        <f t="shared" si="25"/>
        <v>2199.6379468764644</v>
      </c>
      <c r="AH39" s="2">
        <v>-1.4652914614998735E-7</v>
      </c>
      <c r="AI39" s="2">
        <f t="shared" si="26"/>
        <v>2199.6379471383989</v>
      </c>
      <c r="AJ39" s="2">
        <v>-1.4652914614998735E-7</v>
      </c>
      <c r="AK39" s="2">
        <f t="shared" si="17"/>
        <v>2199.6379470074316</v>
      </c>
      <c r="AL39" s="2">
        <v>-1.4652914614998735E-7</v>
      </c>
      <c r="AM39" s="2">
        <f t="shared" si="18"/>
        <v>2.1470790671444354E-14</v>
      </c>
      <c r="AN39" s="2">
        <f t="shared" si="19"/>
        <v>2.1470790671444354E-14</v>
      </c>
      <c r="AO39" s="2">
        <f t="shared" si="20"/>
        <v>2.6193447411060333E-7</v>
      </c>
      <c r="AQ39" s="66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5.4337276067517593E-9</v>
      </c>
      <c r="BI39" s="40"/>
      <c r="BJ39"/>
      <c r="BK39" s="7" t="s">
        <v>199</v>
      </c>
      <c r="BL39" s="40">
        <f>SIN(BL23)/(1+BL37) - $AR$3*COS(BL23)/($AV$5*$AR$22*(1-BL38))</f>
        <v>-2.5539294845611238E-9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-0.84941800375191279</v>
      </c>
      <c r="BR39" s="3">
        <f>0.9*PI()</f>
        <v>2.8274333882308138</v>
      </c>
      <c r="BS39" s="2">
        <f t="dataTable" ref="BS39:BS68" dt2D="0" dtr="0" r1="BH23" ca="1"/>
        <v>0.40071946721134732</v>
      </c>
      <c r="BT39" s="2">
        <f t="shared" ref="BT39:BT68" si="27">(BP39+BR39)/2</f>
        <v>1.4294246573833558</v>
      </c>
      <c r="BU39" s="2">
        <f t="dataTable" ref="BU39:BU68" dt2D="0" dtr="0" r1="BH23"/>
        <v>1.0206130325018359</v>
      </c>
      <c r="BV39" s="2">
        <f t="shared" ref="BV39:BV68" si="28">BQ39*BU39</f>
        <v>-0.86692708467089552</v>
      </c>
      <c r="BW39" s="2">
        <f t="shared" ref="BW39:BW68" si="29">BS39*BU39</f>
        <v>0.40897951061309318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-0.57847689812257175</v>
      </c>
      <c r="CC39" s="3">
        <f>0.9*PI()</f>
        <v>2.8274333882308138</v>
      </c>
      <c r="CD39" s="2">
        <f t="dataTable" ref="CD39:CD68" dt2D="0" dtr="0" r1="BL23" ca="1"/>
        <v>0.37932440325865435</v>
      </c>
      <c r="CE39" s="2">
        <f t="shared" ref="CE39:CE68" si="31">(CA39+CC39)/2</f>
        <v>1.4294246573833558</v>
      </c>
      <c r="CF39" s="2">
        <f t="dataTable" ref="CF39:CF68" dt2D="0" dtr="0" r1="BL23" ca="1"/>
        <v>1.0152037066455257</v>
      </c>
      <c r="CG39" s="2">
        <f t="shared" ref="CG39:CG68" si="32">CB39*CF39</f>
        <v>-0.58727189118284095</v>
      </c>
      <c r="CH39" s="2">
        <f t="shared" ref="CH39:CH68" si="33">CD39*CF39</f>
        <v>0.38509154020928804</v>
      </c>
      <c r="CI39" s="2">
        <f t="shared" ref="CI39:CI68" si="34">CC39-CA39</f>
        <v>2.7960174616949161</v>
      </c>
    </row>
    <row r="40" spans="2:87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36.159999999999997</v>
      </c>
      <c r="L40" s="6" t="s">
        <v>61</v>
      </c>
      <c r="AF40" s="2">
        <v>36</v>
      </c>
      <c r="AG40" s="2">
        <f t="shared" si="25"/>
        <v>2199.6379470074316</v>
      </c>
      <c r="AH40" s="2">
        <v>-1.4652914614998735E-7</v>
      </c>
      <c r="AI40" s="2">
        <f t="shared" si="26"/>
        <v>2199.6379470074316</v>
      </c>
      <c r="AJ40" s="2">
        <v>-1.4652914614998735E-7</v>
      </c>
      <c r="AK40" s="2">
        <f t="shared" si="17"/>
        <v>2199.6379470074316</v>
      </c>
      <c r="AL40" s="2">
        <v>-1.4652914614998735E-7</v>
      </c>
      <c r="AM40" s="2">
        <f t="shared" si="18"/>
        <v>2.1470790671444354E-14</v>
      </c>
      <c r="AN40" s="2">
        <f t="shared" si="19"/>
        <v>2.1470790671444354E-14</v>
      </c>
      <c r="AO40" s="2">
        <f t="shared" si="20"/>
        <v>0</v>
      </c>
      <c r="AQ40" s="66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-0.84941800375191279</v>
      </c>
      <c r="BR40" s="2">
        <f t="shared" ref="BR40:BR68" si="36">IF(BW39&gt;0,BT39,BR39)</f>
        <v>1.4294246573833558</v>
      </c>
      <c r="BS40" s="2">
        <v>1.0206130325018359</v>
      </c>
      <c r="BT40" s="2">
        <f t="shared" si="27"/>
        <v>0.73042029195962688</v>
      </c>
      <c r="BU40" s="2">
        <v>0.66676072419739496</v>
      </c>
      <c r="BV40" s="2">
        <f t="shared" si="28"/>
        <v>-0.56635856332793089</v>
      </c>
      <c r="BW40" s="2">
        <f t="shared" si="29"/>
        <v>0.68050468467622349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-0.57847689812257175</v>
      </c>
      <c r="CC40" s="2">
        <f t="shared" ref="CC40:CC68" si="38">IF(CH39&gt;0,CE39,CC39)</f>
        <v>1.4294246573833558</v>
      </c>
      <c r="CD40" s="2">
        <v>1.0152037066455257</v>
      </c>
      <c r="CE40" s="2">
        <f t="shared" si="31"/>
        <v>0.73042029195962688</v>
      </c>
      <c r="CF40" s="2">
        <v>0.66724461844750282</v>
      </c>
      <c r="CG40" s="2">
        <f t="shared" si="32"/>
        <v>-0.38598559716849035</v>
      </c>
      <c r="CH40" s="2">
        <f t="shared" si="33"/>
        <v>0.67738920988718443</v>
      </c>
      <c r="CI40" s="2">
        <f t="shared" si="34"/>
        <v>1.3980087308474578</v>
      </c>
    </row>
    <row r="41" spans="2:87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23.6</v>
      </c>
      <c r="L41" s="6" t="s">
        <v>61</v>
      </c>
      <c r="AF41" s="2">
        <v>37</v>
      </c>
      <c r="AG41" s="2">
        <f t="shared" si="25"/>
        <v>2199.6379470074316</v>
      </c>
      <c r="AH41" s="2">
        <v>-1.4652914614998735E-7</v>
      </c>
      <c r="AI41" s="2">
        <f t="shared" si="26"/>
        <v>2199.6379470074316</v>
      </c>
      <c r="AJ41" s="2">
        <v>-1.4652914614998735E-7</v>
      </c>
      <c r="AK41" s="2">
        <f t="shared" si="17"/>
        <v>2199.6379470074316</v>
      </c>
      <c r="AL41" s="2">
        <v>-1.4652914614998735E-7</v>
      </c>
      <c r="AM41" s="2">
        <f t="shared" si="18"/>
        <v>2.1470790671444354E-14</v>
      </c>
      <c r="AN41" s="2">
        <f t="shared" si="19"/>
        <v>2.1470790671444354E-14</v>
      </c>
      <c r="AO41" s="2">
        <f t="shared" si="20"/>
        <v>0</v>
      </c>
      <c r="AQ41" s="66"/>
      <c r="AR41" s="3">
        <v>-1.02</v>
      </c>
      <c r="AS41" s="26" t="s">
        <v>43</v>
      </c>
      <c r="AT41"/>
      <c r="AU41" s="23" t="s">
        <v>143</v>
      </c>
      <c r="AV41" s="68" t="s">
        <v>218</v>
      </c>
      <c r="AW41" s="68"/>
      <c r="AX41" s="24"/>
      <c r="AY41" s="24"/>
      <c r="AZ41" s="24"/>
      <c r="BA41" s="24"/>
      <c r="BB41" s="24"/>
      <c r="BC41" s="24"/>
      <c r="BD41" s="24"/>
      <c r="BE41" s="25"/>
      <c r="BF41"/>
      <c r="BG41" s="62" t="s">
        <v>200</v>
      </c>
      <c r="BH41" s="62"/>
      <c r="BI41" s="62"/>
      <c r="BJ41" s="2"/>
      <c r="BK41" s="62" t="s">
        <v>201</v>
      </c>
      <c r="BL41" s="62"/>
      <c r="BM41" s="62"/>
      <c r="BN41"/>
      <c r="BO41" s="2">
        <v>3</v>
      </c>
      <c r="BP41" s="2">
        <f t="shared" si="35"/>
        <v>3.1415926535897934E-2</v>
      </c>
      <c r="BQ41" s="2">
        <v>-0.84941800375191279</v>
      </c>
      <c r="BR41" s="2">
        <f t="shared" si="36"/>
        <v>0.73042029195962688</v>
      </c>
      <c r="BS41" s="2">
        <v>0.66676072419739496</v>
      </c>
      <c r="BT41" s="2">
        <f t="shared" si="27"/>
        <v>0.38091810924776243</v>
      </c>
      <c r="BU41" s="2">
        <v>0.38394507646531612</v>
      </c>
      <c r="BV41" s="2">
        <f t="shared" si="28"/>
        <v>-0.32612986040154435</v>
      </c>
      <c r="BW41" s="2">
        <f t="shared" si="29"/>
        <v>0.25599949723603838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-0.57847689812257175</v>
      </c>
      <c r="CC41" s="2">
        <f t="shared" si="38"/>
        <v>0.73042029195962688</v>
      </c>
      <c r="CD41" s="2">
        <v>0.66724461844750282</v>
      </c>
      <c r="CE41" s="2">
        <f t="shared" si="31"/>
        <v>0.38091810924776243</v>
      </c>
      <c r="CF41" s="2">
        <v>0.38491084743309245</v>
      </c>
      <c r="CG41" s="2">
        <f t="shared" si="32"/>
        <v>-0.22266203307682578</v>
      </c>
      <c r="CH41" s="2">
        <f t="shared" si="33"/>
        <v>0.25682969153179874</v>
      </c>
      <c r="CI41" s="2">
        <f t="shared" si="34"/>
        <v>0.6990043654237289</v>
      </c>
    </row>
    <row r="42" spans="2:87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8.15</v>
      </c>
      <c r="L42" s="6" t="s">
        <v>61</v>
      </c>
      <c r="AF42" s="2">
        <v>38</v>
      </c>
      <c r="AG42" s="2">
        <f t="shared" si="25"/>
        <v>2199.6379470074316</v>
      </c>
      <c r="AH42" s="2">
        <v>-1.4652914614998735E-7</v>
      </c>
      <c r="AI42" s="2">
        <f t="shared" si="26"/>
        <v>2199.6379470074316</v>
      </c>
      <c r="AJ42" s="2">
        <v>-1.4652914614998735E-7</v>
      </c>
      <c r="AK42" s="2">
        <f t="shared" si="17"/>
        <v>2199.6379470074316</v>
      </c>
      <c r="AL42" s="2">
        <v>-1.4652914614998735E-7</v>
      </c>
      <c r="AM42" s="2">
        <f t="shared" si="18"/>
        <v>2.1470790671444354E-14</v>
      </c>
      <c r="AN42" s="2">
        <f t="shared" si="19"/>
        <v>2.1470790671444354E-14</v>
      </c>
      <c r="AO42" s="2">
        <f t="shared" si="20"/>
        <v>0</v>
      </c>
      <c r="AQ42" s="66"/>
      <c r="AR42" s="3">
        <v>-2.34</v>
      </c>
      <c r="AS42" s="26" t="s">
        <v>43</v>
      </c>
      <c r="AT42"/>
      <c r="AU42" s="27"/>
      <c r="AV42" s="69" t="s">
        <v>148</v>
      </c>
      <c r="AW42" s="69"/>
      <c r="AX42" s="69"/>
      <c r="AY42" s="69" t="s">
        <v>149</v>
      </c>
      <c r="AZ42" s="69"/>
      <c r="BA42" s="69"/>
      <c r="BB42" s="69"/>
      <c r="BC42" s="69" t="s">
        <v>150</v>
      </c>
      <c r="BD42" s="69"/>
      <c r="BE42" s="70"/>
      <c r="BF42"/>
      <c r="BG42" s="28" t="s">
        <v>154</v>
      </c>
      <c r="BH42" s="29">
        <f>BT102</f>
        <v>0.10033907729172079</v>
      </c>
      <c r="BI42" s="5" t="s">
        <v>155</v>
      </c>
      <c r="BJ42" s="2"/>
      <c r="BK42" s="28" t="s">
        <v>154</v>
      </c>
      <c r="BL42" s="29">
        <f>CE102</f>
        <v>8.6083177836058039E-2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-0.84941800375191279</v>
      </c>
      <c r="BR42" s="2">
        <f t="shared" si="36"/>
        <v>0.38091810924776243</v>
      </c>
      <c r="BS42" s="2">
        <v>0.38394507646531612</v>
      </c>
      <c r="BT42" s="2">
        <f t="shared" si="27"/>
        <v>0.20616701789183017</v>
      </c>
      <c r="BU42" s="2">
        <v>0.14469607590733158</v>
      </c>
      <c r="BV42" s="2">
        <f t="shared" si="28"/>
        <v>-0.12290745194794084</v>
      </c>
      <c r="BW42" s="2">
        <f t="shared" si="29"/>
        <v>5.5555345928471611E-2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-0.57847689812257175</v>
      </c>
      <c r="CC42" s="2">
        <f t="shared" si="38"/>
        <v>0.38091810924776243</v>
      </c>
      <c r="CD42" s="2">
        <v>0.38491084743309245</v>
      </c>
      <c r="CE42" s="2">
        <f t="shared" si="31"/>
        <v>0.20616701789183017</v>
      </c>
      <c r="CF42" s="2">
        <v>0.17012228285667405</v>
      </c>
      <c r="CG42" s="2">
        <f t="shared" si="32"/>
        <v>-9.8411810488459567E-2</v>
      </c>
      <c r="CH42" s="2">
        <f t="shared" si="33"/>
        <v>6.5481912061614661E-2</v>
      </c>
      <c r="CI42" s="2">
        <f t="shared" si="34"/>
        <v>0.34950218271186451</v>
      </c>
    </row>
    <row r="43" spans="2:87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2199.6379470074316</v>
      </c>
      <c r="AH43" s="2">
        <v>-1.4652914614998735E-7</v>
      </c>
      <c r="AI43" s="2">
        <f t="shared" si="26"/>
        <v>2199.6379470074316</v>
      </c>
      <c r="AJ43" s="2">
        <v>-1.4652914614998735E-7</v>
      </c>
      <c r="AK43" s="2">
        <f t="shared" si="17"/>
        <v>2199.6379470074316</v>
      </c>
      <c r="AL43" s="2">
        <v>-1.4652914614998735E-7</v>
      </c>
      <c r="AM43" s="2">
        <f t="shared" si="18"/>
        <v>2.1470790671444354E-14</v>
      </c>
      <c r="AN43" s="2">
        <f t="shared" si="19"/>
        <v>2.1470790671444354E-14</v>
      </c>
      <c r="AO43" s="2">
        <f t="shared" si="20"/>
        <v>0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9" t="s">
        <v>156</v>
      </c>
      <c r="AZ43" s="69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0.16553711058371132</v>
      </c>
      <c r="BI43" s="2" t="s">
        <v>155</v>
      </c>
      <c r="BJ43" s="2"/>
      <c r="BK43" s="2" t="s">
        <v>159</v>
      </c>
      <c r="BL43" s="2">
        <f>($AR$40+$AR$5)/180*PI()</f>
        <v>0.14249876445738618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-0.84941800375191279</v>
      </c>
      <c r="BR43" s="2">
        <f t="shared" si="36"/>
        <v>0.20616701789183017</v>
      </c>
      <c r="BS43" s="2">
        <v>0.14469607590733158</v>
      </c>
      <c r="BT43" s="2">
        <f t="shared" si="27"/>
        <v>0.11879147221386405</v>
      </c>
      <c r="BU43" s="2">
        <v>-5.7718682123446316E-2</v>
      </c>
      <c r="BV43" s="2">
        <f t="shared" si="28"/>
        <v>4.9027287748488982E-2</v>
      </c>
      <c r="BW43" s="2">
        <f t="shared" si="29"/>
        <v>-8.3516668098053311E-3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-0.57847689812257175</v>
      </c>
      <c r="CC43" s="2">
        <f t="shared" si="38"/>
        <v>0.20616701789183017</v>
      </c>
      <c r="CD43" s="2">
        <v>0.17012228285667405</v>
      </c>
      <c r="CE43" s="2">
        <f t="shared" si="31"/>
        <v>0.11879147221386405</v>
      </c>
      <c r="CF43" s="2">
        <v>3.9144644688412986E-3</v>
      </c>
      <c r="CG43" s="2">
        <f t="shared" si="32"/>
        <v>-2.2644272637463349E-3</v>
      </c>
      <c r="CH43" s="2">
        <f t="shared" si="33"/>
        <v>6.659376316006197E-4</v>
      </c>
      <c r="CI43" s="2">
        <f t="shared" si="34"/>
        <v>0.17475109135593225</v>
      </c>
    </row>
    <row r="44" spans="2:87" x14ac:dyDescent="0.2"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2199.6379470074316</v>
      </c>
      <c r="AH44" s="2">
        <v>-1.4652914614998735E-7</v>
      </c>
      <c r="AI44" s="2">
        <f t="shared" si="26"/>
        <v>2199.6379470074316</v>
      </c>
      <c r="AJ44" s="2">
        <v>-1.4652914614998735E-7</v>
      </c>
      <c r="AK44" s="5">
        <f>(AG44+AI44)/2</f>
        <v>2199.6379470074316</v>
      </c>
      <c r="AL44" s="2">
        <v>-1.4652914614998735E-7</v>
      </c>
      <c r="AM44" s="2">
        <f t="shared" si="18"/>
        <v>2.1470790671444354E-14</v>
      </c>
      <c r="AN44" s="2">
        <f t="shared" si="19"/>
        <v>2.1470790671444354E-14</v>
      </c>
      <c r="AO44" s="2">
        <f t="shared" si="20"/>
        <v>0</v>
      </c>
      <c r="AQ44" s="60" t="s">
        <v>209</v>
      </c>
      <c r="AR44" s="60"/>
      <c r="AS44" s="60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6.5198033291990531E-2</v>
      </c>
      <c r="BI44" s="2" t="s">
        <v>155</v>
      </c>
      <c r="BJ44" s="2"/>
      <c r="BK44" s="2" t="s">
        <v>28</v>
      </c>
      <c r="BL44" s="2">
        <f>BL43-BL42</f>
        <v>5.6415586621328145E-2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-5.7718682123446316E-2</v>
      </c>
      <c r="BR44" s="2">
        <f t="shared" si="36"/>
        <v>0.20616701789183017</v>
      </c>
      <c r="BS44" s="2">
        <v>0.14469607590733158</v>
      </c>
      <c r="BT44" s="2">
        <f t="shared" si="27"/>
        <v>0.16247924505284711</v>
      </c>
      <c r="BU44" s="2">
        <v>5.8694712833452373E-2</v>
      </c>
      <c r="BV44" s="2">
        <f t="shared" si="28"/>
        <v>-3.3877814723610026E-3</v>
      </c>
      <c r="BW44" s="2">
        <f t="shared" si="29"/>
        <v>8.4928946235082528E-3</v>
      </c>
      <c r="BX44" s="2">
        <f t="shared" si="30"/>
        <v>8.7375545677966127E-2</v>
      </c>
      <c r="BY44"/>
      <c r="BZ44" s="2">
        <v>6</v>
      </c>
      <c r="CA44" s="2">
        <f t="shared" si="37"/>
        <v>3.1415926535897934E-2</v>
      </c>
      <c r="CB44" s="2">
        <v>-0.57847689812257175</v>
      </c>
      <c r="CC44" s="2">
        <f t="shared" si="38"/>
        <v>0.11879147221386405</v>
      </c>
      <c r="CD44" s="2">
        <v>3.9144644688412986E-3</v>
      </c>
      <c r="CE44" s="2">
        <f t="shared" si="31"/>
        <v>7.5103699374880983E-2</v>
      </c>
      <c r="CF44" s="2">
        <v>-0.14609240475651958</v>
      </c>
      <c r="CG44" s="2">
        <f t="shared" si="32"/>
        <v>8.4511081142818689E-2</v>
      </c>
      <c r="CH44" s="2">
        <f t="shared" si="33"/>
        <v>-5.7187352758697745E-4</v>
      </c>
      <c r="CI44" s="2">
        <f t="shared" si="34"/>
        <v>8.7375545677966113E-2</v>
      </c>
    </row>
    <row r="45" spans="2:87" x14ac:dyDescent="0.2">
      <c r="B45" s="53" t="s">
        <v>273</v>
      </c>
      <c r="C45" s="54"/>
      <c r="D45" s="54"/>
      <c r="AQ45" s="2" t="s">
        <v>19</v>
      </c>
      <c r="AR45" s="2">
        <f>$C$40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3.7355721401844901</v>
      </c>
      <c r="BI45" s="2" t="s">
        <v>43</v>
      </c>
      <c r="BJ45" s="2"/>
      <c r="BK45" s="2" t="s">
        <v>168</v>
      </c>
      <c r="BL45" s="2">
        <f>BL44/PI()*180</f>
        <v>3.232375012156814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-5.7718682123446316E-2</v>
      </c>
      <c r="BR45" s="2">
        <f t="shared" si="36"/>
        <v>0.16247924505284711</v>
      </c>
      <c r="BS45" s="2">
        <v>5.8694712833452373E-2</v>
      </c>
      <c r="BT45" s="2">
        <f t="shared" si="27"/>
        <v>0.14063535863335558</v>
      </c>
      <c r="BU45" s="2">
        <v>5.9515654390668513E-3</v>
      </c>
      <c r="BV45" s="2">
        <f t="shared" si="28"/>
        <v>-3.4351651371438877E-4</v>
      </c>
      <c r="BW45" s="2">
        <f t="shared" si="29"/>
        <v>3.4932542435552874E-4</v>
      </c>
      <c r="BX45" s="2">
        <f t="shared" si="30"/>
        <v>4.3687772838983063E-2</v>
      </c>
      <c r="BY45"/>
      <c r="BZ45" s="2">
        <v>7</v>
      </c>
      <c r="CA45" s="2">
        <f t="shared" si="37"/>
        <v>7.5103699374880983E-2</v>
      </c>
      <c r="CB45" s="2">
        <v>-0.14609240475651958</v>
      </c>
      <c r="CC45" s="2">
        <f t="shared" si="38"/>
        <v>0.11879147221386405</v>
      </c>
      <c r="CD45" s="2">
        <v>3.9144644688412986E-3</v>
      </c>
      <c r="CE45" s="2">
        <f t="shared" si="31"/>
        <v>9.6947585794372515E-2</v>
      </c>
      <c r="CF45" s="2">
        <v>-5.9468716190265017E-2</v>
      </c>
      <c r="CG45" s="2">
        <f t="shared" si="32"/>
        <v>8.6879277560187856E-3</v>
      </c>
      <c r="CH45" s="2">
        <f t="shared" si="33"/>
        <v>-2.3278817653439967E-4</v>
      </c>
      <c r="CI45" s="2">
        <f t="shared" si="34"/>
        <v>4.3687772838983063E-2</v>
      </c>
    </row>
    <row r="46" spans="2:87" x14ac:dyDescent="0.2">
      <c r="B46" s="6" t="s">
        <v>15</v>
      </c>
      <c r="C46" s="17">
        <v>1.00854450666398</v>
      </c>
      <c r="D46" s="6" t="s">
        <v>16</v>
      </c>
      <c r="AQ46" s="2" t="s">
        <v>31</v>
      </c>
      <c r="AR46" s="37">
        <f>$C$41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0.11879147221386405</v>
      </c>
      <c r="BQ46" s="2">
        <v>-5.7718682123446316E-2</v>
      </c>
      <c r="BR46" s="2">
        <f t="shared" si="36"/>
        <v>0.14063535863335558</v>
      </c>
      <c r="BS46" s="2">
        <v>5.9515654390668513E-3</v>
      </c>
      <c r="BT46" s="2">
        <f t="shared" si="27"/>
        <v>0.12971341542360981</v>
      </c>
      <c r="BU46" s="2">
        <v>-2.419032173031738E-2</v>
      </c>
      <c r="BV46" s="2">
        <f t="shared" si="28"/>
        <v>1.3962334904160847E-3</v>
      </c>
      <c r="BW46" s="2">
        <f t="shared" si="29"/>
        <v>-1.4397028277006476E-4</v>
      </c>
      <c r="BX46" s="2">
        <f t="shared" si="30"/>
        <v>2.1843886419491532E-2</v>
      </c>
      <c r="BY46"/>
      <c r="BZ46" s="2">
        <v>8</v>
      </c>
      <c r="CA46" s="2">
        <f t="shared" si="37"/>
        <v>9.6947585794372515E-2</v>
      </c>
      <c r="CB46" s="2">
        <v>-5.9468716190265017E-2</v>
      </c>
      <c r="CC46" s="2">
        <f t="shared" si="38"/>
        <v>0.11879147221386405</v>
      </c>
      <c r="CD46" s="2">
        <v>3.9144644688412986E-3</v>
      </c>
      <c r="CE46" s="2">
        <f t="shared" si="31"/>
        <v>0.10786952900411828</v>
      </c>
      <c r="CF46" s="2">
        <v>-2.5735994774524682E-2</v>
      </c>
      <c r="CG46" s="2">
        <f t="shared" si="32"/>
        <v>1.5304865691203519E-3</v>
      </c>
      <c r="CH46" s="2">
        <f t="shared" si="33"/>
        <v>-1.007426371151622E-4</v>
      </c>
      <c r="CI46" s="2">
        <f t="shared" si="34"/>
        <v>2.1843886419491532E-2</v>
      </c>
    </row>
    <row r="47" spans="2:87" x14ac:dyDescent="0.2">
      <c r="B47" s="6" t="s">
        <v>214</v>
      </c>
      <c r="C47" s="41">
        <v>1.7265641515845801E-5</v>
      </c>
      <c r="D47" s="6" t="s">
        <v>210</v>
      </c>
      <c r="AF47" s="61" t="s">
        <v>222</v>
      </c>
      <c r="AG47" s="61"/>
      <c r="AH47" s="61"/>
      <c r="AI47" s="61"/>
      <c r="AJ47" s="2"/>
      <c r="AK47" s="2"/>
      <c r="AL47" s="2"/>
      <c r="AM47" s="2"/>
      <c r="AN47" s="2"/>
      <c r="AO47" s="2"/>
      <c r="AT47"/>
      <c r="AU47" s="23" t="s">
        <v>143</v>
      </c>
      <c r="AV47" s="68" t="s">
        <v>218</v>
      </c>
      <c r="AW47" s="68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0.99994596161648475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0.9991491188073095</v>
      </c>
      <c r="BM47" s="2"/>
      <c r="BN47"/>
      <c r="BO47" s="2">
        <v>9</v>
      </c>
      <c r="BP47" s="2">
        <f t="shared" si="35"/>
        <v>0.12971341542360981</v>
      </c>
      <c r="BQ47" s="2">
        <v>-2.419032173031738E-2</v>
      </c>
      <c r="BR47" s="2">
        <f t="shared" si="36"/>
        <v>0.14063535863335558</v>
      </c>
      <c r="BS47" s="2">
        <v>5.9515654390668513E-3</v>
      </c>
      <c r="BT47" s="2">
        <f t="shared" si="27"/>
        <v>0.1351743870284827</v>
      </c>
      <c r="BU47" s="2">
        <v>-8.7451213070028344E-3</v>
      </c>
      <c r="BV47" s="2">
        <f t="shared" si="28"/>
        <v>2.1154729798705219E-4</v>
      </c>
      <c r="BW47" s="2">
        <f t="shared" si="29"/>
        <v>-5.2047161731205202E-5</v>
      </c>
      <c r="BX47" s="2">
        <f t="shared" si="30"/>
        <v>1.0921943209745766E-2</v>
      </c>
      <c r="BY47"/>
      <c r="BZ47" s="2">
        <v>9</v>
      </c>
      <c r="CA47" s="2">
        <f t="shared" si="37"/>
        <v>0.10786952900411828</v>
      </c>
      <c r="CB47" s="2">
        <v>-2.5735994774524682E-2</v>
      </c>
      <c r="CC47" s="2">
        <f t="shared" si="38"/>
        <v>0.11879147221386405</v>
      </c>
      <c r="CD47" s="2">
        <v>3.9144644688412986E-3</v>
      </c>
      <c r="CE47" s="2">
        <f t="shared" si="31"/>
        <v>0.11333050060899116</v>
      </c>
      <c r="CF47" s="2">
        <v>-1.0472162616456428E-2</v>
      </c>
      <c r="CG47" s="2">
        <f t="shared" si="32"/>
        <v>2.6951152237509533E-4</v>
      </c>
      <c r="CH47" s="2">
        <f t="shared" si="33"/>
        <v>-4.0992908474046814E-5</v>
      </c>
      <c r="CI47" s="2">
        <f t="shared" si="34"/>
        <v>1.0921943209745766E-2</v>
      </c>
    </row>
    <row r="48" spans="2:87" x14ac:dyDescent="0.2">
      <c r="B48" s="6" t="s">
        <v>132</v>
      </c>
      <c r="C48" s="17">
        <v>332.721752148093</v>
      </c>
      <c r="D48" s="6" t="s">
        <v>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9" t="s">
        <v>148</v>
      </c>
      <c r="AW48" s="69"/>
      <c r="AX48" s="69"/>
      <c r="AY48" s="69" t="s">
        <v>149</v>
      </c>
      <c r="AZ48" s="69"/>
      <c r="BA48" s="69"/>
      <c r="BB48" s="69" t="s">
        <v>150</v>
      </c>
      <c r="BC48" s="69"/>
      <c r="BD48" s="69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0.99999628884837166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0.99999969727018079</v>
      </c>
      <c r="BM48" s="2"/>
      <c r="BN48"/>
      <c r="BO48" s="2">
        <v>10</v>
      </c>
      <c r="BP48" s="2">
        <f t="shared" si="35"/>
        <v>0.1351743870284827</v>
      </c>
      <c r="BQ48" s="2">
        <v>-8.7451213070028344E-3</v>
      </c>
      <c r="BR48" s="2">
        <f t="shared" si="36"/>
        <v>0.14063535863335558</v>
      </c>
      <c r="BS48" s="2">
        <v>5.9515654390668513E-3</v>
      </c>
      <c r="BT48" s="2">
        <f t="shared" si="27"/>
        <v>0.13790487283091912</v>
      </c>
      <c r="BU48" s="2">
        <v>-1.3085067818650459E-3</v>
      </c>
      <c r="BV48" s="2">
        <f t="shared" si="28"/>
        <v>1.1443050538445723E-5</v>
      </c>
      <c r="BW48" s="2">
        <f t="shared" si="29"/>
        <v>-7.7876637397325944E-6</v>
      </c>
      <c r="BX48" s="2">
        <f t="shared" si="30"/>
        <v>5.4609716048728829E-3</v>
      </c>
      <c r="BY48"/>
      <c r="BZ48" s="2">
        <v>10</v>
      </c>
      <c r="CA48" s="2">
        <f t="shared" si="37"/>
        <v>0.11333050060899116</v>
      </c>
      <c r="CB48" s="2">
        <v>-1.0472162616456428E-2</v>
      </c>
      <c r="CC48" s="2">
        <f t="shared" si="38"/>
        <v>0.11879147221386405</v>
      </c>
      <c r="CD48" s="2">
        <v>3.9144644688412986E-3</v>
      </c>
      <c r="CE48" s="2">
        <f t="shared" si="31"/>
        <v>0.11606098641142761</v>
      </c>
      <c r="CF48" s="2">
        <v>-3.1766900507457403E-3</v>
      </c>
      <c r="CG48" s="2">
        <f t="shared" si="32"/>
        <v>3.3266814793488616E-5</v>
      </c>
      <c r="CH48" s="2">
        <f t="shared" si="33"/>
        <v>-1.2435040332165862E-5</v>
      </c>
      <c r="CI48" s="2">
        <f t="shared" si="34"/>
        <v>5.4609716048728829E-3</v>
      </c>
    </row>
    <row r="49" spans="2:87" x14ac:dyDescent="0.2">
      <c r="B49" s="6" t="s">
        <v>17</v>
      </c>
      <c r="C49" s="1">
        <v>9.8005536647414697</v>
      </c>
      <c r="D49" s="6" t="s">
        <v>18</v>
      </c>
      <c r="AF49" s="2">
        <v>0</v>
      </c>
      <c r="AG49" s="2"/>
      <c r="AH49" s="2">
        <f>G11</f>
        <v>-2.3637174308532849E-5</v>
      </c>
      <c r="AI49" s="2"/>
      <c r="AJ49" s="2">
        <f>G11</f>
        <v>-2.3637174308532849E-5</v>
      </c>
      <c r="AK49" s="2"/>
      <c r="AL49" s="2">
        <f>G11</f>
        <v>-2.3637174308532849E-5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0.99994225066540099</v>
      </c>
      <c r="BI49" s="2"/>
      <c r="BJ49" s="2"/>
      <c r="BK49" s="2" t="s">
        <v>183</v>
      </c>
      <c r="BL49" s="2">
        <f>IF(BL42=0,1,BL47*BL48)</f>
        <v>0.99914881633507735</v>
      </c>
      <c r="BM49" s="2"/>
      <c r="BN49"/>
      <c r="BO49" s="2">
        <v>11</v>
      </c>
      <c r="BP49" s="2">
        <f t="shared" si="35"/>
        <v>0.13790487283091912</v>
      </c>
      <c r="BQ49" s="2">
        <v>-1.3085067818650459E-3</v>
      </c>
      <c r="BR49" s="2">
        <f t="shared" si="36"/>
        <v>0.14063535863335558</v>
      </c>
      <c r="BS49" s="2">
        <v>5.9515654390668513E-3</v>
      </c>
      <c r="BT49" s="2">
        <f t="shared" si="27"/>
        <v>0.13927011573213735</v>
      </c>
      <c r="BU49" s="2">
        <v>2.3429801808374506E-3</v>
      </c>
      <c r="BV49" s="2">
        <f t="shared" si="28"/>
        <v>-3.0658054564011957E-6</v>
      </c>
      <c r="BW49" s="2">
        <f t="shared" si="29"/>
        <v>1.3944399868690772E-5</v>
      </c>
      <c r="BX49" s="2">
        <f t="shared" si="30"/>
        <v>2.7304858024364553E-3</v>
      </c>
      <c r="BY49"/>
      <c r="BZ49" s="2">
        <v>11</v>
      </c>
      <c r="CA49" s="2">
        <f t="shared" si="37"/>
        <v>0.11606098641142761</v>
      </c>
      <c r="CB49" s="2">
        <v>-3.1766900507457403E-3</v>
      </c>
      <c r="CC49" s="2">
        <f t="shared" si="38"/>
        <v>0.11879147221386405</v>
      </c>
      <c r="CD49" s="2">
        <v>3.9144644688412986E-3</v>
      </c>
      <c r="CE49" s="2">
        <f t="shared" si="31"/>
        <v>0.11742622931264582</v>
      </c>
      <c r="CF49" s="2">
        <v>3.9356627634985764E-4</v>
      </c>
      <c r="CG49" s="2">
        <f t="shared" si="32"/>
        <v>-1.2502380743896412E-6</v>
      </c>
      <c r="CH49" s="2">
        <f t="shared" si="33"/>
        <v>1.5406012049056932E-6</v>
      </c>
      <c r="CI49" s="2">
        <f t="shared" si="34"/>
        <v>2.7304858024364415E-3</v>
      </c>
    </row>
    <row r="50" spans="2:87" x14ac:dyDescent="0.2">
      <c r="AF50" s="2">
        <v>1</v>
      </c>
      <c r="AG50" s="3">
        <v>50</v>
      </c>
      <c r="AH50" s="2">
        <f t="dataTable" ref="AH50:AH79" dt2D="0" dtr="0" r1="C6" ca="1"/>
        <v>5232.5705861540664</v>
      </c>
      <c r="AI50" s="3">
        <v>1500</v>
      </c>
      <c r="AJ50" s="2">
        <f t="dataTable" ref="AJ50:AJ79" dt2D="0" dtr="0" r1="C6" ca="1"/>
        <v>-90094.834601989874</v>
      </c>
      <c r="AK50" s="2">
        <f t="shared" ref="AK50:AK79" si="39">(AG50+AI50)/2</f>
        <v>775</v>
      </c>
      <c r="AL50" s="2">
        <f t="dataTable" ref="AL50:AL79" dt2D="0" dtr="0" r1="C6" ca="1"/>
        <v>-20136.81950423908</v>
      </c>
      <c r="AM50" s="2">
        <f t="shared" ref="AM50:AM79" si="40">AH50*AL50</f>
        <v>-105367329.43657492</v>
      </c>
      <c r="AN50" s="2">
        <f t="shared" ref="AN50:AN79" si="41">AJ50*AL50</f>
        <v>1814223422.6445436</v>
      </c>
      <c r="AO50" s="2">
        <f t="shared" ref="AO50:AO79" si="42">AI50-AG50</f>
        <v>1450</v>
      </c>
      <c r="AT50"/>
      <c r="AU50" s="71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0.59451818832732861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0.53505558593945679</v>
      </c>
      <c r="BM50" s="2"/>
      <c r="BN50"/>
      <c r="BO50" s="2">
        <v>12</v>
      </c>
      <c r="BP50" s="2">
        <f t="shared" si="35"/>
        <v>0.13790487283091912</v>
      </c>
      <c r="BQ50" s="2">
        <v>-1.3085067818650459E-3</v>
      </c>
      <c r="BR50" s="2">
        <f t="shared" si="36"/>
        <v>0.13927011573213735</v>
      </c>
      <c r="BS50" s="2">
        <v>2.3429801808374506E-3</v>
      </c>
      <c r="BT50" s="2">
        <f t="shared" si="27"/>
        <v>0.13858749428152822</v>
      </c>
      <c r="BU50" s="2">
        <v>5.2267466188625489E-4</v>
      </c>
      <c r="BV50" s="2">
        <f t="shared" si="28"/>
        <v>-6.8392333978718434E-7</v>
      </c>
      <c r="BW50" s="2">
        <f t="shared" si="29"/>
        <v>1.2246163738254108E-6</v>
      </c>
      <c r="BX50" s="2">
        <f t="shared" si="30"/>
        <v>1.3652429012182277E-3</v>
      </c>
      <c r="BY50"/>
      <c r="BZ50" s="2">
        <v>12</v>
      </c>
      <c r="CA50" s="2">
        <f t="shared" si="37"/>
        <v>0.11606098641142761</v>
      </c>
      <c r="CB50" s="2">
        <v>-3.1766900507457403E-3</v>
      </c>
      <c r="CC50" s="2">
        <f t="shared" si="38"/>
        <v>0.11742622931264582</v>
      </c>
      <c r="CD50" s="2">
        <v>3.9356627634985764E-4</v>
      </c>
      <c r="CE50" s="2">
        <f t="shared" si="31"/>
        <v>0.11674360786203672</v>
      </c>
      <c r="CF50" s="2">
        <v>-1.3852876593249963E-3</v>
      </c>
      <c r="CG50" s="2">
        <f t="shared" si="32"/>
        <v>4.4006295247985706E-6</v>
      </c>
      <c r="CH50" s="2">
        <f t="shared" si="33"/>
        <v>-5.4520250575394897E-7</v>
      </c>
      <c r="CI50" s="2">
        <f t="shared" si="34"/>
        <v>1.3652429012182138E-3</v>
      </c>
    </row>
    <row r="51" spans="2:87" x14ac:dyDescent="0.2">
      <c r="B51" s="53" t="s">
        <v>74</v>
      </c>
      <c r="C51" s="53"/>
      <c r="D51" s="53"/>
      <c r="AF51" s="2">
        <v>2</v>
      </c>
      <c r="AG51" s="2">
        <f t="shared" ref="AG51:AG79" si="43">IF(AM50&gt;0, AK50, AG50)</f>
        <v>50</v>
      </c>
      <c r="AH51" s="2">
        <v>5232.5705861540664</v>
      </c>
      <c r="AI51" s="2">
        <f t="shared" ref="AI51:AI79" si="44">IF(AN50&gt;0, AK50, AI50)</f>
        <v>775</v>
      </c>
      <c r="AJ51" s="2">
        <v>-20136.81950423908</v>
      </c>
      <c r="AK51" s="2">
        <f t="shared" si="39"/>
        <v>412.5</v>
      </c>
      <c r="AL51" s="2">
        <v>-1878.5463331228011</v>
      </c>
      <c r="AM51" s="2">
        <f t="shared" si="40"/>
        <v>-9829626.2874259483</v>
      </c>
      <c r="AN51" s="2">
        <f t="shared" si="41"/>
        <v>37827948.440444022</v>
      </c>
      <c r="AO51" s="2">
        <f t="shared" si="42"/>
        <v>725</v>
      </c>
      <c r="AT51"/>
      <c r="AU51" s="71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2.3696972319203667E-2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2.6057693952000197E-2</v>
      </c>
      <c r="BM51" s="2"/>
      <c r="BN51"/>
      <c r="BO51" s="2">
        <v>13</v>
      </c>
      <c r="BP51" s="2">
        <f t="shared" si="35"/>
        <v>0.13790487283091912</v>
      </c>
      <c r="BQ51" s="2">
        <v>-1.3085067818650459E-3</v>
      </c>
      <c r="BR51" s="2">
        <f t="shared" si="36"/>
        <v>0.13858749428152822</v>
      </c>
      <c r="BS51" s="2">
        <v>5.2267466188625489E-4</v>
      </c>
      <c r="BT51" s="2">
        <f t="shared" si="27"/>
        <v>0.13824618355622367</v>
      </c>
      <c r="BU51" s="2">
        <v>-3.9154700343314169E-4</v>
      </c>
      <c r="BV51" s="2">
        <f t="shared" si="28"/>
        <v>5.1234190941120235E-7</v>
      </c>
      <c r="BW51" s="2">
        <f t="shared" si="29"/>
        <v>-2.0465169763199361E-7</v>
      </c>
      <c r="BX51" s="2">
        <f t="shared" si="30"/>
        <v>6.8262145060909996E-4</v>
      </c>
      <c r="BY51"/>
      <c r="BZ51" s="2">
        <v>13</v>
      </c>
      <c r="CA51" s="2">
        <f t="shared" si="37"/>
        <v>0.11674360786203672</v>
      </c>
      <c r="CB51" s="2">
        <v>-1.3852876593249963E-3</v>
      </c>
      <c r="CC51" s="2">
        <f t="shared" si="38"/>
        <v>0.11742622931264582</v>
      </c>
      <c r="CD51" s="2">
        <v>3.9356627634985764E-4</v>
      </c>
      <c r="CE51" s="2">
        <f t="shared" si="31"/>
        <v>0.11708491858734127</v>
      </c>
      <c r="CF51" s="2">
        <v>-4.9430538119617923E-4</v>
      </c>
      <c r="CG51" s="2">
        <f t="shared" si="32"/>
        <v>6.8475514450900519E-7</v>
      </c>
      <c r="CH51" s="2">
        <f t="shared" si="33"/>
        <v>-1.945419282570772E-7</v>
      </c>
      <c r="CI51" s="2">
        <f t="shared" si="34"/>
        <v>6.8262145060909996E-4</v>
      </c>
    </row>
    <row r="52" spans="2:87" x14ac:dyDescent="0.2">
      <c r="B52" s="6" t="s">
        <v>264</v>
      </c>
      <c r="C52" s="17">
        <v>30</v>
      </c>
      <c r="AF52" s="2">
        <v>3</v>
      </c>
      <c r="AG52" s="2">
        <f t="shared" si="43"/>
        <v>50</v>
      </c>
      <c r="AH52" s="2">
        <v>5232.5705861540664</v>
      </c>
      <c r="AI52" s="2">
        <f t="shared" si="44"/>
        <v>412.5</v>
      </c>
      <c r="AJ52" s="2">
        <v>-1878.5463331228011</v>
      </c>
      <c r="AK52" s="2">
        <f t="shared" si="39"/>
        <v>231.25</v>
      </c>
      <c r="AL52" s="2">
        <v>3070.4066579955597</v>
      </c>
      <c r="AM52" s="2">
        <f t="shared" si="40"/>
        <v>16066119.566159174</v>
      </c>
      <c r="AN52" s="2">
        <f t="shared" si="41"/>
        <v>-5767901.1685733935</v>
      </c>
      <c r="AO52" s="2">
        <f t="shared" si="42"/>
        <v>362.5</v>
      </c>
      <c r="AT52"/>
      <c r="AU52" s="71"/>
      <c r="AV52" s="63">
        <v>-2.2751380819795499</v>
      </c>
      <c r="AW52" s="64"/>
      <c r="AX52" s="65"/>
      <c r="AY52" s="63">
        <v>0.14939144598517301</v>
      </c>
      <c r="AZ52" s="64"/>
      <c r="BA52" s="65"/>
      <c r="BB52" s="66">
        <v>3.3811980767955601</v>
      </c>
      <c r="BC52" s="66"/>
      <c r="BD52" s="67"/>
      <c r="BE52" s="27"/>
      <c r="BF52"/>
      <c r="BG52" s="2" t="s">
        <v>190</v>
      </c>
      <c r="BH52" s="2">
        <f xml:space="preserve"> BH50*COS(BH42) - BH51*SIN(BH42)</f>
        <v>0.58915416999510029</v>
      </c>
      <c r="BI52" s="2"/>
      <c r="BJ52" s="2"/>
      <c r="BK52" s="2" t="s">
        <v>190</v>
      </c>
      <c r="BL52" s="2">
        <f xml:space="preserve"> BL50*COS(BL42) - BL51*SIN(BL42)</f>
        <v>0.53083398529624082</v>
      </c>
      <c r="BM52" s="2"/>
      <c r="BN52"/>
      <c r="BO52" s="2">
        <v>14</v>
      </c>
      <c r="BP52" s="2">
        <f t="shared" si="35"/>
        <v>0.13824618355622367</v>
      </c>
      <c r="BQ52" s="2">
        <v>-3.9154700343314169E-4</v>
      </c>
      <c r="BR52" s="2">
        <f t="shared" si="36"/>
        <v>0.13858749428152822</v>
      </c>
      <c r="BS52" s="2">
        <v>5.2267466188625489E-4</v>
      </c>
      <c r="BT52" s="2">
        <f t="shared" si="27"/>
        <v>0.13841683891887596</v>
      </c>
      <c r="BU52" s="2">
        <v>6.5904890373461034E-5</v>
      </c>
      <c r="BV52" s="2">
        <f t="shared" si="28"/>
        <v>-2.5804862337318375E-8</v>
      </c>
      <c r="BW52" s="2">
        <f t="shared" si="29"/>
        <v>3.4446816292599443E-8</v>
      </c>
      <c r="BX52" s="2">
        <f t="shared" si="30"/>
        <v>3.4131072530454998E-4</v>
      </c>
      <c r="BY52"/>
      <c r="BZ52" s="2">
        <v>14</v>
      </c>
      <c r="CA52" s="2">
        <f t="shared" si="37"/>
        <v>0.11708491858734127</v>
      </c>
      <c r="CB52" s="2">
        <v>-4.9430538119617923E-4</v>
      </c>
      <c r="CC52" s="2">
        <f t="shared" si="38"/>
        <v>0.11742622931264582</v>
      </c>
      <c r="CD52" s="2">
        <v>3.9356627634985764E-4</v>
      </c>
      <c r="CE52" s="2">
        <f t="shared" si="31"/>
        <v>0.11725557394999354</v>
      </c>
      <c r="CF52" s="2">
        <v>-4.9982363926587281E-5</v>
      </c>
      <c r="CG52" s="2">
        <f t="shared" si="32"/>
        <v>2.4706551453817883E-8</v>
      </c>
      <c r="CH52" s="2">
        <f t="shared" si="33"/>
        <v>-1.9671372853750406E-8</v>
      </c>
      <c r="CI52" s="2">
        <f t="shared" si="34"/>
        <v>3.4131072530454998E-4</v>
      </c>
    </row>
    <row r="53" spans="2:87" x14ac:dyDescent="0.2">
      <c r="B53" s="6" t="s">
        <v>266</v>
      </c>
      <c r="C53" s="17">
        <v>0.8</v>
      </c>
      <c r="AF53" s="2">
        <v>4</v>
      </c>
      <c r="AG53" s="2">
        <f t="shared" si="43"/>
        <v>231.25</v>
      </c>
      <c r="AH53" s="2">
        <v>3070.4066579955597</v>
      </c>
      <c r="AI53" s="2">
        <f t="shared" si="44"/>
        <v>412.5</v>
      </c>
      <c r="AJ53" s="2">
        <v>-1878.5463331228011</v>
      </c>
      <c r="AK53" s="2">
        <f t="shared" si="39"/>
        <v>321.875</v>
      </c>
      <c r="AL53" s="2">
        <v>944.27879530635983</v>
      </c>
      <c r="AM53" s="2">
        <f t="shared" si="40"/>
        <v>2899319.9001126736</v>
      </c>
      <c r="AN53" s="2">
        <f t="shared" si="41"/>
        <v>-1773871.4683683782</v>
      </c>
      <c r="AO53" s="2">
        <f t="shared" si="42"/>
        <v>181.25</v>
      </c>
      <c r="AT53"/>
      <c r="AU53" s="71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8.3131141736960665E-2</v>
      </c>
      <c r="BI53" s="2"/>
      <c r="BJ53" s="2"/>
      <c r="BK53" s="2" t="s">
        <v>192</v>
      </c>
      <c r="BL53" s="2">
        <f xml:space="preserve"> BL50*SIN(BL42) + BL51*COS(BL42)</f>
        <v>7.1963626323455335E-2</v>
      </c>
      <c r="BM53" s="2"/>
      <c r="BN53"/>
      <c r="BO53" s="2">
        <v>15</v>
      </c>
      <c r="BP53" s="2">
        <f t="shared" si="35"/>
        <v>0.13824618355622367</v>
      </c>
      <c r="BQ53" s="2">
        <v>-3.9154700343314169E-4</v>
      </c>
      <c r="BR53" s="2">
        <f t="shared" si="36"/>
        <v>0.13841683891887596</v>
      </c>
      <c r="BS53" s="2">
        <v>6.5904890373461034E-5</v>
      </c>
      <c r="BT53" s="2">
        <f t="shared" si="27"/>
        <v>0.13833151123754983</v>
      </c>
      <c r="BU53" s="2">
        <v>-1.6273564132512908E-4</v>
      </c>
      <c r="BV53" s="2">
        <f t="shared" si="28"/>
        <v>6.3718652712624831E-8</v>
      </c>
      <c r="BW53" s="2">
        <f t="shared" si="29"/>
        <v>-1.0725074601387507E-8</v>
      </c>
      <c r="BX53" s="2">
        <f t="shared" si="30"/>
        <v>1.7065536265228887E-4</v>
      </c>
      <c r="BY53"/>
      <c r="BZ53" s="2">
        <v>15</v>
      </c>
      <c r="CA53" s="2">
        <f t="shared" si="37"/>
        <v>0.11725557394999354</v>
      </c>
      <c r="CB53" s="2">
        <v>-4.9982363926587281E-5</v>
      </c>
      <c r="CC53" s="2">
        <f t="shared" si="38"/>
        <v>0.11742622931264582</v>
      </c>
      <c r="CD53" s="2">
        <v>3.9356627634985764E-4</v>
      </c>
      <c r="CE53" s="2">
        <f t="shared" si="31"/>
        <v>0.11734090163131969</v>
      </c>
      <c r="CF53" s="2">
        <v>1.7188854948721466E-4</v>
      </c>
      <c r="CG53" s="2">
        <f t="shared" si="32"/>
        <v>-8.5913960352831701E-9</v>
      </c>
      <c r="CH53" s="2">
        <f t="shared" si="33"/>
        <v>6.76495363688613E-8</v>
      </c>
      <c r="CI53" s="2">
        <f t="shared" si="34"/>
        <v>1.7065536265227499E-4</v>
      </c>
    </row>
    <row r="54" spans="2:87" x14ac:dyDescent="0.2">
      <c r="B54" s="6" t="s">
        <v>267</v>
      </c>
      <c r="C54" s="17">
        <v>0.8</v>
      </c>
      <c r="AF54" s="2">
        <v>5</v>
      </c>
      <c r="AG54" s="2">
        <f t="shared" si="43"/>
        <v>321.875</v>
      </c>
      <c r="AH54" s="2">
        <v>944.27879530635983</v>
      </c>
      <c r="AI54" s="2">
        <f t="shared" si="44"/>
        <v>412.5</v>
      </c>
      <c r="AJ54" s="2">
        <v>-1878.5463331228011</v>
      </c>
      <c r="AK54" s="2">
        <f t="shared" si="39"/>
        <v>367.1875</v>
      </c>
      <c r="AL54" s="2">
        <v>-380.04661069072336</v>
      </c>
      <c r="AM54" s="2">
        <f t="shared" si="40"/>
        <v>-358869.95570330136</v>
      </c>
      <c r="AN54" s="2">
        <f t="shared" si="41"/>
        <v>713935.16692880716</v>
      </c>
      <c r="AO54" s="2">
        <f t="shared" si="42"/>
        <v>90.625</v>
      </c>
      <c r="AT54"/>
      <c r="AU54" s="71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1.3867231455464122</v>
      </c>
      <c r="BI54" s="2"/>
      <c r="BJ54" s="2"/>
      <c r="BK54" s="2" t="s">
        <v>38</v>
      </c>
      <c r="BL54" s="2">
        <f xml:space="preserve"> 4*BL49*SIN(BL42)*SIN(BL42) / (BL46*BL52)</f>
        <v>1.3802661595577699</v>
      </c>
      <c r="BM54" s="2"/>
      <c r="BN54"/>
      <c r="BO54" s="2">
        <v>16</v>
      </c>
      <c r="BP54" s="2">
        <f t="shared" si="35"/>
        <v>0.13833151123754983</v>
      </c>
      <c r="BQ54" s="2">
        <v>-1.6273564132512908E-4</v>
      </c>
      <c r="BR54" s="2">
        <f t="shared" si="36"/>
        <v>0.13841683891887596</v>
      </c>
      <c r="BS54" s="2">
        <v>6.5904890373461034E-5</v>
      </c>
      <c r="BT54" s="2">
        <f t="shared" si="27"/>
        <v>0.1383741750782129</v>
      </c>
      <c r="BU54" s="2">
        <v>-4.8394040442843733E-5</v>
      </c>
      <c r="BV54" s="2">
        <f t="shared" si="28"/>
        <v>7.8754352077804087E-9</v>
      </c>
      <c r="BW54" s="2">
        <f t="shared" si="29"/>
        <v>-3.1894039301144558E-9</v>
      </c>
      <c r="BX54" s="2">
        <f t="shared" si="30"/>
        <v>8.5327681326130556E-5</v>
      </c>
      <c r="BY54"/>
      <c r="BZ54" s="2">
        <v>16</v>
      </c>
      <c r="CA54" s="2">
        <f t="shared" si="37"/>
        <v>0.11725557394999354</v>
      </c>
      <c r="CB54" s="2">
        <v>-4.9982363926587281E-5</v>
      </c>
      <c r="CC54" s="2">
        <f t="shared" si="38"/>
        <v>0.11734090163131969</v>
      </c>
      <c r="CD54" s="2">
        <v>1.7188854948721466E-4</v>
      </c>
      <c r="CE54" s="2">
        <f t="shared" si="31"/>
        <v>0.11729823779065662</v>
      </c>
      <c r="CF54" s="2">
        <v>6.0977266534277541E-5</v>
      </c>
      <c r="CG54" s="2">
        <f t="shared" si="32"/>
        <v>-3.0477879271647714E-9</v>
      </c>
      <c r="CH54" s="2">
        <f t="shared" si="33"/>
        <v>1.0481293896272243E-8</v>
      </c>
      <c r="CI54" s="2">
        <f t="shared" si="34"/>
        <v>8.5327681326144433E-5</v>
      </c>
    </row>
    <row r="55" spans="2:87" x14ac:dyDescent="0.2">
      <c r="B55" s="6" t="s">
        <v>268</v>
      </c>
      <c r="C55" s="17">
        <v>0.8</v>
      </c>
      <c r="AF55" s="2">
        <v>6</v>
      </c>
      <c r="AG55" s="2">
        <f t="shared" si="43"/>
        <v>321.875</v>
      </c>
      <c r="AH55" s="2">
        <v>944.27879530635983</v>
      </c>
      <c r="AI55" s="2">
        <f t="shared" si="44"/>
        <v>367.1875</v>
      </c>
      <c r="AJ55" s="2">
        <v>-380.04661069072336</v>
      </c>
      <c r="AK55" s="2">
        <f t="shared" si="39"/>
        <v>344.53125</v>
      </c>
      <c r="AL55" s="2">
        <v>303.88788186219335</v>
      </c>
      <c r="AM55" s="2">
        <f t="shared" si="40"/>
        <v>286954.88299303333</v>
      </c>
      <c r="AN55" s="2">
        <f t="shared" si="41"/>
        <v>-115491.55953170953</v>
      </c>
      <c r="AO55" s="2">
        <f t="shared" si="42"/>
        <v>45.3125</v>
      </c>
      <c r="AT55"/>
      <c r="AU55" s="72"/>
      <c r="AV55" s="63">
        <v>-2.92797950805124E-2</v>
      </c>
      <c r="AW55" s="64"/>
      <c r="AX55" s="65"/>
      <c r="AY55" s="64">
        <v>4.8575804011639703E-2</v>
      </c>
      <c r="AZ55" s="64"/>
      <c r="BA55" s="64"/>
      <c r="BB55" s="63">
        <v>7.4720850653456003E-3</v>
      </c>
      <c r="BC55" s="64"/>
      <c r="BD55" s="65"/>
      <c r="BE55"/>
      <c r="BF55"/>
      <c r="BG55" s="2" t="s">
        <v>194</v>
      </c>
      <c r="BH55" s="2">
        <f xml:space="preserve"> 4*BH49*SIN(BH42)*COS(BH42) / (BH46*BH53)</f>
        <v>97.616662758679581</v>
      </c>
      <c r="BI55" s="2"/>
      <c r="BJ55" s="2"/>
      <c r="BK55" s="2" t="s">
        <v>194</v>
      </c>
      <c r="BL55" s="2">
        <f xml:space="preserve"> 4*BL49*SIN(BL42)*COS(BL42) / (BL46*BL53)</f>
        <v>117.9819630137214</v>
      </c>
      <c r="BM55" s="2"/>
      <c r="BN55"/>
      <c r="BO55" s="2">
        <v>17</v>
      </c>
      <c r="BP55" s="2">
        <f t="shared" si="35"/>
        <v>0.1383741750782129</v>
      </c>
      <c r="BQ55" s="2">
        <v>-4.8394040442843733E-5</v>
      </c>
      <c r="BR55" s="2">
        <f t="shared" si="36"/>
        <v>0.13841683891887596</v>
      </c>
      <c r="BS55" s="2">
        <v>6.5904890373461034E-5</v>
      </c>
      <c r="BT55" s="2">
        <f t="shared" si="27"/>
        <v>0.13839550699854442</v>
      </c>
      <c r="BU55" s="2">
        <v>8.7607563799829702E-6</v>
      </c>
      <c r="BV55" s="2">
        <f t="shared" si="28"/>
        <v>-4.239683985627971E-10</v>
      </c>
      <c r="BW55" s="2">
        <f t="shared" si="29"/>
        <v>5.7737668881137699E-10</v>
      </c>
      <c r="BX55" s="2">
        <f t="shared" si="30"/>
        <v>4.2663840663065278E-5</v>
      </c>
      <c r="BY55"/>
      <c r="BZ55" s="2">
        <v>17</v>
      </c>
      <c r="CA55" s="2">
        <f t="shared" si="37"/>
        <v>0.11725557394999354</v>
      </c>
      <c r="CB55" s="2">
        <v>-4.9982363926587281E-5</v>
      </c>
      <c r="CC55" s="2">
        <f t="shared" si="38"/>
        <v>0.11729823779065662</v>
      </c>
      <c r="CD55" s="2">
        <v>6.0977266534277541E-5</v>
      </c>
      <c r="CE55" s="2">
        <f t="shared" si="31"/>
        <v>0.11727690587032508</v>
      </c>
      <c r="CF55" s="2">
        <v>5.5034979257184702E-6</v>
      </c>
      <c r="CG55" s="2">
        <f t="shared" si="32"/>
        <v>-2.7507783619247879E-10</v>
      </c>
      <c r="CH55" s="2">
        <f t="shared" si="33"/>
        <v>3.3558825988737872E-10</v>
      </c>
      <c r="CI55" s="2">
        <f t="shared" si="34"/>
        <v>4.2663840663079156E-5</v>
      </c>
    </row>
    <row r="56" spans="2:87" x14ac:dyDescent="0.2">
      <c r="AF56" s="2">
        <v>7</v>
      </c>
      <c r="AG56" s="2">
        <f t="shared" si="43"/>
        <v>344.53125</v>
      </c>
      <c r="AH56" s="2">
        <v>303.88788186219335</v>
      </c>
      <c r="AI56" s="2">
        <f t="shared" si="44"/>
        <v>367.1875</v>
      </c>
      <c r="AJ56" s="2">
        <v>-380.04661069072336</v>
      </c>
      <c r="AK56" s="2">
        <f t="shared" si="39"/>
        <v>355.859375</v>
      </c>
      <c r="AL56" s="2">
        <v>-32.636417025672017</v>
      </c>
      <c r="AM56" s="2">
        <f t="shared" si="40"/>
        <v>-9917.8116415026943</v>
      </c>
      <c r="AN56" s="2">
        <f t="shared" si="41"/>
        <v>12403.359675695669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2.5858291946479475</v>
      </c>
      <c r="BI56" s="2"/>
      <c r="BJ56" s="2"/>
      <c r="BK56" s="2" t="s">
        <v>45</v>
      </c>
      <c r="BL56" s="2">
        <f>1/(BL54-1)</f>
        <v>2.6297370272520411</v>
      </c>
      <c r="BM56" s="2"/>
      <c r="BN56"/>
      <c r="BO56" s="2">
        <v>18</v>
      </c>
      <c r="BP56" s="2">
        <f t="shared" si="35"/>
        <v>0.1383741750782129</v>
      </c>
      <c r="BQ56" s="2">
        <v>-4.8394040442843733E-5</v>
      </c>
      <c r="BR56" s="2">
        <f t="shared" si="36"/>
        <v>0.13839550699854442</v>
      </c>
      <c r="BS56" s="2">
        <v>8.7607563799829702E-6</v>
      </c>
      <c r="BT56" s="2">
        <f t="shared" si="27"/>
        <v>0.13838484103837867</v>
      </c>
      <c r="BU56" s="2">
        <v>-1.9815308884847671E-5</v>
      </c>
      <c r="BV56" s="2">
        <f t="shared" si="28"/>
        <v>9.5894285956075895E-10</v>
      </c>
      <c r="BW56" s="2">
        <f t="shared" si="29"/>
        <v>-1.7359709373426248E-10</v>
      </c>
      <c r="BX56" s="2">
        <f t="shared" si="30"/>
        <v>2.1331920331518761E-5</v>
      </c>
      <c r="BY56"/>
      <c r="BZ56" s="2">
        <v>18</v>
      </c>
      <c r="CA56" s="2">
        <f t="shared" si="37"/>
        <v>0.11725557394999354</v>
      </c>
      <c r="CB56" s="2">
        <v>-4.9982363926587281E-5</v>
      </c>
      <c r="CC56" s="2">
        <f t="shared" si="38"/>
        <v>0.11727690587032508</v>
      </c>
      <c r="CD56" s="2">
        <v>5.5034979257184702E-6</v>
      </c>
      <c r="CE56" s="2">
        <f t="shared" si="31"/>
        <v>0.1172662399101593</v>
      </c>
      <c r="CF56" s="2">
        <v>-2.2237920946834022E-5</v>
      </c>
      <c r="CG56" s="2">
        <f t="shared" si="32"/>
        <v>1.1115038577353364E-9</v>
      </c>
      <c r="CH56" s="2">
        <f t="shared" si="33"/>
        <v>-1.2238635180319237E-10</v>
      </c>
      <c r="CI56" s="2">
        <f t="shared" si="34"/>
        <v>2.1331920331532639E-5</v>
      </c>
    </row>
    <row r="57" spans="2:87" x14ac:dyDescent="0.2">
      <c r="AF57" s="2">
        <v>8</v>
      </c>
      <c r="AG57" s="2">
        <f t="shared" si="43"/>
        <v>344.53125</v>
      </c>
      <c r="AH57" s="2">
        <v>303.88788186219335</v>
      </c>
      <c r="AI57" s="2">
        <f t="shared" si="44"/>
        <v>355.859375</v>
      </c>
      <c r="AJ57" s="2">
        <v>-32.636417025672017</v>
      </c>
      <c r="AK57" s="2">
        <f t="shared" si="39"/>
        <v>350.1953125</v>
      </c>
      <c r="AL57" s="2">
        <v>136.98646926540914</v>
      </c>
      <c r="AM57" s="2">
        <f t="shared" si="40"/>
        <v>41628.527988845635</v>
      </c>
      <c r="AN57" s="2">
        <f t="shared" si="41"/>
        <v>-4470.7475378202953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1.0140274189231644E-2</v>
      </c>
      <c r="BI57" s="2"/>
      <c r="BJ57" s="2"/>
      <c r="BK57" s="2" t="s">
        <v>197</v>
      </c>
      <c r="BL57" s="2">
        <f>1/(BL55+1)</f>
        <v>8.4046352461395902E-3</v>
      </c>
      <c r="BM57" s="2"/>
      <c r="BN57"/>
      <c r="BO57" s="2">
        <v>19</v>
      </c>
      <c r="BP57" s="2">
        <f t="shared" si="35"/>
        <v>0.13838484103837867</v>
      </c>
      <c r="BQ57" s="2">
        <v>-1.9815308884847671E-5</v>
      </c>
      <c r="BR57" s="2">
        <f t="shared" si="36"/>
        <v>0.13839550699854442</v>
      </c>
      <c r="BS57" s="2">
        <v>8.7607563799829702E-6</v>
      </c>
      <c r="BT57" s="2">
        <f t="shared" si="27"/>
        <v>0.13839017401846154</v>
      </c>
      <c r="BU57" s="2">
        <v>-5.5269430023902055E-6</v>
      </c>
      <c r="BV57" s="2">
        <f t="shared" si="28"/>
        <v>1.095180827813093E-10</v>
      </c>
      <c r="BW57" s="2">
        <f t="shared" si="29"/>
        <v>-4.8420201169992226E-11</v>
      </c>
      <c r="BX57" s="2">
        <f t="shared" si="30"/>
        <v>1.0665960165745503E-5</v>
      </c>
      <c r="BY57"/>
      <c r="BZ57" s="2">
        <v>19</v>
      </c>
      <c r="CA57" s="2">
        <f t="shared" si="37"/>
        <v>0.1172662399101593</v>
      </c>
      <c r="CB57" s="2">
        <v>-2.2237920946834022E-5</v>
      </c>
      <c r="CC57" s="2">
        <f t="shared" si="38"/>
        <v>0.11727690587032508</v>
      </c>
      <c r="CD57" s="2">
        <v>5.5034979257184702E-6</v>
      </c>
      <c r="CE57" s="2">
        <f t="shared" si="31"/>
        <v>0.11727157289024219</v>
      </c>
      <c r="CF57" s="2">
        <v>-8.3668335469078148E-6</v>
      </c>
      <c r="CG57" s="2">
        <f t="shared" si="32"/>
        <v>1.860609829914549E-10</v>
      </c>
      <c r="CH57" s="2">
        <f t="shared" si="33"/>
        <v>-4.6046851070238869E-11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350.1953125</v>
      </c>
      <c r="AH58" s="2">
        <v>136.98646926540914</v>
      </c>
      <c r="AI58" s="2">
        <f t="shared" si="44"/>
        <v>355.859375</v>
      </c>
      <c r="AJ58" s="2">
        <v>-32.636417025672017</v>
      </c>
      <c r="AK58" s="2">
        <f t="shared" si="39"/>
        <v>353.02734375</v>
      </c>
      <c r="AL58" s="2">
        <v>52.515210331654998</v>
      </c>
      <c r="AM58" s="2">
        <f t="shared" si="40"/>
        <v>7193.8732460637539</v>
      </c>
      <c r="AN58" s="2">
        <f t="shared" si="41"/>
        <v>-1713.9083045747723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3.5025512559738736E-9</v>
      </c>
      <c r="BI58" s="40"/>
      <c r="BJ58" s="2"/>
      <c r="BK58" s="7" t="s">
        <v>199</v>
      </c>
      <c r="BL58" s="40">
        <f>SIN(BL42)/(1+BL56) - $AR$3*COS(BL42)/($AV$5*$AR$24*(1-BL57))</f>
        <v>5.4190308282353605E-9</v>
      </c>
      <c r="BM58" s="40"/>
      <c r="BN58"/>
      <c r="BO58" s="2">
        <v>20</v>
      </c>
      <c r="BP58" s="2">
        <f t="shared" si="35"/>
        <v>0.13839017401846154</v>
      </c>
      <c r="BQ58" s="2">
        <v>-5.5269430023902055E-6</v>
      </c>
      <c r="BR58" s="2">
        <f t="shared" si="36"/>
        <v>0.13839550699854442</v>
      </c>
      <c r="BS58" s="2">
        <v>8.7607563799829702E-6</v>
      </c>
      <c r="BT58" s="2">
        <f t="shared" si="27"/>
        <v>0.13839284050850298</v>
      </c>
      <c r="BU58" s="2">
        <v>1.6169899967610757E-6</v>
      </c>
      <c r="BV58" s="2">
        <f t="shared" si="28"/>
        <v>-8.9370115475335887E-12</v>
      </c>
      <c r="BW58" s="2">
        <f t="shared" si="29"/>
        <v>1.4166055430493237E-11</v>
      </c>
      <c r="BX58" s="2">
        <f t="shared" si="30"/>
        <v>5.3329800828727514E-6</v>
      </c>
      <c r="BY58"/>
      <c r="BZ58" s="2">
        <v>20</v>
      </c>
      <c r="CA58" s="2">
        <f t="shared" si="37"/>
        <v>0.11727157289024219</v>
      </c>
      <c r="CB58" s="2">
        <v>-8.3668335469078148E-6</v>
      </c>
      <c r="CC58" s="2">
        <f t="shared" si="38"/>
        <v>0.11727690587032508</v>
      </c>
      <c r="CD58" s="2">
        <v>5.5034979257184702E-6</v>
      </c>
      <c r="CE58" s="2">
        <f t="shared" si="31"/>
        <v>0.11727423938028364</v>
      </c>
      <c r="CF58" s="2">
        <v>-1.4315733259037677E-6</v>
      </c>
      <c r="CG58" s="2">
        <f t="shared" si="32"/>
        <v>1.1977735728030038E-11</v>
      </c>
      <c r="CH58" s="2">
        <f t="shared" si="33"/>
        <v>-7.8786608296252769E-12</v>
      </c>
      <c r="CI58" s="2">
        <f t="shared" si="34"/>
        <v>5.3329800828866292E-6</v>
      </c>
    </row>
    <row r="59" spans="2:87" x14ac:dyDescent="0.2">
      <c r="AF59" s="2">
        <v>10</v>
      </c>
      <c r="AG59" s="2">
        <f t="shared" si="43"/>
        <v>353.02734375</v>
      </c>
      <c r="AH59" s="2">
        <v>52.515210331654998</v>
      </c>
      <c r="AI59" s="2">
        <f t="shared" si="44"/>
        <v>355.859375</v>
      </c>
      <c r="AJ59" s="2">
        <v>-32.636417025672017</v>
      </c>
      <c r="AK59" s="2">
        <f t="shared" si="39"/>
        <v>354.443359375</v>
      </c>
      <c r="AL59" s="2">
        <v>10.024442705937872</v>
      </c>
      <c r="AM59" s="2">
        <f t="shared" si="40"/>
        <v>526.43571715995211</v>
      </c>
      <c r="AN59" s="2">
        <f t="shared" si="41"/>
        <v>-327.16189260094444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0.13839017401846154</v>
      </c>
      <c r="BQ59" s="2">
        <v>-5.5269430023902055E-6</v>
      </c>
      <c r="BR59" s="2">
        <f t="shared" si="36"/>
        <v>0.13839284050850298</v>
      </c>
      <c r="BS59" s="2">
        <v>1.6169899967610757E-6</v>
      </c>
      <c r="BT59" s="2">
        <f t="shared" si="27"/>
        <v>0.13839150726348226</v>
      </c>
      <c r="BU59" s="2">
        <v>-1.9549556752596065E-6</v>
      </c>
      <c r="BV59" s="2">
        <f t="shared" si="28"/>
        <v>1.0804928589359101E-11</v>
      </c>
      <c r="BW59" s="2">
        <f t="shared" si="29"/>
        <v>-3.1611437710060777E-12</v>
      </c>
      <c r="BX59" s="2">
        <f t="shared" si="30"/>
        <v>2.6664900414363757E-6</v>
      </c>
      <c r="BY59"/>
      <c r="BZ59" s="2">
        <v>21</v>
      </c>
      <c r="CA59" s="2">
        <f t="shared" si="37"/>
        <v>0.11727423938028364</v>
      </c>
      <c r="CB59" s="2">
        <v>-1.4315733259037677E-6</v>
      </c>
      <c r="CC59" s="2">
        <f t="shared" si="38"/>
        <v>0.11727690587032508</v>
      </c>
      <c r="CD59" s="2">
        <v>5.5034979257184702E-6</v>
      </c>
      <c r="CE59" s="2">
        <f t="shared" si="31"/>
        <v>0.11727557262530436</v>
      </c>
      <c r="CF59" s="2">
        <v>2.0359859203081254E-6</v>
      </c>
      <c r="CG59" s="2">
        <f t="shared" si="32"/>
        <v>-2.9146631354287464E-12</v>
      </c>
      <c r="CH59" s="2">
        <f t="shared" si="33"/>
        <v>1.1205044289207779E-11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354.443359375</v>
      </c>
      <c r="AH60" s="2">
        <v>10.024442705937872</v>
      </c>
      <c r="AI60" s="2">
        <f t="shared" si="44"/>
        <v>355.859375</v>
      </c>
      <c r="AJ60" s="2">
        <v>-32.636417025672017</v>
      </c>
      <c r="AK60" s="2">
        <f t="shared" si="39"/>
        <v>355.1513671875</v>
      </c>
      <c r="AL60" s="2">
        <v>-11.284725646628431</v>
      </c>
      <c r="AM60" s="2">
        <f t="shared" si="40"/>
        <v>-113.12308569685442</v>
      </c>
      <c r="AN60" s="2">
        <f t="shared" si="41"/>
        <v>368.29301222366178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2" t="s">
        <v>206</v>
      </c>
      <c r="BH60" s="62"/>
      <c r="BI60" s="62"/>
      <c r="BJ60" s="2"/>
      <c r="BK60" s="62" t="s">
        <v>220</v>
      </c>
      <c r="BL60" s="62"/>
      <c r="BM60" s="62"/>
      <c r="BN60"/>
      <c r="BO60" s="2">
        <v>22</v>
      </c>
      <c r="BP60" s="2">
        <f t="shared" si="35"/>
        <v>0.13839150726348226</v>
      </c>
      <c r="BQ60" s="2">
        <v>-1.9549556752596065E-6</v>
      </c>
      <c r="BR60" s="2">
        <f t="shared" si="36"/>
        <v>0.13839284050850298</v>
      </c>
      <c r="BS60" s="2">
        <v>1.6169899967610757E-6</v>
      </c>
      <c r="BT60" s="2">
        <f t="shared" si="27"/>
        <v>0.13839217388599262</v>
      </c>
      <c r="BU60" s="2">
        <v>-1.6897763244205777E-7</v>
      </c>
      <c r="BV60" s="2">
        <f t="shared" si="28"/>
        <v>3.3034378153453261E-13</v>
      </c>
      <c r="BW60" s="2">
        <f t="shared" si="29"/>
        <v>-2.7323514133517724E-13</v>
      </c>
      <c r="BX60" s="2">
        <f t="shared" si="30"/>
        <v>1.3332450207181878E-6</v>
      </c>
      <c r="BY60"/>
      <c r="BZ60" s="2">
        <v>22</v>
      </c>
      <c r="CA60" s="2">
        <f t="shared" si="37"/>
        <v>0.11727423938028364</v>
      </c>
      <c r="CB60" s="2">
        <v>-1.4315733259037677E-6</v>
      </c>
      <c r="CC60" s="2">
        <f t="shared" si="38"/>
        <v>0.11727557262530436</v>
      </c>
      <c r="CD60" s="2">
        <v>2.0359859203081254E-6</v>
      </c>
      <c r="CE60" s="2">
        <f t="shared" si="31"/>
        <v>0.117274906002794</v>
      </c>
      <c r="CF60" s="2">
        <v>3.022122023951801E-7</v>
      </c>
      <c r="CG60" s="2">
        <f t="shared" si="32"/>
        <v>-4.326389277115706E-13</v>
      </c>
      <c r="CH60" s="2">
        <f t="shared" si="33"/>
        <v>6.152997890218962E-13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354.443359375</v>
      </c>
      <c r="AH61" s="2">
        <v>10.024442705937872</v>
      </c>
      <c r="AI61" s="2">
        <f t="shared" si="44"/>
        <v>355.1513671875</v>
      </c>
      <c r="AJ61" s="2">
        <v>-11.284725646628431</v>
      </c>
      <c r="AK61" s="2">
        <f t="shared" si="39"/>
        <v>354.79736328125</v>
      </c>
      <c r="AL61" s="2">
        <v>-0.62482609203561879</v>
      </c>
      <c r="AM61" s="2">
        <f t="shared" si="40"/>
        <v>-6.2635333607861243</v>
      </c>
      <c r="AN61" s="2">
        <f t="shared" si="41"/>
        <v>7.0509910254769634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7.381300101508495E-2</v>
      </c>
      <c r="BI61" s="5" t="s">
        <v>155</v>
      </c>
      <c r="BJ61" s="2"/>
      <c r="BK61" s="28" t="s">
        <v>154</v>
      </c>
      <c r="BL61" s="29">
        <f>CE136</f>
        <v>6.5611228546066241E-2</v>
      </c>
      <c r="BM61" s="5" t="s">
        <v>155</v>
      </c>
      <c r="BN61"/>
      <c r="BO61" s="2">
        <v>23</v>
      </c>
      <c r="BP61" s="2">
        <f t="shared" si="35"/>
        <v>0.13839217388599262</v>
      </c>
      <c r="BQ61" s="2">
        <v>-1.6897763244205777E-7</v>
      </c>
      <c r="BR61" s="2">
        <f t="shared" si="36"/>
        <v>0.13839284050850298</v>
      </c>
      <c r="BS61" s="2">
        <v>1.6169899967610757E-6</v>
      </c>
      <c r="BT61" s="2">
        <f t="shared" si="27"/>
        <v>0.1383925071972478</v>
      </c>
      <c r="BU61" s="2">
        <v>7.2400748385437197E-7</v>
      </c>
      <c r="BV61" s="2">
        <f t="shared" si="28"/>
        <v>-1.2234107049204315E-13</v>
      </c>
      <c r="BW61" s="2">
        <f t="shared" si="29"/>
        <v>1.1707128589726755E-12</v>
      </c>
      <c r="BX61" s="2">
        <f t="shared" si="30"/>
        <v>6.6662251035909392E-7</v>
      </c>
      <c r="BY61"/>
      <c r="BZ61" s="2">
        <v>23</v>
      </c>
      <c r="CA61" s="2">
        <f t="shared" si="37"/>
        <v>0.11727423938028364</v>
      </c>
      <c r="CB61" s="2">
        <v>-1.4315733259037677E-6</v>
      </c>
      <c r="CC61" s="2">
        <f t="shared" si="38"/>
        <v>0.117274906002794</v>
      </c>
      <c r="CD61" s="2">
        <v>3.022122023951801E-7</v>
      </c>
      <c r="CE61" s="2">
        <f t="shared" si="31"/>
        <v>0.11727457269153882</v>
      </c>
      <c r="CF61" s="2">
        <v>-5.6467908544910461E-7</v>
      </c>
      <c r="CG61" s="2">
        <f t="shared" si="32"/>
        <v>8.0837951642467257E-13</v>
      </c>
      <c r="CH61" s="2">
        <f t="shared" si="33"/>
        <v>-1.7065291006007001E-13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354.443359375</v>
      </c>
      <c r="AH62" s="2">
        <v>10.024442705937872</v>
      </c>
      <c r="AI62" s="2">
        <f t="shared" si="44"/>
        <v>354.79736328125</v>
      </c>
      <c r="AJ62" s="2">
        <v>-0.62482609203561879</v>
      </c>
      <c r="AK62" s="2">
        <f t="shared" si="39"/>
        <v>354.620361328125</v>
      </c>
      <c r="AL62" s="2">
        <v>4.7011371515282008</v>
      </c>
      <c r="AM62" s="2">
        <f t="shared" si="40"/>
        <v>47.12628002825042</v>
      </c>
      <c r="AN62" s="2">
        <f t="shared" si="41"/>
        <v>-2.9373931545128262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0.11946041833106102</v>
      </c>
      <c r="BI62" s="2" t="s">
        <v>155</v>
      </c>
      <c r="BJ62" s="2"/>
      <c r="BK62" s="2" t="s">
        <v>159</v>
      </c>
      <c r="BL62" s="2">
        <f>($AR$42+$AR$5)/180*PI()</f>
        <v>9.6422072204735865E-2</v>
      </c>
      <c r="BM62" s="2" t="s">
        <v>155</v>
      </c>
      <c r="BN62"/>
      <c r="BO62" s="2">
        <v>24</v>
      </c>
      <c r="BP62" s="2">
        <f t="shared" si="35"/>
        <v>0.13839217388599262</v>
      </c>
      <c r="BQ62" s="2">
        <v>-1.6897763244205777E-7</v>
      </c>
      <c r="BR62" s="2">
        <f t="shared" si="36"/>
        <v>0.1383925071972478</v>
      </c>
      <c r="BS62" s="2">
        <v>7.2400748385437197E-7</v>
      </c>
      <c r="BT62" s="2">
        <f t="shared" si="27"/>
        <v>0.1383923405416202</v>
      </c>
      <c r="BU62" s="2">
        <v>2.7751525109170894E-7</v>
      </c>
      <c r="BV62" s="2">
        <f t="shared" si="28"/>
        <v>-4.6893870096040161E-14</v>
      </c>
      <c r="BW62" s="2">
        <f t="shared" si="29"/>
        <v>2.0092311867412243E-13</v>
      </c>
      <c r="BX62" s="2">
        <f t="shared" si="30"/>
        <v>3.3331125517954696E-7</v>
      </c>
      <c r="BY62"/>
      <c r="BZ62" s="2">
        <v>24</v>
      </c>
      <c r="CA62" s="2">
        <f t="shared" si="37"/>
        <v>0.11727457269153882</v>
      </c>
      <c r="CB62" s="2">
        <v>-5.6467908544910461E-7</v>
      </c>
      <c r="CC62" s="2">
        <f t="shared" si="38"/>
        <v>0.117274906002794</v>
      </c>
      <c r="CD62" s="2">
        <v>3.022122023951801E-7</v>
      </c>
      <c r="CE62" s="2">
        <f t="shared" si="31"/>
        <v>0.11727473934716641</v>
      </c>
      <c r="CF62" s="2">
        <v>-1.3123307243678717E-7</v>
      </c>
      <c r="CG62" s="2">
        <f t="shared" si="32"/>
        <v>7.4104571324281077E-14</v>
      </c>
      <c r="CH62" s="2">
        <f t="shared" si="33"/>
        <v>-3.9660235848207656E-14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354.620361328125</v>
      </c>
      <c r="AH63" s="2">
        <v>4.7011371515282008</v>
      </c>
      <c r="AI63" s="2">
        <f t="shared" si="44"/>
        <v>354.79736328125</v>
      </c>
      <c r="AJ63" s="2">
        <v>-0.62482609203561879</v>
      </c>
      <c r="AK63" s="2">
        <f t="shared" si="39"/>
        <v>354.7088623046875</v>
      </c>
      <c r="AL63" s="2">
        <v>2.038487740887831</v>
      </c>
      <c r="AM63" s="2">
        <f t="shared" si="40"/>
        <v>9.5832104516225751</v>
      </c>
      <c r="AN63" s="2">
        <f t="shared" si="41"/>
        <v>-1.2737003288014606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4.5647417315976074E-2</v>
      </c>
      <c r="BI63" s="2" t="s">
        <v>155</v>
      </c>
      <c r="BJ63" s="2"/>
      <c r="BK63" s="2" t="s">
        <v>28</v>
      </c>
      <c r="BL63" s="2">
        <f>BL62-BL61</f>
        <v>3.0810843658669623E-2</v>
      </c>
      <c r="BM63" s="2" t="s">
        <v>155</v>
      </c>
      <c r="BN63"/>
      <c r="BO63" s="2">
        <v>25</v>
      </c>
      <c r="BP63" s="2">
        <f t="shared" si="35"/>
        <v>0.13839217388599262</v>
      </c>
      <c r="BQ63" s="2">
        <v>-1.6897763244205777E-7</v>
      </c>
      <c r="BR63" s="2">
        <f t="shared" si="36"/>
        <v>0.1383923405416202</v>
      </c>
      <c r="BS63" s="2">
        <v>2.7751525109170894E-7</v>
      </c>
      <c r="BT63" s="2">
        <f t="shared" si="27"/>
        <v>0.13839225721380641</v>
      </c>
      <c r="BU63" s="2">
        <v>5.4268890700703842E-8</v>
      </c>
      <c r="BV63" s="2">
        <f t="shared" si="28"/>
        <v>-9.17022866586174E-15</v>
      </c>
      <c r="BW63" s="2">
        <f t="shared" si="29"/>
        <v>1.5060444829274334E-14</v>
      </c>
      <c r="BX63" s="2">
        <f t="shared" si="30"/>
        <v>1.6665562757589569E-7</v>
      </c>
      <c r="BY63"/>
      <c r="BZ63" s="2">
        <v>25</v>
      </c>
      <c r="CA63" s="2">
        <f t="shared" si="37"/>
        <v>0.11727473934716641</v>
      </c>
      <c r="CB63" s="2">
        <v>-1.3123307243678717E-7</v>
      </c>
      <c r="CC63" s="2">
        <f t="shared" si="38"/>
        <v>0.117274906002794</v>
      </c>
      <c r="CD63" s="2">
        <v>3.022122023951801E-7</v>
      </c>
      <c r="CE63" s="2">
        <f t="shared" si="31"/>
        <v>0.11727482267498021</v>
      </c>
      <c r="CF63" s="2">
        <v>8.5489657290771515E-8</v>
      </c>
      <c r="CG63" s="2">
        <f t="shared" si="32"/>
        <v>-1.1219070387835929E-14</v>
      </c>
      <c r="CH63" s="2">
        <f t="shared" si="33"/>
        <v>2.5836017611853226E-14</v>
      </c>
      <c r="CI63" s="2">
        <f t="shared" si="34"/>
        <v>1.6665562758977348E-7</v>
      </c>
    </row>
    <row r="64" spans="2:87" x14ac:dyDescent="0.2">
      <c r="AF64" s="2">
        <v>15</v>
      </c>
      <c r="AG64" s="2">
        <f t="shared" si="43"/>
        <v>354.7088623046875</v>
      </c>
      <c r="AH64" s="2">
        <v>2.038487740887831</v>
      </c>
      <c r="AI64" s="2">
        <f t="shared" si="44"/>
        <v>354.79736328125</v>
      </c>
      <c r="AJ64" s="2">
        <v>-0.62482609203561879</v>
      </c>
      <c r="AK64" s="2">
        <f t="shared" si="39"/>
        <v>354.75311279296875</v>
      </c>
      <c r="AL64" s="2">
        <v>0.70691387721217325</v>
      </c>
      <c r="AM64" s="2">
        <f t="shared" si="40"/>
        <v>1.4410352725605007</v>
      </c>
      <c r="AN64" s="2">
        <f t="shared" si="41"/>
        <v>-0.44169823530422947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2.6154043578778214</v>
      </c>
      <c r="BI64" s="2" t="s">
        <v>43</v>
      </c>
      <c r="BJ64" s="2"/>
      <c r="BK64" s="2" t="s">
        <v>168</v>
      </c>
      <c r="BL64" s="2">
        <f>BL63/PI()*180</f>
        <v>1.7653313048791854</v>
      </c>
      <c r="BM64" s="2" t="s">
        <v>43</v>
      </c>
      <c r="BN64"/>
      <c r="BO64" s="2">
        <v>26</v>
      </c>
      <c r="BP64" s="2">
        <f t="shared" si="35"/>
        <v>0.13839217388599262</v>
      </c>
      <c r="BQ64" s="2">
        <v>-1.6897763244205777E-7</v>
      </c>
      <c r="BR64" s="2">
        <f t="shared" si="36"/>
        <v>0.13839225721380641</v>
      </c>
      <c r="BS64" s="2">
        <v>5.4268890700703842E-8</v>
      </c>
      <c r="BT64" s="2">
        <f t="shared" si="27"/>
        <v>0.1383922155498995</v>
      </c>
      <c r="BU64" s="2">
        <v>-5.73543505674734E-8</v>
      </c>
      <c r="BV64" s="2">
        <f t="shared" si="28"/>
        <v>9.691602369143448E-15</v>
      </c>
      <c r="BW64" s="2">
        <f t="shared" si="29"/>
        <v>-3.1125569821560653E-15</v>
      </c>
      <c r="BX64" s="2">
        <f t="shared" si="30"/>
        <v>8.3327813787947846E-8</v>
      </c>
      <c r="BY64"/>
      <c r="BZ64" s="2">
        <v>26</v>
      </c>
      <c r="CA64" s="2">
        <f t="shared" si="37"/>
        <v>0.11727473934716641</v>
      </c>
      <c r="CB64" s="2">
        <v>-1.3123307243678717E-7</v>
      </c>
      <c r="CC64" s="2">
        <f t="shared" si="38"/>
        <v>0.11727482267498021</v>
      </c>
      <c r="CD64" s="2">
        <v>8.5489657290771515E-8</v>
      </c>
      <c r="CE64" s="2">
        <f t="shared" si="31"/>
        <v>0.1172747810110733</v>
      </c>
      <c r="CF64" s="2">
        <v>-2.2871684553227301E-8</v>
      </c>
      <c r="CG64" s="2">
        <f t="shared" si="32"/>
        <v>3.0015214357250244E-15</v>
      </c>
      <c r="CH64" s="2">
        <f t="shared" si="33"/>
        <v>-1.9552924741180344E-15</v>
      </c>
      <c r="CI64" s="2">
        <f t="shared" si="34"/>
        <v>8.3327813801825634E-8</v>
      </c>
    </row>
    <row r="65" spans="32:87" x14ac:dyDescent="0.2">
      <c r="AF65" s="2">
        <v>16</v>
      </c>
      <c r="AG65" s="2">
        <f t="shared" si="43"/>
        <v>354.75311279296875</v>
      </c>
      <c r="AH65" s="2">
        <v>0.70691387721217325</v>
      </c>
      <c r="AI65" s="2">
        <f t="shared" si="44"/>
        <v>354.79736328125</v>
      </c>
      <c r="AJ65" s="2">
        <v>-0.62482609203561879</v>
      </c>
      <c r="AK65" s="2">
        <f t="shared" si="39"/>
        <v>354.77523803710938</v>
      </c>
      <c r="AL65" s="2">
        <v>4.1064655782975024E-2</v>
      </c>
      <c r="AM65" s="2">
        <f t="shared" si="40"/>
        <v>2.9029175035926166E-2</v>
      </c>
      <c r="AN65" s="2">
        <f t="shared" si="41"/>
        <v>-2.5658268393664158E-2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0.1383922155498995</v>
      </c>
      <c r="BQ65" s="2">
        <v>-5.73543505674734E-8</v>
      </c>
      <c r="BR65" s="2">
        <f t="shared" si="36"/>
        <v>0.13839225721380641</v>
      </c>
      <c r="BS65" s="2">
        <v>5.4268890700703842E-8</v>
      </c>
      <c r="BT65" s="2">
        <f t="shared" si="27"/>
        <v>0.13839223638185294</v>
      </c>
      <c r="BU65" s="2">
        <v>-1.5427249130950393E-9</v>
      </c>
      <c r="BV65" s="2">
        <f t="shared" si="28"/>
        <v>8.8481985494827816E-17</v>
      </c>
      <c r="BW65" s="2">
        <f t="shared" si="29"/>
        <v>-8.3721969690007528E-17</v>
      </c>
      <c r="BX65" s="2">
        <f t="shared" si="30"/>
        <v>4.1663906907851711E-8</v>
      </c>
      <c r="BY65"/>
      <c r="BZ65" s="2">
        <v>27</v>
      </c>
      <c r="CA65" s="2">
        <f t="shared" si="37"/>
        <v>0.1172747810110733</v>
      </c>
      <c r="CB65" s="2">
        <v>-2.2871684553227301E-8</v>
      </c>
      <c r="CC65" s="2">
        <f t="shared" si="38"/>
        <v>0.11727482267498021</v>
      </c>
      <c r="CD65" s="2">
        <v>8.5489657290771515E-8</v>
      </c>
      <c r="CE65" s="2">
        <f t="shared" si="31"/>
        <v>0.11727480184302676</v>
      </c>
      <c r="CF65" s="2">
        <v>3.1308992148870729E-8</v>
      </c>
      <c r="CG65" s="2">
        <f t="shared" si="32"/>
        <v>-7.1608939210844147E-16</v>
      </c>
      <c r="CH65" s="2">
        <f t="shared" si="33"/>
        <v>2.6765950089264146E-15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354.77523803710938</v>
      </c>
      <c r="AH66" s="2">
        <v>4.1064655782975024E-2</v>
      </c>
      <c r="AI66" s="2">
        <f t="shared" si="44"/>
        <v>354.79736328125</v>
      </c>
      <c r="AJ66" s="2">
        <v>-0.62482609203561879</v>
      </c>
      <c r="AK66" s="2">
        <f t="shared" si="39"/>
        <v>354.78630065917969</v>
      </c>
      <c r="AL66" s="2">
        <v>-0.29187552732673794</v>
      </c>
      <c r="AM66" s="2">
        <f t="shared" si="40"/>
        <v>-1.1985768061146814E-2</v>
      </c>
      <c r="AN66" s="2">
        <f t="shared" si="41"/>
        <v>0.18237144510040112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0.98856215614461984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0.82987056603245601</v>
      </c>
      <c r="BM66" s="2"/>
      <c r="BN66"/>
      <c r="BO66" s="2">
        <v>28</v>
      </c>
      <c r="BP66" s="2">
        <f t="shared" si="35"/>
        <v>0.13839223638185294</v>
      </c>
      <c r="BQ66" s="2">
        <v>-1.5427249130950393E-9</v>
      </c>
      <c r="BR66" s="2">
        <f t="shared" si="36"/>
        <v>0.13839225721380641</v>
      </c>
      <c r="BS66" s="2">
        <v>5.4268890700703842E-8</v>
      </c>
      <c r="BT66" s="2">
        <f t="shared" si="27"/>
        <v>0.13839224679782969</v>
      </c>
      <c r="BU66" s="2">
        <v>2.6363084208724796E-8</v>
      </c>
      <c r="BV66" s="2">
        <f t="shared" si="28"/>
        <v>-4.0670986794822166E-17</v>
      </c>
      <c r="BW66" s="2">
        <f t="shared" si="29"/>
        <v>1.4306953354567375E-15</v>
      </c>
      <c r="BX66" s="2">
        <f t="shared" si="30"/>
        <v>2.0831953467803643E-8</v>
      </c>
      <c r="BY66"/>
      <c r="BZ66" s="2">
        <v>28</v>
      </c>
      <c r="CA66" s="2">
        <f t="shared" si="37"/>
        <v>0.1172747810110733</v>
      </c>
      <c r="CB66" s="2">
        <v>-2.2871684553227301E-8</v>
      </c>
      <c r="CC66" s="2">
        <f t="shared" si="38"/>
        <v>0.11727480184302676</v>
      </c>
      <c r="CD66" s="2">
        <v>3.1308992148870729E-8</v>
      </c>
      <c r="CE66" s="2">
        <f t="shared" si="31"/>
        <v>0.11727479142705002</v>
      </c>
      <c r="CF66" s="2">
        <v>4.2186552515199871E-9</v>
      </c>
      <c r="CG66" s="2">
        <f t="shared" si="32"/>
        <v>-9.6487752151580921E-17</v>
      </c>
      <c r="CH66" s="2">
        <f t="shared" si="33"/>
        <v>1.3208184414863154E-16</v>
      </c>
      <c r="CI66" s="2">
        <f t="shared" si="34"/>
        <v>2.0831953453925856E-8</v>
      </c>
    </row>
    <row r="67" spans="32:87" x14ac:dyDescent="0.2">
      <c r="AF67" s="2">
        <v>18</v>
      </c>
      <c r="AG67" s="2">
        <f t="shared" si="43"/>
        <v>354.77523803710938</v>
      </c>
      <c r="AH67" s="2">
        <v>4.1064655782975024E-2</v>
      </c>
      <c r="AI67" s="2">
        <f t="shared" si="44"/>
        <v>354.78630065917969</v>
      </c>
      <c r="AJ67" s="2">
        <v>-0.29187552732673794</v>
      </c>
      <c r="AK67" s="2">
        <f t="shared" si="39"/>
        <v>354.78076934814453</v>
      </c>
      <c r="AL67" s="2">
        <v>-0.12540413807073492</v>
      </c>
      <c r="AM67" s="2">
        <f t="shared" si="40"/>
        <v>-5.1496777636354032E-3</v>
      </c>
      <c r="AN67" s="2">
        <f t="shared" si="41"/>
        <v>3.6602398928350807E-2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0.99999998263040402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0.99999999865213873</v>
      </c>
      <c r="BM67" s="2"/>
      <c r="BN67"/>
      <c r="BO67" s="2">
        <v>29</v>
      </c>
      <c r="BP67" s="2">
        <f t="shared" si="35"/>
        <v>0.13839223638185294</v>
      </c>
      <c r="BQ67" s="2">
        <v>-1.5427249130950393E-9</v>
      </c>
      <c r="BR67" s="2">
        <f t="shared" si="36"/>
        <v>0.13839224679782969</v>
      </c>
      <c r="BS67" s="2">
        <v>2.6363084208724796E-8</v>
      </c>
      <c r="BT67" s="2">
        <f t="shared" si="27"/>
        <v>0.13839224158984131</v>
      </c>
      <c r="BU67" s="2">
        <v>1.2410179946187316E-8</v>
      </c>
      <c r="BV67" s="2">
        <f t="shared" si="28"/>
        <v>-1.9145493778975627E-17</v>
      </c>
      <c r="BW67" s="2">
        <f t="shared" si="29"/>
        <v>3.2717061896676397E-16</v>
      </c>
      <c r="BX67" s="2">
        <f t="shared" si="30"/>
        <v>1.0415976747779609E-8</v>
      </c>
      <c r="BY67"/>
      <c r="BZ67" s="2">
        <v>29</v>
      </c>
      <c r="CA67" s="2">
        <f t="shared" si="37"/>
        <v>0.1172747810110733</v>
      </c>
      <c r="CB67" s="2">
        <v>-2.2871684553227301E-8</v>
      </c>
      <c r="CC67" s="2">
        <f t="shared" si="38"/>
        <v>0.11727479142705002</v>
      </c>
      <c r="CD67" s="2">
        <v>4.2186552515199871E-9</v>
      </c>
      <c r="CE67" s="2">
        <f t="shared" si="31"/>
        <v>0.11727478621906166</v>
      </c>
      <c r="CF67" s="2">
        <v>-9.3265142900311737E-9</v>
      </c>
      <c r="CG67" s="2">
        <f t="shared" si="32"/>
        <v>2.1331309282275967E-16</v>
      </c>
      <c r="CH67" s="2">
        <f t="shared" si="33"/>
        <v>-3.9345348488016212E-17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354.77523803710938</v>
      </c>
      <c r="AH68" s="2">
        <v>4.1064655782975024E-2</v>
      </c>
      <c r="AI68" s="2">
        <f t="shared" si="44"/>
        <v>354.78076934814453</v>
      </c>
      <c r="AJ68" s="2">
        <v>-0.12540413807073492</v>
      </c>
      <c r="AK68" s="2">
        <f t="shared" si="39"/>
        <v>354.77800369262695</v>
      </c>
      <c r="AL68" s="2">
        <v>-4.2169416718024877E-2</v>
      </c>
      <c r="AM68" s="2">
        <f t="shared" si="40"/>
        <v>-1.7316725820945239E-3</v>
      </c>
      <c r="AN68" s="2">
        <f t="shared" si="41"/>
        <v>5.2882193564695486E-3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0.9885621389736946</v>
      </c>
      <c r="BI68" s="2"/>
      <c r="BJ68" s="2"/>
      <c r="BK68" s="2" t="s">
        <v>183</v>
      </c>
      <c r="BL68" s="2">
        <f>IF(BL61=0,1,BL66*BL67)</f>
        <v>0.82987056491390565</v>
      </c>
      <c r="BM68" s="2"/>
      <c r="BN68"/>
      <c r="BO68" s="2">
        <v>30</v>
      </c>
      <c r="BP68" s="2">
        <f t="shared" si="35"/>
        <v>0.13839223638185294</v>
      </c>
      <c r="BQ68" s="2">
        <v>-1.5427249130950393E-9</v>
      </c>
      <c r="BR68" s="2">
        <f t="shared" si="36"/>
        <v>0.13839224158984131</v>
      </c>
      <c r="BS68" s="2">
        <v>1.2410179946187316E-8</v>
      </c>
      <c r="BT68" s="5">
        <f t="shared" si="27"/>
        <v>0.13839223898584713</v>
      </c>
      <c r="BU68" s="2">
        <v>5.4337276067517593E-9</v>
      </c>
      <c r="BV68" s="2">
        <f t="shared" si="28"/>
        <v>-8.3827469499082241E-18</v>
      </c>
      <c r="BW68" s="2">
        <f t="shared" si="29"/>
        <v>6.7433537378355082E-17</v>
      </c>
      <c r="BX68" s="2">
        <f t="shared" si="30"/>
        <v>5.2079883738898047E-9</v>
      </c>
      <c r="BY68"/>
      <c r="BZ68" s="2">
        <v>30</v>
      </c>
      <c r="CA68" s="2">
        <f t="shared" si="37"/>
        <v>0.11727478621906166</v>
      </c>
      <c r="CB68" s="2">
        <v>-9.3265142900311737E-9</v>
      </c>
      <c r="CC68" s="2">
        <f t="shared" si="38"/>
        <v>0.11727479142705002</v>
      </c>
      <c r="CD68" s="2">
        <v>4.2186552515199871E-9</v>
      </c>
      <c r="CE68" s="5">
        <f t="shared" si="31"/>
        <v>0.11727478882305584</v>
      </c>
      <c r="CF68" s="2">
        <v>-2.5539294845611238E-9</v>
      </c>
      <c r="CG68" s="2">
        <f t="shared" si="32"/>
        <v>2.3819259833491269E-17</v>
      </c>
      <c r="CH68" s="2">
        <f t="shared" si="33"/>
        <v>-1.0774148032055518E-17</v>
      </c>
      <c r="CI68" s="2">
        <f t="shared" si="34"/>
        <v>5.2079883600120169E-9</v>
      </c>
    </row>
    <row r="69" spans="32:87" x14ac:dyDescent="0.2">
      <c r="AF69" s="2">
        <v>20</v>
      </c>
      <c r="AG69" s="2">
        <f t="shared" si="43"/>
        <v>354.77523803710938</v>
      </c>
      <c r="AH69" s="2">
        <v>4.1064655782975024E-2</v>
      </c>
      <c r="AI69" s="2">
        <f t="shared" si="44"/>
        <v>354.77800369262695</v>
      </c>
      <c r="AJ69" s="2">
        <v>-4.2169416718024877E-2</v>
      </c>
      <c r="AK69" s="2">
        <f t="shared" si="39"/>
        <v>354.77662086486816</v>
      </c>
      <c r="AL69" s="2">
        <v>-5.5229936060641194E-4</v>
      </c>
      <c r="AM69" s="2">
        <f t="shared" si="40"/>
        <v>-2.2679983132459503E-5</v>
      </c>
      <c r="AN69" s="2">
        <f t="shared" si="41"/>
        <v>2.3290141890510479E-5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0.46174831644801517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0.36029507932299459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354.77523803710938</v>
      </c>
      <c r="AH70" s="2">
        <v>4.1064655782975024E-2</v>
      </c>
      <c r="AI70" s="2">
        <f t="shared" si="44"/>
        <v>354.77662086486816</v>
      </c>
      <c r="AJ70" s="2">
        <v>-5.5229936060641194E-4</v>
      </c>
      <c r="AK70" s="2">
        <f t="shared" si="39"/>
        <v>354.77592945098877</v>
      </c>
      <c r="AL70" s="2">
        <v>2.025619848700444E-2</v>
      </c>
      <c r="AM70" s="2">
        <f t="shared" si="40"/>
        <v>8.3181381834045675E-4</v>
      </c>
      <c r="AN70" s="2">
        <f t="shared" si="41"/>
        <v>-1.1187485472689121E-5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2.9372475911784691E-2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3.4699248459783373E-2</v>
      </c>
      <c r="BM70" s="2"/>
      <c r="BN70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Y7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32:87" x14ac:dyDescent="0.2">
      <c r="AF71" s="2">
        <v>22</v>
      </c>
      <c r="AG71" s="2">
        <f t="shared" si="43"/>
        <v>354.77592945098877</v>
      </c>
      <c r="AH71" s="2">
        <v>2.025619848700444E-2</v>
      </c>
      <c r="AI71" s="2">
        <f t="shared" si="44"/>
        <v>354.77662086486816</v>
      </c>
      <c r="AJ71" s="2">
        <v>-5.5229936060641194E-4</v>
      </c>
      <c r="AK71" s="2">
        <f t="shared" si="39"/>
        <v>354.77627515792847</v>
      </c>
      <c r="AL71" s="2">
        <v>9.851954634541471E-3</v>
      </c>
      <c r="AM71" s="2">
        <f t="shared" si="40"/>
        <v>1.9956314856223534E-4</v>
      </c>
      <c r="AN71" s="2">
        <f t="shared" si="41"/>
        <v>-5.4412282453806316E-6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0.45832489974394142</v>
      </c>
      <c r="BI71" s="2"/>
      <c r="BJ71" s="2"/>
      <c r="BK71" s="2" t="s">
        <v>190</v>
      </c>
      <c r="BL71" s="2">
        <f xml:space="preserve"> BL69*COS(BL61) - BL70*SIN(BL61)</f>
        <v>0.35724482512299377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354.77627515792847</v>
      </c>
      <c r="AH72" s="2">
        <v>9.851954634541471E-3</v>
      </c>
      <c r="AI72" s="2">
        <f t="shared" si="44"/>
        <v>354.77662086486816</v>
      </c>
      <c r="AJ72" s="2">
        <v>-5.5229936060641194E-4</v>
      </c>
      <c r="AK72" s="2">
        <f t="shared" si="39"/>
        <v>354.77644801139832</v>
      </c>
      <c r="AL72" s="2">
        <v>4.6498289029841544E-3</v>
      </c>
      <c r="AM72" s="2">
        <f t="shared" si="40"/>
        <v>4.5809903410579622E-5</v>
      </c>
      <c r="AN72" s="2">
        <f t="shared" si="41"/>
        <v>-2.5680975300473624E-6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6.3344584286825739E-2</v>
      </c>
      <c r="BI72" s="2"/>
      <c r="BJ72" s="2"/>
      <c r="BK72" s="2" t="s">
        <v>192</v>
      </c>
      <c r="BL72" s="2">
        <f xml:space="preserve"> BL69*SIN(BL61) + BL70*COS(BL61)</f>
        <v>5.8247033837598577E-2</v>
      </c>
      <c r="BM72" s="2"/>
      <c r="BN72"/>
      <c r="BO72" s="30">
        <v>0</v>
      </c>
      <c r="BP72" s="30"/>
      <c r="BQ72" s="30">
        <f>$BH$58</f>
        <v>3.5025512559738736E-9</v>
      </c>
      <c r="BR72" s="30"/>
      <c r="BS72" s="30">
        <f>$BH$58</f>
        <v>3.5025512559738736E-9</v>
      </c>
      <c r="BT72" s="30"/>
      <c r="BU72" s="30">
        <f>$BH$58</f>
        <v>3.5025512559738736E-9</v>
      </c>
      <c r="BV72" s="30"/>
      <c r="BW72" s="30"/>
      <c r="BX72" s="30"/>
      <c r="BY72"/>
      <c r="BZ72" s="30">
        <v>0</v>
      </c>
      <c r="CA72" s="30"/>
      <c r="CB72" s="30">
        <f>$BL$58</f>
        <v>5.4190308282353605E-9</v>
      </c>
      <c r="CC72" s="30"/>
      <c r="CD72" s="30">
        <f>$BL$58</f>
        <v>5.4190308282353605E-9</v>
      </c>
      <c r="CE72" s="30"/>
      <c r="CF72" s="30">
        <f>$BL$58</f>
        <v>5.4190308282353605E-9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354.77644801139832</v>
      </c>
      <c r="AH73" s="2">
        <v>4.6498289029841544E-3</v>
      </c>
      <c r="AI73" s="2">
        <f t="shared" si="44"/>
        <v>354.77662086486816</v>
      </c>
      <c r="AJ73" s="2">
        <v>-5.5229936060641194E-4</v>
      </c>
      <c r="AK73" s="2">
        <f t="shared" si="39"/>
        <v>354.77653443813324</v>
      </c>
      <c r="AL73" s="2">
        <v>2.0487650890572695E-3</v>
      </c>
      <c r="AM73" s="2">
        <f t="shared" si="40"/>
        <v>9.5264071265233967E-6</v>
      </c>
      <c r="AN73" s="2">
        <f t="shared" si="41"/>
        <v>-1.1315316487190686E-6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1.3866734060537962</v>
      </c>
      <c r="BI73" s="2"/>
      <c r="BJ73" s="2"/>
      <c r="BK73" s="2" t="s">
        <v>38</v>
      </c>
      <c r="BL73" s="2">
        <f xml:space="preserve"> 4*BL68*SIN(BL61)*SIN(BL61) / (BL65*BL71)</f>
        <v>1.3838903351547365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-0.4025763274268796</v>
      </c>
      <c r="BR73" s="3">
        <f>0.9*PI()</f>
        <v>2.8274333882308138</v>
      </c>
      <c r="BS73" s="2">
        <f t="dataTable" ref="BS73:BS102" dt2D="0" dtr="0" r1="BH42" ca="1"/>
        <v>0.36631283538536286</v>
      </c>
      <c r="BT73" s="2">
        <f t="shared" ref="BT73:BT102" si="45">(BP73+BR73)/2</f>
        <v>1.4294246573833558</v>
      </c>
      <c r="BU73" s="2">
        <f t="dataTable" ref="BU73:BU102" dt2D="0" dtr="0" r1="BH42" ca="1"/>
        <v>1.0131854209192939</v>
      </c>
      <c r="BV73" s="2">
        <f t="shared" ref="BV73:BV102" si="46">BQ73*BU73</f>
        <v>-0.40788446575614645</v>
      </c>
      <c r="BW73" s="2">
        <f t="shared" ref="BW73:BW102" si="47">BS73*BU73</f>
        <v>0.37114282430805889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-0.27983357244361506</v>
      </c>
      <c r="CC73" s="3">
        <f>0.9*PI()</f>
        <v>2.8274333882308138</v>
      </c>
      <c r="CD73" s="2">
        <f t="dataTable" ref="CD73:CD102" dt2D="0" dtr="0" r1="BL42" ca="1"/>
        <v>0.3585794453723859</v>
      </c>
      <c r="CE73" s="2">
        <f t="shared" ref="CE73:CE102" si="49">(CA73+CC73)/2</f>
        <v>1.4294246573833558</v>
      </c>
      <c r="CF73" s="2">
        <f t="dataTable" ref="CF73:CF102" dt2D="0" dtr="0" r1="BL42" ca="1"/>
        <v>1.0134626966312792</v>
      </c>
      <c r="CG73" s="2">
        <f t="shared" ref="CG73:CG102" si="50">CB73*CF73</f>
        <v>-0.28360088693667052</v>
      </c>
      <c r="CH73" s="2">
        <f t="shared" ref="CH73:CH102" si="51">CD73*CF73</f>
        <v>0.3634068916636467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354.77653443813324</v>
      </c>
      <c r="AH74" s="2">
        <v>2.0487650890572695E-3</v>
      </c>
      <c r="AI74" s="2">
        <f t="shared" si="44"/>
        <v>354.77662086486816</v>
      </c>
      <c r="AJ74" s="2">
        <v>-5.5229936060641194E-4</v>
      </c>
      <c r="AK74" s="2">
        <f t="shared" si="39"/>
        <v>354.7765776515007</v>
      </c>
      <c r="AL74" s="2">
        <v>7.4823294289672049E-4</v>
      </c>
      <c r="AM74" s="2">
        <f t="shared" si="40"/>
        <v>1.5329535318893823E-6</v>
      </c>
      <c r="AN74" s="2">
        <f t="shared" si="41"/>
        <v>-4.1324857594651267E-7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135.67991117877713</v>
      </c>
      <c r="BI74" s="2"/>
      <c r="BJ74" s="2"/>
      <c r="BK74" s="2" t="s">
        <v>194</v>
      </c>
      <c r="BL74" s="2">
        <f xml:space="preserve"> 4*BL68*SIN(BL61)*COS(BL61) / (BL65*BL72)</f>
        <v>129.17897181192484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-0.4025763274268796</v>
      </c>
      <c r="BR74" s="2">
        <f t="shared" ref="BR74:BR102" si="54">IF(BW73&gt;0,BT73,BR73)</f>
        <v>1.4294246573833558</v>
      </c>
      <c r="BS74" s="2">
        <v>1.0131854209192939</v>
      </c>
      <c r="BT74" s="2">
        <f t="shared" si="45"/>
        <v>0.73042029195962688</v>
      </c>
      <c r="BU74" s="2">
        <v>0.66879053014040979</v>
      </c>
      <c r="BV74" s="2">
        <f t="shared" si="46"/>
        <v>-0.26923923544180201</v>
      </c>
      <c r="BW74" s="2">
        <f t="shared" si="47"/>
        <v>0.67760881478714874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-0.27983357244361506</v>
      </c>
      <c r="CC74" s="2">
        <f t="shared" ref="CC74:CC102" si="56">IF(CH73&gt;0,CE73,CC73)</f>
        <v>1.4294246573833558</v>
      </c>
      <c r="CD74" s="2">
        <v>1.0134626966312792</v>
      </c>
      <c r="CE74" s="2">
        <f t="shared" si="49"/>
        <v>0.73042029195962688</v>
      </c>
      <c r="CF74" s="2">
        <v>0.67130948455513251</v>
      </c>
      <c r="CG74" s="2">
        <f t="shared" si="50"/>
        <v>-0.18785493127834457</v>
      </c>
      <c r="CH74" s="2">
        <f t="shared" si="51"/>
        <v>0.68034712049139867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354.7765776515007</v>
      </c>
      <c r="AH75" s="2">
        <v>7.4823294289672049E-4</v>
      </c>
      <c r="AI75" s="2">
        <f t="shared" si="44"/>
        <v>354.77662086486816</v>
      </c>
      <c r="AJ75" s="2">
        <v>-5.5229936060641194E-4</v>
      </c>
      <c r="AK75" s="2">
        <f t="shared" si="39"/>
        <v>354.77659925818443</v>
      </c>
      <c r="AL75" s="2">
        <v>9.7966808425553609E-5</v>
      </c>
      <c r="AM75" s="2">
        <f t="shared" si="40"/>
        <v>7.3301993374451208E-8</v>
      </c>
      <c r="AN75" s="2">
        <f t="shared" si="41"/>
        <v>-5.410700565408411E-8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2.5861618211749331</v>
      </c>
      <c r="BI75" s="2"/>
      <c r="BJ75" s="2"/>
      <c r="BK75" s="2" t="s">
        <v>45</v>
      </c>
      <c r="BL75" s="2">
        <f>1/(BL73-1)</f>
        <v>2.6049105914503561</v>
      </c>
      <c r="BM75" s="2"/>
      <c r="BN75"/>
      <c r="BO75" s="2">
        <v>3</v>
      </c>
      <c r="BP75" s="2">
        <f t="shared" si="53"/>
        <v>3.1415926535897934E-2</v>
      </c>
      <c r="BQ75" s="2">
        <v>-0.4025763274268796</v>
      </c>
      <c r="BR75" s="2">
        <f t="shared" si="54"/>
        <v>0.73042029195962688</v>
      </c>
      <c r="BS75" s="2">
        <v>0.66879053014040979</v>
      </c>
      <c r="BT75" s="2">
        <f t="shared" si="45"/>
        <v>0.38091810924776243</v>
      </c>
      <c r="BU75" s="2">
        <v>0.38610656146502392</v>
      </c>
      <c r="BV75" s="2">
        <f t="shared" si="46"/>
        <v>-0.15543736151001009</v>
      </c>
      <c r="BW75" s="2">
        <f t="shared" si="47"/>
        <v>0.25822441193288409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-0.27983357244361506</v>
      </c>
      <c r="CC75" s="2">
        <f t="shared" si="56"/>
        <v>0.73042029195962688</v>
      </c>
      <c r="CD75" s="2">
        <v>0.67130948455513251</v>
      </c>
      <c r="CE75" s="2">
        <f t="shared" si="49"/>
        <v>0.38091810924776243</v>
      </c>
      <c r="CF75" s="2">
        <v>0.38412554368217289</v>
      </c>
      <c r="CG75" s="2">
        <f t="shared" si="50"/>
        <v>-0.10749122315542835</v>
      </c>
      <c r="CH75" s="2">
        <f t="shared" si="51"/>
        <v>0.25786712073373952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354.77659925818443</v>
      </c>
      <c r="AH76" s="2">
        <v>9.7966808425553609E-5</v>
      </c>
      <c r="AI76" s="2">
        <f t="shared" si="44"/>
        <v>354.77662086486816</v>
      </c>
      <c r="AJ76" s="2">
        <v>-5.5229936060641194E-4</v>
      </c>
      <c r="AK76" s="2">
        <f t="shared" si="39"/>
        <v>354.7766100615263</v>
      </c>
      <c r="AL76" s="2">
        <v>-2.2716626972396625E-4</v>
      </c>
      <c r="AM76" s="2">
        <f t="shared" si="40"/>
        <v>-2.2254754426795441E-8</v>
      </c>
      <c r="AN76" s="2">
        <f t="shared" si="41"/>
        <v>1.2546378551989027E-7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7.3163641340972295E-3</v>
      </c>
      <c r="BI76" s="2"/>
      <c r="BJ76"/>
      <c r="BK76" s="2" t="s">
        <v>197</v>
      </c>
      <c r="BL76" s="2">
        <f>1/(BL74+1)</f>
        <v>7.6817322036061477E-3</v>
      </c>
      <c r="BM76" s="2"/>
      <c r="BN76"/>
      <c r="BO76" s="2">
        <v>4</v>
      </c>
      <c r="BP76" s="2">
        <f t="shared" si="53"/>
        <v>3.1415926535897934E-2</v>
      </c>
      <c r="BQ76" s="2">
        <v>-0.4025763274268796</v>
      </c>
      <c r="BR76" s="2">
        <f t="shared" si="54"/>
        <v>0.38091810924776243</v>
      </c>
      <c r="BS76" s="2">
        <v>0.38610656146502392</v>
      </c>
      <c r="BT76" s="2">
        <f t="shared" si="45"/>
        <v>0.20616701789183017</v>
      </c>
      <c r="BU76" s="2">
        <v>0.18575175918351497</v>
      </c>
      <c r="BV76" s="2">
        <f t="shared" si="46"/>
        <v>-7.4779261025181606E-2</v>
      </c>
      <c r="BW76" s="2">
        <f t="shared" si="47"/>
        <v>7.1719973024426148E-2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-0.27983357244361506</v>
      </c>
      <c r="CC76" s="2">
        <f t="shared" si="56"/>
        <v>0.38091810924776243</v>
      </c>
      <c r="CD76" s="2">
        <v>0.38412554368217289</v>
      </c>
      <c r="CE76" s="2">
        <f t="shared" si="49"/>
        <v>0.20616701789183017</v>
      </c>
      <c r="CF76" s="2">
        <v>0.19648366849697046</v>
      </c>
      <c r="CG76" s="2">
        <f t="shared" si="50"/>
        <v>-5.4982726882334229E-2</v>
      </c>
      <c r="CH76" s="2">
        <f t="shared" si="51"/>
        <v>7.5474395986066603E-2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354.77659925818443</v>
      </c>
      <c r="AH77" s="2">
        <v>9.7966808425553609E-5</v>
      </c>
      <c r="AI77" s="2">
        <f t="shared" si="44"/>
        <v>354.7766100615263</v>
      </c>
      <c r="AJ77" s="2">
        <v>-2.2716626972396625E-4</v>
      </c>
      <c r="AK77" s="2">
        <f t="shared" si="39"/>
        <v>354.77660465985537</v>
      </c>
      <c r="AL77" s="2">
        <v>-6.4599726101732813E-5</v>
      </c>
      <c r="AM77" s="2">
        <f t="shared" si="40"/>
        <v>-6.3286289913516935E-9</v>
      </c>
      <c r="AN77" s="2">
        <f t="shared" si="41"/>
        <v>1.4674878803720579E-8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-3.9115081694462983E-9</v>
      </c>
      <c r="BI77" s="40"/>
      <c r="BJ77"/>
      <c r="BK77" s="7" t="s">
        <v>199</v>
      </c>
      <c r="BL77" s="40">
        <f>SIN(BL61)/(1+BL75) - $AR$3*COS(BL61)/($AV$5*$AR$26*(1-BL76))</f>
        <v>6.1217168174920733E-9</v>
      </c>
      <c r="BM77" s="40"/>
      <c r="BN77"/>
      <c r="BO77" s="2">
        <v>5</v>
      </c>
      <c r="BP77" s="2">
        <f t="shared" si="53"/>
        <v>3.1415926535897934E-2</v>
      </c>
      <c r="BQ77" s="2">
        <v>-0.4025763274268796</v>
      </c>
      <c r="BR77" s="2">
        <f t="shared" si="54"/>
        <v>0.20616701789183017</v>
      </c>
      <c r="BS77" s="2">
        <v>0.18575175918351497</v>
      </c>
      <c r="BT77" s="2">
        <f t="shared" si="45"/>
        <v>0.11879147221386405</v>
      </c>
      <c r="BU77" s="2">
        <v>4.2733816112929993E-2</v>
      </c>
      <c r="BV77" s="2">
        <f t="shared" si="46"/>
        <v>-1.7203622747678969E-2</v>
      </c>
      <c r="BW77" s="2">
        <f t="shared" si="47"/>
        <v>7.937881519601583E-3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-0.27983357244361506</v>
      </c>
      <c r="CC77" s="2">
        <f t="shared" si="56"/>
        <v>0.20616701789183017</v>
      </c>
      <c r="CD77" s="2">
        <v>0.19648366849697046</v>
      </c>
      <c r="CE77" s="2">
        <f t="shared" si="49"/>
        <v>0.11879147221386405</v>
      </c>
      <c r="CF77" s="2">
        <v>6.8875717830184105E-2</v>
      </c>
      <c r="CG77" s="2">
        <f t="shared" si="50"/>
        <v>-1.9273738175038812E-2</v>
      </c>
      <c r="CH77" s="2">
        <f t="shared" si="51"/>
        <v>1.3532953709636772E-2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354.77659925818443</v>
      </c>
      <c r="AH78" s="2">
        <v>9.7966808425553609E-5</v>
      </c>
      <c r="AI78" s="2">
        <f t="shared" si="44"/>
        <v>354.77660465985537</v>
      </c>
      <c r="AJ78" s="2">
        <v>-6.4599726101732813E-5</v>
      </c>
      <c r="AK78" s="2">
        <f t="shared" si="39"/>
        <v>354.7766019590199</v>
      </c>
      <c r="AL78" s="2">
        <v>1.6683542526152451E-5</v>
      </c>
      <c r="AM78" s="2">
        <f t="shared" si="40"/>
        <v>1.6344334145191538E-9</v>
      </c>
      <c r="AN78" s="2">
        <f t="shared" si="41"/>
        <v>-1.0777522775960599E-9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-0.4025763274268796</v>
      </c>
      <c r="BR78" s="2">
        <f t="shared" si="54"/>
        <v>0.11879147221386405</v>
      </c>
      <c r="BS78" s="2">
        <v>4.2733816112929993E-2</v>
      </c>
      <c r="BT78" s="2">
        <f t="shared" si="45"/>
        <v>7.5103699374880983E-2</v>
      </c>
      <c r="BU78" s="2">
        <v>-7.7302210958964793E-2</v>
      </c>
      <c r="BV78" s="2">
        <f t="shared" si="46"/>
        <v>3.1120040189837932E-2</v>
      </c>
      <c r="BW78" s="2">
        <f t="shared" si="47"/>
        <v>-3.3034184682433233E-3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-0.27983357244361506</v>
      </c>
      <c r="CC78" s="2">
        <f t="shared" si="56"/>
        <v>0.11879147221386405</v>
      </c>
      <c r="CD78" s="2">
        <v>6.8875717830184105E-2</v>
      </c>
      <c r="CE78" s="2">
        <f t="shared" si="49"/>
        <v>7.5103699374880983E-2</v>
      </c>
      <c r="CF78" s="2">
        <v>-3.0116460177876433E-2</v>
      </c>
      <c r="CG78" s="2">
        <f t="shared" si="50"/>
        <v>8.4275966409310329E-3</v>
      </c>
      <c r="CH78" s="2">
        <f t="shared" si="51"/>
        <v>-2.0742928132553933E-3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354.7766019590199</v>
      </c>
      <c r="AH79" s="2">
        <v>1.6683542526152451E-5</v>
      </c>
      <c r="AI79" s="2">
        <f t="shared" si="44"/>
        <v>354.77660465985537</v>
      </c>
      <c r="AJ79" s="2">
        <v>-6.4599726101732813E-5</v>
      </c>
      <c r="AK79" s="5">
        <f t="shared" si="39"/>
        <v>354.77660330943763</v>
      </c>
      <c r="AL79" s="2">
        <v>-2.3958093152032234E-5</v>
      </c>
      <c r="AM79" s="2">
        <f t="shared" si="40"/>
        <v>-3.9970586594745158E-10</v>
      </c>
      <c r="AN79" s="2">
        <f t="shared" si="41"/>
        <v>1.5476862555410829E-9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-7.7302210958964793E-2</v>
      </c>
      <c r="BR79" s="2">
        <f t="shared" si="54"/>
        <v>0.11879147221386405</v>
      </c>
      <c r="BS79" s="2">
        <v>4.2733816112929993E-2</v>
      </c>
      <c r="BT79" s="2">
        <f t="shared" si="45"/>
        <v>9.6947585794372515E-2</v>
      </c>
      <c r="BU79" s="2">
        <v>-8.8421913276352931E-3</v>
      </c>
      <c r="BV79" s="2">
        <f t="shared" si="46"/>
        <v>6.8352093934839243E-4</v>
      </c>
      <c r="BW79" s="2">
        <f t="shared" si="47"/>
        <v>-3.7786057823051093E-4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-3.0116460177876433E-2</v>
      </c>
      <c r="CC79" s="2">
        <f t="shared" si="56"/>
        <v>0.11879147221386405</v>
      </c>
      <c r="CD79" s="2">
        <v>6.8875717830184105E-2</v>
      </c>
      <c r="CE79" s="2">
        <f t="shared" si="49"/>
        <v>9.6947585794372515E-2</v>
      </c>
      <c r="CF79" s="2">
        <v>2.5568828973805698E-2</v>
      </c>
      <c r="CG79" s="2">
        <f t="shared" si="50"/>
        <v>-7.7004261958455247E-4</v>
      </c>
      <c r="CH79" s="2">
        <f t="shared" si="51"/>
        <v>1.7610714496480771E-3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-8.8421913276352931E-3</v>
      </c>
      <c r="BR80" s="2">
        <f t="shared" si="54"/>
        <v>0.11879147221386405</v>
      </c>
      <c r="BS80" s="2">
        <v>4.2733816112929993E-2</v>
      </c>
      <c r="BT80" s="2">
        <f t="shared" si="45"/>
        <v>0.10786952900411828</v>
      </c>
      <c r="BU80" s="2">
        <v>1.842828498358574E-2</v>
      </c>
      <c r="BV80" s="2">
        <f t="shared" si="46"/>
        <v>-1.6294642166505354E-4</v>
      </c>
      <c r="BW80" s="2">
        <f t="shared" si="47"/>
        <v>7.8751094176522218E-4</v>
      </c>
      <c r="BX80" s="2">
        <f t="shared" si="48"/>
        <v>2.1843886419491532E-2</v>
      </c>
      <c r="BY80"/>
      <c r="BZ80" s="2">
        <v>8</v>
      </c>
      <c r="CA80" s="2">
        <f t="shared" si="55"/>
        <v>7.5103699374880983E-2</v>
      </c>
      <c r="CB80" s="2">
        <v>-3.0116460177876433E-2</v>
      </c>
      <c r="CC80" s="2">
        <f t="shared" si="56"/>
        <v>9.6947585794372515E-2</v>
      </c>
      <c r="CD80" s="2">
        <v>2.5568828973805698E-2</v>
      </c>
      <c r="CE80" s="2">
        <f t="shared" si="49"/>
        <v>8.6025642584626749E-2</v>
      </c>
      <c r="CF80" s="2">
        <v>-1.452023440614951E-4</v>
      </c>
      <c r="CG80" s="2">
        <f t="shared" si="50"/>
        <v>4.3729806126623297E-6</v>
      </c>
      <c r="CH80" s="2">
        <f t="shared" si="51"/>
        <v>-3.7126539019040594E-6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9.6947585794372515E-2</v>
      </c>
      <c r="BQ81" s="2">
        <v>-8.8421913276352931E-3</v>
      </c>
      <c r="BR81" s="2">
        <f t="shared" si="54"/>
        <v>0.10786952900411828</v>
      </c>
      <c r="BS81" s="2">
        <v>1.842828498358574E-2</v>
      </c>
      <c r="BT81" s="2">
        <f t="shared" si="45"/>
        <v>0.1024085573992454</v>
      </c>
      <c r="BU81" s="2">
        <v>5.2213153832703051E-3</v>
      </c>
      <c r="BV81" s="2">
        <f t="shared" si="46"/>
        <v>-4.6167869600801436E-5</v>
      </c>
      <c r="BW81" s="2">
        <f t="shared" si="47"/>
        <v>9.6219887872085391E-5</v>
      </c>
      <c r="BX81" s="2">
        <f t="shared" si="48"/>
        <v>1.0921943209745766E-2</v>
      </c>
      <c r="BY81"/>
      <c r="BZ81" s="2">
        <v>9</v>
      </c>
      <c r="CA81" s="2">
        <f t="shared" si="55"/>
        <v>8.6025642584626749E-2</v>
      </c>
      <c r="CB81" s="2">
        <v>-1.452023440614951E-4</v>
      </c>
      <c r="CC81" s="2">
        <f t="shared" si="56"/>
        <v>9.6947585794372515E-2</v>
      </c>
      <c r="CD81" s="2">
        <v>2.5568828973805698E-2</v>
      </c>
      <c r="CE81" s="2">
        <f t="shared" si="49"/>
        <v>9.1486614189499632E-2</v>
      </c>
      <c r="CF81" s="2">
        <v>1.3149850592930713E-2</v>
      </c>
      <c r="CG81" s="2">
        <f t="shared" si="50"/>
        <v>-1.9093891301519806E-6</v>
      </c>
      <c r="CH81" s="2">
        <f t="shared" si="51"/>
        <v>3.3622628084174284E-4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9.6947585794372515E-2</v>
      </c>
      <c r="BQ82" s="2">
        <v>-8.8421913276352931E-3</v>
      </c>
      <c r="BR82" s="2">
        <f t="shared" si="54"/>
        <v>0.1024085573992454</v>
      </c>
      <c r="BS82" s="2">
        <v>5.2213153832703051E-3</v>
      </c>
      <c r="BT82" s="2">
        <f t="shared" si="45"/>
        <v>9.9678071596808956E-2</v>
      </c>
      <c r="BU82" s="2">
        <v>-1.6947903123725461E-3</v>
      </c>
      <c r="BV82" s="2">
        <f t="shared" si="46"/>
        <v>1.4985660202220836E-5</v>
      </c>
      <c r="BW82" s="2">
        <f t="shared" si="47"/>
        <v>-8.849034729408261E-6</v>
      </c>
      <c r="BX82" s="2">
        <f t="shared" si="48"/>
        <v>5.4609716048728829E-3</v>
      </c>
      <c r="BY82"/>
      <c r="BZ82" s="2">
        <v>10</v>
      </c>
      <c r="CA82" s="2">
        <f t="shared" si="55"/>
        <v>8.6025642584626749E-2</v>
      </c>
      <c r="CB82" s="2">
        <v>-1.452023440614951E-4</v>
      </c>
      <c r="CC82" s="2">
        <f t="shared" si="56"/>
        <v>9.1486614189499632E-2</v>
      </c>
      <c r="CD82" s="2">
        <v>1.3149850592930713E-2</v>
      </c>
      <c r="CE82" s="2">
        <f t="shared" si="49"/>
        <v>8.8756128387063191E-2</v>
      </c>
      <c r="CF82" s="2">
        <v>6.6218052005621725E-3</v>
      </c>
      <c r="CG82" s="2">
        <f t="shared" si="50"/>
        <v>-9.6150163704022616E-7</v>
      </c>
      <c r="CH82" s="2">
        <f t="shared" si="51"/>
        <v>8.7075749042884158E-5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9.9678071596808956E-2</v>
      </c>
      <c r="BQ83" s="2">
        <v>-1.6947903123725461E-3</v>
      </c>
      <c r="BR83" s="2">
        <f t="shared" si="54"/>
        <v>0.1024085573992454</v>
      </c>
      <c r="BS83" s="2">
        <v>5.2213153832703051E-3</v>
      </c>
      <c r="BT83" s="2">
        <f t="shared" si="45"/>
        <v>0.10104331449802717</v>
      </c>
      <c r="BU83" s="2">
        <v>1.7910297418126421E-3</v>
      </c>
      <c r="BV83" s="2">
        <f t="shared" si="46"/>
        <v>-3.0354198555951685E-6</v>
      </c>
      <c r="BW83" s="2">
        <f t="shared" si="47"/>
        <v>9.3515311428209916E-6</v>
      </c>
      <c r="BX83" s="2">
        <f t="shared" si="48"/>
        <v>2.7304858024364415E-3</v>
      </c>
      <c r="BY83"/>
      <c r="BZ83" s="2">
        <v>11</v>
      </c>
      <c r="CA83" s="2">
        <f t="shared" si="55"/>
        <v>8.6025642584626749E-2</v>
      </c>
      <c r="CB83" s="2">
        <v>-1.452023440614951E-4</v>
      </c>
      <c r="CC83" s="2">
        <f t="shared" si="56"/>
        <v>8.8756128387063191E-2</v>
      </c>
      <c r="CD83" s="2">
        <v>6.6218052005621725E-3</v>
      </c>
      <c r="CE83" s="2">
        <f t="shared" si="49"/>
        <v>8.7390885485844977E-2</v>
      </c>
      <c r="CF83" s="2">
        <v>3.2695530107318301E-3</v>
      </c>
      <c r="CG83" s="2">
        <f t="shared" si="50"/>
        <v>-4.7474676119158037E-7</v>
      </c>
      <c r="CH83" s="2">
        <f t="shared" si="51"/>
        <v>2.165034312997774E-5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9.9678071596808956E-2</v>
      </c>
      <c r="BQ84" s="2">
        <v>-1.6947903123725461E-3</v>
      </c>
      <c r="BR84" s="2">
        <f t="shared" si="54"/>
        <v>0.10104331449802717</v>
      </c>
      <c r="BS84" s="2">
        <v>1.7910297418126421E-3</v>
      </c>
      <c r="BT84" s="2">
        <f t="shared" si="45"/>
        <v>0.10036069304741807</v>
      </c>
      <c r="BU84" s="2">
        <v>5.5199758043779357E-5</v>
      </c>
      <c r="BV84" s="2">
        <f t="shared" si="46"/>
        <v>-9.3552015177905775E-8</v>
      </c>
      <c r="BW84" s="2">
        <f t="shared" si="47"/>
        <v>9.8864408397270458E-8</v>
      </c>
      <c r="BX84" s="2">
        <f t="shared" si="48"/>
        <v>1.3652429012182138E-3</v>
      </c>
      <c r="BY84"/>
      <c r="BZ84" s="2">
        <v>12</v>
      </c>
      <c r="CA84" s="2">
        <f t="shared" si="55"/>
        <v>8.6025642584626749E-2</v>
      </c>
      <c r="CB84" s="2">
        <v>-1.452023440614951E-4</v>
      </c>
      <c r="CC84" s="2">
        <f t="shared" si="56"/>
        <v>8.7390885485844977E-2</v>
      </c>
      <c r="CD84" s="2">
        <v>3.2695530107318301E-3</v>
      </c>
      <c r="CE84" s="2">
        <f t="shared" si="49"/>
        <v>8.6708264035235863E-2</v>
      </c>
      <c r="CF84" s="2">
        <v>1.5701703135511079E-3</v>
      </c>
      <c r="CG84" s="2">
        <f t="shared" si="50"/>
        <v>-2.2799241010339361E-7</v>
      </c>
      <c r="CH84" s="2">
        <f t="shared" si="51"/>
        <v>5.1337550760327666E-6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9.9678071596808956E-2</v>
      </c>
      <c r="BQ85" s="2">
        <v>-1.6947903123725461E-3</v>
      </c>
      <c r="BR85" s="2">
        <f t="shared" si="54"/>
        <v>0.10036069304741807</v>
      </c>
      <c r="BS85" s="2">
        <v>5.5199758043779357E-5</v>
      </c>
      <c r="BT85" s="2">
        <f t="shared" si="45"/>
        <v>0.10001938232211352</v>
      </c>
      <c r="BU85" s="2">
        <v>-8.1800757506208729E-4</v>
      </c>
      <c r="BV85" s="2">
        <f t="shared" si="46"/>
        <v>1.3863513136625838E-6</v>
      </c>
      <c r="BW85" s="2">
        <f t="shared" si="47"/>
        <v>-4.51538202214059E-8</v>
      </c>
      <c r="BX85" s="2">
        <f t="shared" si="48"/>
        <v>6.8262145060911383E-4</v>
      </c>
      <c r="BY85"/>
      <c r="BZ85" s="2">
        <v>13</v>
      </c>
      <c r="CA85" s="2">
        <f t="shared" si="55"/>
        <v>8.6025642584626749E-2</v>
      </c>
      <c r="CB85" s="2">
        <v>-1.452023440614951E-4</v>
      </c>
      <c r="CC85" s="2">
        <f t="shared" si="56"/>
        <v>8.6708264035235863E-2</v>
      </c>
      <c r="CD85" s="2">
        <v>1.5701703135511079E-3</v>
      </c>
      <c r="CE85" s="2">
        <f t="shared" si="49"/>
        <v>8.6366953309931299E-2</v>
      </c>
      <c r="CF85" s="2">
        <v>7.145061139902896E-4</v>
      </c>
      <c r="CG85" s="2">
        <f t="shared" si="50"/>
        <v>-1.0374796259765986E-7</v>
      </c>
      <c r="CH85" s="2">
        <f t="shared" si="51"/>
        <v>1.1218962890383166E-6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0.10001938232211352</v>
      </c>
      <c r="BQ86" s="2">
        <v>-8.1800757506208729E-4</v>
      </c>
      <c r="BR86" s="2">
        <f t="shared" si="54"/>
        <v>0.10036069304741807</v>
      </c>
      <c r="BS86" s="2">
        <v>5.5199758043779357E-5</v>
      </c>
      <c r="BT86" s="2">
        <f t="shared" si="45"/>
        <v>0.1001900376847658</v>
      </c>
      <c r="BU86" s="2">
        <v>-3.8095921315010536E-4</v>
      </c>
      <c r="BV86" s="2">
        <f t="shared" si="46"/>
        <v>3.1162752214647852E-7</v>
      </c>
      <c r="BW86" s="2">
        <f t="shared" si="47"/>
        <v>-2.1028856390434384E-8</v>
      </c>
      <c r="BX86" s="2">
        <f t="shared" si="48"/>
        <v>3.4131072530454998E-4</v>
      </c>
      <c r="BY86"/>
      <c r="BZ86" s="2">
        <v>14</v>
      </c>
      <c r="CA86" s="2">
        <f t="shared" si="55"/>
        <v>8.6025642584626749E-2</v>
      </c>
      <c r="CB86" s="2">
        <v>-1.452023440614951E-4</v>
      </c>
      <c r="CC86" s="2">
        <f t="shared" si="56"/>
        <v>8.6366953309931299E-2</v>
      </c>
      <c r="CD86" s="2">
        <v>7.145061139902896E-4</v>
      </c>
      <c r="CE86" s="2">
        <f t="shared" si="49"/>
        <v>8.6196297947279024E-2</v>
      </c>
      <c r="CF86" s="2">
        <v>2.8516038043175859E-4</v>
      </c>
      <c r="CG86" s="2">
        <f t="shared" si="50"/>
        <v>-4.1405955672159047E-8</v>
      </c>
      <c r="CH86" s="2">
        <f t="shared" si="51"/>
        <v>2.0374883528628844E-7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0.1001900376847658</v>
      </c>
      <c r="BQ87" s="2">
        <v>-3.8095921315010536E-4</v>
      </c>
      <c r="BR87" s="2">
        <f t="shared" si="54"/>
        <v>0.10036069304741807</v>
      </c>
      <c r="BS87" s="2">
        <v>5.5199758043779357E-5</v>
      </c>
      <c r="BT87" s="2">
        <f t="shared" si="45"/>
        <v>0.10027536536609194</v>
      </c>
      <c r="BU87" s="2">
        <v>-1.6276883083034613E-4</v>
      </c>
      <c r="BV87" s="2">
        <f t="shared" si="46"/>
        <v>6.2008285718491274E-8</v>
      </c>
      <c r="BW87" s="2">
        <f t="shared" si="47"/>
        <v>-8.9848000789039594E-9</v>
      </c>
      <c r="BX87" s="2">
        <f t="shared" si="48"/>
        <v>1.7065536265227499E-4</v>
      </c>
      <c r="BY87"/>
      <c r="BZ87" s="2">
        <v>15</v>
      </c>
      <c r="CA87" s="2">
        <f t="shared" si="55"/>
        <v>8.6025642584626749E-2</v>
      </c>
      <c r="CB87" s="2">
        <v>-1.452023440614951E-4</v>
      </c>
      <c r="CC87" s="2">
        <f t="shared" si="56"/>
        <v>8.6196297947279024E-2</v>
      </c>
      <c r="CD87" s="2">
        <v>2.8516038043175859E-4</v>
      </c>
      <c r="CE87" s="2">
        <f t="shared" si="49"/>
        <v>8.611097026595288E-2</v>
      </c>
      <c r="CF87" s="2">
        <v>7.0106514991938318E-5</v>
      </c>
      <c r="CG87" s="2">
        <f t="shared" si="50"/>
        <v>-1.0179630310811792E-8</v>
      </c>
      <c r="CH87" s="2">
        <f t="shared" si="51"/>
        <v>1.9991600485845919E-8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0.10027536536609194</v>
      </c>
      <c r="BQ88" s="2">
        <v>-1.6276883083034613E-4</v>
      </c>
      <c r="BR88" s="2">
        <f t="shared" si="54"/>
        <v>0.10036069304741807</v>
      </c>
      <c r="BS88" s="2">
        <v>5.5199758043779357E-5</v>
      </c>
      <c r="BT88" s="2">
        <f t="shared" si="45"/>
        <v>0.10031802920675501</v>
      </c>
      <c r="BU88" s="2">
        <v>-5.3756846749495463E-5</v>
      </c>
      <c r="BV88" s="2">
        <f t="shared" si="46"/>
        <v>8.7499390945414693E-9</v>
      </c>
      <c r="BW88" s="2">
        <f t="shared" si="47"/>
        <v>-2.9673649337686765E-9</v>
      </c>
      <c r="BX88" s="2">
        <f t="shared" si="48"/>
        <v>8.5327681326130556E-5</v>
      </c>
      <c r="BY88"/>
      <c r="BZ88" s="2">
        <v>16</v>
      </c>
      <c r="CA88" s="2">
        <f t="shared" si="55"/>
        <v>8.6025642584626749E-2</v>
      </c>
      <c r="CB88" s="2">
        <v>-1.452023440614951E-4</v>
      </c>
      <c r="CC88" s="2">
        <f t="shared" si="56"/>
        <v>8.611097026595288E-2</v>
      </c>
      <c r="CD88" s="2">
        <v>7.0106514991938318E-5</v>
      </c>
      <c r="CE88" s="2">
        <f t="shared" si="49"/>
        <v>8.6068306425289814E-2</v>
      </c>
      <c r="CF88" s="2">
        <v>-3.7515993555288507E-5</v>
      </c>
      <c r="CG88" s="2">
        <f t="shared" si="50"/>
        <v>5.4474102040238341E-9</v>
      </c>
      <c r="CH88" s="2">
        <f t="shared" si="51"/>
        <v>-2.6301155646212952E-9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0.10031802920675501</v>
      </c>
      <c r="BQ89" s="2">
        <v>-5.3756846749495463E-5</v>
      </c>
      <c r="BR89" s="2">
        <f t="shared" si="54"/>
        <v>0.10036069304741807</v>
      </c>
      <c r="BS89" s="2">
        <v>5.5199758043779357E-5</v>
      </c>
      <c r="BT89" s="2">
        <f t="shared" si="45"/>
        <v>0.10033936112708654</v>
      </c>
      <c r="BU89" s="2">
        <v>7.283737473821883E-7</v>
      </c>
      <c r="BV89" s="2">
        <f t="shared" si="46"/>
        <v>-3.9155075914380019E-11</v>
      </c>
      <c r="BW89" s="2">
        <f t="shared" si="47"/>
        <v>4.020605462093766E-11</v>
      </c>
      <c r="BX89" s="2">
        <f t="shared" si="48"/>
        <v>4.2663840663065278E-5</v>
      </c>
      <c r="BY89"/>
      <c r="BZ89" s="2">
        <v>17</v>
      </c>
      <c r="CA89" s="2">
        <f t="shared" si="55"/>
        <v>8.6068306425289814E-2</v>
      </c>
      <c r="CB89" s="2">
        <v>-3.7515993555288507E-5</v>
      </c>
      <c r="CC89" s="2">
        <f t="shared" si="56"/>
        <v>8.611097026595288E-2</v>
      </c>
      <c r="CD89" s="2">
        <v>7.0106514991938318E-5</v>
      </c>
      <c r="CE89" s="2">
        <f t="shared" si="49"/>
        <v>8.6089638345621347E-2</v>
      </c>
      <c r="CF89" s="2">
        <v>1.6303235108774961E-5</v>
      </c>
      <c r="CG89" s="2">
        <f t="shared" si="50"/>
        <v>-6.1163206327115476E-10</v>
      </c>
      <c r="CH89" s="2">
        <f t="shared" si="51"/>
        <v>1.142962996570427E-9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0.10031802920675501</v>
      </c>
      <c r="BQ90" s="2">
        <v>-5.3756846749495463E-5</v>
      </c>
      <c r="BR90" s="2">
        <f t="shared" si="54"/>
        <v>0.10033936112708654</v>
      </c>
      <c r="BS90" s="2">
        <v>7.283737473821883E-7</v>
      </c>
      <c r="BT90" s="2">
        <f t="shared" si="45"/>
        <v>0.10032869516692078</v>
      </c>
      <c r="BU90" s="2">
        <v>-2.6512506437387923E-5</v>
      </c>
      <c r="BV90" s="2">
        <f t="shared" si="46"/>
        <v>1.4252287454996745E-9</v>
      </c>
      <c r="BW90" s="2">
        <f t="shared" si="47"/>
        <v>-1.9311013666294632E-11</v>
      </c>
      <c r="BX90" s="2">
        <f t="shared" si="48"/>
        <v>2.1331920331532639E-5</v>
      </c>
      <c r="BY90"/>
      <c r="BZ90" s="2">
        <v>18</v>
      </c>
      <c r="CA90" s="2">
        <f t="shared" si="55"/>
        <v>8.6068306425289814E-2</v>
      </c>
      <c r="CB90" s="2">
        <v>-3.7515993555288507E-5</v>
      </c>
      <c r="CC90" s="2">
        <f t="shared" si="56"/>
        <v>8.6089638345621347E-2</v>
      </c>
      <c r="CD90" s="2">
        <v>1.6303235108774961E-5</v>
      </c>
      <c r="CE90" s="2">
        <f t="shared" si="49"/>
        <v>8.6078972385455588E-2</v>
      </c>
      <c r="CF90" s="2">
        <v>-1.0604384894273566E-5</v>
      </c>
      <c r="CG90" s="2">
        <f t="shared" si="50"/>
        <v>3.978340353513659E-10</v>
      </c>
      <c r="CH90" s="2">
        <f t="shared" si="51"/>
        <v>-1.7288578011528365E-10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0.10032869516692078</v>
      </c>
      <c r="BQ91" s="2">
        <v>-2.6512506437387923E-5</v>
      </c>
      <c r="BR91" s="2">
        <f t="shared" si="54"/>
        <v>0.10033936112708654</v>
      </c>
      <c r="BS91" s="2">
        <v>7.283737473821883E-7</v>
      </c>
      <c r="BT91" s="2">
        <f t="shared" si="45"/>
        <v>0.10033402814700365</v>
      </c>
      <c r="BU91" s="2">
        <v>-1.2891633896498778E-5</v>
      </c>
      <c r="BV91" s="2">
        <f t="shared" si="46"/>
        <v>3.4178952666937219E-10</v>
      </c>
      <c r="BW91" s="2">
        <f t="shared" si="47"/>
        <v>-9.3899276910720567E-12</v>
      </c>
      <c r="BX91" s="2">
        <f t="shared" si="48"/>
        <v>1.0665960165759381E-5</v>
      </c>
      <c r="BY91"/>
      <c r="BZ91" s="2">
        <v>19</v>
      </c>
      <c r="CA91" s="2">
        <f t="shared" si="55"/>
        <v>8.6078972385455588E-2</v>
      </c>
      <c r="CB91" s="2">
        <v>-1.0604384894273566E-5</v>
      </c>
      <c r="CC91" s="2">
        <f t="shared" si="56"/>
        <v>8.6089638345621347E-2</v>
      </c>
      <c r="CD91" s="2">
        <v>1.6303235108774961E-5</v>
      </c>
      <c r="CE91" s="2">
        <f t="shared" si="49"/>
        <v>8.608430536553846E-2</v>
      </c>
      <c r="CF91" s="2">
        <v>2.849923597995907E-6</v>
      </c>
      <c r="CG91" s="2">
        <f t="shared" si="50"/>
        <v>-3.0221686752421571E-11</v>
      </c>
      <c r="CH91" s="2">
        <f t="shared" si="51"/>
        <v>4.6462974460173129E-11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0.10033402814700365</v>
      </c>
      <c r="BQ92" s="2">
        <v>-1.2891633896498778E-5</v>
      </c>
      <c r="BR92" s="2">
        <f t="shared" si="54"/>
        <v>0.10033936112708654</v>
      </c>
      <c r="BS92" s="2">
        <v>7.283737473821883E-7</v>
      </c>
      <c r="BT92" s="2">
        <f t="shared" si="45"/>
        <v>0.10033669463704509</v>
      </c>
      <c r="BU92" s="2">
        <v>-6.081521970843079E-6</v>
      </c>
      <c r="BV92" s="2">
        <f t="shared" si="46"/>
        <v>7.8400754781622688E-11</v>
      </c>
      <c r="BW92" s="2">
        <f t="shared" si="47"/>
        <v>-4.4296209476900848E-12</v>
      </c>
      <c r="BX92" s="2">
        <f t="shared" si="48"/>
        <v>5.3329800828866292E-6</v>
      </c>
      <c r="BY92"/>
      <c r="BZ92" s="2">
        <v>20</v>
      </c>
      <c r="CA92" s="2">
        <f t="shared" si="55"/>
        <v>8.6078972385455588E-2</v>
      </c>
      <c r="CB92" s="2">
        <v>-1.0604384894273566E-5</v>
      </c>
      <c r="CC92" s="2">
        <f t="shared" si="56"/>
        <v>8.608430536553846E-2</v>
      </c>
      <c r="CD92" s="2">
        <v>2.849923597995907E-6</v>
      </c>
      <c r="CE92" s="2">
        <f t="shared" si="49"/>
        <v>8.6081638875497024E-2</v>
      </c>
      <c r="CF92" s="2">
        <v>-3.8771060140198321E-6</v>
      </c>
      <c r="CG92" s="2">
        <f t="shared" si="50"/>
        <v>4.1114324448569108E-11</v>
      </c>
      <c r="CH92" s="2">
        <f t="shared" si="51"/>
        <v>-1.1049455921286969E-11</v>
      </c>
      <c r="CI92" s="2">
        <f t="shared" si="52"/>
        <v>5.3329800828727514E-6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0.10033669463704509</v>
      </c>
      <c r="BQ93" s="2">
        <v>-6.081521970843079E-6</v>
      </c>
      <c r="BR93" s="2">
        <f t="shared" si="54"/>
        <v>0.10033936112708654</v>
      </c>
      <c r="BS93" s="2">
        <v>7.283737473821883E-7</v>
      </c>
      <c r="BT93" s="2">
        <f t="shared" si="45"/>
        <v>0.10033802788206581</v>
      </c>
      <c r="BU93" s="2">
        <v>-2.6765470868689301E-6</v>
      </c>
      <c r="BV93" s="2">
        <f t="shared" si="46"/>
        <v>1.6277479914789437E-11</v>
      </c>
      <c r="BW93" s="2">
        <f t="shared" si="47"/>
        <v>-1.9495266317076021E-12</v>
      </c>
      <c r="BX93" s="2">
        <f t="shared" si="48"/>
        <v>2.6664900414502535E-6</v>
      </c>
      <c r="BY93"/>
      <c r="BZ93" s="2">
        <v>21</v>
      </c>
      <c r="CA93" s="2">
        <f t="shared" si="55"/>
        <v>8.6081638875497024E-2</v>
      </c>
      <c r="CB93" s="2">
        <v>-3.8771060140198321E-6</v>
      </c>
      <c r="CC93" s="2">
        <f t="shared" si="56"/>
        <v>8.608430536553846E-2</v>
      </c>
      <c r="CD93" s="2">
        <v>2.849923597995907E-6</v>
      </c>
      <c r="CE93" s="2">
        <f t="shared" si="49"/>
        <v>8.6082972120517742E-2</v>
      </c>
      <c r="CF93" s="2">
        <v>-5.1356005089514545E-7</v>
      </c>
      <c r="CG93" s="2">
        <f t="shared" si="50"/>
        <v>1.9911267618858995E-12</v>
      </c>
      <c r="CH93" s="2">
        <f t="shared" si="51"/>
        <v>-1.463606908034054E-12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0.10033802788206581</v>
      </c>
      <c r="BQ94" s="2">
        <v>-2.6765470868689301E-6</v>
      </c>
      <c r="BR94" s="2">
        <f t="shared" si="54"/>
        <v>0.10033936112708654</v>
      </c>
      <c r="BS94" s="2">
        <v>7.283737473821883E-7</v>
      </c>
      <c r="BT94" s="2">
        <f t="shared" si="45"/>
        <v>0.10033869450457616</v>
      </c>
      <c r="BU94" s="2">
        <v>-9.7407991368758662E-7</v>
      </c>
      <c r="BV94" s="2">
        <f t="shared" si="46"/>
        <v>2.6071707553580488E-12</v>
      </c>
      <c r="BW94" s="2">
        <f t="shared" si="47"/>
        <v>-7.0949423698234595E-13</v>
      </c>
      <c r="BX94" s="2">
        <f t="shared" si="48"/>
        <v>1.3332450207320656E-6</v>
      </c>
      <c r="BY94"/>
      <c r="BZ94" s="2">
        <v>22</v>
      </c>
      <c r="CA94" s="2">
        <f t="shared" si="55"/>
        <v>8.6082972120517742E-2</v>
      </c>
      <c r="CB94" s="2">
        <v>-5.1356005089514545E-7</v>
      </c>
      <c r="CC94" s="2">
        <f t="shared" si="56"/>
        <v>8.608430536553846E-2</v>
      </c>
      <c r="CD94" s="2">
        <v>2.849923597995907E-6</v>
      </c>
      <c r="CE94" s="2">
        <f t="shared" si="49"/>
        <v>8.6083638743028101E-2</v>
      </c>
      <c r="CF94" s="2">
        <v>1.1681895626669547E-6</v>
      </c>
      <c r="CG94" s="2">
        <f t="shared" si="50"/>
        <v>-5.9993549125841899E-13</v>
      </c>
      <c r="CH94" s="2">
        <f t="shared" si="51"/>
        <v>3.3292510015770727E-12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0.10033869450457616</v>
      </c>
      <c r="BQ95" s="2">
        <v>-9.7407991368758662E-7</v>
      </c>
      <c r="BR95" s="2">
        <f t="shared" si="54"/>
        <v>0.10033936112708654</v>
      </c>
      <c r="BS95" s="2">
        <v>7.283737473821883E-7</v>
      </c>
      <c r="BT95" s="2">
        <f t="shared" si="45"/>
        <v>0.10033902781583134</v>
      </c>
      <c r="BU95" s="2">
        <v>-1.2285139417561597E-7</v>
      </c>
      <c r="BV95" s="2">
        <f t="shared" si="46"/>
        <v>1.196670754349837E-13</v>
      </c>
      <c r="BW95" s="2">
        <f t="shared" si="47"/>
        <v>-8.9481730346819748E-14</v>
      </c>
      <c r="BX95" s="2">
        <f t="shared" si="48"/>
        <v>6.6662251037297171E-7</v>
      </c>
      <c r="BY95"/>
      <c r="BZ95" s="2">
        <v>23</v>
      </c>
      <c r="CA95" s="2">
        <f t="shared" si="55"/>
        <v>8.6082972120517742E-2</v>
      </c>
      <c r="CB95" s="2">
        <v>-5.1356005089514545E-7</v>
      </c>
      <c r="CC95" s="2">
        <f t="shared" si="56"/>
        <v>8.6083638743028101E-2</v>
      </c>
      <c r="CD95" s="2">
        <v>1.1681895626669547E-6</v>
      </c>
      <c r="CE95" s="2">
        <f t="shared" si="49"/>
        <v>8.6083305431772922E-2</v>
      </c>
      <c r="CF95" s="2">
        <v>3.2731670317545647E-7</v>
      </c>
      <c r="CG95" s="2">
        <f t="shared" si="50"/>
        <v>-1.6809678274161864E-13</v>
      </c>
      <c r="CH95" s="2">
        <f t="shared" si="51"/>
        <v>3.8236795633612594E-13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0.10033902781583134</v>
      </c>
      <c r="BQ96" s="2">
        <v>-1.2285139417561597E-7</v>
      </c>
      <c r="BR96" s="2">
        <f t="shared" si="54"/>
        <v>0.10033936112708654</v>
      </c>
      <c r="BS96" s="2">
        <v>7.283737473821883E-7</v>
      </c>
      <c r="BT96" s="2">
        <f t="shared" si="45"/>
        <v>0.10033919447145895</v>
      </c>
      <c r="BU96" s="2">
        <v>3.027615988783483E-7</v>
      </c>
      <c r="BV96" s="2">
        <f t="shared" si="46"/>
        <v>-3.7194684525043698E-14</v>
      </c>
      <c r="BW96" s="2">
        <f t="shared" si="47"/>
        <v>2.205236003384455E-13</v>
      </c>
      <c r="BX96" s="2">
        <f t="shared" si="48"/>
        <v>3.3331125519342475E-7</v>
      </c>
      <c r="BY96"/>
      <c r="BZ96" s="2">
        <v>24</v>
      </c>
      <c r="CA96" s="2">
        <f t="shared" si="55"/>
        <v>8.6082972120517742E-2</v>
      </c>
      <c r="CB96" s="2">
        <v>-5.1356005089514545E-7</v>
      </c>
      <c r="CC96" s="2">
        <f t="shared" si="56"/>
        <v>8.6083305431772922E-2</v>
      </c>
      <c r="CD96" s="2">
        <v>3.2731670317545647E-7</v>
      </c>
      <c r="CE96" s="2">
        <f t="shared" si="49"/>
        <v>8.6083138776145332E-2</v>
      </c>
      <c r="CF96" s="2">
        <v>-9.312118701143568E-8</v>
      </c>
      <c r="CG96" s="2">
        <f t="shared" si="50"/>
        <v>4.7823321541009265E-14</v>
      </c>
      <c r="CH96" s="2">
        <f t="shared" si="51"/>
        <v>-3.0480119928368265E-14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0.10033902781583134</v>
      </c>
      <c r="BQ97" s="2">
        <v>-1.2285139417561597E-7</v>
      </c>
      <c r="BR97" s="2">
        <f t="shared" si="54"/>
        <v>0.10033919447145895</v>
      </c>
      <c r="BS97" s="2">
        <v>3.027615988783483E-7</v>
      </c>
      <c r="BT97" s="2">
        <f t="shared" si="45"/>
        <v>0.10033911114364515</v>
      </c>
      <c r="BU97" s="2">
        <v>8.995520790408551E-8</v>
      </c>
      <c r="BV97" s="2">
        <f t="shared" si="46"/>
        <v>-1.1051122704374294E-14</v>
      </c>
      <c r="BW97" s="2">
        <f t="shared" si="47"/>
        <v>2.7234982572475163E-14</v>
      </c>
      <c r="BX97" s="2">
        <f t="shared" si="48"/>
        <v>1.6665562760365127E-7</v>
      </c>
      <c r="BY97"/>
      <c r="BZ97" s="2">
        <v>25</v>
      </c>
      <c r="CA97" s="2">
        <f t="shared" si="55"/>
        <v>8.6083138776145332E-2</v>
      </c>
      <c r="CB97" s="2">
        <v>-9.312118701143568E-8</v>
      </c>
      <c r="CC97" s="2">
        <f t="shared" si="56"/>
        <v>8.6083305431772922E-2</v>
      </c>
      <c r="CD97" s="2">
        <v>3.2731670317545647E-7</v>
      </c>
      <c r="CE97" s="2">
        <f t="shared" si="49"/>
        <v>8.6083222103959134E-2</v>
      </c>
      <c r="CF97" s="2">
        <v>1.1709787979194419E-7</v>
      </c>
      <c r="CG97" s="2">
        <f t="shared" si="50"/>
        <v>-1.0904293562748251E-14</v>
      </c>
      <c r="CH97" s="2">
        <f t="shared" si="51"/>
        <v>3.8328091962335081E-14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0.10033902781583134</v>
      </c>
      <c r="BQ98" s="2">
        <v>-1.2285139417561597E-7</v>
      </c>
      <c r="BR98" s="2">
        <f t="shared" si="54"/>
        <v>0.10033911114364515</v>
      </c>
      <c r="BS98" s="2">
        <v>8.995520790408551E-8</v>
      </c>
      <c r="BT98" s="2">
        <f t="shared" si="45"/>
        <v>0.10033906947973825</v>
      </c>
      <c r="BU98" s="2">
        <v>-1.6448066703783626E-8</v>
      </c>
      <c r="BV98" s="2">
        <f t="shared" si="46"/>
        <v>2.0206679260533468E-15</v>
      </c>
      <c r="BW98" s="2">
        <f t="shared" si="47"/>
        <v>-1.4795892599591226E-15</v>
      </c>
      <c r="BX98" s="2">
        <f t="shared" si="48"/>
        <v>8.3327813801825634E-8</v>
      </c>
      <c r="BY98"/>
      <c r="BZ98" s="2">
        <v>26</v>
      </c>
      <c r="CA98" s="2">
        <f t="shared" si="55"/>
        <v>8.6083138776145332E-2</v>
      </c>
      <c r="CB98" s="2">
        <v>-9.312118701143568E-8</v>
      </c>
      <c r="CC98" s="2">
        <f t="shared" si="56"/>
        <v>8.6083222103959134E-2</v>
      </c>
      <c r="CD98" s="2">
        <v>1.1709787979194419E-7</v>
      </c>
      <c r="CE98" s="2">
        <f t="shared" si="49"/>
        <v>8.6083180440052226E-2</v>
      </c>
      <c r="CF98" s="2">
        <v>1.1988376812099855E-8</v>
      </c>
      <c r="CG98" s="2">
        <f t="shared" si="50"/>
        <v>-1.1163718790831096E-15</v>
      </c>
      <c r="CH98" s="2">
        <f t="shared" si="51"/>
        <v>1.4038135068437998E-15</v>
      </c>
      <c r="CI98" s="2">
        <f t="shared" si="52"/>
        <v>8.3327813801825634E-8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0.10033906947973825</v>
      </c>
      <c r="BQ99" s="2">
        <v>-1.6448066703783626E-8</v>
      </c>
      <c r="BR99" s="2">
        <f t="shared" si="54"/>
        <v>0.10033911114364515</v>
      </c>
      <c r="BS99" s="2">
        <v>8.995520790408551E-8</v>
      </c>
      <c r="BT99" s="2">
        <f t="shared" si="45"/>
        <v>0.10033909031169169</v>
      </c>
      <c r="BU99" s="2">
        <v>3.6753577192100151E-8</v>
      </c>
      <c r="BV99" s="2">
        <f t="shared" si="46"/>
        <v>-6.0452528925832377E-16</v>
      </c>
      <c r="BW99" s="2">
        <f t="shared" si="47"/>
        <v>3.3061756775342243E-15</v>
      </c>
      <c r="BX99" s="2">
        <f t="shared" si="48"/>
        <v>4.1663906893973923E-8</v>
      </c>
      <c r="BY99"/>
      <c r="BZ99" s="2">
        <v>27</v>
      </c>
      <c r="CA99" s="2">
        <f t="shared" si="55"/>
        <v>8.6083138776145332E-2</v>
      </c>
      <c r="CB99" s="2">
        <v>-9.312118701143568E-8</v>
      </c>
      <c r="CC99" s="2">
        <f t="shared" si="56"/>
        <v>8.6083180440052226E-2</v>
      </c>
      <c r="CD99" s="2">
        <v>1.1988376812099855E-8</v>
      </c>
      <c r="CE99" s="2">
        <f t="shared" si="49"/>
        <v>8.6083159608098786E-2</v>
      </c>
      <c r="CF99" s="2">
        <v>-4.0566397484231853E-8</v>
      </c>
      <c r="CG99" s="2">
        <f t="shared" si="50"/>
        <v>3.777591086509388E-15</v>
      </c>
      <c r="CH99" s="2">
        <f t="shared" si="51"/>
        <v>-4.86325258950391E-16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0.10033906947973825</v>
      </c>
      <c r="BQ100" s="2">
        <v>-1.6448066703783626E-8</v>
      </c>
      <c r="BR100" s="2">
        <f t="shared" si="54"/>
        <v>0.10033909031169169</v>
      </c>
      <c r="BS100" s="2">
        <v>3.6753577192100151E-8</v>
      </c>
      <c r="BT100" s="2">
        <f t="shared" si="45"/>
        <v>0.10033907989571497</v>
      </c>
      <c r="BU100" s="2">
        <v>1.0152756881737224E-8</v>
      </c>
      <c r="BV100" s="2">
        <f t="shared" si="46"/>
        <v>-1.6699322241811211E-16</v>
      </c>
      <c r="BW100" s="2">
        <f t="shared" si="47"/>
        <v>3.7315013376555509E-16</v>
      </c>
      <c r="BX100" s="2">
        <f t="shared" si="48"/>
        <v>2.0831953440048068E-8</v>
      </c>
      <c r="BY100"/>
      <c r="BZ100" s="2">
        <v>28</v>
      </c>
      <c r="CA100" s="2">
        <f t="shared" si="55"/>
        <v>8.6083159608098786E-2</v>
      </c>
      <c r="CB100" s="2">
        <v>-4.0566397484231853E-8</v>
      </c>
      <c r="CC100" s="2">
        <f t="shared" si="56"/>
        <v>8.6083180440052226E-2</v>
      </c>
      <c r="CD100" s="2">
        <v>1.1988376812099855E-8</v>
      </c>
      <c r="CE100" s="2">
        <f t="shared" si="49"/>
        <v>8.6083170024075506E-2</v>
      </c>
      <c r="CF100" s="2">
        <v>-1.4289008452156304E-8</v>
      </c>
      <c r="CG100" s="2">
        <f t="shared" si="50"/>
        <v>5.7965359652572119E-16</v>
      </c>
      <c r="CH100" s="2">
        <f t="shared" si="51"/>
        <v>-1.7130201759572948E-16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0.10033906947973825</v>
      </c>
      <c r="BQ101" s="2">
        <v>-1.6448066703783626E-8</v>
      </c>
      <c r="BR101" s="2">
        <f t="shared" si="54"/>
        <v>0.10033907989571497</v>
      </c>
      <c r="BS101" s="2">
        <v>1.0152756881737224E-8</v>
      </c>
      <c r="BT101" s="2">
        <f t="shared" si="45"/>
        <v>0.10033907468772661</v>
      </c>
      <c r="BU101" s="2">
        <v>-3.1476545120368016E-9</v>
      </c>
      <c r="BV101" s="2">
        <f t="shared" si="46"/>
        <v>5.177283137444681E-17</v>
      </c>
      <c r="BW101" s="2">
        <f t="shared" si="47"/>
        <v>-3.1957371008412862E-17</v>
      </c>
      <c r="BX101" s="2">
        <f t="shared" si="48"/>
        <v>1.0415976720024034E-8</v>
      </c>
      <c r="BY101"/>
      <c r="BZ101" s="2">
        <v>29</v>
      </c>
      <c r="CA101" s="2">
        <f t="shared" si="55"/>
        <v>8.6083170024075506E-2</v>
      </c>
      <c r="CB101" s="2">
        <v>-1.4289008452156304E-8</v>
      </c>
      <c r="CC101" s="2">
        <f t="shared" si="56"/>
        <v>8.6083180440052226E-2</v>
      </c>
      <c r="CD101" s="2">
        <v>1.1988376812099855E-8</v>
      </c>
      <c r="CE101" s="2">
        <f t="shared" si="49"/>
        <v>8.6083175232063866E-2</v>
      </c>
      <c r="CF101" s="2">
        <v>-1.1503153152236933E-9</v>
      </c>
      <c r="CG101" s="2">
        <f t="shared" si="50"/>
        <v>1.6436865261876197E-17</v>
      </c>
      <c r="CH101" s="2">
        <f t="shared" si="51"/>
        <v>-1.379041345163106E-17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0.10033907468772661</v>
      </c>
      <c r="BQ102" s="2">
        <v>-3.1476545120368016E-9</v>
      </c>
      <c r="BR102" s="2">
        <f t="shared" si="54"/>
        <v>0.10033907989571497</v>
      </c>
      <c r="BS102" s="2">
        <v>1.0152756881737224E-8</v>
      </c>
      <c r="BT102" s="5">
        <f t="shared" si="45"/>
        <v>0.10033907729172079</v>
      </c>
      <c r="BU102" s="2">
        <v>3.5025512559738736E-9</v>
      </c>
      <c r="BV102" s="2">
        <f t="shared" si="46"/>
        <v>-1.102482126450633E-17</v>
      </c>
      <c r="BW102" s="2">
        <f t="shared" si="47"/>
        <v>3.5560551367726099E-17</v>
      </c>
      <c r="BX102" s="2">
        <f t="shared" si="48"/>
        <v>5.2079883600120169E-9</v>
      </c>
      <c r="BY102"/>
      <c r="BZ102" s="2">
        <v>30</v>
      </c>
      <c r="CA102" s="2">
        <f t="shared" si="55"/>
        <v>8.6083175232063866E-2</v>
      </c>
      <c r="CB102" s="2">
        <v>-1.1503153152236933E-9</v>
      </c>
      <c r="CC102" s="2">
        <f t="shared" si="56"/>
        <v>8.6083180440052226E-2</v>
      </c>
      <c r="CD102" s="2">
        <v>1.1988376812099855E-8</v>
      </c>
      <c r="CE102" s="5">
        <f t="shared" si="49"/>
        <v>8.6083177836058039E-2</v>
      </c>
      <c r="CF102" s="2">
        <v>5.4190308282353605E-9</v>
      </c>
      <c r="CG102" s="2">
        <f t="shared" si="50"/>
        <v>-6.233594155388471E-18</v>
      </c>
      <c r="CH102" s="2">
        <f t="shared" si="51"/>
        <v>6.4965383525271072E-17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Y104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-3.9115081694462983E-9</v>
      </c>
      <c r="BR106" s="30"/>
      <c r="BS106" s="30">
        <f>$BH$77</f>
        <v>-3.9115081694462983E-9</v>
      </c>
      <c r="BT106" s="30"/>
      <c r="BU106" s="30">
        <f>$BH$77</f>
        <v>-3.9115081694462983E-9</v>
      </c>
      <c r="BV106" s="30"/>
      <c r="BW106" s="30"/>
      <c r="BX106" s="30"/>
      <c r="BY106"/>
      <c r="BZ106" s="30">
        <v>0</v>
      </c>
      <c r="CA106" s="30"/>
      <c r="CB106" s="30">
        <f>$BL$77</f>
        <v>6.1217168174920733E-9</v>
      </c>
      <c r="CC106" s="30"/>
      <c r="CD106" s="30">
        <f>$BL$77</f>
        <v>6.1217168174920733E-9</v>
      </c>
      <c r="CE106" s="30"/>
      <c r="CF106" s="30">
        <f>$BL$77</f>
        <v>6.1217168174920733E-9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-0.19023681126039127</v>
      </c>
      <c r="BR107" s="3">
        <f>0.9*PI()</f>
        <v>2.8274333882308138</v>
      </c>
      <c r="BS107" s="2">
        <f t="dataTable" ref="BS107:BS136" dt2D="0" dtr="0" r1="BH61" ca="1"/>
        <v>0.35558305102318216</v>
      </c>
      <c r="BT107" s="2">
        <f t="shared" ref="BT107:BT136" si="57">(BP107+BR107)/2</f>
        <v>1.4294246573833558</v>
      </c>
      <c r="BU107" s="2">
        <f t="dataTable" ref="BU107:BU136" dt2D="0" dtr="0" r1="BH61" ca="1"/>
        <v>1.0168662478820092</v>
      </c>
      <c r="BV107" s="2">
        <f t="shared" ref="BV107:BV136" si="58">BQ107*BU107</f>
        <v>-0.19344539247539203</v>
      </c>
      <c r="BW107" s="2">
        <f t="shared" ref="BW107:BW136" si="59">BS107*BU107</f>
        <v>0.36158040290438026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-1.8106437003070845</v>
      </c>
      <c r="CC107" s="3">
        <f>0.9*PI()</f>
        <v>2.8274333882308138</v>
      </c>
      <c r="CD107" s="2">
        <f t="dataTable" ref="CD107:CD136" dt2D="0" dtr="0" r1="BL61" ca="1"/>
        <v>0.36386153648989372</v>
      </c>
      <c r="CE107" s="2">
        <f t="shared" ref="CE107:CE136" si="61">(CA107+CC107)/2</f>
        <v>1.4152874904422017</v>
      </c>
      <c r="CF107" s="2">
        <f t="dataTable" ref="CF107:CF136" dt2D="0" dtr="0" r1="BL61" ca="1"/>
        <v>1.0301832013930095</v>
      </c>
      <c r="CG107" s="2">
        <f t="shared" ref="CG107:CG136" si="62">CB107*CF107</f>
        <v>-1.8652947237644371</v>
      </c>
      <c r="CH107" s="2">
        <f t="shared" ref="CH107:CH136" si="63">CD107*CF107</f>
        <v>0.37484404252493803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-0.19023681126039127</v>
      </c>
      <c r="BR108" s="2">
        <f t="shared" ref="BR108:BR136" si="66">IF(BW107&gt;0,BT107,BR107)</f>
        <v>1.4294246573833558</v>
      </c>
      <c r="BS108" s="2">
        <v>1.0168662478820092</v>
      </c>
      <c r="BT108" s="2">
        <f t="shared" si="57"/>
        <v>0.73042029195962688</v>
      </c>
      <c r="BU108" s="2">
        <v>0.67580261809310149</v>
      </c>
      <c r="BV108" s="2">
        <f t="shared" si="58"/>
        <v>-0.12856253510745563</v>
      </c>
      <c r="BW108" s="2">
        <f t="shared" si="59"/>
        <v>0.68720087256917051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-1.8106437003070845</v>
      </c>
      <c r="CC108" s="2">
        <f t="shared" ref="CC108:CC136" si="68">IF(CH107&gt;0,CE107,CC107)</f>
        <v>1.4152874904422017</v>
      </c>
      <c r="CD108" s="2">
        <v>1.0301832013930095</v>
      </c>
      <c r="CE108" s="2">
        <f t="shared" si="61"/>
        <v>0.70921454154789576</v>
      </c>
      <c r="CF108" s="2">
        <v>0.6734644235539492</v>
      </c>
      <c r="CG108" s="2">
        <f t="shared" si="62"/>
        <v>-1.2194041158889002</v>
      </c>
      <c r="CH108" s="2">
        <f t="shared" si="63"/>
        <v>0.6937917358811051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-0.19023681126039127</v>
      </c>
      <c r="BR109" s="2">
        <f t="shared" si="66"/>
        <v>0.73042029195962688</v>
      </c>
      <c r="BS109" s="2">
        <v>0.67580261809310149</v>
      </c>
      <c r="BT109" s="2">
        <f t="shared" si="57"/>
        <v>0.38091810924776243</v>
      </c>
      <c r="BU109" s="2">
        <v>0.38661875219434289</v>
      </c>
      <c r="BV109" s="2">
        <f t="shared" si="58"/>
        <v>-7.3549118590923196E-2</v>
      </c>
      <c r="BW109" s="2">
        <f t="shared" si="59"/>
        <v>0.26127796493682492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-1.8106437003070845</v>
      </c>
      <c r="CC109" s="2">
        <f t="shared" si="68"/>
        <v>0.70921454154789576</v>
      </c>
      <c r="CD109" s="2">
        <v>0.6734644235539492</v>
      </c>
      <c r="CE109" s="2">
        <f t="shared" si="61"/>
        <v>0.35617806710074279</v>
      </c>
      <c r="CF109" s="2">
        <v>0.38200257309652491</v>
      </c>
      <c r="CG109" s="2">
        <f t="shared" si="62"/>
        <v>-0.69167055247831943</v>
      </c>
      <c r="CH109" s="2">
        <f t="shared" si="63"/>
        <v>0.25726514268657646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-0.19023681126039127</v>
      </c>
      <c r="BR110" s="2">
        <f t="shared" si="66"/>
        <v>0.38091810924776243</v>
      </c>
      <c r="BS110" s="2">
        <v>0.38661875219434289</v>
      </c>
      <c r="BT110" s="2">
        <f t="shared" si="57"/>
        <v>0.20616701789183017</v>
      </c>
      <c r="BU110" s="2">
        <v>0.20605036123405018</v>
      </c>
      <c r="BV110" s="2">
        <f t="shared" si="58"/>
        <v>-3.9198363680217445E-2</v>
      </c>
      <c r="BW110" s="2">
        <f t="shared" si="59"/>
        <v>7.9662933549502088E-2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-1.8106437003070845</v>
      </c>
      <c r="CC110" s="2">
        <f t="shared" si="68"/>
        <v>0.35617806710074279</v>
      </c>
      <c r="CD110" s="2">
        <v>0.38200257309652491</v>
      </c>
      <c r="CE110" s="2">
        <f t="shared" si="61"/>
        <v>0.1796598298771663</v>
      </c>
      <c r="CF110" s="2">
        <v>0.18986905065778156</v>
      </c>
      <c r="CG110" s="2">
        <f t="shared" si="62"/>
        <v>-0.34378520045679889</v>
      </c>
      <c r="CH110" s="2">
        <f t="shared" si="63"/>
        <v>7.2530465902666999E-2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-0.19023681126039127</v>
      </c>
      <c r="BR111" s="2">
        <f t="shared" si="66"/>
        <v>0.20616701789183017</v>
      </c>
      <c r="BS111" s="2">
        <v>0.20605036123405018</v>
      </c>
      <c r="BT111" s="2">
        <f t="shared" si="57"/>
        <v>0.11879147221386405</v>
      </c>
      <c r="BU111" s="2">
        <v>8.7001962780638264E-2</v>
      </c>
      <c r="BV111" s="2">
        <f t="shared" si="58"/>
        <v>-1.6550975972783866E-2</v>
      </c>
      <c r="BW111" s="2">
        <f t="shared" si="59"/>
        <v>1.7926785859021903E-2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-1.8106437003070845</v>
      </c>
      <c r="CC111" s="2">
        <f t="shared" si="68"/>
        <v>0.1796598298771663</v>
      </c>
      <c r="CD111" s="2">
        <v>0.18986905065778156</v>
      </c>
      <c r="CE111" s="2">
        <f t="shared" si="61"/>
        <v>9.1400711265378048E-2</v>
      </c>
      <c r="CF111" s="2">
        <v>5.4276696419596135E-2</v>
      </c>
      <c r="CG111" s="2">
        <f t="shared" si="62"/>
        <v>-9.8275758445621836E-2</v>
      </c>
      <c r="CH111" s="2">
        <f t="shared" si="63"/>
        <v>1.030546482202933E-2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-0.19023681126039127</v>
      </c>
      <c r="BR112" s="2">
        <f t="shared" si="66"/>
        <v>0.11879147221386405</v>
      </c>
      <c r="BS112" s="2">
        <v>8.7001962780638264E-2</v>
      </c>
      <c r="BT112" s="2">
        <f t="shared" si="57"/>
        <v>7.5103699374880983E-2</v>
      </c>
      <c r="BU112" s="2">
        <v>3.1754908062647524E-3</v>
      </c>
      <c r="BV112" s="2">
        <f t="shared" si="58"/>
        <v>-6.0409524517049536E-4</v>
      </c>
      <c r="BW112" s="2">
        <f t="shared" si="59"/>
        <v>2.7627393293690498E-4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-1.8106437003070845</v>
      </c>
      <c r="CC112" s="2">
        <f t="shared" si="68"/>
        <v>9.1400711265378048E-2</v>
      </c>
      <c r="CD112" s="2">
        <v>5.4276696419596135E-2</v>
      </c>
      <c r="CE112" s="2">
        <f t="shared" si="61"/>
        <v>4.727115195948392E-2</v>
      </c>
      <c r="CF112" s="2">
        <v>-5.3118985408058463E-2</v>
      </c>
      <c r="CG112" s="2">
        <f t="shared" si="62"/>
        <v>9.6179556295805005E-2</v>
      </c>
      <c r="CH112" s="2">
        <f t="shared" si="63"/>
        <v>-2.8831230451101461E-3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3.1415926535897934E-2</v>
      </c>
      <c r="BQ113" s="2">
        <v>-0.19023681126039127</v>
      </c>
      <c r="BR113" s="2">
        <f t="shared" si="66"/>
        <v>7.5103699374880983E-2</v>
      </c>
      <c r="BS113" s="2">
        <v>3.1754908062647524E-3</v>
      </c>
      <c r="BT113" s="2">
        <f t="shared" si="57"/>
        <v>5.3259812955389459E-2</v>
      </c>
      <c r="BU113" s="2">
        <v>-6.2831739532810418E-2</v>
      </c>
      <c r="BV113" s="2">
        <f t="shared" si="58"/>
        <v>1.1952909774665321E-2</v>
      </c>
      <c r="BW113" s="2">
        <f t="shared" si="59"/>
        <v>-1.9952161122806109E-4</v>
      </c>
      <c r="BX113" s="2">
        <f t="shared" si="60"/>
        <v>4.3687772838983049E-2</v>
      </c>
      <c r="BY113"/>
      <c r="BZ113" s="2">
        <v>7</v>
      </c>
      <c r="CA113" s="2">
        <f t="shared" si="67"/>
        <v>4.727115195948392E-2</v>
      </c>
      <c r="CB113" s="2">
        <v>-5.3118985408058463E-2</v>
      </c>
      <c r="CC113" s="2">
        <f t="shared" si="68"/>
        <v>9.1400711265378048E-2</v>
      </c>
      <c r="CD113" s="2">
        <v>5.4276696419596135E-2</v>
      </c>
      <c r="CE113" s="2">
        <f t="shared" si="61"/>
        <v>6.9335931612430984E-2</v>
      </c>
      <c r="CF113" s="2">
        <v>8.8406410170959529E-3</v>
      </c>
      <c r="CG113" s="2">
        <f t="shared" si="62"/>
        <v>-4.6960588118500306E-4</v>
      </c>
      <c r="CH113" s="2">
        <f t="shared" si="63"/>
        <v>4.7984078863954667E-4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5.3259812955389459E-2</v>
      </c>
      <c r="BQ114" s="2">
        <v>-6.2831739532810418E-2</v>
      </c>
      <c r="BR114" s="2">
        <f t="shared" si="66"/>
        <v>7.5103699374880983E-2</v>
      </c>
      <c r="BS114" s="2">
        <v>3.1754908062647524E-3</v>
      </c>
      <c r="BT114" s="2">
        <f t="shared" si="57"/>
        <v>6.4181756165135218E-2</v>
      </c>
      <c r="BU114" s="2">
        <v>-2.607394740400551E-2</v>
      </c>
      <c r="BV114" s="2">
        <f t="shared" si="58"/>
        <v>1.6382714718806725E-3</v>
      </c>
      <c r="BW114" s="2">
        <f t="shared" si="59"/>
        <v>-8.2797580264450205E-5</v>
      </c>
      <c r="BX114" s="2">
        <f t="shared" si="60"/>
        <v>2.1843886419491525E-2</v>
      </c>
      <c r="BY114"/>
      <c r="BZ114" s="2">
        <v>8</v>
      </c>
      <c r="CA114" s="2">
        <f t="shared" si="67"/>
        <v>4.727115195948392E-2</v>
      </c>
      <c r="CB114" s="2">
        <v>-5.3118985408058463E-2</v>
      </c>
      <c r="CC114" s="2">
        <f t="shared" si="68"/>
        <v>6.9335931612430984E-2</v>
      </c>
      <c r="CD114" s="2">
        <v>8.8406410170959529E-3</v>
      </c>
      <c r="CE114" s="2">
        <f t="shared" si="61"/>
        <v>5.8303541785957452E-2</v>
      </c>
      <c r="CF114" s="2">
        <v>-1.8883903579981647E-2</v>
      </c>
      <c r="CG114" s="2">
        <f t="shared" si="62"/>
        <v>1.0030937987122281E-3</v>
      </c>
      <c r="CH114" s="2">
        <f t="shared" si="63"/>
        <v>-1.6694581255207084E-4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6.4181756165135218E-2</v>
      </c>
      <c r="BQ115" s="2">
        <v>-2.607394740400551E-2</v>
      </c>
      <c r="BR115" s="2">
        <f t="shared" si="66"/>
        <v>7.5103699374880983E-2</v>
      </c>
      <c r="BS115" s="2">
        <v>3.1754908062647524E-3</v>
      </c>
      <c r="BT115" s="2">
        <f t="shared" si="57"/>
        <v>6.96427277700081E-2</v>
      </c>
      <c r="BU115" s="2">
        <v>-1.0733871322230248E-2</v>
      </c>
      <c r="BV115" s="2">
        <f t="shared" si="58"/>
        <v>2.7987439629719455E-4</v>
      </c>
      <c r="BW115" s="2">
        <f t="shared" si="59"/>
        <v>-3.4085309699371037E-5</v>
      </c>
      <c r="BX115" s="2">
        <f t="shared" si="60"/>
        <v>1.0921943209745766E-2</v>
      </c>
      <c r="BY115"/>
      <c r="BZ115" s="2">
        <v>9</v>
      </c>
      <c r="CA115" s="2">
        <f t="shared" si="67"/>
        <v>5.8303541785957452E-2</v>
      </c>
      <c r="CB115" s="2">
        <v>-1.8883903579981647E-2</v>
      </c>
      <c r="CC115" s="2">
        <f t="shared" si="68"/>
        <v>6.9335931612430984E-2</v>
      </c>
      <c r="CD115" s="2">
        <v>8.8406410170959529E-3</v>
      </c>
      <c r="CE115" s="2">
        <f t="shared" si="61"/>
        <v>6.3819736699194218E-2</v>
      </c>
      <c r="CF115" s="2">
        <v>-4.4242225544696596E-3</v>
      </c>
      <c r="CG115" s="2">
        <f t="shared" si="62"/>
        <v>8.3546592134985145E-5</v>
      </c>
      <c r="CH115" s="2">
        <f t="shared" si="63"/>
        <v>-3.9112963383805504E-5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6.96427277700081E-2</v>
      </c>
      <c r="BQ116" s="2">
        <v>-1.0733871322230248E-2</v>
      </c>
      <c r="BR116" s="2">
        <f t="shared" si="66"/>
        <v>7.5103699374880983E-2</v>
      </c>
      <c r="BS116" s="2">
        <v>3.1754908062647524E-3</v>
      </c>
      <c r="BT116" s="2">
        <f t="shared" si="57"/>
        <v>7.2373213572444542E-2</v>
      </c>
      <c r="BU116" s="2">
        <v>-3.6209385435081246E-3</v>
      </c>
      <c r="BV116" s="2">
        <f t="shared" si="58"/>
        <v>3.8866688391720021E-5</v>
      </c>
      <c r="BW116" s="2">
        <f t="shared" si="59"/>
        <v>-1.1498257054959733E-5</v>
      </c>
      <c r="BX116" s="2">
        <f t="shared" si="60"/>
        <v>5.4609716048728829E-3</v>
      </c>
      <c r="BY116"/>
      <c r="BZ116" s="2">
        <v>10</v>
      </c>
      <c r="CA116" s="2">
        <f t="shared" si="67"/>
        <v>6.3819736699194218E-2</v>
      </c>
      <c r="CB116" s="2">
        <v>-4.4242225544696596E-3</v>
      </c>
      <c r="CC116" s="2">
        <f t="shared" si="68"/>
        <v>6.9335931612430984E-2</v>
      </c>
      <c r="CD116" s="2">
        <v>8.8406410170959529E-3</v>
      </c>
      <c r="CE116" s="2">
        <f t="shared" si="61"/>
        <v>6.6577834155812601E-2</v>
      </c>
      <c r="CF116" s="2">
        <v>2.3387456672170764E-3</v>
      </c>
      <c r="CG116" s="2">
        <f t="shared" si="62"/>
        <v>-1.0347131330069982E-5</v>
      </c>
      <c r="CH116" s="2">
        <f t="shared" si="63"/>
        <v>2.0676010874154726E-5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7.2373213572444542E-2</v>
      </c>
      <c r="BQ117" s="2">
        <v>-3.6209385435081246E-3</v>
      </c>
      <c r="BR117" s="2">
        <f t="shared" si="66"/>
        <v>7.5103699374880983E-2</v>
      </c>
      <c r="BS117" s="2">
        <v>3.1754908062647524E-3</v>
      </c>
      <c r="BT117" s="2">
        <f t="shared" si="57"/>
        <v>7.3738456473662756E-2</v>
      </c>
      <c r="BU117" s="2">
        <v>-1.8540245359791735E-4</v>
      </c>
      <c r="BV117" s="2">
        <f t="shared" si="58"/>
        <v>6.713308902936755E-7</v>
      </c>
      <c r="BW117" s="2">
        <f t="shared" si="59"/>
        <v>-5.8874378685911395E-7</v>
      </c>
      <c r="BX117" s="2">
        <f t="shared" si="60"/>
        <v>2.7304858024364415E-3</v>
      </c>
      <c r="BY117"/>
      <c r="BZ117" s="2">
        <v>11</v>
      </c>
      <c r="CA117" s="2">
        <f t="shared" si="67"/>
        <v>6.3819736699194218E-2</v>
      </c>
      <c r="CB117" s="2">
        <v>-4.4242225544696596E-3</v>
      </c>
      <c r="CC117" s="2">
        <f t="shared" si="68"/>
        <v>6.6577834155812601E-2</v>
      </c>
      <c r="CD117" s="2">
        <v>2.3387456672170764E-3</v>
      </c>
      <c r="CE117" s="2">
        <f t="shared" si="61"/>
        <v>6.5198785427503403E-2</v>
      </c>
      <c r="CF117" s="2">
        <v>-1.0080142798387995E-3</v>
      </c>
      <c r="CG117" s="2">
        <f t="shared" si="62"/>
        <v>4.4596795120903082E-6</v>
      </c>
      <c r="CH117" s="2">
        <f t="shared" si="63"/>
        <v>-2.357489029465934E-6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7.3738456473662756E-2</v>
      </c>
      <c r="BQ118" s="2">
        <v>-1.8540245359791735E-4</v>
      </c>
      <c r="BR118" s="2">
        <f t="shared" si="66"/>
        <v>7.5103699374880983E-2</v>
      </c>
      <c r="BS118" s="2">
        <v>3.1754908062647524E-3</v>
      </c>
      <c r="BT118" s="2">
        <f t="shared" si="57"/>
        <v>7.442107792427187E-2</v>
      </c>
      <c r="BU118" s="2">
        <v>1.5041122801807486E-3</v>
      </c>
      <c r="BV118" s="2">
        <f t="shared" si="58"/>
        <v>-2.788661072322689E-7</v>
      </c>
      <c r="BW118" s="2">
        <f t="shared" si="59"/>
        <v>4.7762947173038804E-6</v>
      </c>
      <c r="BX118" s="2">
        <f t="shared" si="60"/>
        <v>1.3652429012182277E-3</v>
      </c>
      <c r="BY118"/>
      <c r="BZ118" s="2">
        <v>12</v>
      </c>
      <c r="CA118" s="2">
        <f t="shared" si="67"/>
        <v>6.5198785427503403E-2</v>
      </c>
      <c r="CB118" s="2">
        <v>-1.0080142798387995E-3</v>
      </c>
      <c r="CC118" s="2">
        <f t="shared" si="68"/>
        <v>6.6577834155812601E-2</v>
      </c>
      <c r="CD118" s="2">
        <v>2.3387456672170764E-3</v>
      </c>
      <c r="CE118" s="2">
        <f t="shared" si="61"/>
        <v>6.5888309791657995E-2</v>
      </c>
      <c r="CF118" s="2">
        <v>6.7377108589150581E-4</v>
      </c>
      <c r="CG118" s="2">
        <f t="shared" si="62"/>
        <v>-6.7917087592113214E-7</v>
      </c>
      <c r="CH118" s="2">
        <f t="shared" si="63"/>
        <v>1.5757792078249039E-6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7.3738456473662756E-2</v>
      </c>
      <c r="BQ119" s="2">
        <v>-1.8540245359791735E-4</v>
      </c>
      <c r="BR119" s="2">
        <f t="shared" si="66"/>
        <v>7.442107792427187E-2</v>
      </c>
      <c r="BS119" s="2">
        <v>1.5041122801807486E-3</v>
      </c>
      <c r="BT119" s="2">
        <f t="shared" si="57"/>
        <v>7.4079767198967306E-2</v>
      </c>
      <c r="BU119" s="2">
        <v>6.6165396676102009E-4</v>
      </c>
      <c r="BV119" s="2">
        <f t="shared" si="58"/>
        <v>-1.2267226887028797E-7</v>
      </c>
      <c r="BW119" s="2">
        <f t="shared" si="59"/>
        <v>9.9520185663555505E-7</v>
      </c>
      <c r="BX119" s="2">
        <f t="shared" si="60"/>
        <v>6.8262145060911383E-4</v>
      </c>
      <c r="BY119"/>
      <c r="BZ119" s="2">
        <v>13</v>
      </c>
      <c r="CA119" s="2">
        <f t="shared" si="67"/>
        <v>6.5198785427503403E-2</v>
      </c>
      <c r="CB119" s="2">
        <v>-1.0080142798387995E-3</v>
      </c>
      <c r="CC119" s="2">
        <f t="shared" si="68"/>
        <v>6.5888309791657995E-2</v>
      </c>
      <c r="CD119" s="2">
        <v>6.7377108589150581E-4</v>
      </c>
      <c r="CE119" s="2">
        <f t="shared" si="61"/>
        <v>6.5543547609580699E-2</v>
      </c>
      <c r="CF119" s="2">
        <v>-1.6498674702396243E-4</v>
      </c>
      <c r="CG119" s="2">
        <f t="shared" si="62"/>
        <v>1.663089969843057E-7</v>
      </c>
      <c r="CH119" s="2">
        <f t="shared" si="63"/>
        <v>-1.1116329970004233E-7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7.3738456473662756E-2</v>
      </c>
      <c r="BQ120" s="2">
        <v>-1.8540245359791735E-4</v>
      </c>
      <c r="BR120" s="2">
        <f t="shared" si="66"/>
        <v>7.4079767198967306E-2</v>
      </c>
      <c r="BS120" s="2">
        <v>6.6165396676102009E-4</v>
      </c>
      <c r="BT120" s="2">
        <f t="shared" si="57"/>
        <v>7.3909111836315031E-2</v>
      </c>
      <c r="BU120" s="2">
        <v>2.3870458799252897E-4</v>
      </c>
      <c r="BV120" s="2">
        <f t="shared" si="58"/>
        <v>-4.4256416298894829E-8</v>
      </c>
      <c r="BW120" s="2">
        <f t="shared" si="59"/>
        <v>1.5793983752931175E-7</v>
      </c>
      <c r="BX120" s="2">
        <f t="shared" si="60"/>
        <v>3.4131072530454998E-4</v>
      </c>
      <c r="BY120"/>
      <c r="BZ120" s="2">
        <v>14</v>
      </c>
      <c r="CA120" s="2">
        <f t="shared" si="67"/>
        <v>6.5543547609580699E-2</v>
      </c>
      <c r="CB120" s="2">
        <v>-1.6498674702396243E-4</v>
      </c>
      <c r="CC120" s="2">
        <f t="shared" si="68"/>
        <v>6.5888309791657995E-2</v>
      </c>
      <c r="CD120" s="2">
        <v>6.7377108589150581E-4</v>
      </c>
      <c r="CE120" s="2">
        <f t="shared" si="61"/>
        <v>6.5715928700619347E-2</v>
      </c>
      <c r="CF120" s="2">
        <v>2.5492163635416898E-4</v>
      </c>
      <c r="CG120" s="2">
        <f t="shared" si="62"/>
        <v>-4.2058691528099821E-8</v>
      </c>
      <c r="CH120" s="2">
        <f t="shared" si="63"/>
        <v>1.7175882774358799E-7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7.3738456473662756E-2</v>
      </c>
      <c r="BQ121" s="2">
        <v>-1.8540245359791735E-4</v>
      </c>
      <c r="BR121" s="2">
        <f t="shared" si="66"/>
        <v>7.3909111836315031E-2</v>
      </c>
      <c r="BS121" s="2">
        <v>2.3870458799252897E-4</v>
      </c>
      <c r="BT121" s="2">
        <f t="shared" si="57"/>
        <v>7.3823784154988886E-2</v>
      </c>
      <c r="BU121" s="2">
        <v>2.6796287662080726E-5</v>
      </c>
      <c r="BV121" s="2">
        <f t="shared" si="58"/>
        <v>-4.9680974798653666E-9</v>
      </c>
      <c r="BW121" s="2">
        <f t="shared" si="59"/>
        <v>6.3963968061062669E-9</v>
      </c>
      <c r="BX121" s="2">
        <f t="shared" si="60"/>
        <v>1.7065536265227499E-4</v>
      </c>
      <c r="BY121"/>
      <c r="BZ121" s="2">
        <v>15</v>
      </c>
      <c r="CA121" s="2">
        <f t="shared" si="67"/>
        <v>6.5543547609580699E-2</v>
      </c>
      <c r="CB121" s="2">
        <v>-1.6498674702396243E-4</v>
      </c>
      <c r="CC121" s="2">
        <f t="shared" si="68"/>
        <v>6.5715928700619347E-2</v>
      </c>
      <c r="CD121" s="2">
        <v>2.5492163635416898E-4</v>
      </c>
      <c r="CE121" s="2">
        <f t="shared" si="61"/>
        <v>6.5629738155100023E-2</v>
      </c>
      <c r="CF121" s="2">
        <v>4.5100338421859287E-5</v>
      </c>
      <c r="CG121" s="2">
        <f t="shared" si="62"/>
        <v>-7.4409581259023909E-9</v>
      </c>
      <c r="CH121" s="2">
        <f t="shared" si="63"/>
        <v>1.1497052070627169E-8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7.3738456473662756E-2</v>
      </c>
      <c r="BQ122" s="2">
        <v>-1.8540245359791735E-4</v>
      </c>
      <c r="BR122" s="2">
        <f t="shared" si="66"/>
        <v>7.3823784154988886E-2</v>
      </c>
      <c r="BS122" s="2">
        <v>2.6796287662080726E-5</v>
      </c>
      <c r="BT122" s="2">
        <f t="shared" si="57"/>
        <v>7.3781120314325821E-2</v>
      </c>
      <c r="BU122" s="2">
        <v>-7.9266713516358556E-5</v>
      </c>
      <c r="BV122" s="2">
        <f t="shared" si="58"/>
        <v>1.4696243174576076E-8</v>
      </c>
      <c r="BW122" s="2">
        <f t="shared" si="59"/>
        <v>-2.1240536574120861E-9</v>
      </c>
      <c r="BX122" s="2">
        <f t="shared" si="60"/>
        <v>8.5327681326130556E-5</v>
      </c>
      <c r="BY122"/>
      <c r="BZ122" s="2">
        <v>16</v>
      </c>
      <c r="CA122" s="2">
        <f t="shared" si="67"/>
        <v>6.5543547609580699E-2</v>
      </c>
      <c r="CB122" s="2">
        <v>-1.6498674702396243E-4</v>
      </c>
      <c r="CC122" s="2">
        <f t="shared" si="68"/>
        <v>6.5629738155100023E-2</v>
      </c>
      <c r="CD122" s="2">
        <v>4.5100338421859287E-5</v>
      </c>
      <c r="CE122" s="2">
        <f t="shared" si="61"/>
        <v>6.5586642882340368E-2</v>
      </c>
      <c r="CF122" s="2">
        <v>-5.990991466444176E-5</v>
      </c>
      <c r="CG122" s="2">
        <f t="shared" si="62"/>
        <v>9.8843419349694301E-9</v>
      </c>
      <c r="CH122" s="2">
        <f t="shared" si="63"/>
        <v>-2.7019574261910338E-9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7.3781120314325821E-2</v>
      </c>
      <c r="BQ123" s="2">
        <v>-7.9266713516358556E-5</v>
      </c>
      <c r="BR123" s="2">
        <f t="shared" si="66"/>
        <v>7.3823784154988886E-2</v>
      </c>
      <c r="BS123" s="2">
        <v>2.6796287662080726E-5</v>
      </c>
      <c r="BT123" s="2">
        <f t="shared" si="57"/>
        <v>7.3802452234657354E-2</v>
      </c>
      <c r="BU123" s="2">
        <v>-2.622612861779075E-5</v>
      </c>
      <c r="BV123" s="2">
        <f t="shared" si="58"/>
        <v>2.0788590237895921E-9</v>
      </c>
      <c r="BW123" s="2">
        <f t="shared" si="59"/>
        <v>-7.0276288670504857E-10</v>
      </c>
      <c r="BX123" s="2">
        <f t="shared" si="60"/>
        <v>4.2663840663065278E-5</v>
      </c>
      <c r="BY123"/>
      <c r="BZ123" s="2">
        <v>17</v>
      </c>
      <c r="CA123" s="2">
        <f t="shared" si="67"/>
        <v>6.5586642882340368E-2</v>
      </c>
      <c r="CB123" s="2">
        <v>-5.990991466444176E-5</v>
      </c>
      <c r="CC123" s="2">
        <f t="shared" si="68"/>
        <v>6.5629738155100023E-2</v>
      </c>
      <c r="CD123" s="2">
        <v>4.5100338421859287E-5</v>
      </c>
      <c r="CE123" s="2">
        <f t="shared" si="61"/>
        <v>6.5608190518720189E-2</v>
      </c>
      <c r="CF123" s="2">
        <v>-7.3964740011367436E-6</v>
      </c>
      <c r="CG123" s="2">
        <f t="shared" si="62"/>
        <v>4.4312212622586442E-10</v>
      </c>
      <c r="CH123" s="2">
        <f t="shared" si="63"/>
        <v>-3.3358348057975077E-10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7.3802452234657354E-2</v>
      </c>
      <c r="BQ124" s="2">
        <v>-2.622612861779075E-5</v>
      </c>
      <c r="BR124" s="2">
        <f t="shared" si="66"/>
        <v>7.3823784154988886E-2</v>
      </c>
      <c r="BS124" s="2">
        <v>2.6796287662080726E-5</v>
      </c>
      <c r="BT124" s="2">
        <f t="shared" si="57"/>
        <v>7.3813118194823113E-2</v>
      </c>
      <c r="BU124" s="2">
        <v>2.8734959379994596E-7</v>
      </c>
      <c r="BV124" s="2">
        <f t="shared" si="58"/>
        <v>-7.5360674052673104E-12</v>
      </c>
      <c r="BW124" s="2">
        <f t="shared" si="59"/>
        <v>7.6999023750454005E-12</v>
      </c>
      <c r="BX124" s="2">
        <f t="shared" si="60"/>
        <v>2.1331920331532639E-5</v>
      </c>
      <c r="BY124"/>
      <c r="BZ124" s="2">
        <v>18</v>
      </c>
      <c r="CA124" s="2">
        <f t="shared" si="67"/>
        <v>6.5608190518720189E-2</v>
      </c>
      <c r="CB124" s="2">
        <v>-7.3964740011367436E-6</v>
      </c>
      <c r="CC124" s="2">
        <f t="shared" si="68"/>
        <v>6.5629738155100023E-2</v>
      </c>
      <c r="CD124" s="2">
        <v>4.5100338421859287E-5</v>
      </c>
      <c r="CE124" s="2">
        <f t="shared" si="61"/>
        <v>6.5618964336910113E-2</v>
      </c>
      <c r="CF124" s="2">
        <v>1.8854009705533692E-5</v>
      </c>
      <c r="CG124" s="2">
        <f t="shared" si="62"/>
        <v>-1.3945319260415977E-10</v>
      </c>
      <c r="CH124" s="2">
        <f t="shared" si="63"/>
        <v>8.5032221832858911E-10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7.3802452234657354E-2</v>
      </c>
      <c r="BQ125" s="2">
        <v>-2.622612861779075E-5</v>
      </c>
      <c r="BR125" s="2">
        <f t="shared" si="66"/>
        <v>7.3813118194823113E-2</v>
      </c>
      <c r="BS125" s="2">
        <v>2.8734959379994596E-7</v>
      </c>
      <c r="BT125" s="2">
        <f t="shared" si="57"/>
        <v>7.380778521474024E-2</v>
      </c>
      <c r="BU125" s="2">
        <v>-1.2968821868401814E-5</v>
      </c>
      <c r="BV125" s="2">
        <f t="shared" si="58"/>
        <v>3.4012199034192331E-10</v>
      </c>
      <c r="BW125" s="2">
        <f t="shared" si="59"/>
        <v>-3.7265856959491177E-12</v>
      </c>
      <c r="BX125" s="2">
        <f t="shared" si="60"/>
        <v>1.0665960165759381E-5</v>
      </c>
      <c r="BY125"/>
      <c r="BZ125" s="2">
        <v>19</v>
      </c>
      <c r="CA125" s="2">
        <f t="shared" si="67"/>
        <v>6.5608190518720189E-2</v>
      </c>
      <c r="CB125" s="2">
        <v>-7.3964740011367436E-6</v>
      </c>
      <c r="CC125" s="2">
        <f t="shared" si="68"/>
        <v>6.5618964336910113E-2</v>
      </c>
      <c r="CD125" s="2">
        <v>1.8854009705533692E-5</v>
      </c>
      <c r="CE125" s="2">
        <f t="shared" si="61"/>
        <v>6.5613577427815151E-2</v>
      </c>
      <c r="CF125" s="2">
        <v>5.729287355295265E-6</v>
      </c>
      <c r="CG125" s="2">
        <f t="shared" si="62"/>
        <v>-4.2376524968482923E-11</v>
      </c>
      <c r="CH125" s="2">
        <f t="shared" si="63"/>
        <v>1.0802003940252839E-10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7.380778521474024E-2</v>
      </c>
      <c r="BQ126" s="2">
        <v>-1.2968821868401814E-5</v>
      </c>
      <c r="BR126" s="2">
        <f t="shared" si="66"/>
        <v>7.3813118194823113E-2</v>
      </c>
      <c r="BS126" s="2">
        <v>2.8734959379994596E-7</v>
      </c>
      <c r="BT126" s="2">
        <f t="shared" si="57"/>
        <v>7.3810451704781677E-2</v>
      </c>
      <c r="BU126" s="2">
        <v>-6.3405942421317085E-6</v>
      </c>
      <c r="BV126" s="2">
        <f t="shared" si="58"/>
        <v>8.2230037266020327E-11</v>
      </c>
      <c r="BW126" s="2">
        <f t="shared" si="59"/>
        <v>-1.8219671799268228E-12</v>
      </c>
      <c r="BX126" s="2">
        <f t="shared" si="60"/>
        <v>5.3329800828727514E-6</v>
      </c>
      <c r="BY126"/>
      <c r="BZ126" s="2">
        <v>20</v>
      </c>
      <c r="CA126" s="2">
        <f t="shared" si="67"/>
        <v>6.5608190518720189E-2</v>
      </c>
      <c r="CB126" s="2">
        <v>-7.3964740011367436E-6</v>
      </c>
      <c r="CC126" s="2">
        <f t="shared" si="68"/>
        <v>6.5613577427815151E-2</v>
      </c>
      <c r="CD126" s="2">
        <v>5.729287355295265E-6</v>
      </c>
      <c r="CE126" s="2">
        <f t="shared" si="61"/>
        <v>6.561088397326767E-2</v>
      </c>
      <c r="CF126" s="2">
        <v>-8.334634309763167E-7</v>
      </c>
      <c r="CG126" s="2">
        <f t="shared" si="62"/>
        <v>6.1646905981145553E-12</v>
      </c>
      <c r="CH126" s="2">
        <f t="shared" si="63"/>
        <v>-4.7751514961936189E-12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7.3810451704781677E-2</v>
      </c>
      <c r="BQ127" s="2">
        <v>-6.3405942421317085E-6</v>
      </c>
      <c r="BR127" s="2">
        <f t="shared" si="66"/>
        <v>7.3813118194823113E-2</v>
      </c>
      <c r="BS127" s="2">
        <v>2.8734959379994596E-7</v>
      </c>
      <c r="BT127" s="2">
        <f t="shared" si="57"/>
        <v>7.3811784949802395E-2</v>
      </c>
      <c r="BU127" s="2">
        <v>-3.0265868523338124E-6</v>
      </c>
      <c r="BV127" s="2">
        <f t="shared" si="58"/>
        <v>1.9190359169219302E-11</v>
      </c>
      <c r="BW127" s="2">
        <f t="shared" si="59"/>
        <v>-8.6968850261837797E-13</v>
      </c>
      <c r="BX127" s="2">
        <f t="shared" si="60"/>
        <v>2.6664900414363757E-6</v>
      </c>
      <c r="BY127"/>
      <c r="BZ127" s="2">
        <v>21</v>
      </c>
      <c r="CA127" s="2">
        <f t="shared" si="67"/>
        <v>6.561088397326767E-2</v>
      </c>
      <c r="CB127" s="2">
        <v>-8.334634309763167E-7</v>
      </c>
      <c r="CC127" s="2">
        <f t="shared" si="68"/>
        <v>6.5613577427815151E-2</v>
      </c>
      <c r="CD127" s="2">
        <v>5.729287355295265E-6</v>
      </c>
      <c r="CE127" s="2">
        <f t="shared" si="61"/>
        <v>6.561223070054141E-2</v>
      </c>
      <c r="CF127" s="2">
        <v>2.4479444331280964E-6</v>
      </c>
      <c r="CG127" s="2">
        <f t="shared" si="62"/>
        <v>-2.0402721660743179E-12</v>
      </c>
      <c r="CH127" s="2">
        <f t="shared" si="63"/>
        <v>1.4024977087186238E-11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7.3811784949802395E-2</v>
      </c>
      <c r="BQ128" s="2">
        <v>-3.0265868523338124E-6</v>
      </c>
      <c r="BR128" s="2">
        <f t="shared" si="66"/>
        <v>7.3813118194823113E-2</v>
      </c>
      <c r="BS128" s="2">
        <v>2.8734959379994596E-7</v>
      </c>
      <c r="BT128" s="2">
        <f t="shared" si="57"/>
        <v>7.3812451572312754E-2</v>
      </c>
      <c r="BU128" s="2">
        <v>-1.3696097615686909E-6</v>
      </c>
      <c r="BV128" s="2">
        <f t="shared" si="58"/>
        <v>4.1452428971918473E-12</v>
      </c>
      <c r="BW128" s="2">
        <f t="shared" si="59"/>
        <v>-3.9355680865120416E-13</v>
      </c>
      <c r="BX128" s="2">
        <f t="shared" si="60"/>
        <v>1.3332450207181878E-6</v>
      </c>
      <c r="BY128"/>
      <c r="BZ128" s="2">
        <v>22</v>
      </c>
      <c r="CA128" s="2">
        <f t="shared" si="67"/>
        <v>6.561088397326767E-2</v>
      </c>
      <c r="CB128" s="2">
        <v>-8.334634309763167E-7</v>
      </c>
      <c r="CC128" s="2">
        <f t="shared" si="68"/>
        <v>6.561223070054141E-2</v>
      </c>
      <c r="CD128" s="2">
        <v>2.4479444331280964E-6</v>
      </c>
      <c r="CE128" s="2">
        <f t="shared" si="61"/>
        <v>6.5611557336904547E-2</v>
      </c>
      <c r="CF128" s="2">
        <v>8.0724861907521817E-7</v>
      </c>
      <c r="CG128" s="2">
        <f t="shared" si="62"/>
        <v>-6.7281220370532506E-13</v>
      </c>
      <c r="CH128" s="2">
        <f t="shared" si="63"/>
        <v>1.9760997632155236E-12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7.3812451572312754E-2</v>
      </c>
      <c r="BQ129" s="2">
        <v>-1.3696097615686909E-6</v>
      </c>
      <c r="BR129" s="2">
        <f t="shared" si="66"/>
        <v>7.3813118194823113E-2</v>
      </c>
      <c r="BS129" s="2">
        <v>2.8734959379994596E-7</v>
      </c>
      <c r="BT129" s="2">
        <f t="shared" si="57"/>
        <v>7.3812784883567933E-2</v>
      </c>
      <c r="BU129" s="2">
        <v>-5.4112786698756743E-7</v>
      </c>
      <c r="BV129" s="2">
        <f t="shared" si="58"/>
        <v>7.4113400888301644E-13</v>
      </c>
      <c r="BW129" s="2">
        <f t="shared" si="59"/>
        <v>-1.5549287277270868E-13</v>
      </c>
      <c r="BX129" s="2">
        <f t="shared" si="60"/>
        <v>6.6662251035909392E-7</v>
      </c>
      <c r="BY129"/>
      <c r="BZ129" s="2">
        <v>23</v>
      </c>
      <c r="CA129" s="2">
        <f t="shared" si="67"/>
        <v>6.561088397326767E-2</v>
      </c>
      <c r="CB129" s="2">
        <v>-8.334634309763167E-7</v>
      </c>
      <c r="CC129" s="2">
        <f t="shared" si="68"/>
        <v>6.5611557336904547E-2</v>
      </c>
      <c r="CD129" s="2">
        <v>8.0724861907521817E-7</v>
      </c>
      <c r="CE129" s="2">
        <f t="shared" si="61"/>
        <v>6.5611220655086108E-2</v>
      </c>
      <c r="CF129" s="2">
        <v>-1.31053764368394E-8</v>
      </c>
      <c r="CG129" s="2">
        <f t="shared" si="62"/>
        <v>1.0922852009284342E-14</v>
      </c>
      <c r="CH129" s="2">
        <f t="shared" si="63"/>
        <v>-1.0579297031099509E-14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7.3812784883567933E-2</v>
      </c>
      <c r="BQ130" s="2">
        <v>-5.4112786698756743E-7</v>
      </c>
      <c r="BR130" s="2">
        <f t="shared" si="66"/>
        <v>7.3813118194823113E-2</v>
      </c>
      <c r="BS130" s="2">
        <v>2.8734959379994596E-7</v>
      </c>
      <c r="BT130" s="2">
        <f t="shared" si="57"/>
        <v>7.3812951539195523E-2</v>
      </c>
      <c r="BU130" s="2">
        <v>-1.268885823670074E-7</v>
      </c>
      <c r="BV130" s="2">
        <f t="shared" si="58"/>
        <v>6.8662947921334974E-14</v>
      </c>
      <c r="BW130" s="2">
        <f t="shared" si="59"/>
        <v>-3.6461382601010563E-14</v>
      </c>
      <c r="BX130" s="2">
        <f t="shared" si="60"/>
        <v>3.3331125517954696E-7</v>
      </c>
      <c r="BY130"/>
      <c r="BZ130" s="2">
        <v>24</v>
      </c>
      <c r="CA130" s="2">
        <f t="shared" si="67"/>
        <v>6.5611220655086108E-2</v>
      </c>
      <c r="CB130" s="2">
        <v>-1.31053764368394E-8</v>
      </c>
      <c r="CC130" s="2">
        <f t="shared" si="68"/>
        <v>6.5611557336904547E-2</v>
      </c>
      <c r="CD130" s="2">
        <v>8.0724861907521817E-7</v>
      </c>
      <c r="CE130" s="2">
        <f t="shared" si="61"/>
        <v>6.5611388995995334E-2</v>
      </c>
      <c r="CF130" s="2">
        <v>3.97072128732745E-7</v>
      </c>
      <c r="CG130" s="2">
        <f t="shared" si="62"/>
        <v>-5.2037797196197773E-15</v>
      </c>
      <c r="CH130" s="2">
        <f t="shared" si="63"/>
        <v>3.2053592759276566E-13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7.3812951539195523E-2</v>
      </c>
      <c r="BQ131" s="2">
        <v>-1.268885823670074E-7</v>
      </c>
      <c r="BR131" s="2">
        <f t="shared" si="66"/>
        <v>7.3813118194823113E-2</v>
      </c>
      <c r="BS131" s="2">
        <v>2.8734959379994596E-7</v>
      </c>
      <c r="BT131" s="2">
        <f t="shared" si="57"/>
        <v>7.3813034867009325E-2</v>
      </c>
      <c r="BU131" s="2">
        <v>8.0230644280976371E-8</v>
      </c>
      <c r="BV131" s="2">
        <f t="shared" si="58"/>
        <v>-1.0180352715204742E-14</v>
      </c>
      <c r="BW131" s="2">
        <f t="shared" si="59"/>
        <v>2.3054243044446519E-14</v>
      </c>
      <c r="BX131" s="2">
        <f t="shared" si="60"/>
        <v>1.6665562758977348E-7</v>
      </c>
      <c r="BY131"/>
      <c r="BZ131" s="2">
        <v>25</v>
      </c>
      <c r="CA131" s="2">
        <f t="shared" si="67"/>
        <v>6.5611220655086108E-2</v>
      </c>
      <c r="CB131" s="2">
        <v>-1.31053764368394E-8</v>
      </c>
      <c r="CC131" s="2">
        <f t="shared" si="68"/>
        <v>6.5611388995995334E-2</v>
      </c>
      <c r="CD131" s="2">
        <v>3.97072128732745E-7</v>
      </c>
      <c r="CE131" s="2">
        <f t="shared" si="61"/>
        <v>6.5611304825540728E-2</v>
      </c>
      <c r="CF131" s="2">
        <v>1.9198350302909728E-7</v>
      </c>
      <c r="CG131" s="2">
        <f t="shared" si="62"/>
        <v>-2.5160160768594171E-15</v>
      </c>
      <c r="CH131" s="2">
        <f t="shared" si="63"/>
        <v>7.6231298229333061E-14</v>
      </c>
      <c r="CI131" s="2">
        <f t="shared" si="64"/>
        <v>1.683409092262389E-7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7.3812951539195523E-2</v>
      </c>
      <c r="BQ132" s="2">
        <v>-1.268885823670074E-7</v>
      </c>
      <c r="BR132" s="2">
        <f t="shared" si="66"/>
        <v>7.3813034867009325E-2</v>
      </c>
      <c r="BS132" s="2">
        <v>8.0230644280976371E-8</v>
      </c>
      <c r="BT132" s="2">
        <f t="shared" si="57"/>
        <v>7.3812993203102417E-2</v>
      </c>
      <c r="BU132" s="2">
        <v>-2.3328934430077997E-8</v>
      </c>
      <c r="BV132" s="2">
        <f t="shared" si="58"/>
        <v>2.9601754179654665E-15</v>
      </c>
      <c r="BW132" s="2">
        <f t="shared" si="59"/>
        <v>-1.87169543971381E-15</v>
      </c>
      <c r="BX132" s="2">
        <f t="shared" si="60"/>
        <v>8.3327813801825634E-8</v>
      </c>
      <c r="BY132"/>
      <c r="BZ132" s="2">
        <v>26</v>
      </c>
      <c r="CA132" s="2">
        <f t="shared" si="67"/>
        <v>6.5611220655086108E-2</v>
      </c>
      <c r="CB132" s="2">
        <v>-1.31053764368394E-8</v>
      </c>
      <c r="CC132" s="2">
        <f t="shared" si="68"/>
        <v>6.5611304825540728E-2</v>
      </c>
      <c r="CD132" s="2">
        <v>1.9198350302909728E-7</v>
      </c>
      <c r="CE132" s="2">
        <f t="shared" si="61"/>
        <v>6.5611262740313425E-2</v>
      </c>
      <c r="CF132" s="2">
        <v>8.943909503636438E-8</v>
      </c>
      <c r="CG132" s="2">
        <f t="shared" si="62"/>
        <v>-1.1721330086218095E-15</v>
      </c>
      <c r="CH132" s="2">
        <f t="shared" si="63"/>
        <v>1.717083077283358E-14</v>
      </c>
      <c r="CI132" s="2">
        <f t="shared" si="64"/>
        <v>8.4170454620058344E-8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7.3812993203102417E-2</v>
      </c>
      <c r="BQ133" s="2">
        <v>-2.3328934430077997E-8</v>
      </c>
      <c r="BR133" s="2">
        <f t="shared" si="66"/>
        <v>7.3813034867009325E-2</v>
      </c>
      <c r="BS133" s="2">
        <v>8.0230644280976371E-8</v>
      </c>
      <c r="BT133" s="2">
        <f t="shared" si="57"/>
        <v>7.3813014035055871E-2</v>
      </c>
      <c r="BU133" s="2">
        <v>2.8450863581719332E-8</v>
      </c>
      <c r="BV133" s="2">
        <f t="shared" si="58"/>
        <v>-6.6372833097702429E-16</v>
      </c>
      <c r="BW133" s="2">
        <f t="shared" si="59"/>
        <v>2.2826311155115092E-15</v>
      </c>
      <c r="BX133" s="2">
        <f t="shared" si="60"/>
        <v>4.1663906907851711E-8</v>
      </c>
      <c r="BY133"/>
      <c r="BZ133" s="2">
        <v>27</v>
      </c>
      <c r="CA133" s="2">
        <f t="shared" si="67"/>
        <v>6.5611220655086108E-2</v>
      </c>
      <c r="CB133" s="2">
        <v>-1.31053764368394E-8</v>
      </c>
      <c r="CC133" s="2">
        <f t="shared" si="68"/>
        <v>6.5611262740313425E-2</v>
      </c>
      <c r="CD133" s="2">
        <v>8.943909503636438E-8</v>
      </c>
      <c r="CE133" s="2">
        <f t="shared" si="61"/>
        <v>6.5611241697699774E-2</v>
      </c>
      <c r="CF133" s="2">
        <v>3.816686725000018E-8</v>
      </c>
      <c r="CG133" s="2">
        <f t="shared" si="62"/>
        <v>-5.0019116272612978E-16</v>
      </c>
      <c r="CH133" s="2">
        <f t="shared" si="63"/>
        <v>3.4136100672130695E-15</v>
      </c>
      <c r="CI133" s="2">
        <f t="shared" si="64"/>
        <v>4.2085227316968066E-8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7.3812993203102417E-2</v>
      </c>
      <c r="BQ134" s="2">
        <v>-2.3328934430077997E-8</v>
      </c>
      <c r="BR134" s="2">
        <f t="shared" si="66"/>
        <v>7.3813014035055871E-2</v>
      </c>
      <c r="BS134" s="2">
        <v>2.8450863581719332E-8</v>
      </c>
      <c r="BT134" s="2">
        <f t="shared" si="57"/>
        <v>7.3813003619079137E-2</v>
      </c>
      <c r="BU134" s="2">
        <v>2.5609667164694372E-9</v>
      </c>
      <c r="BV134" s="2">
        <f t="shared" si="58"/>
        <v>-5.9744624606127645E-17</v>
      </c>
      <c r="BW134" s="2">
        <f t="shared" si="59"/>
        <v>7.2861714687595651E-17</v>
      </c>
      <c r="BX134" s="2">
        <f t="shared" si="60"/>
        <v>2.0831953453925856E-8</v>
      </c>
      <c r="BY134"/>
      <c r="BZ134" s="2">
        <v>28</v>
      </c>
      <c r="CA134" s="2">
        <f t="shared" si="67"/>
        <v>6.5611220655086108E-2</v>
      </c>
      <c r="CB134" s="2">
        <v>-1.31053764368394E-8</v>
      </c>
      <c r="CC134" s="2">
        <f t="shared" si="68"/>
        <v>6.5611241697699774E-2</v>
      </c>
      <c r="CD134" s="2">
        <v>3.816686725000018E-8</v>
      </c>
      <c r="CE134" s="2">
        <f t="shared" si="61"/>
        <v>6.5611231176392948E-2</v>
      </c>
      <c r="CF134" s="2">
        <v>1.2530747391104047E-8</v>
      </c>
      <c r="CG134" s="2">
        <f t="shared" si="62"/>
        <v>-1.6422016159536176E-16</v>
      </c>
      <c r="CH134" s="2">
        <f t="shared" si="63"/>
        <v>4.7825937221955425E-16</v>
      </c>
      <c r="CI134" s="2">
        <f t="shared" si="64"/>
        <v>2.1042613665422927E-8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7.3812993203102417E-2</v>
      </c>
      <c r="BQ135" s="2">
        <v>-2.3328934430077997E-8</v>
      </c>
      <c r="BR135" s="2">
        <f t="shared" si="66"/>
        <v>7.3813003619079137E-2</v>
      </c>
      <c r="BS135" s="2">
        <v>2.5609667164694372E-9</v>
      </c>
      <c r="BT135" s="2">
        <f t="shared" si="57"/>
        <v>7.3812998411090777E-2</v>
      </c>
      <c r="BU135" s="2">
        <v>-1.0383983319040002E-8</v>
      </c>
      <c r="BV135" s="2">
        <f t="shared" si="58"/>
        <v>2.4224726597290791E-16</v>
      </c>
      <c r="BW135" s="2">
        <f t="shared" si="59"/>
        <v>-2.6593035664435283E-17</v>
      </c>
      <c r="BX135" s="2">
        <f t="shared" si="60"/>
        <v>1.0415976720024034E-8</v>
      </c>
      <c r="BY135"/>
      <c r="BZ135" s="2">
        <v>29</v>
      </c>
      <c r="CA135" s="2">
        <f t="shared" si="67"/>
        <v>6.5611220655086108E-2</v>
      </c>
      <c r="CB135" s="2">
        <v>-1.31053764368394E-8</v>
      </c>
      <c r="CC135" s="2">
        <f t="shared" si="68"/>
        <v>6.5611231176392948E-2</v>
      </c>
      <c r="CD135" s="2">
        <v>1.2530747391104047E-8</v>
      </c>
      <c r="CE135" s="2">
        <f t="shared" si="61"/>
        <v>6.5611225915739535E-2</v>
      </c>
      <c r="CF135" s="2">
        <v>-2.8731400245063377E-10</v>
      </c>
      <c r="CG135" s="2">
        <f t="shared" si="62"/>
        <v>3.7653581576905537E-18</v>
      </c>
      <c r="CH135" s="2">
        <f t="shared" si="63"/>
        <v>-3.6002591866359406E-18</v>
      </c>
      <c r="CI135" s="2">
        <f t="shared" si="64"/>
        <v>1.0521306839650357E-8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7.3812998411090777E-2</v>
      </c>
      <c r="BQ136" s="2">
        <v>-1.0383983319040002E-8</v>
      </c>
      <c r="BR136" s="2">
        <f t="shared" si="66"/>
        <v>7.3813003619079137E-2</v>
      </c>
      <c r="BS136" s="2">
        <v>2.5609667164694372E-9</v>
      </c>
      <c r="BT136" s="5">
        <f t="shared" si="57"/>
        <v>7.381300101508495E-2</v>
      </c>
      <c r="BU136" s="2">
        <v>-3.9115081694462983E-9</v>
      </c>
      <c r="BV136" s="2">
        <f t="shared" si="58"/>
        <v>4.0617035583819056E-17</v>
      </c>
      <c r="BW136" s="2">
        <f t="shared" si="59"/>
        <v>-1.0017242233150266E-17</v>
      </c>
      <c r="BX136" s="2">
        <f t="shared" si="60"/>
        <v>5.2079883600120169E-9</v>
      </c>
      <c r="BY136"/>
      <c r="BZ136" s="2">
        <v>30</v>
      </c>
      <c r="CA136" s="2">
        <f t="shared" si="67"/>
        <v>6.5611225915739535E-2</v>
      </c>
      <c r="CB136" s="2">
        <v>-2.8731400245063377E-10</v>
      </c>
      <c r="CC136" s="2">
        <f t="shared" si="68"/>
        <v>6.5611231176392948E-2</v>
      </c>
      <c r="CD136" s="2">
        <v>1.2530747391104047E-8</v>
      </c>
      <c r="CE136" s="5">
        <f t="shared" si="61"/>
        <v>6.5611228546066241E-2</v>
      </c>
      <c r="CF136" s="2">
        <v>6.1217168174920733E-9</v>
      </c>
      <c r="CG136" s="2">
        <f t="shared" si="62"/>
        <v>-1.7588549607030034E-18</v>
      </c>
      <c r="CH136" s="2">
        <f t="shared" si="63"/>
        <v>7.6709687039866568E-17</v>
      </c>
      <c r="CI136" s="2">
        <f t="shared" si="64"/>
        <v>5.2606534128862847E-9</v>
      </c>
    </row>
  </sheetData>
  <mergeCells count="85">
    <mergeCell ref="B1:D1"/>
    <mergeCell ref="B3:D3"/>
    <mergeCell ref="F3:H3"/>
    <mergeCell ref="J3:L3"/>
    <mergeCell ref="B23:D23"/>
    <mergeCell ref="J7:L7"/>
    <mergeCell ref="J11:L11"/>
    <mergeCell ref="B12:D12"/>
    <mergeCell ref="B17:D17"/>
    <mergeCell ref="B51:D51"/>
    <mergeCell ref="J30:L30"/>
    <mergeCell ref="B28:D28"/>
    <mergeCell ref="B34:D34"/>
    <mergeCell ref="J38:L38"/>
    <mergeCell ref="B39:D39"/>
    <mergeCell ref="B45:D45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29" priority="1" operator="containsText" text="FALSE">
      <formula>NOT(ISERROR(SEARCH("FALSE",G12)))</formula>
    </cfRule>
    <cfRule type="containsText" dxfId="28" priority="2" operator="containsText" text="TRUE">
      <formula>NOT(ISERROR(SEARCH("TRUE",G12)))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NOT(ISERROR(SEARCH("YES",G12)))</formula>
    </cfRule>
    <cfRule type="cellIs" dxfId="24" priority="6" operator="equal">
      <formula>"""YES"""</formula>
    </cfRule>
  </conditionalFormatting>
  <conditionalFormatting sqref="K28">
    <cfRule type="containsText" dxfId="23" priority="13" operator="containsText" text="FALSE">
      <formula>NOT(ISERROR(SEARCH("FALSE",K28)))</formula>
    </cfRule>
    <cfRule type="containsText" dxfId="22" priority="14" operator="containsText" text="TRUE">
      <formula>NOT(ISERROR(SEARCH("TRUE",K28)))</formula>
    </cfRule>
    <cfRule type="cellIs" dxfId="21" priority="15" operator="equal">
      <formula>1</formula>
    </cfRule>
    <cfRule type="cellIs" dxfId="20" priority="16" operator="equal">
      <formula>TRUE</formula>
    </cfRule>
    <cfRule type="containsText" dxfId="19" priority="17" operator="containsText" text="YES">
      <formula>NOT(ISERROR(SEARCH("YES",K28)))</formula>
    </cfRule>
    <cfRule type="cellIs" dxfId="18" priority="18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79"/>
  <sheetViews>
    <sheetView zoomScale="88" workbookViewId="0">
      <selection activeCell="G35" sqref="G3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9" t="s">
        <v>0</v>
      </c>
      <c r="C1" s="59"/>
      <c r="D1" s="59"/>
    </row>
    <row r="2" spans="2:41" x14ac:dyDescent="0.2">
      <c r="U2" s="16" t="s">
        <v>96</v>
      </c>
      <c r="AF2" s="48" t="s">
        <v>226</v>
      </c>
    </row>
    <row r="3" spans="2:41" x14ac:dyDescent="0.2">
      <c r="B3" s="53" t="s">
        <v>127</v>
      </c>
      <c r="C3" s="54"/>
      <c r="D3" s="54"/>
      <c r="F3" s="56" t="s">
        <v>83</v>
      </c>
      <c r="G3" s="57"/>
      <c r="H3" s="57"/>
      <c r="J3" s="53" t="s">
        <v>101</v>
      </c>
      <c r="K3" s="53"/>
      <c r="L3" s="53"/>
      <c r="N3" s="53" t="s">
        <v>95</v>
      </c>
      <c r="O3" s="53"/>
      <c r="P3" s="53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MAX(G10,G29)</f>
        <v>405.67558113273873</v>
      </c>
      <c r="L4" s="6" t="s">
        <v>104</v>
      </c>
      <c r="N4" s="6" t="s">
        <v>228</v>
      </c>
      <c r="O4" s="6">
        <f xml:space="preserve"> $C$5 * $C$72</f>
        <v>21002.25254664645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1.4945290488168048</v>
      </c>
      <c r="X4" s="3">
        <v>1</v>
      </c>
      <c r="Y4" s="2">
        <f t="shared" ref="Y4:Y34" si="1" xml:space="preserve"> $O$22 * TAN($O$19/180*PI()) + $O$23 / (2 * SQRT($O$22^2 + X4^2)) - X4</f>
        <v>-1.614678723564178E-2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0.52845936643881974</v>
      </c>
      <c r="AB4" s="2">
        <f>W4*AA4</f>
        <v>0.78979787426214054</v>
      </c>
      <c r="AC4" s="2">
        <f>Y4*AA4</f>
        <v>-8.532920952569677E-3</v>
      </c>
      <c r="AD4" s="2">
        <f>X4-V4</f>
        <v>1</v>
      </c>
      <c r="AF4" s="2">
        <v>0</v>
      </c>
      <c r="AH4" s="2">
        <f>K30</f>
        <v>1.4454144547926262E-9</v>
      </c>
      <c r="AJ4" s="2">
        <f>K30</f>
        <v>1.4454144547926262E-9</v>
      </c>
      <c r="AL4" s="2">
        <f>K30</f>
        <v>1.4454144547926262E-9</v>
      </c>
    </row>
    <row r="5" spans="2:41" x14ac:dyDescent="0.2">
      <c r="B5" s="10" t="s">
        <v>40</v>
      </c>
      <c r="C5" s="10">
        <f>AK44</f>
        <v>2142.9659246909978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50.709447641592341</v>
      </c>
      <c r="L5" s="6" t="s">
        <v>104</v>
      </c>
      <c r="N5" s="6" t="s">
        <v>25</v>
      </c>
      <c r="O5" s="6">
        <f xml:space="preserve"> 0.5 * $C$69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0.52845936643881974</v>
      </c>
      <c r="X5" s="2">
        <f>IF(AC4&gt;0, Z4, X4)</f>
        <v>1</v>
      </c>
      <c r="Y5" s="2">
        <f t="shared" si="1"/>
        <v>-1.614678723564178E-2</v>
      </c>
      <c r="Z5" s="2">
        <f t="shared" ref="Z5:Z34" si="3" xml:space="preserve"> (V5 + X5)/2</f>
        <v>0.75</v>
      </c>
      <c r="AA5" s="2">
        <f t="shared" si="2"/>
        <v>0.24886471017907763</v>
      </c>
      <c r="AB5" s="2">
        <f t="shared" ref="AB5:AB34" si="4">W5*AA5</f>
        <v>0.13151488707021586</v>
      </c>
      <c r="AC5" s="2">
        <f t="shared" ref="AC5:AC34" si="5">Y5*AA5</f>
        <v>-4.0183655257212212E-3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-727.62059870954488</v>
      </c>
      <c r="AI5" s="3">
        <v>5000</v>
      </c>
      <c r="AJ5" s="2">
        <f t="dataTable" ref="AJ5:AJ44" dt2D="0" dtr="0" r1="C5" ca="1"/>
        <v>1327.5365881905363</v>
      </c>
      <c r="AK5" s="2">
        <f>(AG5+AI5)/2</f>
        <v>2750</v>
      </c>
      <c r="AL5" s="2">
        <f t="dataTable" ref="AL5:AL44" dt2D="0" dtr="0" r1="C5" ca="1"/>
        <v>217.4570911392193</v>
      </c>
      <c r="AM5" s="2">
        <f>AH5*AL5</f>
        <v>-158226.2588483548</v>
      </c>
      <c r="AN5" s="2">
        <f>AJ5*AL5</f>
        <v>288682.24484879768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81.90656276067368</v>
      </c>
      <c r="L6" s="6" t="s">
        <v>104</v>
      </c>
      <c r="N6" s="6" t="s">
        <v>119</v>
      </c>
      <c r="O6" s="6">
        <f xml:space="preserve"> ($C$21+$C$27) * 0.4 * ($C$5/($C$21+$C$27) *2.20462/1000)^(2/3) * 0.3048^2</f>
        <v>0.21763901851185649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0.24886471017907763</v>
      </c>
      <c r="X6" s="2">
        <f t="shared" ref="X6:X34" si="8">IF(AC5&gt;0, Z5, X5)</f>
        <v>1</v>
      </c>
      <c r="Y6" s="2">
        <f t="shared" si="1"/>
        <v>-1.614678723564178E-2</v>
      </c>
      <c r="Z6" s="2">
        <f t="shared" si="3"/>
        <v>0.875</v>
      </c>
      <c r="AA6" s="2">
        <f t="shared" si="2"/>
        <v>0.11530093817805498</v>
      </c>
      <c r="AB6" s="2">
        <f t="shared" si="4"/>
        <v>2.8694334563057401E-2</v>
      </c>
      <c r="AC6" s="2">
        <f t="shared" si="5"/>
        <v>-1.8617397168309402E-3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-727.62059870954488</v>
      </c>
      <c r="AI6" s="2">
        <f>IF(AN5&gt;0,AK5,AI5)</f>
        <v>2750</v>
      </c>
      <c r="AJ6" s="2">
        <v>217.4570911392193</v>
      </c>
      <c r="AK6" s="2">
        <f t="shared" ref="AK6:AK44" si="9">(AG6+AI6)/2</f>
        <v>1625</v>
      </c>
      <c r="AL6" s="2">
        <v>-211.44317467483575</v>
      </c>
      <c r="AM6" s="2">
        <f t="shared" ref="AM6:AM44" si="10">AH6*AL6</f>
        <v>153850.40934995087</v>
      </c>
      <c r="AN6" s="2">
        <f t="shared" ref="AN6:AN44" si="11">AJ6*AL6</f>
        <v>-45979.817706031623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$C$66 / $C$21</f>
        <v>2625.532704559269</v>
      </c>
      <c r="H7" s="6" t="s">
        <v>22</v>
      </c>
      <c r="J7" s="6" t="s">
        <v>230</v>
      </c>
      <c r="K7" s="6">
        <f>K6/$C$27</f>
        <v>81.90656276067368</v>
      </c>
      <c r="L7" s="6" t="s">
        <v>104</v>
      </c>
      <c r="N7" s="6" t="s">
        <v>121</v>
      </c>
      <c r="O7" s="6">
        <f xml:space="preserve"> O6 / $C$12</f>
        <v>1.0881950925592824E-2</v>
      </c>
      <c r="U7" s="2">
        <v>3</v>
      </c>
      <c r="V7" s="2">
        <f t="shared" si="7"/>
        <v>0.875</v>
      </c>
      <c r="W7" s="2">
        <f t="shared" si="0"/>
        <v>0.11530093817805498</v>
      </c>
      <c r="X7" s="2">
        <f t="shared" si="8"/>
        <v>1</v>
      </c>
      <c r="Y7" s="2">
        <f t="shared" si="1"/>
        <v>-1.614678723564178E-2</v>
      </c>
      <c r="Z7" s="2">
        <f t="shared" si="3"/>
        <v>0.9375</v>
      </c>
      <c r="AA7" s="2">
        <f t="shared" si="2"/>
        <v>4.9364611779079026E-2</v>
      </c>
      <c r="AB7" s="2">
        <f t="shared" si="4"/>
        <v>5.691786050923275E-3</v>
      </c>
      <c r="AC7" s="2">
        <f t="shared" si="5"/>
        <v>-7.9707988336684508E-4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-211.44317467483575</v>
      </c>
      <c r="AI7" s="2">
        <f t="shared" ref="AI7:AI44" si="14">IF(AN6&gt;0,AK6,AI6)</f>
        <v>2750</v>
      </c>
      <c r="AJ7" s="2">
        <v>217.4570911392193</v>
      </c>
      <c r="AK7" s="2">
        <f t="shared" si="9"/>
        <v>2187.5</v>
      </c>
      <c r="AL7" s="2">
        <v>17.104494767642336</v>
      </c>
      <c r="AM7" s="2">
        <f t="shared" si="10"/>
        <v>-3616.6286748794128</v>
      </c>
      <c r="AN7" s="2">
        <f t="shared" si="11"/>
        <v>3719.4936775774991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50.709447641592341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4.9364611779079026E-2</v>
      </c>
      <c r="X8" s="2">
        <f t="shared" si="8"/>
        <v>1</v>
      </c>
      <c r="Y8" s="2">
        <f t="shared" si="1"/>
        <v>-1.614678723564178E-2</v>
      </c>
      <c r="Z8" s="2">
        <f t="shared" si="3"/>
        <v>0.96875</v>
      </c>
      <c r="AA8" s="2">
        <f t="shared" si="2"/>
        <v>1.6560861154213846E-2</v>
      </c>
      <c r="AB8" s="2">
        <f t="shared" si="4"/>
        <v>8.1752048160499706E-4</v>
      </c>
      <c r="AC8" s="2">
        <f t="shared" si="5"/>
        <v>-2.6740470149609592E-4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-211.44317467483575</v>
      </c>
      <c r="AI8" s="2">
        <f t="shared" si="14"/>
        <v>2187.5</v>
      </c>
      <c r="AJ8" s="2">
        <v>17.104494767642336</v>
      </c>
      <c r="AK8" s="2">
        <f t="shared" si="9"/>
        <v>1906.25</v>
      </c>
      <c r="AL8" s="2">
        <v>-93.836008996921692</v>
      </c>
      <c r="AM8" s="2">
        <f t="shared" si="10"/>
        <v>19840.983641125571</v>
      </c>
      <c r="AN8" s="2">
        <f t="shared" si="11"/>
        <v>-1605.0175249042863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275</v>
      </c>
      <c r="G9" s="6">
        <f xml:space="preserve"> (G7/$C$66*1000) / (G8*1000)</f>
        <v>5.2824622046694261</v>
      </c>
      <c r="H9" s="6" t="s">
        <v>276</v>
      </c>
      <c r="J9" s="53" t="s">
        <v>23</v>
      </c>
      <c r="K9" s="53"/>
      <c r="L9" s="53"/>
      <c r="N9" s="6" t="s">
        <v>122</v>
      </c>
      <c r="O9" s="6">
        <f xml:space="preserve"> $O$8 + O7</f>
        <v>3.4621150925592821E-2</v>
      </c>
      <c r="U9" s="2">
        <v>5</v>
      </c>
      <c r="V9" s="2">
        <f t="shared" si="7"/>
        <v>0.96875</v>
      </c>
      <c r="W9" s="2">
        <f t="shared" si="0"/>
        <v>1.6560861154213846E-2</v>
      </c>
      <c r="X9" s="2">
        <f t="shared" si="8"/>
        <v>1</v>
      </c>
      <c r="Y9" s="2">
        <f t="shared" si="1"/>
        <v>-1.614678723564178E-2</v>
      </c>
      <c r="Z9" s="2">
        <f t="shared" si="3"/>
        <v>0.984375</v>
      </c>
      <c r="AA9" s="2">
        <f t="shared" si="2"/>
        <v>1.9558820066700733E-4</v>
      </c>
      <c r="AB9" s="2">
        <f t="shared" si="4"/>
        <v>3.2391090346488243E-6</v>
      </c>
      <c r="AC9" s="2">
        <f t="shared" si="5"/>
        <v>-3.1581210619721769E-6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-93.836008996921692</v>
      </c>
      <c r="AI9" s="2">
        <f t="shared" si="14"/>
        <v>2187.5</v>
      </c>
      <c r="AJ9" s="2">
        <v>17.104494767642336</v>
      </c>
      <c r="AK9" s="2">
        <f t="shared" si="9"/>
        <v>2046.875</v>
      </c>
      <c r="AL9" s="2">
        <v>-37.504230994391946</v>
      </c>
      <c r="AM9" s="2">
        <f t="shared" si="10"/>
        <v>3519.2473570123921</v>
      </c>
      <c r="AN9" s="2">
        <f t="shared" si="11"/>
        <v>-641.49092280802654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(($C$5*$C$66)/$C$24 * ( ($G$4/2) + SQRT( ($G$4/2)^2 + ($C$5*$C$66) / (2*$C$63*PI()*$C$8^2 * $C$21) ) ) )</f>
        <v>405.67558113273873</v>
      </c>
      <c r="H10" s="43" t="s">
        <v>104</v>
      </c>
      <c r="J10" s="6" t="s">
        <v>99</v>
      </c>
      <c r="K10" s="6">
        <f xml:space="preserve"> $C$18 * (G10*G6 + G20*G13 + G29*G25)/3600</f>
        <v>77.672430926228898</v>
      </c>
      <c r="L10" s="6" t="s">
        <v>105</v>
      </c>
      <c r="N10" s="6" t="s">
        <v>41</v>
      </c>
      <c r="O10" s="6">
        <f xml:space="preserve"> O5 * $C$12 * O9</f>
        <v>872.92428950978024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1.9558820066700733E-4</v>
      </c>
      <c r="X10" s="2">
        <f t="shared" si="8"/>
        <v>1</v>
      </c>
      <c r="Y10" s="2">
        <f t="shared" si="1"/>
        <v>-1.614678723564178E-2</v>
      </c>
      <c r="Z10" s="2">
        <f t="shared" si="3"/>
        <v>0.9921875</v>
      </c>
      <c r="AA10" s="2">
        <f t="shared" si="2"/>
        <v>-7.9783950230044587E-3</v>
      </c>
      <c r="AB10" s="2">
        <f t="shared" si="4"/>
        <v>-1.5604799267600485E-6</v>
      </c>
      <c r="AC10" s="2">
        <f t="shared" si="5"/>
        <v>1.288254469183563E-4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-37.504230994391946</v>
      </c>
      <c r="AI10" s="2">
        <f t="shared" si="14"/>
        <v>2187.5</v>
      </c>
      <c r="AJ10" s="2">
        <v>17.104494767642336</v>
      </c>
      <c r="AK10" s="2">
        <f t="shared" si="9"/>
        <v>2117.1875</v>
      </c>
      <c r="AL10" s="2">
        <v>-9.9814458742187071</v>
      </c>
      <c r="AM10" s="2">
        <f t="shared" si="10"/>
        <v>374.34645172471886</v>
      </c>
      <c r="AN10" s="2">
        <f t="shared" si="11"/>
        <v>-170.72758872907906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1.9558820066700733E-4</v>
      </c>
      <c r="X11" s="2">
        <f t="shared" si="8"/>
        <v>0.9921875</v>
      </c>
      <c r="Y11" s="2">
        <f t="shared" si="1"/>
        <v>-7.9783950230044587E-3</v>
      </c>
      <c r="Z11" s="2">
        <f t="shared" si="3"/>
        <v>0.98828125</v>
      </c>
      <c r="AA11" s="2">
        <f t="shared" si="2"/>
        <v>-3.892110461173548E-3</v>
      </c>
      <c r="AB11" s="2">
        <f t="shared" si="4"/>
        <v>-7.6125088189817037E-7</v>
      </c>
      <c r="AC11" s="2">
        <f t="shared" si="5"/>
        <v>3.1052794732410625E-5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-9.9814458742187071</v>
      </c>
      <c r="AI11" s="2">
        <f t="shared" si="14"/>
        <v>2187.5</v>
      </c>
      <c r="AJ11" s="2">
        <v>17.104494767642336</v>
      </c>
      <c r="AK11" s="2">
        <f t="shared" si="9"/>
        <v>2152.34375</v>
      </c>
      <c r="AL11" s="2">
        <v>3.6164864705240234</v>
      </c>
      <c r="AM11" s="2">
        <f t="shared" si="10"/>
        <v>-36.097763960379787</v>
      </c>
      <c r="AN11" s="2">
        <f t="shared" si="11"/>
        <v>61.858173912327459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6" t="s">
        <v>89</v>
      </c>
      <c r="G12" s="57"/>
      <c r="H12" s="57"/>
      <c r="N12" s="6" t="s">
        <v>235</v>
      </c>
      <c r="O12" s="6">
        <f xml:space="preserve"> O4 / (O5 * $C$12)</f>
        <v>0.83297276056231939</v>
      </c>
      <c r="U12" s="2">
        <v>8</v>
      </c>
      <c r="V12" s="2">
        <f t="shared" si="7"/>
        <v>0.984375</v>
      </c>
      <c r="W12" s="2">
        <f t="shared" si="0"/>
        <v>1.9558820066700733E-4</v>
      </c>
      <c r="X12" s="2">
        <f t="shared" si="8"/>
        <v>0.98828125</v>
      </c>
      <c r="Y12" s="2">
        <f t="shared" si="1"/>
        <v>-3.892110461173548E-3</v>
      </c>
      <c r="Z12" s="2">
        <f t="shared" si="3"/>
        <v>0.986328125</v>
      </c>
      <c r="AA12" s="2">
        <f t="shared" si="2"/>
        <v>-1.8484389283760505E-3</v>
      </c>
      <c r="AB12" s="2">
        <f t="shared" si="4"/>
        <v>-3.6153284404392297E-7</v>
      </c>
      <c r="AC12" s="2">
        <f t="shared" si="5"/>
        <v>7.1943284899728489E-6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-9.9814458742187071</v>
      </c>
      <c r="AI12" s="2">
        <f t="shared" si="14"/>
        <v>2152.34375</v>
      </c>
      <c r="AJ12" s="2">
        <v>3.6164864705240234</v>
      </c>
      <c r="AK12" s="2">
        <f t="shared" si="9"/>
        <v>2134.765625</v>
      </c>
      <c r="AL12" s="2">
        <v>-3.168782629017187</v>
      </c>
      <c r="AM12" s="2">
        <f t="shared" si="10"/>
        <v>31.62903229869951</v>
      </c>
      <c r="AN12" s="2">
        <f t="shared" si="11"/>
        <v>-11.459859505872203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6.0689720067823812E-2</v>
      </c>
      <c r="U13" s="2">
        <v>9</v>
      </c>
      <c r="V13" s="2">
        <f t="shared" si="7"/>
        <v>0.984375</v>
      </c>
      <c r="W13" s="2">
        <f t="shared" si="0"/>
        <v>1.9558820066700733E-4</v>
      </c>
      <c r="X13" s="2">
        <f t="shared" si="8"/>
        <v>0.986328125</v>
      </c>
      <c r="Y13" s="2">
        <f t="shared" si="1"/>
        <v>-1.8484389283760505E-3</v>
      </c>
      <c r="Z13" s="2">
        <f t="shared" si="3"/>
        <v>0.9853515625</v>
      </c>
      <c r="AA13" s="2">
        <f t="shared" si="2"/>
        <v>-8.2646994372037597E-4</v>
      </c>
      <c r="AB13" s="2">
        <f t="shared" si="4"/>
        <v>-1.6164776919763116E-7</v>
      </c>
      <c r="AC13" s="2">
        <f t="shared" si="5"/>
        <v>1.5276792171055065E-6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-3.168782629017187</v>
      </c>
      <c r="AI13" s="2">
        <f t="shared" si="14"/>
        <v>2152.34375</v>
      </c>
      <c r="AJ13" s="2">
        <v>3.6164864705240234</v>
      </c>
      <c r="AK13" s="2">
        <f t="shared" si="9"/>
        <v>2143.5546875</v>
      </c>
      <c r="AL13" s="2">
        <v>0.22728177225121726</v>
      </c>
      <c r="AM13" s="2">
        <f t="shared" si="10"/>
        <v>-0.72020653180189775</v>
      </c>
      <c r="AN13" s="2">
        <f t="shared" si="11"/>
        <v>0.82196145434324963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2142.9659246909978</v>
      </c>
      <c r="L14" s="6" t="s">
        <v>7</v>
      </c>
      <c r="N14" s="6" t="s">
        <v>42</v>
      </c>
      <c r="O14" s="6">
        <f xml:space="preserve"> O5 * O13 * $C$12</f>
        <v>1530.2070946344606</v>
      </c>
      <c r="P14" s="6" t="s">
        <v>22</v>
      </c>
      <c r="U14" s="2">
        <v>10</v>
      </c>
      <c r="V14" s="2">
        <f t="shared" si="7"/>
        <v>0.984375</v>
      </c>
      <c r="W14" s="2">
        <f t="shared" si="0"/>
        <v>1.9558820066700733E-4</v>
      </c>
      <c r="X14" s="2">
        <f t="shared" si="8"/>
        <v>0.9853515625</v>
      </c>
      <c r="Y14" s="2">
        <f t="shared" si="1"/>
        <v>-8.2646994372037597E-4</v>
      </c>
      <c r="Z14" s="2">
        <f t="shared" si="3"/>
        <v>0.98486328125</v>
      </c>
      <c r="AA14" s="2">
        <f t="shared" si="2"/>
        <v>-3.1545203284066847E-4</v>
      </c>
      <c r="AB14" s="2">
        <f t="shared" si="4"/>
        <v>-6.1698695500056046E-8</v>
      </c>
      <c r="AC14" s="2">
        <f t="shared" si="5"/>
        <v>2.6071162382830544E-7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-3.168782629017187</v>
      </c>
      <c r="AI14" s="2">
        <f t="shared" si="14"/>
        <v>2143.5546875</v>
      </c>
      <c r="AJ14" s="2">
        <v>0.22728177225121726</v>
      </c>
      <c r="AK14" s="2">
        <f t="shared" si="9"/>
        <v>2139.16015625</v>
      </c>
      <c r="AL14" s="2">
        <v>-1.4698938660033036</v>
      </c>
      <c r="AM14" s="2">
        <f t="shared" si="10"/>
        <v>4.6577741490901854</v>
      </c>
      <c r="AN14" s="2">
        <f t="shared" si="11"/>
        <v>-0.3340800828864241</v>
      </c>
      <c r="AO14" s="2">
        <f t="shared" si="12"/>
        <v>8.7890625</v>
      </c>
    </row>
    <row r="15" spans="2:41" x14ac:dyDescent="0.2">
      <c r="B15" s="53" t="s">
        <v>12</v>
      </c>
      <c r="C15" s="53"/>
      <c r="D15" s="53"/>
      <c r="F15" s="6" t="s">
        <v>240</v>
      </c>
      <c r="G15" s="6">
        <f>G14/$C$71</f>
        <v>0.15954004668299768</v>
      </c>
      <c r="H15" s="6" t="s">
        <v>131</v>
      </c>
      <c r="J15" s="11" t="s">
        <v>55</v>
      </c>
      <c r="K15" s="6">
        <f xml:space="preserve"> 1000 * K10 / ($C$58 * $C$59 * $C$60)</f>
        <v>456.89665250722885</v>
      </c>
      <c r="L15" s="6" t="s">
        <v>7</v>
      </c>
      <c r="N15" s="6" t="s">
        <v>237</v>
      </c>
      <c r="O15" s="6">
        <f>O4/O14</f>
        <v>13.725104673928803</v>
      </c>
      <c r="U15" s="2">
        <v>11</v>
      </c>
      <c r="V15" s="2">
        <f t="shared" si="7"/>
        <v>0.984375</v>
      </c>
      <c r="W15" s="2">
        <f t="shared" si="0"/>
        <v>1.9558820066700733E-4</v>
      </c>
      <c r="X15" s="2">
        <f t="shared" si="8"/>
        <v>0.98486328125</v>
      </c>
      <c r="Y15" s="2">
        <f t="shared" si="1"/>
        <v>-3.1545203284066847E-4</v>
      </c>
      <c r="Z15" s="2">
        <f t="shared" si="3"/>
        <v>0.984619140625</v>
      </c>
      <c r="AA15" s="2">
        <f t="shared" si="2"/>
        <v>-5.9934708462217046E-5</v>
      </c>
      <c r="AB15" s="2">
        <f t="shared" si="4"/>
        <v>-1.172252178562669E-8</v>
      </c>
      <c r="AC15" s="2">
        <f t="shared" si="5"/>
        <v>1.8906525622119183E-8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-1.4698938660033036</v>
      </c>
      <c r="AI15" s="2">
        <f t="shared" si="14"/>
        <v>2143.5546875</v>
      </c>
      <c r="AJ15" s="2">
        <v>0.22728177225121726</v>
      </c>
      <c r="AK15" s="2">
        <f t="shared" si="9"/>
        <v>2141.357421875</v>
      </c>
      <c r="AL15" s="2">
        <v>-0.62109173692306285</v>
      </c>
      <c r="AM15" s="2">
        <f t="shared" si="10"/>
        <v>0.91293893432854767</v>
      </c>
      <c r="AN15" s="2">
        <f t="shared" si="11"/>
        <v>-0.14116283069846053</v>
      </c>
      <c r="AO15" s="2">
        <f t="shared" si="12"/>
        <v>4.39453125</v>
      </c>
    </row>
    <row r="16" spans="2:41" x14ac:dyDescent="0.2">
      <c r="B16" s="6" t="s">
        <v>71</v>
      </c>
      <c r="C16" s="6">
        <f>C33*100</f>
        <v>600</v>
      </c>
      <c r="D16" s="6" t="s">
        <v>7</v>
      </c>
      <c r="F16" s="9" t="s">
        <v>21</v>
      </c>
      <c r="G16" s="6">
        <f>O20</f>
        <v>1530.2070946344606</v>
      </c>
      <c r="H16" s="6" t="s">
        <v>22</v>
      </c>
      <c r="J16" s="12" t="s">
        <v>135</v>
      </c>
      <c r="K16" s="6">
        <f xml:space="preserve"> $C$76 * ( $C$21 * (0.0095 * MAX(G7,G26) - 1.9275) +  $C$27 * (0.0095 * MAX(O20) - 1.9275) )</f>
        <v>157.38396235642549</v>
      </c>
      <c r="L16" s="6" t="s">
        <v>7</v>
      </c>
      <c r="N16" s="6" t="s">
        <v>118</v>
      </c>
      <c r="O16" s="6">
        <f>(O13*$C$12)/(0.3048^2)/($C$5*2.20462/1000)^(2/3)</f>
        <v>4.6403335505485783</v>
      </c>
      <c r="U16" s="2">
        <v>12</v>
      </c>
      <c r="V16" s="2">
        <f t="shared" si="7"/>
        <v>0.984375</v>
      </c>
      <c r="W16" s="2">
        <f t="shared" si="0"/>
        <v>1.9558820066700733E-4</v>
      </c>
      <c r="X16" s="2">
        <f t="shared" si="8"/>
        <v>0.984619140625</v>
      </c>
      <c r="Y16" s="2">
        <f t="shared" si="1"/>
        <v>-5.9934708462217046E-5</v>
      </c>
      <c r="Z16" s="2">
        <f t="shared" si="3"/>
        <v>0.9844970703125</v>
      </c>
      <c r="AA16" s="2">
        <f t="shared" si="2"/>
        <v>6.7826047752461704E-5</v>
      </c>
      <c r="AB16" s="2">
        <f t="shared" si="4"/>
        <v>1.3265974638258501E-8</v>
      </c>
      <c r="AC16" s="2">
        <f t="shared" si="5"/>
        <v>-4.0651343981882041E-9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-0.62109173692306285</v>
      </c>
      <c r="AI16" s="2">
        <f t="shared" si="14"/>
        <v>2143.5546875</v>
      </c>
      <c r="AJ16" s="2">
        <v>0.22728177225121726</v>
      </c>
      <c r="AK16" s="2">
        <f t="shared" si="9"/>
        <v>2142.4560546875</v>
      </c>
      <c r="AL16" s="2">
        <v>-0.19685160033964166</v>
      </c>
      <c r="AM16" s="2">
        <f t="shared" si="10"/>
        <v>0.12226290237103263</v>
      </c>
      <c r="AN16" s="2">
        <f t="shared" si="11"/>
        <v>-4.4740780595682081E-2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81.90656276067368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0.9844970703125</v>
      </c>
      <c r="W17" s="2">
        <f t="shared" si="0"/>
        <v>6.7826047752461704E-5</v>
      </c>
      <c r="X17" s="2">
        <f t="shared" si="8"/>
        <v>0.984619140625</v>
      </c>
      <c r="Y17" s="2">
        <f t="shared" si="1"/>
        <v>-5.9934708462217046E-5</v>
      </c>
      <c r="Z17" s="2">
        <f t="shared" si="3"/>
        <v>0.98455810546875</v>
      </c>
      <c r="AA17" s="2">
        <f t="shared" si="2"/>
        <v>3.9454950896411489E-6</v>
      </c>
      <c r="AB17" s="2">
        <f t="shared" si="4"/>
        <v>2.6760733835710371E-10</v>
      </c>
      <c r="AC17" s="2">
        <f t="shared" si="5"/>
        <v>-2.3647209793675115E-10</v>
      </c>
      <c r="AD17" s="2">
        <f t="shared" si="6"/>
        <v>1.220703125E-4</v>
      </c>
      <c r="AF17" s="2">
        <v>13</v>
      </c>
      <c r="AG17" s="2">
        <f t="shared" si="13"/>
        <v>2142.4560546875</v>
      </c>
      <c r="AH17" s="2">
        <v>-0.19685160033964166</v>
      </c>
      <c r="AI17" s="2">
        <f t="shared" si="14"/>
        <v>2143.5546875</v>
      </c>
      <c r="AJ17" s="2">
        <v>0.22728177225121726</v>
      </c>
      <c r="AK17" s="2">
        <f t="shared" si="9"/>
        <v>2143.00537109375</v>
      </c>
      <c r="AL17" s="2">
        <v>1.5228597906116192E-2</v>
      </c>
      <c r="AM17" s="2">
        <f t="shared" si="10"/>
        <v>-2.9977738687478887E-3</v>
      </c>
      <c r="AN17" s="2">
        <f t="shared" si="11"/>
        <v>3.4611827210032646E-3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275</v>
      </c>
      <c r="G18" s="6">
        <f xml:space="preserve"> (G16/$C$72*1000) / (G17*1000)</f>
        <v>1.906254575584708</v>
      </c>
      <c r="H18" s="6" t="s">
        <v>276</v>
      </c>
      <c r="J18" s="13" t="s">
        <v>56</v>
      </c>
      <c r="K18" s="6">
        <f xml:space="preserve"> $C$76 * (0.2138 * K4 + 0.2138 * K6)</f>
        <v>83.396049891529245</v>
      </c>
      <c r="L18" s="6" t="s">
        <v>7</v>
      </c>
      <c r="N18" s="56" t="s">
        <v>238</v>
      </c>
      <c r="O18" s="58"/>
      <c r="P18" s="58"/>
      <c r="U18" s="2">
        <v>14</v>
      </c>
      <c r="V18" s="2">
        <f t="shared" si="7"/>
        <v>0.98455810546875</v>
      </c>
      <c r="W18" s="2">
        <f t="shared" si="0"/>
        <v>3.9454950896411489E-6</v>
      </c>
      <c r="X18" s="2">
        <f t="shared" si="8"/>
        <v>0.984619140625</v>
      </c>
      <c r="Y18" s="2">
        <f t="shared" si="1"/>
        <v>-5.9934708462217046E-5</v>
      </c>
      <c r="Z18" s="2">
        <f t="shared" si="3"/>
        <v>0.984588623046875</v>
      </c>
      <c r="AA18" s="2">
        <f t="shared" si="2"/>
        <v>-2.7994650321105929E-5</v>
      </c>
      <c r="AB18" s="2">
        <f t="shared" si="4"/>
        <v>-1.1045275537814445E-10</v>
      </c>
      <c r="AC18" s="2">
        <f t="shared" si="5"/>
        <v>1.6778512054971947E-9</v>
      </c>
      <c r="AD18" s="2">
        <f t="shared" si="6"/>
        <v>6.103515625E-5</v>
      </c>
      <c r="AF18" s="2">
        <v>14</v>
      </c>
      <c r="AG18" s="2">
        <f t="shared" si="13"/>
        <v>2142.4560546875</v>
      </c>
      <c r="AH18" s="2">
        <v>-0.19685160033964166</v>
      </c>
      <c r="AI18" s="2">
        <f t="shared" si="14"/>
        <v>2143.00537109375</v>
      </c>
      <c r="AJ18" s="2">
        <v>1.5228597906116192E-2</v>
      </c>
      <c r="AK18" s="2">
        <f t="shared" si="9"/>
        <v>2142.730712890625</v>
      </c>
      <c r="AL18" s="2">
        <v>-9.080824724469494E-2</v>
      </c>
      <c r="AM18" s="2">
        <f t="shared" si="10"/>
        <v>1.7875748794156054E-2</v>
      </c>
      <c r="AN18" s="2">
        <f t="shared" si="11"/>
        <v>-1.3828822838486429E-3</v>
      </c>
      <c r="AO18" s="2">
        <f t="shared" si="12"/>
        <v>0.54931640625</v>
      </c>
    </row>
    <row r="19" spans="2:41" x14ac:dyDescent="0.2">
      <c r="F19" s="9" t="s">
        <v>277</v>
      </c>
      <c r="G19" s="6">
        <f>O23 / ($C$27*$C$11/PI())</f>
        <v>0.64461941975678272</v>
      </c>
      <c r="J19" s="13" t="s">
        <v>80</v>
      </c>
      <c r="K19" s="6">
        <f xml:space="preserve"> $C$76 * (0.1149 * K4 + 0.1149 * K6)</f>
        <v>44.818550666682476</v>
      </c>
      <c r="L19" s="6" t="s">
        <v>7</v>
      </c>
      <c r="N19" s="6" t="s">
        <v>28</v>
      </c>
      <c r="O19" s="6">
        <f xml:space="preserve"> 90 - $C$79</f>
        <v>85</v>
      </c>
      <c r="P19" s="6" t="s">
        <v>43</v>
      </c>
      <c r="U19" s="2">
        <v>15</v>
      </c>
      <c r="V19" s="2">
        <f t="shared" si="7"/>
        <v>0.98455810546875</v>
      </c>
      <c r="W19" s="2">
        <f t="shared" si="0"/>
        <v>3.9454950896411489E-6</v>
      </c>
      <c r="X19" s="2">
        <f t="shared" si="8"/>
        <v>0.984588623046875</v>
      </c>
      <c r="Y19" s="2">
        <f t="shared" si="1"/>
        <v>-2.7994650321105929E-5</v>
      </c>
      <c r="Z19" s="2">
        <f t="shared" si="3"/>
        <v>0.9845733642578125</v>
      </c>
      <c r="AA19" s="2">
        <f t="shared" si="2"/>
        <v>-1.2024588524894853E-5</v>
      </c>
      <c r="AB19" s="2">
        <f t="shared" si="4"/>
        <v>-4.7442954979927945E-11</v>
      </c>
      <c r="AC19" s="2">
        <f t="shared" si="5"/>
        <v>3.3662415100961437E-10</v>
      </c>
      <c r="AD19" s="2">
        <f t="shared" si="6"/>
        <v>3.0517578125E-5</v>
      </c>
      <c r="AF19" s="2">
        <v>15</v>
      </c>
      <c r="AG19" s="2">
        <f t="shared" si="13"/>
        <v>2142.730712890625</v>
      </c>
      <c r="AH19" s="2">
        <v>-9.080824724469494E-2</v>
      </c>
      <c r="AI19" s="2">
        <f t="shared" si="14"/>
        <v>2143.00537109375</v>
      </c>
      <c r="AJ19" s="2">
        <v>1.5228597906116192E-2</v>
      </c>
      <c r="AK19" s="2">
        <f t="shared" si="9"/>
        <v>2142.8680419921875</v>
      </c>
      <c r="AL19" s="2">
        <v>-3.7789011159929942E-2</v>
      </c>
      <c r="AM19" s="2">
        <f t="shared" si="10"/>
        <v>3.4315538685434546E-3</v>
      </c>
      <c r="AN19" s="2">
        <f t="shared" si="11"/>
        <v>-5.7547365622431053E-4</v>
      </c>
      <c r="AO19" s="2">
        <f t="shared" si="12"/>
        <v>0.274658203125</v>
      </c>
    </row>
    <row r="20" spans="2:41" x14ac:dyDescent="0.2">
      <c r="B20" s="53" t="s">
        <v>115</v>
      </c>
      <c r="C20" s="53"/>
      <c r="D20" s="53"/>
      <c r="F20" s="44" t="s">
        <v>225</v>
      </c>
      <c r="G20" s="43">
        <f xml:space="preserve"> $C$27 * G17</f>
        <v>81.90656276067368</v>
      </c>
      <c r="H20" s="43" t="s">
        <v>104</v>
      </c>
      <c r="J20" s="14" t="s">
        <v>63</v>
      </c>
      <c r="K20" s="6">
        <f xml:space="preserve"> $C$77 * (14.86 * ($C$5*2.20462)^0.144 * ($C$34/(PI()*$C$35))^0.778 * ($C$34*3.28084)^0.383 * $C$33^0.455 * 0.453592)</f>
        <v>214.09756543035465</v>
      </c>
      <c r="L20" s="6" t="s">
        <v>7</v>
      </c>
      <c r="N20" s="6" t="s">
        <v>21</v>
      </c>
      <c r="O20" s="6">
        <f xml:space="preserve"> O14 / $C$27</f>
        <v>1530.2070946344606</v>
      </c>
      <c r="P20" s="6" t="s">
        <v>22</v>
      </c>
      <c r="U20" s="2">
        <v>16</v>
      </c>
      <c r="V20" s="2">
        <f t="shared" si="7"/>
        <v>0.98455810546875</v>
      </c>
      <c r="W20" s="2">
        <f t="shared" si="0"/>
        <v>3.9454950896411489E-6</v>
      </c>
      <c r="X20" s="2">
        <f t="shared" si="8"/>
        <v>0.9845733642578125</v>
      </c>
      <c r="Y20" s="2">
        <f t="shared" si="1"/>
        <v>-1.2024588524894853E-5</v>
      </c>
      <c r="Z20" s="2">
        <f t="shared" si="3"/>
        <v>0.98456573486328125</v>
      </c>
      <c r="AA20" s="2">
        <f t="shared" si="2"/>
        <v>-4.0395494449452229E-6</v>
      </c>
      <c r="AB20" s="2">
        <f t="shared" si="4"/>
        <v>-1.5938022499394007E-11</v>
      </c>
      <c r="AC20" s="2">
        <f t="shared" si="5"/>
        <v>4.8573919901433696E-11</v>
      </c>
      <c r="AD20" s="2">
        <f t="shared" si="6"/>
        <v>1.52587890625E-5</v>
      </c>
      <c r="AF20" s="2">
        <v>16</v>
      </c>
      <c r="AG20" s="2">
        <f t="shared" si="13"/>
        <v>2142.8680419921875</v>
      </c>
      <c r="AH20" s="2">
        <v>-3.7789011159929942E-2</v>
      </c>
      <c r="AI20" s="2">
        <f t="shared" si="14"/>
        <v>2143.00537109375</v>
      </c>
      <c r="AJ20" s="2">
        <v>1.5228597906116192E-2</v>
      </c>
      <c r="AK20" s="2">
        <f t="shared" si="9"/>
        <v>2142.9367065429688</v>
      </c>
      <c r="AL20" s="2">
        <v>-1.1280168376060828E-2</v>
      </c>
      <c r="AM20" s="2">
        <f t="shared" si="10"/>
        <v>4.2626640864885143E-4</v>
      </c>
      <c r="AN20" s="2">
        <f t="shared" si="11"/>
        <v>-1.7178114851231803E-4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$C$77 * C39 * $C$5</f>
        <v>55.717114041965949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0.98455810546875</v>
      </c>
      <c r="W21" s="2">
        <f t="shared" si="0"/>
        <v>3.9454950896411489E-6</v>
      </c>
      <c r="X21" s="2">
        <f t="shared" si="8"/>
        <v>0.98456573486328125</v>
      </c>
      <c r="Y21" s="2">
        <f t="shared" si="1"/>
        <v>-4.0395494449452229E-6</v>
      </c>
      <c r="Z21" s="2">
        <f t="shared" si="3"/>
        <v>0.98456192016601562</v>
      </c>
      <c r="AA21" s="2">
        <f t="shared" si="2"/>
        <v>-4.7027859495507585E-8</v>
      </c>
      <c r="AB21" s="2">
        <f t="shared" si="4"/>
        <v>-1.8554818871585906E-13</v>
      </c>
      <c r="AC21" s="2">
        <f t="shared" si="5"/>
        <v>1.899713637220396E-13</v>
      </c>
      <c r="AD21" s="2">
        <f t="shared" si="6"/>
        <v>7.62939453125E-6</v>
      </c>
      <c r="AF21" s="2">
        <v>17</v>
      </c>
      <c r="AG21" s="2">
        <f t="shared" si="13"/>
        <v>2142.9367065429688</v>
      </c>
      <c r="AH21" s="2">
        <v>-1.1280168376060828E-2</v>
      </c>
      <c r="AI21" s="2">
        <f t="shared" si="14"/>
        <v>2143.00537109375</v>
      </c>
      <c r="AJ21" s="2">
        <v>1.5228597906116192E-2</v>
      </c>
      <c r="AK21" s="2">
        <f t="shared" si="9"/>
        <v>2142.9710388183594</v>
      </c>
      <c r="AL21" s="2">
        <v>1.9742656081689347E-3</v>
      </c>
      <c r="AM21" s="2">
        <f t="shared" si="10"/>
        <v>-2.2270048479211715E-5</v>
      </c>
      <c r="AN21" s="2">
        <f t="shared" si="11"/>
        <v>3.006529710667865E-5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3" t="s">
        <v>84</v>
      </c>
      <c r="G22" s="53"/>
      <c r="H22" s="53"/>
      <c r="J22" s="14" t="s">
        <v>241</v>
      </c>
      <c r="K22" s="6">
        <f xml:space="preserve"> $C$77 * (0.04674 * ($C$5*2.20462)^0.397 * ($C$12*3.28084^2)^0.36 * $C$44^0.397 * $C$13^1.712 * 0.453592)</f>
        <v>367.29592017112236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0.98455810546875</v>
      </c>
      <c r="W22" s="2">
        <f t="shared" si="0"/>
        <v>3.9454950896411489E-6</v>
      </c>
      <c r="X22" s="2">
        <f t="shared" si="8"/>
        <v>0.98456192016601562</v>
      </c>
      <c r="Y22" s="2">
        <f t="shared" si="1"/>
        <v>-4.7027859495507585E-8</v>
      </c>
      <c r="Z22" s="2">
        <f t="shared" si="3"/>
        <v>0.98456001281738281</v>
      </c>
      <c r="AA22" s="2">
        <f t="shared" si="2"/>
        <v>1.9492334446535864E-6</v>
      </c>
      <c r="AB22" s="2">
        <f t="shared" si="4"/>
        <v>7.6906909844450281E-12</v>
      </c>
      <c r="AC22" s="2">
        <f t="shared" si="5"/>
        <v>-9.1668276559113115E-14</v>
      </c>
      <c r="AD22" s="2">
        <f t="shared" si="6"/>
        <v>3.814697265625E-6</v>
      </c>
      <c r="AF22" s="2">
        <v>18</v>
      </c>
      <c r="AG22" s="2">
        <f t="shared" si="13"/>
        <v>2142.9367065429688</v>
      </c>
      <c r="AH22" s="2">
        <v>-1.1280168376060828E-2</v>
      </c>
      <c r="AI22" s="2">
        <f t="shared" si="14"/>
        <v>2142.9710388183594</v>
      </c>
      <c r="AJ22" s="2">
        <v>1.9742656081689347E-3</v>
      </c>
      <c r="AK22" s="2">
        <f t="shared" si="9"/>
        <v>2142.9538726806641</v>
      </c>
      <c r="AL22" s="2">
        <v>-4.6527735430572648E-3</v>
      </c>
      <c r="AM22" s="2">
        <f t="shared" si="10"/>
        <v>5.2484068981367054E-5</v>
      </c>
      <c r="AN22" s="2">
        <f t="shared" si="11"/>
        <v>-9.1858107886562802E-6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$C$77 * (3.184 * ($C$5*2.20462)^0.887 * ($C$48*3.28084*3.28084)^0.101 * ($C$47)^0.138 ) / ( 174.04 * ($C$49*3.28084)^0.223 ) * 0.453592</f>
        <v>24.250678834257201</v>
      </c>
      <c r="L23" s="6" t="s">
        <v>7</v>
      </c>
      <c r="N23" s="6" t="s">
        <v>32</v>
      </c>
      <c r="O23" s="6">
        <f xml:space="preserve"> O20 / ( $C$69 * PI() * $C$10^2 * O21^2 * $C$10^2)</f>
        <v>9.1319246126622733E-2</v>
      </c>
      <c r="U23" s="2">
        <v>19</v>
      </c>
      <c r="V23" s="2">
        <f t="shared" si="7"/>
        <v>0.98456001281738281</v>
      </c>
      <c r="W23" s="2">
        <f t="shared" si="0"/>
        <v>1.9492334446535864E-6</v>
      </c>
      <c r="X23" s="2">
        <f t="shared" si="8"/>
        <v>0.98456192016601562</v>
      </c>
      <c r="Y23" s="2">
        <f t="shared" si="1"/>
        <v>-4.7027859495507585E-8</v>
      </c>
      <c r="Z23" s="2">
        <f t="shared" si="3"/>
        <v>0.98456096649169922</v>
      </c>
      <c r="AA23" s="2">
        <f t="shared" si="2"/>
        <v>9.5110274989096411E-7</v>
      </c>
      <c r="AB23" s="2">
        <f t="shared" si="4"/>
        <v>1.8539212893894625E-12</v>
      </c>
      <c r="AC23" s="2">
        <f t="shared" si="5"/>
        <v>-4.4728326487663153E-14</v>
      </c>
      <c r="AD23" s="2">
        <f t="shared" si="6"/>
        <v>1.9073486328125E-6</v>
      </c>
      <c r="AF23" s="2">
        <v>19</v>
      </c>
      <c r="AG23" s="2">
        <f t="shared" si="13"/>
        <v>2142.9538726806641</v>
      </c>
      <c r="AH23" s="2">
        <v>-4.6527735430572648E-3</v>
      </c>
      <c r="AI23" s="2">
        <f t="shared" si="14"/>
        <v>2142.9710388183594</v>
      </c>
      <c r="AJ23" s="2">
        <v>1.9742656081689347E-3</v>
      </c>
      <c r="AK23" s="2">
        <f t="shared" si="9"/>
        <v>2142.9624557495117</v>
      </c>
      <c r="AL23" s="2">
        <v>-1.3392507892149297E-3</v>
      </c>
      <c r="AM23" s="2">
        <f t="shared" si="10"/>
        <v>6.2312306395777862E-6</v>
      </c>
      <c r="AN23" s="2">
        <f t="shared" si="11"/>
        <v>-2.644036773860139E-6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$C$77 * ( 1.68 * ($C$5*2.20462)^0.567 * ($C$53*3.28084*3.28084)^1.249 * ($C$52)^0.482 ) / (639.95 * ($C$54*3.28084)^0.747 * (COS($C$55/180*PI()))^0.882 ) * 0.453592</f>
        <v>8.53573653817344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0.98456096649169922</v>
      </c>
      <c r="W24" s="2">
        <f t="shared" si="0"/>
        <v>9.5110274989096411E-7</v>
      </c>
      <c r="X24" s="2">
        <f t="shared" si="8"/>
        <v>0.98456192016601562</v>
      </c>
      <c r="Y24" s="2">
        <f t="shared" si="1"/>
        <v>-4.7027859495507585E-8</v>
      </c>
      <c r="Z24" s="2">
        <f t="shared" si="3"/>
        <v>0.98456144332885742</v>
      </c>
      <c r="AA24" s="2">
        <f t="shared" si="2"/>
        <v>4.5203743459509838E-7</v>
      </c>
      <c r="AB24" s="2">
        <f t="shared" si="4"/>
        <v>4.2993404709705491E-13</v>
      </c>
      <c r="AC24" s="2">
        <f t="shared" si="5"/>
        <v>-2.1258352960847987E-14</v>
      </c>
      <c r="AD24" s="2">
        <f t="shared" si="6"/>
        <v>9.5367431640625E-7</v>
      </c>
      <c r="AF24" s="2">
        <v>20</v>
      </c>
      <c r="AG24" s="2">
        <f t="shared" si="13"/>
        <v>2142.9624557495117</v>
      </c>
      <c r="AH24" s="2">
        <v>-1.3392507892149297E-3</v>
      </c>
      <c r="AI24" s="2">
        <f t="shared" si="14"/>
        <v>2142.9710388183594</v>
      </c>
      <c r="AJ24" s="2">
        <v>1.9742656081689347E-3</v>
      </c>
      <c r="AK24" s="2">
        <f t="shared" si="9"/>
        <v>2142.9667472839355</v>
      </c>
      <c r="AL24" s="2">
        <v>3.1750820426168502E-4</v>
      </c>
      <c r="AM24" s="2">
        <f t="shared" si="10"/>
        <v>-4.2522311313967675E-7</v>
      </c>
      <c r="AN24" s="2">
        <f t="shared" si="11"/>
        <v>6.2684552798532193E-7</v>
      </c>
      <c r="AO24" s="2">
        <f t="shared" si="12"/>
        <v>8.58306884765625E-3</v>
      </c>
    </row>
    <row r="25" spans="2:41" x14ac:dyDescent="0.2"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$C$77*(0.14*$G$10*1000/745.7)*0.453592</f>
        <v>27.637460370232073</v>
      </c>
      <c r="L25" s="6" t="s">
        <v>7</v>
      </c>
      <c r="N25" s="6" t="s">
        <v>33</v>
      </c>
      <c r="O25" s="6">
        <f xml:space="preserve"> ($C$29 * $O$24 / 8) * (1 + 4.65 * O22^2) * ( PI() * $C$69 * O21^3 * $C$10^5)</f>
        <v>867.46185459393394</v>
      </c>
      <c r="P25" s="6" t="s">
        <v>20</v>
      </c>
      <c r="U25" s="2">
        <v>21</v>
      </c>
      <c r="V25" s="2">
        <f t="shared" si="7"/>
        <v>0.98456144332885742</v>
      </c>
      <c r="W25" s="2">
        <f t="shared" si="0"/>
        <v>4.5203743459509838E-7</v>
      </c>
      <c r="X25" s="2">
        <f t="shared" si="8"/>
        <v>0.98456192016601562</v>
      </c>
      <c r="Y25" s="2">
        <f t="shared" si="1"/>
        <v>-4.7027859495507585E-8</v>
      </c>
      <c r="Z25" s="2">
        <f t="shared" si="3"/>
        <v>0.98456168174743652</v>
      </c>
      <c r="AA25" s="2">
        <f t="shared" si="2"/>
        <v>2.0250478482974898E-7</v>
      </c>
      <c r="AB25" s="2">
        <f t="shared" si="4"/>
        <v>9.1539743427672126E-14</v>
      </c>
      <c r="AC25" s="2">
        <f t="shared" si="5"/>
        <v>-9.5233665681414309E-15</v>
      </c>
      <c r="AD25" s="2">
        <f t="shared" si="6"/>
        <v>4.76837158203125E-7</v>
      </c>
      <c r="AF25" s="2">
        <v>21</v>
      </c>
      <c r="AG25" s="2">
        <f t="shared" si="13"/>
        <v>2142.9624557495117</v>
      </c>
      <c r="AH25" s="2">
        <v>-1.3392507892149297E-3</v>
      </c>
      <c r="AI25" s="2">
        <f t="shared" si="14"/>
        <v>2142.9667472839355</v>
      </c>
      <c r="AJ25" s="2">
        <v>3.1750820426168502E-4</v>
      </c>
      <c r="AK25" s="2">
        <f t="shared" si="9"/>
        <v>2142.9646015167236</v>
      </c>
      <c r="AL25" s="2">
        <v>-5.1103622445225483E-4</v>
      </c>
      <c r="AM25" s="2">
        <f t="shared" si="10"/>
        <v>6.8440566691510028E-7</v>
      </c>
      <c r="AN25" s="2">
        <f t="shared" si="11"/>
        <v>-1.6225819393850685E-7</v>
      </c>
      <c r="AO25" s="2">
        <f t="shared" si="12"/>
        <v>4.291534423828125E-3</v>
      </c>
    </row>
    <row r="26" spans="2:41" x14ac:dyDescent="0.2">
      <c r="B26" s="53" t="s">
        <v>243</v>
      </c>
      <c r="C26" s="53"/>
      <c r="D26" s="53"/>
      <c r="F26" s="6" t="s">
        <v>21</v>
      </c>
      <c r="G26" s="6">
        <f xml:space="preserve"> $C$5 * $C$66 / $C$21</f>
        <v>2625.532704559269</v>
      </c>
      <c r="H26" s="6" t="s">
        <v>22</v>
      </c>
      <c r="J26" s="15" t="s">
        <v>67</v>
      </c>
      <c r="K26" s="6">
        <f xml:space="preserve"> $C$78 * (0.0268 * $C$5)</f>
        <v>45.945189425374991</v>
      </c>
      <c r="L26" s="6" t="s">
        <v>7</v>
      </c>
      <c r="N26" s="6" t="s">
        <v>34</v>
      </c>
      <c r="O26" s="18">
        <f>Z34</f>
        <v>0.98456187499687076</v>
      </c>
      <c r="U26" s="2">
        <v>22</v>
      </c>
      <c r="V26" s="2">
        <f t="shared" si="7"/>
        <v>0.98456168174743652</v>
      </c>
      <c r="W26" s="2">
        <f t="shared" si="0"/>
        <v>2.0250478482974898E-7</v>
      </c>
      <c r="X26" s="2">
        <f t="shared" si="8"/>
        <v>0.98456192016601562</v>
      </c>
      <c r="Y26" s="2">
        <f t="shared" si="1"/>
        <v>-4.7027859495507585E-8</v>
      </c>
      <c r="Z26" s="2">
        <f t="shared" si="3"/>
        <v>0.98456180095672607</v>
      </c>
      <c r="AA26" s="2">
        <f t="shared" si="2"/>
        <v>7.7738462000986885E-8</v>
      </c>
      <c r="AB26" s="2">
        <f t="shared" si="4"/>
        <v>1.5742410520505467E-14</v>
      </c>
      <c r="AC26" s="2">
        <f t="shared" si="5"/>
        <v>-3.6558734683792665E-15</v>
      </c>
      <c r="AD26" s="2">
        <f t="shared" si="6"/>
        <v>2.384185791015625E-7</v>
      </c>
      <c r="AF26" s="2">
        <v>22</v>
      </c>
      <c r="AG26" s="2">
        <f t="shared" si="13"/>
        <v>2142.9646015167236</v>
      </c>
      <c r="AH26" s="2">
        <v>-5.1103622445225483E-4</v>
      </c>
      <c r="AI26" s="2">
        <f t="shared" si="14"/>
        <v>2142.9667472839355</v>
      </c>
      <c r="AJ26" s="2">
        <v>3.1750820426168502E-4</v>
      </c>
      <c r="AK26" s="2">
        <f t="shared" si="9"/>
        <v>2142.9656744003296</v>
      </c>
      <c r="AL26" s="2">
        <v>-9.6763960527823656E-5</v>
      </c>
      <c r="AM26" s="2">
        <f t="shared" si="10"/>
        <v>4.9449889051186019E-8</v>
      </c>
      <c r="AN26" s="2">
        <f t="shared" si="11"/>
        <v>-3.0723351344437861E-8</v>
      </c>
      <c r="AO26" s="2">
        <f t="shared" si="12"/>
        <v>2.1457672119140625E-3</v>
      </c>
    </row>
    <row r="27" spans="2:41" x14ac:dyDescent="0.2">
      <c r="B27" s="6" t="s">
        <v>244</v>
      </c>
      <c r="C27" s="17">
        <v>1</v>
      </c>
      <c r="F27" t="s">
        <v>100</v>
      </c>
      <c r="G27" s="6">
        <f>G29/$C$16</f>
        <v>0.61399234248334944</v>
      </c>
      <c r="H27" t="s">
        <v>104</v>
      </c>
      <c r="J27" s="15" t="s">
        <v>68</v>
      </c>
      <c r="K27" s="6">
        <f xml:space="preserve"> $C$78 * (11.5 * ($C$5*2.20462/1000)^0.4 * 0.453592)</f>
        <v>7.7659182940435914</v>
      </c>
      <c r="L27" s="6" t="s">
        <v>7</v>
      </c>
      <c r="N27" s="6" t="s">
        <v>35</v>
      </c>
      <c r="O27" s="6">
        <f xml:space="preserve"> O21 * $C$10 * O26 - $C$7 * SIN(O19/180*PI())</f>
        <v>2.4532155616292073</v>
      </c>
      <c r="P27" s="6" t="s">
        <v>10</v>
      </c>
      <c r="U27" s="2">
        <v>23</v>
      </c>
      <c r="V27" s="2">
        <f t="shared" si="7"/>
        <v>0.98456180095672607</v>
      </c>
      <c r="W27" s="2">
        <f t="shared" si="0"/>
        <v>7.7738462000986885E-8</v>
      </c>
      <c r="X27" s="2">
        <f t="shared" si="8"/>
        <v>0.98456192016601562</v>
      </c>
      <c r="Y27" s="2">
        <f t="shared" si="1"/>
        <v>-4.7027859495507585E-8</v>
      </c>
      <c r="Z27" s="2">
        <f t="shared" si="3"/>
        <v>0.98456186056137085</v>
      </c>
      <c r="AA27" s="2">
        <f t="shared" si="2"/>
        <v>1.5355301141717348E-8</v>
      </c>
      <c r="AB27" s="2">
        <f t="shared" si="4"/>
        <v>1.1936974943191047E-15</v>
      </c>
      <c r="AC27" s="2">
        <f t="shared" si="5"/>
        <v>-7.2212694460389067E-16</v>
      </c>
      <c r="AD27" s="2">
        <f t="shared" si="6"/>
        <v>1.1920928955078125E-7</v>
      </c>
      <c r="AF27" s="2">
        <v>23</v>
      </c>
      <c r="AG27" s="2">
        <f t="shared" si="13"/>
        <v>2142.9656744003296</v>
      </c>
      <c r="AH27" s="2">
        <v>-9.6763960527823656E-5</v>
      </c>
      <c r="AI27" s="2">
        <f t="shared" si="14"/>
        <v>2142.9667472839355</v>
      </c>
      <c r="AJ27" s="2">
        <v>3.1750820426168502E-4</v>
      </c>
      <c r="AK27" s="2">
        <f t="shared" si="9"/>
        <v>2142.9662108421326</v>
      </c>
      <c r="AL27" s="2">
        <v>1.1053726530008134E-4</v>
      </c>
      <c r="AM27" s="2">
        <f t="shared" si="10"/>
        <v>-1.0696023576350643E-8</v>
      </c>
      <c r="AN27" s="2">
        <f t="shared" si="11"/>
        <v>3.5096488609426298E-8</v>
      </c>
      <c r="AO27" s="2">
        <f t="shared" si="12"/>
        <v>1.0728836059570312E-3</v>
      </c>
    </row>
    <row r="28" spans="2:41" x14ac:dyDescent="0.2">
      <c r="B28" s="6" t="s">
        <v>245</v>
      </c>
      <c r="C28" s="17">
        <v>6</v>
      </c>
      <c r="F28" t="s">
        <v>275</v>
      </c>
      <c r="G28" s="6">
        <f xml:space="preserve"> (G26/$C$66*1000) / (G27*1000)</f>
        <v>436.27700551271766</v>
      </c>
      <c r="H28" s="6" t="s">
        <v>276</v>
      </c>
      <c r="J28" s="15" t="s">
        <v>69</v>
      </c>
      <c r="K28" s="6">
        <f xml:space="preserve"> $C$78 * (8 * ($C$5/1000))</f>
        <v>13.714981918022387</v>
      </c>
      <c r="L28" s="6" t="s">
        <v>7</v>
      </c>
      <c r="N28" s="6" t="s">
        <v>36</v>
      </c>
      <c r="O28" s="6">
        <f xml:space="preserve"> 1/$C$30 - O25 * SQRT( (2*$C$69*PI()*$C$10^2) / O20^3 )</f>
        <v>1.283354846278937</v>
      </c>
      <c r="U28" s="2">
        <v>24</v>
      </c>
      <c r="V28" s="2">
        <f t="shared" si="7"/>
        <v>0.98456186056137085</v>
      </c>
      <c r="W28" s="2">
        <f t="shared" si="0"/>
        <v>1.5355301141717348E-8</v>
      </c>
      <c r="X28" s="2">
        <f t="shared" si="8"/>
        <v>0.98456192016601562</v>
      </c>
      <c r="Y28" s="2">
        <f t="shared" si="1"/>
        <v>-4.7027859495507585E-8</v>
      </c>
      <c r="Z28" s="2">
        <f t="shared" si="3"/>
        <v>0.98456189036369324</v>
      </c>
      <c r="AA28" s="2">
        <f t="shared" si="2"/>
        <v>-1.5836279287917421E-8</v>
      </c>
      <c r="AB28" s="2">
        <f t="shared" si="4"/>
        <v>-2.4317083743031317E-16</v>
      </c>
      <c r="AC28" s="2">
        <f t="shared" si="5"/>
        <v>7.4474631728379738E-16</v>
      </c>
      <c r="AD28" s="2">
        <f t="shared" si="6"/>
        <v>5.9604644775390625E-8</v>
      </c>
      <c r="AF28" s="2">
        <v>24</v>
      </c>
      <c r="AG28" s="2">
        <f t="shared" si="13"/>
        <v>2142.9656744003296</v>
      </c>
      <c r="AH28" s="2">
        <v>-9.6763960527823656E-5</v>
      </c>
      <c r="AI28" s="2">
        <f t="shared" si="14"/>
        <v>2142.9662108421326</v>
      </c>
      <c r="AJ28" s="2">
        <v>1.1053726530008134E-4</v>
      </c>
      <c r="AK28" s="2">
        <f t="shared" si="9"/>
        <v>2142.9659426212311</v>
      </c>
      <c r="AL28" s="2">
        <v>6.7215241870144382E-6</v>
      </c>
      <c r="AM28" s="2">
        <f t="shared" si="10"/>
        <v>-6.5040130111907709E-10</v>
      </c>
      <c r="AN28" s="2">
        <f t="shared" si="11"/>
        <v>7.4297890228092853E-10</v>
      </c>
      <c r="AO28" s="2">
        <f t="shared" si="12"/>
        <v>5.3644180297851562E-4</v>
      </c>
    </row>
    <row r="29" spans="2:41" x14ac:dyDescent="0.2">
      <c r="B29" s="6" t="s">
        <v>246</v>
      </c>
      <c r="C29" s="6">
        <f>$C$28*$C$11/PI()</f>
        <v>0.84998288907657626</v>
      </c>
      <c r="F29" s="43" t="s">
        <v>86</v>
      </c>
      <c r="G29" s="43">
        <f xml:space="preserve"> 1/1000 * IF( $G$23&gt;=2*SQRT(($C$5*$C$66)/(2*$C$63*$C$21*PI()*$C$8*$C$8)), ($C$5*$C$66)/$C$24 * ( ($G$23/2) - SQRT( ($G$23/2)^2 - ($C$5*$C$66)/(2*$C$63*$C$21*PI()*$C$8*$C$8 ) ) ), 1/$C$24 * SQRT(($C$5*$C$66)^3/(2*$C$63*$C$21*PI()*$C$8*$C$8)) )</f>
        <v>368.39540549000969</v>
      </c>
      <c r="H29" s="43" t="s">
        <v>104</v>
      </c>
      <c r="J29" s="15" t="s">
        <v>70</v>
      </c>
      <c r="K29" s="6">
        <f xml:space="preserve"> $C$78 * (13 * ($C$5*2.20462/1000)^1.3 * 0.453592)</f>
        <v>35.510144244139823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0.98456186056137085</v>
      </c>
      <c r="W29" s="2">
        <f t="shared" si="0"/>
        <v>1.5355301141717348E-8</v>
      </c>
      <c r="X29" s="2">
        <f t="shared" si="8"/>
        <v>0.98456189036369324</v>
      </c>
      <c r="Y29" s="2">
        <f t="shared" si="1"/>
        <v>-1.5836279287917421E-8</v>
      </c>
      <c r="Z29" s="2">
        <f t="shared" si="3"/>
        <v>0.98456187546253204</v>
      </c>
      <c r="AA29" s="2">
        <f t="shared" si="2"/>
        <v>-2.4048907310003642E-10</v>
      </c>
      <c r="AB29" s="2">
        <f t="shared" si="4"/>
        <v>-3.692782138743536E-18</v>
      </c>
      <c r="AC29" s="2">
        <f t="shared" si="5"/>
        <v>3.8084521273045653E-18</v>
      </c>
      <c r="AD29" s="2">
        <f t="shared" si="6"/>
        <v>2.9802322387695312E-8</v>
      </c>
      <c r="AF29" s="2">
        <v>25</v>
      </c>
      <c r="AG29" s="2">
        <f t="shared" si="13"/>
        <v>2142.9656744003296</v>
      </c>
      <c r="AH29" s="2">
        <v>-9.6763960527823656E-5</v>
      </c>
      <c r="AI29" s="2">
        <f t="shared" si="14"/>
        <v>2142.9659426212311</v>
      </c>
      <c r="AJ29" s="2">
        <v>6.7215241870144382E-6</v>
      </c>
      <c r="AK29" s="2">
        <f t="shared" si="9"/>
        <v>2142.9658085107803</v>
      </c>
      <c r="AL29" s="2">
        <v>-4.5021217374596745E-5</v>
      </c>
      <c r="AM29" s="2">
        <f t="shared" si="10"/>
        <v>4.356431300950048E-9</v>
      </c>
      <c r="AN29" s="2">
        <f t="shared" si="11"/>
        <v>-3.0261120151218669E-10</v>
      </c>
      <c r="AO29" s="2">
        <f t="shared" si="12"/>
        <v>2.6822090148925781E-4</v>
      </c>
    </row>
    <row r="30" spans="2:41" x14ac:dyDescent="0.2">
      <c r="B30" s="6" t="s">
        <v>247</v>
      </c>
      <c r="C30" s="17">
        <v>0.75</v>
      </c>
      <c r="J30" s="10" t="s">
        <v>57</v>
      </c>
      <c r="K30" s="10">
        <f>$C$5 - $C$16 - SUM(K15:K29)</f>
        <v>1.4454144547926262E-9</v>
      </c>
      <c r="L30" s="10" t="s">
        <v>7</v>
      </c>
      <c r="N30" s="6" t="s">
        <v>38</v>
      </c>
      <c r="O30" s="6">
        <f xml:space="preserve"> 1/$C$75 * LN( EXP($C$75 * O28) + EXP($C$75 * O29) )</f>
        <v>1.2839594570624318</v>
      </c>
      <c r="U30" s="2">
        <v>26</v>
      </c>
      <c r="V30" s="2">
        <f>IF(AB29&gt;0, Z29, V29)</f>
        <v>0.98456186056137085</v>
      </c>
      <c r="W30" s="2">
        <f t="shared" si="0"/>
        <v>1.5355301141717348E-8</v>
      </c>
      <c r="X30" s="2">
        <f t="shared" si="8"/>
        <v>0.98456187546253204</v>
      </c>
      <c r="Y30" s="2">
        <f t="shared" si="1"/>
        <v>-2.4048907310003642E-10</v>
      </c>
      <c r="Z30" s="2">
        <f t="shared" si="3"/>
        <v>0.98456186801195145</v>
      </c>
      <c r="AA30" s="2">
        <f t="shared" si="2"/>
        <v>7.5574060343086558E-9</v>
      </c>
      <c r="AB30" s="2">
        <f t="shared" si="4"/>
        <v>1.1604624550704128E-16</v>
      </c>
      <c r="AC30" s="2">
        <f t="shared" si="5"/>
        <v>-1.8174735722315107E-18</v>
      </c>
      <c r="AD30" s="2">
        <f t="shared" si="6"/>
        <v>1.4901161193847656E-8</v>
      </c>
      <c r="AF30" s="2">
        <v>26</v>
      </c>
      <c r="AG30" s="2">
        <f t="shared" si="13"/>
        <v>2142.9658085107803</v>
      </c>
      <c r="AH30" s="2">
        <v>-4.5021217374596745E-5</v>
      </c>
      <c r="AI30" s="2">
        <f t="shared" si="14"/>
        <v>2142.9659426212311</v>
      </c>
      <c r="AJ30" s="2">
        <v>6.7215241870144382E-6</v>
      </c>
      <c r="AK30" s="2">
        <f t="shared" si="9"/>
        <v>2142.9658755660057</v>
      </c>
      <c r="AL30" s="2">
        <v>-1.8984715097758453E-5</v>
      </c>
      <c r="AM30" s="2">
        <f t="shared" si="10"/>
        <v>8.5471498521097202E-10</v>
      </c>
      <c r="AN30" s="2">
        <f t="shared" si="11"/>
        <v>-1.2760622171316162E-10</v>
      </c>
      <c r="AO30" s="2">
        <f t="shared" si="12"/>
        <v>1.3411045074462891E-4</v>
      </c>
    </row>
    <row r="31" spans="2:41" x14ac:dyDescent="0.2"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0.98456186801195145</v>
      </c>
      <c r="W31" s="2">
        <f t="shared" si="0"/>
        <v>7.5574060343086558E-9</v>
      </c>
      <c r="X31" s="2">
        <f t="shared" si="8"/>
        <v>0.98456187546253204</v>
      </c>
      <c r="Y31" s="2">
        <f t="shared" si="1"/>
        <v>-2.4048907310003642E-10</v>
      </c>
      <c r="Z31" s="2">
        <f t="shared" si="3"/>
        <v>0.98456187173724174</v>
      </c>
      <c r="AA31" s="2">
        <f t="shared" si="2"/>
        <v>3.6584584250931584E-9</v>
      </c>
      <c r="AB31" s="2">
        <f t="shared" si="4"/>
        <v>2.7648455778066377E-17</v>
      </c>
      <c r="AC31" s="2">
        <f t="shared" si="5"/>
        <v>-8.798192756256727E-19</v>
      </c>
      <c r="AD31" s="2">
        <f t="shared" si="6"/>
        <v>7.4505805969238281E-9</v>
      </c>
      <c r="AF31" s="2">
        <v>27</v>
      </c>
      <c r="AG31" s="2">
        <f t="shared" si="13"/>
        <v>2142.9658755660057</v>
      </c>
      <c r="AH31" s="2">
        <v>-1.8984715097758453E-5</v>
      </c>
      <c r="AI31" s="2">
        <f t="shared" si="14"/>
        <v>2142.9659426212311</v>
      </c>
      <c r="AJ31" s="2">
        <v>6.7215241870144382E-6</v>
      </c>
      <c r="AK31" s="2">
        <f t="shared" si="9"/>
        <v>2142.9659090936184</v>
      </c>
      <c r="AL31" s="2">
        <v>-6.131595682745683E-6</v>
      </c>
      <c r="AM31" s="2">
        <f t="shared" si="10"/>
        <v>1.1640659713157252E-10</v>
      </c>
      <c r="AN31" s="2">
        <f t="shared" si="11"/>
        <v>-4.1213668686568416E-11</v>
      </c>
      <c r="AO31" s="2">
        <f t="shared" si="12"/>
        <v>6.7055225372314453E-5</v>
      </c>
    </row>
    <row r="32" spans="2:41" x14ac:dyDescent="0.2">
      <c r="B32" s="53" t="s">
        <v>107</v>
      </c>
      <c r="C32" s="53"/>
      <c r="D32" s="53"/>
      <c r="U32" s="2">
        <v>28</v>
      </c>
      <c r="V32" s="2">
        <f t="shared" si="7"/>
        <v>0.98456187173724174</v>
      </c>
      <c r="W32" s="2">
        <f t="shared" si="0"/>
        <v>3.6584584250931584E-9</v>
      </c>
      <c r="X32" s="2">
        <f t="shared" si="8"/>
        <v>0.98456187546253204</v>
      </c>
      <c r="Y32" s="2">
        <f t="shared" si="1"/>
        <v>-2.4048907310003642E-10</v>
      </c>
      <c r="Z32" s="2">
        <f t="shared" si="3"/>
        <v>0.98456187359988689</v>
      </c>
      <c r="AA32" s="2">
        <f t="shared" si="2"/>
        <v>1.7089847315077122E-9</v>
      </c>
      <c r="AB32" s="2">
        <f t="shared" si="4"/>
        <v>6.2522495893399591E-18</v>
      </c>
      <c r="AC32" s="2">
        <f t="shared" si="5"/>
        <v>-4.1099215402240433E-19</v>
      </c>
      <c r="AD32" s="2">
        <f t="shared" si="6"/>
        <v>3.7252902984619141E-9</v>
      </c>
      <c r="AF32" s="2">
        <v>28</v>
      </c>
      <c r="AG32" s="2">
        <f t="shared" si="13"/>
        <v>2142.9659090936184</v>
      </c>
      <c r="AH32" s="2">
        <v>-6.131595682745683E-6</v>
      </c>
      <c r="AI32" s="2">
        <f t="shared" si="14"/>
        <v>2142.9659426212311</v>
      </c>
      <c r="AJ32" s="2">
        <v>6.7215241870144382E-6</v>
      </c>
      <c r="AK32" s="2">
        <f t="shared" si="9"/>
        <v>2142.9659258574247</v>
      </c>
      <c r="AL32" s="2">
        <v>4.6009563448023982E-7</v>
      </c>
      <c r="AM32" s="2">
        <f t="shared" si="10"/>
        <v>-2.8211204060291743E-12</v>
      </c>
      <c r="AN32" s="2">
        <f t="shared" si="11"/>
        <v>3.0925439354986861E-12</v>
      </c>
      <c r="AO32" s="2">
        <f t="shared" si="12"/>
        <v>3.3527612686157227E-5</v>
      </c>
    </row>
    <row r="33" spans="2:41" x14ac:dyDescent="0.2">
      <c r="B33" s="6" t="s">
        <v>108</v>
      </c>
      <c r="C33" s="17">
        <v>6</v>
      </c>
      <c r="J33" s="46" t="s">
        <v>59</v>
      </c>
      <c r="K33" s="46"/>
      <c r="L33" s="46"/>
      <c r="U33" s="2">
        <v>29</v>
      </c>
      <c r="V33" s="2">
        <f t="shared" si="7"/>
        <v>0.98456187359988689</v>
      </c>
      <c r="W33" s="2">
        <f t="shared" si="0"/>
        <v>1.7089847315077122E-9</v>
      </c>
      <c r="X33" s="2">
        <f t="shared" si="8"/>
        <v>0.98456187546253204</v>
      </c>
      <c r="Y33" s="2">
        <f t="shared" si="1"/>
        <v>-2.4048907310003642E-10</v>
      </c>
      <c r="Z33" s="2">
        <f t="shared" si="3"/>
        <v>0.98456187453120947</v>
      </c>
      <c r="AA33" s="2">
        <f t="shared" si="2"/>
        <v>7.3424777369268668E-10</v>
      </c>
      <c r="AB33" s="2">
        <f t="shared" si="4"/>
        <v>1.2548182343843316E-18</v>
      </c>
      <c r="AC33" s="2">
        <f t="shared" si="5"/>
        <v>-1.7657856652111953E-19</v>
      </c>
      <c r="AD33" s="2">
        <f t="shared" si="6"/>
        <v>1.862645149230957E-9</v>
      </c>
      <c r="AF33" s="2">
        <v>29</v>
      </c>
      <c r="AG33" s="2">
        <f t="shared" si="13"/>
        <v>2142.9659090936184</v>
      </c>
      <c r="AH33" s="2">
        <v>-6.131595682745683E-6</v>
      </c>
      <c r="AI33" s="2">
        <f t="shared" si="14"/>
        <v>2142.9659258574247</v>
      </c>
      <c r="AJ33" s="2">
        <v>4.6009563448023982E-7</v>
      </c>
      <c r="AK33" s="2">
        <f t="shared" si="9"/>
        <v>2142.9659174755216</v>
      </c>
      <c r="AL33" s="2">
        <v>-2.8357501378195593E-6</v>
      </c>
      <c r="AM33" s="2">
        <f t="shared" si="10"/>
        <v>1.7387673302399885E-11</v>
      </c>
      <c r="AN33" s="2">
        <f t="shared" si="11"/>
        <v>-1.3047162588875177E-12</v>
      </c>
      <c r="AO33" s="2">
        <f t="shared" si="12"/>
        <v>1.6763806343078613E-5</v>
      </c>
    </row>
    <row r="34" spans="2:41" x14ac:dyDescent="0.2">
      <c r="B34" s="6" t="s">
        <v>109</v>
      </c>
      <c r="C34" s="17">
        <v>9.1440000000000001</v>
      </c>
      <c r="D34" s="6" t="s">
        <v>8</v>
      </c>
      <c r="J34" s="6" t="s">
        <v>60</v>
      </c>
      <c r="K34" s="6">
        <f>ROUND($C$16/$C$5 * 100, 2)</f>
        <v>28</v>
      </c>
      <c r="L34" s="6" t="s">
        <v>61</v>
      </c>
      <c r="U34" s="2">
        <v>30</v>
      </c>
      <c r="V34" s="2">
        <f t="shared" si="7"/>
        <v>0.98456187453120947</v>
      </c>
      <c r="W34" s="2">
        <f t="shared" si="0"/>
        <v>7.3424777369268668E-10</v>
      </c>
      <c r="X34" s="2">
        <f t="shared" si="8"/>
        <v>0.98456187546253204</v>
      </c>
      <c r="Y34" s="2">
        <f t="shared" si="1"/>
        <v>-2.4048907310003642E-10</v>
      </c>
      <c r="Z34" s="2">
        <f t="shared" si="3"/>
        <v>0.98456187499687076</v>
      </c>
      <c r="AA34" s="2">
        <f t="shared" si="2"/>
        <v>2.4687940580747636E-10</v>
      </c>
      <c r="AB34" s="2">
        <f t="shared" si="4"/>
        <v>1.8127065408471286E-19</v>
      </c>
      <c r="AC34" s="2">
        <f t="shared" si="5"/>
        <v>-5.9371799470127738E-20</v>
      </c>
      <c r="AD34" s="2">
        <f t="shared" si="6"/>
        <v>9.3132257461547852E-10</v>
      </c>
      <c r="AF34" s="2">
        <v>30</v>
      </c>
      <c r="AG34" s="2">
        <f t="shared" si="13"/>
        <v>2142.9659174755216</v>
      </c>
      <c r="AH34" s="2">
        <v>-2.8357501378195593E-6</v>
      </c>
      <c r="AI34" s="2">
        <f t="shared" si="14"/>
        <v>2142.9659258574247</v>
      </c>
      <c r="AJ34" s="2">
        <v>4.6009563448023982E-7</v>
      </c>
      <c r="AK34" s="2">
        <f t="shared" si="9"/>
        <v>2142.9659216664732</v>
      </c>
      <c r="AL34" s="2">
        <v>-1.1878273653564975E-6</v>
      </c>
      <c r="AM34" s="2">
        <f t="shared" si="10"/>
        <v>3.3683816150155317E-12</v>
      </c>
      <c r="AN34" s="2">
        <f t="shared" si="11"/>
        <v>-5.4651418531668934E-13</v>
      </c>
      <c r="AO34" s="2">
        <f t="shared" si="12"/>
        <v>8.3819031715393066E-6</v>
      </c>
    </row>
    <row r="35" spans="2:41" x14ac:dyDescent="0.2">
      <c r="B35" s="6" t="s">
        <v>110</v>
      </c>
      <c r="C35" s="17">
        <v>1.8675309360000001</v>
      </c>
      <c r="D35" s="6" t="s">
        <v>8</v>
      </c>
      <c r="J35" s="11" t="s">
        <v>55</v>
      </c>
      <c r="K35" s="6">
        <f>ROUND(K15/$C$5 * 100, 2)</f>
        <v>21.32</v>
      </c>
      <c r="L35" s="6" t="s">
        <v>61</v>
      </c>
      <c r="AF35" s="2">
        <v>31</v>
      </c>
      <c r="AG35" s="2">
        <f t="shared" si="13"/>
        <v>2142.9659216664732</v>
      </c>
      <c r="AH35" s="2">
        <v>-1.1878273653564975E-6</v>
      </c>
      <c r="AI35" s="2">
        <f t="shared" si="14"/>
        <v>2142.9659258574247</v>
      </c>
      <c r="AJ35" s="2">
        <v>4.6009563448023982E-7</v>
      </c>
      <c r="AK35" s="2">
        <f t="shared" si="9"/>
        <v>2142.9659237619489</v>
      </c>
      <c r="AL35" s="2">
        <v>-3.6386563806445338E-7</v>
      </c>
      <c r="AM35" s="2">
        <f t="shared" si="10"/>
        <v>4.3220956220586053E-13</v>
      </c>
      <c r="AN35" s="2">
        <f t="shared" si="11"/>
        <v>-1.6741299161082198E-13</v>
      </c>
      <c r="AO35" s="2">
        <f t="shared" si="12"/>
        <v>4.1909515857696533E-6</v>
      </c>
    </row>
    <row r="36" spans="2:41" x14ac:dyDescent="0.2">
      <c r="J36" s="19" t="s">
        <v>81</v>
      </c>
      <c r="K36" s="6">
        <f>ROUND(SUM(K16:K19)/$C$5 * 100, 2)</f>
        <v>13.33</v>
      </c>
      <c r="L36" s="6" t="s">
        <v>61</v>
      </c>
      <c r="AF36" s="2">
        <v>32</v>
      </c>
      <c r="AG36" s="2">
        <f t="shared" si="13"/>
        <v>2142.9659237619489</v>
      </c>
      <c r="AH36" s="2">
        <v>-3.6386563806445338E-7</v>
      </c>
      <c r="AI36" s="2">
        <f t="shared" si="14"/>
        <v>2142.9659258574247</v>
      </c>
      <c r="AJ36" s="2">
        <v>4.6009563448023982E-7</v>
      </c>
      <c r="AK36" s="2">
        <f t="shared" si="9"/>
        <v>2142.9659248096868</v>
      </c>
      <c r="AL36" s="2">
        <v>4.8114543460542336E-8</v>
      </c>
      <c r="AM36" s="2">
        <f t="shared" si="10"/>
        <v>-1.750722905645011E-14</v>
      </c>
      <c r="AN36" s="2">
        <f t="shared" si="11"/>
        <v>2.21372914012053E-14</v>
      </c>
      <c r="AO36" s="2">
        <f t="shared" si="12"/>
        <v>2.0954757928848267E-6</v>
      </c>
    </row>
    <row r="37" spans="2:41" x14ac:dyDescent="0.2">
      <c r="B37" s="53" t="s">
        <v>111</v>
      </c>
      <c r="C37" s="53"/>
      <c r="D37" s="53"/>
      <c r="J37" s="20" t="s">
        <v>72</v>
      </c>
      <c r="K37" s="6">
        <f>ROUND(SUM(K20:K25)/$C$5 * 100, 2)</f>
        <v>32.549999999999997</v>
      </c>
      <c r="L37" s="6" t="s">
        <v>61</v>
      </c>
      <c r="AF37" s="2">
        <v>33</v>
      </c>
      <c r="AG37" s="2">
        <f t="shared" si="13"/>
        <v>2142.9659237619489</v>
      </c>
      <c r="AH37" s="2">
        <v>-3.6386563806445338E-7</v>
      </c>
      <c r="AI37" s="2">
        <f t="shared" si="14"/>
        <v>2142.9659248096868</v>
      </c>
      <c r="AJ37" s="2">
        <v>4.8114543460542336E-8</v>
      </c>
      <c r="AK37" s="2">
        <f t="shared" si="9"/>
        <v>2142.9659242858179</v>
      </c>
      <c r="AL37" s="2">
        <v>-1.5787577467563096E-7</v>
      </c>
      <c r="AM37" s="2">
        <f t="shared" si="10"/>
        <v>5.7445569487268331E-14</v>
      </c>
      <c r="AN37" s="2">
        <f t="shared" si="11"/>
        <v>-7.5961208219974352E-15</v>
      </c>
      <c r="AO37" s="2">
        <f t="shared" si="12"/>
        <v>1.0477378964424133E-6</v>
      </c>
    </row>
    <row r="38" spans="2:41" x14ac:dyDescent="0.2">
      <c r="B38" s="6" t="s">
        <v>124</v>
      </c>
      <c r="C38" s="22" t="s">
        <v>125</v>
      </c>
      <c r="J38" s="15" t="s">
        <v>73</v>
      </c>
      <c r="K38" s="6">
        <f>ROUND(SUM(K26:K29)/$C$5*100, 2)</f>
        <v>4.8</v>
      </c>
      <c r="L38" s="6" t="s">
        <v>61</v>
      </c>
      <c r="AF38" s="2">
        <v>34</v>
      </c>
      <c r="AG38" s="2">
        <f t="shared" si="13"/>
        <v>2142.9659242858179</v>
      </c>
      <c r="AH38" s="2">
        <v>-1.5787577467563096E-7</v>
      </c>
      <c r="AI38" s="2">
        <f t="shared" si="14"/>
        <v>2142.9659248096868</v>
      </c>
      <c r="AJ38" s="2">
        <v>4.8114543460542336E-8</v>
      </c>
      <c r="AK38" s="2">
        <f t="shared" si="9"/>
        <v>2142.9659245477524</v>
      </c>
      <c r="AL38" s="2">
        <v>-5.4880501920706593E-8</v>
      </c>
      <c r="AM38" s="2">
        <f t="shared" si="10"/>
        <v>8.6643017553190064E-15</v>
      </c>
      <c r="AN38" s="2">
        <f t="shared" si="11"/>
        <v>-2.6405502948002145E-15</v>
      </c>
      <c r="AO38" s="2">
        <f t="shared" si="12"/>
        <v>5.2386894822120667E-7</v>
      </c>
    </row>
    <row r="39" spans="2:41" x14ac:dyDescent="0.2">
      <c r="B39" s="6" t="s">
        <v>126</v>
      </c>
      <c r="C39" s="6">
        <f>IF(C38="wheeled",0.0325,0.014)</f>
        <v>3.2500000000000001E-2</v>
      </c>
      <c r="J39" s="10" t="s">
        <v>62</v>
      </c>
      <c r="K39" s="10">
        <f>SUM(K34:K38)</f>
        <v>99.999999999999986</v>
      </c>
      <c r="L39" s="10" t="s">
        <v>61</v>
      </c>
      <c r="AF39" s="2">
        <v>35</v>
      </c>
      <c r="AG39" s="2">
        <f t="shared" si="13"/>
        <v>2142.9659245477524</v>
      </c>
      <c r="AH39" s="2">
        <v>-5.4880501920706593E-8</v>
      </c>
      <c r="AI39" s="2">
        <f t="shared" si="14"/>
        <v>2142.9659248096868</v>
      </c>
      <c r="AJ39" s="2">
        <v>4.8114543460542336E-8</v>
      </c>
      <c r="AK39" s="2">
        <f t="shared" si="9"/>
        <v>2142.9659246787196</v>
      </c>
      <c r="AL39" s="2">
        <v>-3.3828655432444066E-9</v>
      </c>
      <c r="AM39" s="2">
        <f t="shared" si="10"/>
        <v>1.8565335894351681E-16</v>
      </c>
      <c r="AN39" s="2">
        <f t="shared" si="11"/>
        <v>-1.6276503120160416E-16</v>
      </c>
      <c r="AO39" s="2">
        <f t="shared" si="12"/>
        <v>2.6193447411060333E-7</v>
      </c>
    </row>
    <row r="40" spans="2:41" x14ac:dyDescent="0.2">
      <c r="B40" s="6" t="s">
        <v>112</v>
      </c>
      <c r="C40" s="17">
        <v>0.30480000000000002</v>
      </c>
      <c r="D40" s="6" t="s">
        <v>8</v>
      </c>
      <c r="AF40" s="2">
        <v>36</v>
      </c>
      <c r="AG40" s="2">
        <f t="shared" si="13"/>
        <v>2142.9659246787196</v>
      </c>
      <c r="AH40" s="2">
        <v>-3.3828655432444066E-9</v>
      </c>
      <c r="AI40" s="2">
        <f t="shared" si="14"/>
        <v>2142.9659248096868</v>
      </c>
      <c r="AJ40" s="2">
        <v>4.8114543460542336E-8</v>
      </c>
      <c r="AK40" s="2">
        <f t="shared" si="9"/>
        <v>2142.9659247442032</v>
      </c>
      <c r="AL40" s="2">
        <v>2.2366293705999851E-8</v>
      </c>
      <c r="AM40" s="2">
        <f t="shared" si="10"/>
        <v>-7.5662164308111138E-17</v>
      </c>
      <c r="AN40" s="2">
        <f t="shared" si="11"/>
        <v>1.0761440105685844E-15</v>
      </c>
      <c r="AO40" s="2">
        <f t="shared" si="12"/>
        <v>1.3096723705530167E-7</v>
      </c>
    </row>
    <row r="41" spans="2:41" x14ac:dyDescent="0.2">
      <c r="B41" s="6" t="s">
        <v>113</v>
      </c>
      <c r="C41" s="17">
        <v>5.7</v>
      </c>
      <c r="J41" s="53" t="s">
        <v>116</v>
      </c>
      <c r="K41" s="53"/>
      <c r="L41" s="53"/>
      <c r="AF41" s="2">
        <v>37</v>
      </c>
      <c r="AG41" s="2">
        <f t="shared" si="13"/>
        <v>2142.9659246787196</v>
      </c>
      <c r="AH41" s="2">
        <v>-3.3828655432444066E-9</v>
      </c>
      <c r="AI41" s="2">
        <f t="shared" si="14"/>
        <v>2142.9659247442032</v>
      </c>
      <c r="AJ41" s="2">
        <v>2.2366293705999851E-8</v>
      </c>
      <c r="AK41" s="2">
        <f t="shared" si="9"/>
        <v>2142.9659247114614</v>
      </c>
      <c r="AL41" s="2">
        <v>9.4912593340268359E-9</v>
      </c>
      <c r="AM41" s="2">
        <f t="shared" si="10"/>
        <v>-3.2107654163076237E-17</v>
      </c>
      <c r="AN41" s="2">
        <f t="shared" si="11"/>
        <v>2.1228429390465676E-16</v>
      </c>
      <c r="AO41" s="2">
        <f t="shared" si="12"/>
        <v>6.5483618527650833E-8</v>
      </c>
    </row>
    <row r="42" spans="2:41" x14ac:dyDescent="0.2"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2142.9659246787196</v>
      </c>
      <c r="AH42" s="2">
        <v>-3.3828655432444066E-9</v>
      </c>
      <c r="AI42" s="2">
        <f t="shared" si="14"/>
        <v>2142.9659247114614</v>
      </c>
      <c r="AJ42" s="2">
        <v>9.4912593340268359E-9</v>
      </c>
      <c r="AK42" s="2">
        <f t="shared" si="9"/>
        <v>2142.9659246950905</v>
      </c>
      <c r="AL42" s="2">
        <v>3.0547653295798227E-9</v>
      </c>
      <c r="AM42" s="2">
        <f t="shared" si="10"/>
        <v>-1.0333860376133226E-17</v>
      </c>
      <c r="AN42" s="2">
        <f t="shared" si="11"/>
        <v>2.8993569947636056E-17</v>
      </c>
      <c r="AO42" s="2">
        <f t="shared" si="12"/>
        <v>3.2741809263825417E-8</v>
      </c>
    </row>
    <row r="43" spans="2:41" x14ac:dyDescent="0.2">
      <c r="B43" s="53" t="s">
        <v>248</v>
      </c>
      <c r="C43" s="53"/>
      <c r="D43" s="53"/>
      <c r="J43" s="11" t="s">
        <v>55</v>
      </c>
      <c r="K43" s="6">
        <f>ROUND(K15, 2)</f>
        <v>456.9</v>
      </c>
      <c r="L43" s="6" t="s">
        <v>7</v>
      </c>
      <c r="AF43" s="2">
        <v>39</v>
      </c>
      <c r="AG43" s="2">
        <f t="shared" si="13"/>
        <v>2142.9659246787196</v>
      </c>
      <c r="AH43" s="2">
        <v>-3.3828655432444066E-9</v>
      </c>
      <c r="AI43" s="2">
        <f t="shared" si="14"/>
        <v>2142.9659246950905</v>
      </c>
      <c r="AJ43" s="2">
        <v>3.0547653295798227E-9</v>
      </c>
      <c r="AK43" s="2">
        <f t="shared" si="9"/>
        <v>2142.9659246869051</v>
      </c>
      <c r="AL43" s="2">
        <v>-1.6416379367001355E-10</v>
      </c>
      <c r="AM43" s="2">
        <f t="shared" si="10"/>
        <v>5.5534404105457305E-19</v>
      </c>
      <c r="AN43" s="2">
        <f t="shared" si="11"/>
        <v>-5.0148186527545295E-19</v>
      </c>
      <c r="AO43" s="2">
        <f t="shared" si="12"/>
        <v>1.6370904631912708E-8</v>
      </c>
    </row>
    <row r="44" spans="2:41" x14ac:dyDescent="0.2">
      <c r="B44" s="6" t="s">
        <v>113</v>
      </c>
      <c r="C44" s="17">
        <v>3</v>
      </c>
      <c r="J44" s="19" t="s">
        <v>81</v>
      </c>
      <c r="K44" s="6">
        <f>ROUND(SUM(K16:K19), 2)</f>
        <v>285.60000000000002</v>
      </c>
      <c r="L44" s="6" t="s">
        <v>7</v>
      </c>
      <c r="AF44" s="2">
        <v>40</v>
      </c>
      <c r="AG44" s="2">
        <f t="shared" si="13"/>
        <v>2142.9659246869051</v>
      </c>
      <c r="AH44" s="2">
        <v>-1.6416379367001355E-10</v>
      </c>
      <c r="AI44" s="2">
        <f t="shared" si="14"/>
        <v>2142.9659246950905</v>
      </c>
      <c r="AJ44" s="2">
        <v>3.0547653295798227E-9</v>
      </c>
      <c r="AK44" s="5">
        <f t="shared" si="9"/>
        <v>2142.9659246909978</v>
      </c>
      <c r="AL44" s="2">
        <v>1.4454144547926262E-9</v>
      </c>
      <c r="AM44" s="2">
        <f t="shared" si="10"/>
        <v>-2.3728472032423181E-19</v>
      </c>
      <c r="AN44" s="2">
        <f t="shared" si="11"/>
        <v>4.4154019633740365E-18</v>
      </c>
      <c r="AO44" s="2">
        <f t="shared" si="12"/>
        <v>8.1854523159563541E-9</v>
      </c>
    </row>
    <row r="45" spans="2:41" x14ac:dyDescent="0.2">
      <c r="J45" s="20" t="s">
        <v>72</v>
      </c>
      <c r="K45" s="6">
        <f>ROUND(SUM(K20:K25), 2)</f>
        <v>697.53</v>
      </c>
      <c r="L45" s="6" t="s">
        <v>7</v>
      </c>
    </row>
    <row r="46" spans="2:41" x14ac:dyDescent="0.2">
      <c r="B46" s="53" t="s">
        <v>249</v>
      </c>
      <c r="C46" s="53"/>
      <c r="D46" s="53"/>
      <c r="J46" s="15" t="s">
        <v>73</v>
      </c>
      <c r="K46" s="6">
        <f>ROUND(SUM(K26:K29), 2)</f>
        <v>102.94</v>
      </c>
      <c r="L46" s="6" t="s">
        <v>7</v>
      </c>
    </row>
    <row r="47" spans="2:41" x14ac:dyDescent="0.2">
      <c r="B47" s="6" t="s">
        <v>250</v>
      </c>
      <c r="C47" s="17">
        <v>4.3036300000000001</v>
      </c>
      <c r="J47" s="10" t="s">
        <v>62</v>
      </c>
      <c r="K47" s="10">
        <f>SUM(K42:K46)</f>
        <v>2142.9699999999998</v>
      </c>
      <c r="L47" s="6" t="s">
        <v>7</v>
      </c>
    </row>
    <row r="48" spans="2:41" x14ac:dyDescent="0.2">
      <c r="B48" s="6" t="s">
        <v>251</v>
      </c>
      <c r="C48" s="17">
        <f>39.5112*0.3048^2</f>
        <v>3.6707105940480003</v>
      </c>
      <c r="D48" s="6" t="s">
        <v>11</v>
      </c>
    </row>
    <row r="49" spans="2:4" x14ac:dyDescent="0.2">
      <c r="B49" s="6" t="s">
        <v>252</v>
      </c>
      <c r="C49" s="17">
        <f>0.15*3.7875*0.3048</f>
        <v>0.1731645</v>
      </c>
      <c r="D49" s="6" t="s">
        <v>8</v>
      </c>
    </row>
    <row r="51" spans="2:4" x14ac:dyDescent="0.2">
      <c r="B51" s="53" t="s">
        <v>253</v>
      </c>
      <c r="C51" s="53"/>
      <c r="D51" s="53"/>
    </row>
    <row r="52" spans="2:4" x14ac:dyDescent="0.2">
      <c r="B52" s="6" t="s">
        <v>254</v>
      </c>
      <c r="C52" s="17">
        <v>1.1798999999999999</v>
      </c>
    </row>
    <row r="53" spans="2:4" x14ac:dyDescent="0.2">
      <c r="B53" s="6" t="s">
        <v>255</v>
      </c>
      <c r="C53" s="17">
        <f>27.34325*0.3048^2</f>
        <v>2.5402710484800002</v>
      </c>
      <c r="D53" s="6" t="s">
        <v>11</v>
      </c>
    </row>
    <row r="54" spans="2:4" x14ac:dyDescent="0.2">
      <c r="B54" s="6" t="s">
        <v>256</v>
      </c>
      <c r="C54" s="17">
        <f>0.115*9.73719*0.3048</f>
        <v>0.34130798388000005</v>
      </c>
      <c r="D54" s="6" t="s">
        <v>8</v>
      </c>
    </row>
    <row r="55" spans="2:4" x14ac:dyDescent="0.2">
      <c r="B55" s="6" t="s">
        <v>257</v>
      </c>
      <c r="C55" s="17">
        <v>35</v>
      </c>
      <c r="D55" s="6" t="s">
        <v>43</v>
      </c>
    </row>
    <row r="57" spans="2:4" x14ac:dyDescent="0.2">
      <c r="B57" s="56" t="s">
        <v>2</v>
      </c>
      <c r="C57" s="57"/>
      <c r="D57" s="57"/>
    </row>
    <row r="58" spans="2:4" x14ac:dyDescent="0.2">
      <c r="B58" s="6" t="s">
        <v>3</v>
      </c>
      <c r="C58" s="17">
        <v>250</v>
      </c>
      <c r="D58" s="6" t="s">
        <v>4</v>
      </c>
    </row>
    <row r="59" spans="2:4" x14ac:dyDescent="0.2">
      <c r="B59" s="6" t="s">
        <v>5</v>
      </c>
      <c r="C59" s="17">
        <v>0.85</v>
      </c>
    </row>
    <row r="60" spans="2:4" x14ac:dyDescent="0.2">
      <c r="B60" s="6" t="s">
        <v>6</v>
      </c>
      <c r="C60" s="17">
        <v>0.8</v>
      </c>
    </row>
    <row r="62" spans="2:4" x14ac:dyDescent="0.2">
      <c r="B62" s="53" t="s">
        <v>272</v>
      </c>
      <c r="C62" s="54"/>
      <c r="D62" s="54"/>
    </row>
    <row r="63" spans="2:4" x14ac:dyDescent="0.2">
      <c r="B63" s="6" t="s">
        <v>15</v>
      </c>
      <c r="C63" s="17">
        <v>1.0397562309141399</v>
      </c>
      <c r="D63" s="6" t="s">
        <v>16</v>
      </c>
    </row>
    <row r="64" spans="2:4" x14ac:dyDescent="0.2">
      <c r="B64" s="6" t="s">
        <v>214</v>
      </c>
      <c r="C64" s="41">
        <v>1.7363179204150701E-5</v>
      </c>
      <c r="D64" s="6" t="s">
        <v>210</v>
      </c>
    </row>
    <row r="65" spans="2:4" x14ac:dyDescent="0.2">
      <c r="B65" s="6" t="s">
        <v>132</v>
      </c>
      <c r="C65" s="17">
        <v>333.91694458017901</v>
      </c>
      <c r="D65" s="6" t="s">
        <v>10</v>
      </c>
    </row>
    <row r="66" spans="2:4" x14ac:dyDescent="0.2">
      <c r="B66" s="6" t="s">
        <v>17</v>
      </c>
      <c r="C66" s="1">
        <v>9.80149119240094</v>
      </c>
      <c r="D66" s="6" t="s">
        <v>18</v>
      </c>
    </row>
    <row r="68" spans="2:4" x14ac:dyDescent="0.2">
      <c r="B68" s="53" t="s">
        <v>273</v>
      </c>
      <c r="C68" s="54"/>
      <c r="D68" s="54"/>
    </row>
    <row r="69" spans="2:4" x14ac:dyDescent="0.2">
      <c r="B69" s="6" t="s">
        <v>15</v>
      </c>
      <c r="C69" s="17">
        <v>1.00854450666398</v>
      </c>
      <c r="D69" s="6" t="s">
        <v>16</v>
      </c>
    </row>
    <row r="70" spans="2:4" x14ac:dyDescent="0.2">
      <c r="B70" s="6" t="s">
        <v>214</v>
      </c>
      <c r="C70" s="41">
        <v>1.7265641515845801E-5</v>
      </c>
      <c r="D70" s="6" t="s">
        <v>210</v>
      </c>
    </row>
    <row r="71" spans="2:4" x14ac:dyDescent="0.2">
      <c r="B71" s="6" t="s">
        <v>132</v>
      </c>
      <c r="C71" s="17">
        <v>332.721752148093</v>
      </c>
      <c r="D71" s="6" t="s">
        <v>10</v>
      </c>
    </row>
    <row r="72" spans="2:4" x14ac:dyDescent="0.2">
      <c r="B72" s="6" t="s">
        <v>17</v>
      </c>
      <c r="C72" s="1">
        <v>9.8005536647414697</v>
      </c>
      <c r="D72" s="6" t="s">
        <v>18</v>
      </c>
    </row>
    <row r="74" spans="2:4" x14ac:dyDescent="0.2">
      <c r="B74" s="53" t="s">
        <v>74</v>
      </c>
      <c r="C74" s="53"/>
      <c r="D74" s="53"/>
    </row>
    <row r="75" spans="2:4" x14ac:dyDescent="0.2">
      <c r="B75" s="6" t="s">
        <v>264</v>
      </c>
      <c r="C75" s="17">
        <v>30</v>
      </c>
    </row>
    <row r="76" spans="2:4" x14ac:dyDescent="0.2">
      <c r="B76" s="6" t="s">
        <v>266</v>
      </c>
      <c r="C76" s="17">
        <v>0.8</v>
      </c>
    </row>
    <row r="77" spans="2:4" x14ac:dyDescent="0.2">
      <c r="B77" s="6" t="s">
        <v>267</v>
      </c>
      <c r="C77" s="17">
        <v>0.8</v>
      </c>
    </row>
    <row r="78" spans="2:4" x14ac:dyDescent="0.2">
      <c r="B78" s="6" t="s">
        <v>268</v>
      </c>
      <c r="C78" s="17">
        <v>0.8</v>
      </c>
    </row>
    <row r="79" spans="2:4" x14ac:dyDescent="0.2">
      <c r="B79" s="6" t="s">
        <v>258</v>
      </c>
      <c r="C79" s="17">
        <v>5</v>
      </c>
      <c r="D79" s="6" t="s">
        <v>43</v>
      </c>
    </row>
  </sheetData>
  <mergeCells count="22">
    <mergeCell ref="B46:D46"/>
    <mergeCell ref="B51:D51"/>
    <mergeCell ref="B74:D74"/>
    <mergeCell ref="B57:D57"/>
    <mergeCell ref="B62:D62"/>
    <mergeCell ref="B68:D68"/>
    <mergeCell ref="F22:H22"/>
    <mergeCell ref="B26:D26"/>
    <mergeCell ref="B37:D37"/>
    <mergeCell ref="J41:L41"/>
    <mergeCell ref="B43:D43"/>
    <mergeCell ref="B32:D32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17" priority="7" operator="containsText" text="FALSE">
      <formula>NOT(ISERROR(SEARCH("FALSE",K31)))</formula>
    </cfRule>
    <cfRule type="containsText" dxfId="16" priority="8" operator="containsText" text="TRUE">
      <formula>NOT(ISERROR(SEARCH("TRUE",K31)))</formula>
    </cfRule>
    <cfRule type="cellIs" dxfId="15" priority="9" operator="equal">
      <formula>1</formula>
    </cfRule>
    <cfRule type="cellIs" dxfId="14" priority="10" operator="equal">
      <formula>TRUE</formula>
    </cfRule>
    <cfRule type="containsText" dxfId="13" priority="11" operator="containsText" text="YES">
      <formula>NOT(ISERROR(SEARCH("YES",K31)))</formula>
    </cfRule>
    <cfRule type="cellIs" dxfId="12" priority="12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C7" sqref="C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9" t="s">
        <v>0</v>
      </c>
      <c r="C1" s="59"/>
      <c r="D1" s="59"/>
    </row>
    <row r="2" spans="2:87" x14ac:dyDescent="0.2">
      <c r="U2" s="16" t="s">
        <v>96</v>
      </c>
      <c r="AF2" s="48" t="s">
        <v>226</v>
      </c>
      <c r="AQ2" s="60" t="s">
        <v>137</v>
      </c>
      <c r="AR2" s="60"/>
      <c r="AS2" s="60"/>
      <c r="AU2" s="60" t="s">
        <v>138</v>
      </c>
      <c r="AV2" s="60"/>
      <c r="AW2" s="60"/>
      <c r="AY2" s="60" t="s">
        <v>139</v>
      </c>
      <c r="AZ2" s="60"/>
      <c r="BA2" s="60"/>
      <c r="BB2" s="60"/>
      <c r="BC2" s="60"/>
      <c r="BD2" s="60"/>
      <c r="BE2" s="60"/>
      <c r="BG2" s="60" t="s">
        <v>140</v>
      </c>
      <c r="BH2" s="60"/>
      <c r="BI2" s="60"/>
      <c r="BJ2" s="60"/>
      <c r="BK2" s="60"/>
      <c r="BL2" s="60"/>
      <c r="BM2" s="60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3" t="s">
        <v>127</v>
      </c>
      <c r="C3" s="54"/>
      <c r="D3" s="54"/>
      <c r="F3" s="56" t="s">
        <v>83</v>
      </c>
      <c r="G3" s="57"/>
      <c r="H3" s="57"/>
      <c r="J3" s="53" t="s">
        <v>101</v>
      </c>
      <c r="K3" s="53"/>
      <c r="L3" s="53"/>
      <c r="N3" s="53" t="s">
        <v>95</v>
      </c>
      <c r="O3" s="53"/>
      <c r="P3" s="53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2" t="s">
        <v>146</v>
      </c>
      <c r="AZ3" s="62"/>
      <c r="BA3" s="62"/>
      <c r="BC3" s="62" t="s">
        <v>147</v>
      </c>
      <c r="BD3" s="62"/>
      <c r="BE3" s="62"/>
      <c r="BG3" s="62" t="s">
        <v>146</v>
      </c>
      <c r="BH3" s="62"/>
      <c r="BI3" s="62"/>
      <c r="BJ3" s="2"/>
      <c r="BK3" s="62" t="s">
        <v>147</v>
      </c>
      <c r="BL3" s="62"/>
      <c r="BM3" s="62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580.6431229847268</v>
      </c>
      <c r="L4" s="6" t="s">
        <v>104</v>
      </c>
      <c r="N4" s="6" t="s">
        <v>228</v>
      </c>
      <c r="O4" s="6">
        <f xml:space="preserve"> $C$5 * $C$67</f>
        <v>22723.557324291567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1.5406640103369049</v>
      </c>
      <c r="X4" s="3">
        <v>1</v>
      </c>
      <c r="Y4" s="2">
        <f t="shared" ref="Y4:Y34" si="1" xml:space="preserve"> $O$22 * TAN($O$19/180*PI()) + $O$23 / (2 * SQRT($O$22^2 + X4^2)) - X4</f>
        <v>-1.2372050190063044E-2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0.53593415457199511</v>
      </c>
      <c r="AB4" s="2">
        <f>W4*AA4</f>
        <v>0.8256944638594087</v>
      </c>
      <c r="AC4" s="2">
        <f>Y4*AA4</f>
        <v>-6.6306042589337286E-3</v>
      </c>
      <c r="AD4" s="2">
        <f>X4-V4</f>
        <v>1</v>
      </c>
      <c r="AF4" s="2">
        <v>0</v>
      </c>
      <c r="AH4" s="2">
        <f>K30</f>
        <v>-2.9485296898656088E-2</v>
      </c>
      <c r="AJ4" s="2">
        <f>K30</f>
        <v>-2.9485296898656088E-2</v>
      </c>
      <c r="AL4" s="2">
        <f>K30</f>
        <v>-2.9485296898656088E-2</v>
      </c>
      <c r="AQ4" s="2" t="s">
        <v>151</v>
      </c>
      <c r="AR4" s="2">
        <f>$C$6</f>
        <v>567.09229000537596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0.52636750870146964</v>
      </c>
      <c r="BI4" s="5" t="s">
        <v>155</v>
      </c>
      <c r="BJ4" s="2"/>
      <c r="BK4" s="28" t="s">
        <v>154</v>
      </c>
      <c r="BL4" s="29">
        <f>CE34</f>
        <v>0.44577263887935586</v>
      </c>
      <c r="BM4" s="5" t="s">
        <v>155</v>
      </c>
      <c r="BO4" s="30">
        <v>0</v>
      </c>
      <c r="BP4" s="30"/>
      <c r="BQ4" s="30">
        <f>$BH$20</f>
        <v>-8.4734595867663742E-9</v>
      </c>
      <c r="BR4" s="30"/>
      <c r="BS4" s="30">
        <f>$BH$20</f>
        <v>-8.4734595867663742E-9</v>
      </c>
      <c r="BT4" s="30"/>
      <c r="BU4" s="30">
        <f>$BH$20</f>
        <v>-8.4734595867663742E-9</v>
      </c>
      <c r="BV4" s="30"/>
      <c r="BW4" s="30"/>
      <c r="BX4" s="30"/>
      <c r="BZ4" s="30">
        <v>0</v>
      </c>
      <c r="CA4" s="30"/>
      <c r="CB4" s="30">
        <f>$BL$20</f>
        <v>1.1665570176511153E-9</v>
      </c>
      <c r="CC4" s="30"/>
      <c r="CD4" s="30">
        <f>$BL$20</f>
        <v>1.1665570176511153E-9</v>
      </c>
      <c r="CE4" s="30"/>
      <c r="CF4" s="30">
        <f>$BL$20</f>
        <v>1.1665570176511153E-9</v>
      </c>
      <c r="CG4" s="30"/>
      <c r="CH4" s="30"/>
      <c r="CI4" s="30"/>
    </row>
    <row r="5" spans="2:87" x14ac:dyDescent="0.2">
      <c r="B5" s="10" t="s">
        <v>40</v>
      </c>
      <c r="C5" s="10">
        <v>2318.37756911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72.58039037309085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0.53593415457199511</v>
      </c>
      <c r="X5" s="2">
        <f>IF(AC4&gt;0, Z4, X4)</f>
        <v>1</v>
      </c>
      <c r="Y5" s="2">
        <f t="shared" si="1"/>
        <v>-1.2372050190063044E-2</v>
      </c>
      <c r="Z5" s="2">
        <f t="shared" ref="Z5:Z34" si="3" xml:space="preserve"> (V5 + X5)/2</f>
        <v>0.75</v>
      </c>
      <c r="AA5" s="2">
        <f t="shared" si="2"/>
        <v>0.25388464105466335</v>
      </c>
      <c r="AB5" s="2">
        <f t="shared" ref="AB5:AB34" si="4">W5*AA5</f>
        <v>0.13606545046244545</v>
      </c>
      <c r="AC5" s="2">
        <f t="shared" ref="AC5:AC34" si="5">Y5*AA5</f>
        <v>-3.1410735216144355E-3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-1007.0218600678832</v>
      </c>
      <c r="AI5" s="3">
        <v>5000</v>
      </c>
      <c r="AJ5" s="2">
        <f t="dataTable" ref="AJ5:AJ44" dt2D="0" dtr="0" r1="C5" ca="1"/>
        <v>1566.0943721433341</v>
      </c>
      <c r="AK5" s="2">
        <f>(AG5+AI5)/2</f>
        <v>2750</v>
      </c>
      <c r="AL5" s="2">
        <f t="dataTable" ref="AL5:AL44" dt2D="0" dtr="0" r1="C5" ca="1"/>
        <v>218.72136167299163</v>
      </c>
      <c r="AM5" s="2">
        <f>AH5*AL5</f>
        <v>-220257.19246851624</v>
      </c>
      <c r="AN5" s="2">
        <f>AJ5*AL5</f>
        <v>342538.29358359892</v>
      </c>
      <c r="AO5" s="2">
        <f>AI5-AG5</f>
        <v>4500</v>
      </c>
      <c r="AQ5" s="2" t="s">
        <v>157</v>
      </c>
      <c r="AR5" s="3">
        <v>27.5936611909713</v>
      </c>
      <c r="AS5" s="26" t="s">
        <v>43</v>
      </c>
      <c r="AU5" s="2" t="s">
        <v>29</v>
      </c>
      <c r="AV5" s="2">
        <f>AR4*2*PI()/60</f>
        <v>59.385765739610051</v>
      </c>
      <c r="AW5" s="26" t="s">
        <v>30</v>
      </c>
      <c r="AY5" s="2" t="s">
        <v>158</v>
      </c>
      <c r="AZ5" s="2">
        <f>(1+$BH$18)*$AR$3</f>
        <v>10.402099977415222</v>
      </c>
      <c r="BA5" s="26" t="s">
        <v>10</v>
      </c>
      <c r="BC5" s="2" t="s">
        <v>158</v>
      </c>
      <c r="BD5" s="2">
        <f>(1+$BL$18)*$AR$3</f>
        <v>12.840647590009185</v>
      </c>
      <c r="BE5" s="26" t="s">
        <v>10</v>
      </c>
      <c r="BG5" s="2" t="s">
        <v>159</v>
      </c>
      <c r="BH5" s="2">
        <f>($AR$35+$AR$5)/180*PI()</f>
        <v>0.61004556510118668</v>
      </c>
      <c r="BI5" s="2" t="s">
        <v>155</v>
      </c>
      <c r="BJ5" s="2"/>
      <c r="BK5" s="2" t="s">
        <v>159</v>
      </c>
      <c r="BL5" s="2">
        <f>($AR$36+$AR$5)/180*PI()</f>
        <v>0.58419287555602073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-7.4374526188360992</v>
      </c>
      <c r="BR5" s="3">
        <f>0.9*PI()</f>
        <v>2.8274333882308138</v>
      </c>
      <c r="BS5" s="2">
        <f t="dataTable" ref="BS5:BS34" dt2D="0" dtr="0" r1="BH4"/>
        <v>0.99467147482541229</v>
      </c>
      <c r="BT5" s="2">
        <f t="shared" ref="BT5:BT34" si="7">(BP5+BR5)/2</f>
        <v>1.4294246573833558</v>
      </c>
      <c r="BU5" s="2">
        <f t="dataTable" ref="BU5:BU34" dt2D="0" dtr="0" r1="BH4" ca="1"/>
        <v>1.3254151102375213</v>
      </c>
      <c r="BV5" s="2">
        <f t="shared" ref="BV5:BV34" si="8">BQ5*BU5</f>
        <v>-9.8577120826809903</v>
      </c>
      <c r="BW5" s="2">
        <f t="shared" ref="BW5:BW34" si="9">BS5*BU5</f>
        <v>1.3183526024558418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-4.5723507353059505</v>
      </c>
      <c r="CC5" s="3">
        <f>0.9*PI()</f>
        <v>2.8274333882308138</v>
      </c>
      <c r="CD5" s="2">
        <f t="dataTable" ref="CD5:CD34" dt2D="0" dtr="0" r1="BL4"/>
        <v>0.68948715234923053</v>
      </c>
      <c r="CE5" s="2">
        <f t="shared" ref="CE5:CE34" si="11">(CA5+CC5)/2</f>
        <v>1.4294246573833558</v>
      </c>
      <c r="CF5" s="2">
        <f t="dataTable" ref="CF5:CF34" dt2D="0" dtr="0" r1="BL4" ca="1"/>
        <v>1.1676547541918043</v>
      </c>
      <c r="CG5" s="2">
        <f t="shared" ref="CG5:CG34" si="12">CB5*CF5</f>
        <v>-5.3389270739123855</v>
      </c>
      <c r="CH5" s="2">
        <f t="shared" ref="CH5:CH34" si="13">CD5*CF5</f>
        <v>0.80508295139474795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567.09229000537596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89.065228566215978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0.22935912648911463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0.25388464105466335</v>
      </c>
      <c r="X6" s="2">
        <f t="shared" ref="X6:X34" si="16">IF(AC5&gt;0, Z5, X5)</f>
        <v>1</v>
      </c>
      <c r="Y6" s="2">
        <f t="shared" si="1"/>
        <v>-1.2372050190063044E-2</v>
      </c>
      <c r="Z6" s="2">
        <f t="shared" si="3"/>
        <v>0.875</v>
      </c>
      <c r="AA6" s="2">
        <f t="shared" si="2"/>
        <v>0.11961050980281718</v>
      </c>
      <c r="AB6" s="2">
        <f t="shared" si="4"/>
        <v>3.0367271347653532E-2</v>
      </c>
      <c r="AC6" s="2">
        <f t="shared" si="5"/>
        <v>-1.4798272305394818E-3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-1007.0218600678832</v>
      </c>
      <c r="AI6" s="2">
        <f>IF(AN5&gt;0,AK5,AI5)</f>
        <v>2750</v>
      </c>
      <c r="AJ6" s="2">
        <v>218.72136167299163</v>
      </c>
      <c r="AK6" s="2">
        <f t="shared" ref="AK6:AK44" si="17">(AG6+AI6)/2</f>
        <v>1625</v>
      </c>
      <c r="AL6" s="2">
        <v>-374.31008964246621</v>
      </c>
      <c r="AM6" s="2">
        <f t="shared" ref="AM6:AM44" si="18">AH6*AL6</f>
        <v>376938.44271393243</v>
      </c>
      <c r="AN6" s="2">
        <f t="shared" ref="AN6:AN44" si="19">AJ6*AL6</f>
        <v>-81869.612494539775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9.4515381667562668</v>
      </c>
      <c r="AW6" s="26" t="s">
        <v>162</v>
      </c>
      <c r="AY6" s="2" t="s">
        <v>163</v>
      </c>
      <c r="AZ6" s="2">
        <f>(1-$BH$19)*$AV$5*$AR$19</f>
        <v>17.90231141103175</v>
      </c>
      <c r="BA6" s="26" t="s">
        <v>10</v>
      </c>
      <c r="BC6" s="2" t="s">
        <v>163</v>
      </c>
      <c r="BD6" s="2">
        <f>(1-$BL$19)*$AV$5*$AR$20</f>
        <v>26.871606841899975</v>
      </c>
      <c r="BE6" s="26" t="s">
        <v>10</v>
      </c>
      <c r="BG6" s="2" t="s">
        <v>28</v>
      </c>
      <c r="BH6" s="2">
        <f>BH5-BH4</f>
        <v>8.3678056399717038E-2</v>
      </c>
      <c r="BI6" s="2" t="s">
        <v>155</v>
      </c>
      <c r="BJ6" s="2"/>
      <c r="BK6" s="2" t="s">
        <v>28</v>
      </c>
      <c r="BL6" s="2">
        <f>BL5-BL4</f>
        <v>0.13842023667666487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-7.4374526188360992</v>
      </c>
      <c r="BR6" s="2">
        <f t="shared" ref="BR6:BR34" si="22">IF(BW5&gt;0,BT5,BR5)</f>
        <v>1.4294246573833558</v>
      </c>
      <c r="BS6" s="2">
        <v>1.3254151102375213</v>
      </c>
      <c r="BT6" s="2">
        <f t="shared" si="7"/>
        <v>0.73042029195962688</v>
      </c>
      <c r="BU6" s="2">
        <v>0.9490273067957723</v>
      </c>
      <c r="BV6" s="2">
        <f t="shared" si="8"/>
        <v>-7.0583456282751866</v>
      </c>
      <c r="BW6" s="2">
        <f t="shared" si="9"/>
        <v>1.2578551324551366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-4.5723507353059505</v>
      </c>
      <c r="CC6" s="2">
        <f t="shared" ref="CC6:CC34" si="24">IF(CH5&gt;0,CE5,CC5)</f>
        <v>1.4294246573833558</v>
      </c>
      <c r="CD6" s="2">
        <v>1.1676547541918043</v>
      </c>
      <c r="CE6" s="2">
        <f t="shared" si="11"/>
        <v>0.73042029195962688</v>
      </c>
      <c r="CF6" s="2">
        <v>0.83620089147988408</v>
      </c>
      <c r="CG6" s="2">
        <f t="shared" si="12"/>
        <v>-3.8234037610215394</v>
      </c>
      <c r="CH6" s="2">
        <f t="shared" si="13"/>
        <v>0.9763939463959117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90.50390698716572</v>
      </c>
      <c r="H7" s="6" t="s">
        <v>10</v>
      </c>
      <c r="J7" s="6" t="s">
        <v>230</v>
      </c>
      <c r="K7" s="6">
        <f>K6/$C$28</f>
        <v>89.065228566215978</v>
      </c>
      <c r="L7" s="6" t="s">
        <v>104</v>
      </c>
      <c r="N7" s="6" t="s">
        <v>121</v>
      </c>
      <c r="O7" s="6">
        <f xml:space="preserve"> O6 / $C$13</f>
        <v>1.1467956324455731E-2</v>
      </c>
      <c r="U7" s="2">
        <v>3</v>
      </c>
      <c r="V7" s="2">
        <f t="shared" si="15"/>
        <v>0.875</v>
      </c>
      <c r="W7" s="2">
        <f t="shared" si="0"/>
        <v>0.11961050980281718</v>
      </c>
      <c r="X7" s="2">
        <f t="shared" si="16"/>
        <v>1</v>
      </c>
      <c r="Y7" s="2">
        <f t="shared" si="1"/>
        <v>-1.2372050190063044E-2</v>
      </c>
      <c r="Z7" s="2">
        <f t="shared" si="3"/>
        <v>0.9375</v>
      </c>
      <c r="AA7" s="2">
        <f t="shared" si="2"/>
        <v>5.3389142390830702E-2</v>
      </c>
      <c r="AB7" s="2">
        <f t="shared" si="4"/>
        <v>6.3859025393024575E-3</v>
      </c>
      <c r="AC7" s="2">
        <f t="shared" si="5"/>
        <v>-6.6053314926377987E-4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-374.31008964246621</v>
      </c>
      <c r="AI7" s="2">
        <f t="shared" ref="AI7:AI44" si="26">IF(AN6&gt;0,AK6,AI6)</f>
        <v>2750</v>
      </c>
      <c r="AJ7" s="2">
        <v>218.72136167299163</v>
      </c>
      <c r="AK7" s="2">
        <f t="shared" si="17"/>
        <v>2187.5</v>
      </c>
      <c r="AL7" s="2">
        <v>-68.67422239497273</v>
      </c>
      <c r="AM7" s="2">
        <f t="shared" si="18"/>
        <v>25705.454340788903</v>
      </c>
      <c r="AN7" s="2">
        <f t="shared" si="19"/>
        <v>-15020.519434062293</v>
      </c>
      <c r="AO7" s="2">
        <f t="shared" si="20"/>
        <v>1125</v>
      </c>
      <c r="AQ7" s="60" t="s">
        <v>165</v>
      </c>
      <c r="AR7" s="60"/>
      <c r="AS7" s="60"/>
      <c r="AU7" s="2" t="s">
        <v>166</v>
      </c>
      <c r="AV7" s="2">
        <f>$AR$3/(AV6*AR9)</f>
        <v>8.8169070328087171E-2</v>
      </c>
      <c r="AY7" s="2" t="s">
        <v>167</v>
      </c>
      <c r="AZ7" s="2">
        <f>SQRT(AZ5^2 + AZ6^2)</f>
        <v>20.704985819789865</v>
      </c>
      <c r="BA7" s="26" t="s">
        <v>10</v>
      </c>
      <c r="BC7" s="2" t="s">
        <v>167</v>
      </c>
      <c r="BD7" s="2">
        <f>SQRT(BD5^2 + BD6^2)</f>
        <v>29.781965764476567</v>
      </c>
      <c r="BE7" s="26" t="s">
        <v>10</v>
      </c>
      <c r="BG7" s="2" t="s">
        <v>168</v>
      </c>
      <c r="BH7" s="2">
        <f>BH6/PI()*180</f>
        <v>4.7943994695614549</v>
      </c>
      <c r="BI7" s="2" t="s">
        <v>43</v>
      </c>
      <c r="BJ7" s="2"/>
      <c r="BK7" s="2" t="s">
        <v>168</v>
      </c>
      <c r="BL7" s="2">
        <f>BL6/PI()*180</f>
        <v>7.9308953607748611</v>
      </c>
      <c r="BM7" s="2" t="s">
        <v>43</v>
      </c>
      <c r="BO7" s="2">
        <v>3</v>
      </c>
      <c r="BP7" s="2">
        <f t="shared" si="21"/>
        <v>3.1415926535897934E-2</v>
      </c>
      <c r="BQ7" s="2">
        <v>-7.4374526188360992</v>
      </c>
      <c r="BR7" s="2">
        <f t="shared" si="22"/>
        <v>0.73042029195962688</v>
      </c>
      <c r="BS7" s="2">
        <v>0.9490273067957723</v>
      </c>
      <c r="BT7" s="2">
        <f t="shared" si="7"/>
        <v>0.38091810924776243</v>
      </c>
      <c r="BU7" s="2">
        <v>-0.81945502333495723</v>
      </c>
      <c r="BV7" s="2">
        <f t="shared" si="8"/>
        <v>6.0946579093209747</v>
      </c>
      <c r="BW7" s="2">
        <f t="shared" si="9"/>
        <v>-0.77768519383584123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-4.5723507353059505</v>
      </c>
      <c r="CC7" s="2">
        <f t="shared" si="24"/>
        <v>0.73042029195962688</v>
      </c>
      <c r="CD7" s="2">
        <v>0.83620089147988408</v>
      </c>
      <c r="CE7" s="2">
        <f t="shared" si="11"/>
        <v>0.38091810924776243</v>
      </c>
      <c r="CF7" s="2">
        <v>-0.23611008431133229</v>
      </c>
      <c r="CG7" s="2">
        <f t="shared" si="12"/>
        <v>1.0795781176140702</v>
      </c>
      <c r="CH7" s="2">
        <f t="shared" si="13"/>
        <v>-0.19743546298852666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0.27103717992194981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5.3389142390830702E-2</v>
      </c>
      <c r="X8" s="2">
        <f t="shared" si="16"/>
        <v>1</v>
      </c>
      <c r="Y8" s="2">
        <f t="shared" si="1"/>
        <v>-1.2372050190063044E-2</v>
      </c>
      <c r="Z8" s="2">
        <f t="shared" si="3"/>
        <v>0.96875</v>
      </c>
      <c r="AA8" s="2">
        <f t="shared" si="2"/>
        <v>2.045650917430919E-2</v>
      </c>
      <c r="AB8" s="2">
        <f t="shared" si="4"/>
        <v>1.092155481126528E-3</v>
      </c>
      <c r="AC8" s="2">
        <f t="shared" si="5"/>
        <v>-2.5308895821803844E-4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-68.67422239497273</v>
      </c>
      <c r="AI8" s="2">
        <f t="shared" si="26"/>
        <v>2750</v>
      </c>
      <c r="AJ8" s="2">
        <v>218.72136167299163</v>
      </c>
      <c r="AK8" s="2">
        <f t="shared" si="17"/>
        <v>2468.75</v>
      </c>
      <c r="AL8" s="2">
        <v>77.54842811816593</v>
      </c>
      <c r="AM8" s="2">
        <f t="shared" si="18"/>
        <v>-5325.5779989674838</v>
      </c>
      <c r="AN8" s="2">
        <f t="shared" si="19"/>
        <v>16961.497793605366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1036026.6554804152</v>
      </c>
      <c r="BA8" s="26"/>
      <c r="BC8" s="2" t="s">
        <v>170</v>
      </c>
      <c r="BD8" s="37">
        <f>$AR$45*BD7*$AR$27/$AR$46</f>
        <v>1490216.4460847736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-0.81945502333495723</v>
      </c>
      <c r="BR8" s="2">
        <f t="shared" si="22"/>
        <v>0.73042029195962688</v>
      </c>
      <c r="BS8" s="2">
        <v>0.9490273067957723</v>
      </c>
      <c r="BT8" s="2">
        <f t="shared" si="7"/>
        <v>0.55566920060369462</v>
      </c>
      <c r="BU8" s="2">
        <v>0.15992567304209526</v>
      </c>
      <c r="BV8" s="2">
        <f t="shared" si="8"/>
        <v>-0.13105189613456891</v>
      </c>
      <c r="BW8" s="2">
        <f t="shared" si="9"/>
        <v>0.15177383077464091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-0.23611008431133229</v>
      </c>
      <c r="CC8" s="2">
        <f t="shared" si="24"/>
        <v>0.73042029195962688</v>
      </c>
      <c r="CD8" s="2">
        <v>0.83620089147988408</v>
      </c>
      <c r="CE8" s="2">
        <f t="shared" si="11"/>
        <v>0.55566920060369462</v>
      </c>
      <c r="CF8" s="2">
        <v>0.37430504272065723</v>
      </c>
      <c r="CG8" s="2">
        <f t="shared" si="12"/>
        <v>-8.8377195194931216E-2</v>
      </c>
      <c r="CH8" s="2">
        <f t="shared" si="13"/>
        <v>0.31299421040842967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2840.4446655364459</v>
      </c>
      <c r="H9" s="6" t="s">
        <v>22</v>
      </c>
      <c r="J9" s="53" t="s">
        <v>23</v>
      </c>
      <c r="K9" s="53"/>
      <c r="L9" s="53"/>
      <c r="N9" s="6" t="s">
        <v>122</v>
      </c>
      <c r="O9" s="6">
        <f xml:space="preserve"> $O$8 + O7</f>
        <v>3.520715632445573E-2</v>
      </c>
      <c r="U9" s="2">
        <v>5</v>
      </c>
      <c r="V9" s="2">
        <f t="shared" si="15"/>
        <v>0.96875</v>
      </c>
      <c r="W9" s="2">
        <f t="shared" si="0"/>
        <v>2.045650917430919E-2</v>
      </c>
      <c r="X9" s="2">
        <f t="shared" si="16"/>
        <v>1</v>
      </c>
      <c r="Y9" s="2">
        <f t="shared" si="1"/>
        <v>-1.2372050190063044E-2</v>
      </c>
      <c r="Z9" s="2">
        <f t="shared" si="3"/>
        <v>0.984375</v>
      </c>
      <c r="AA9" s="2">
        <f t="shared" si="2"/>
        <v>4.0298310665121129E-3</v>
      </c>
      <c r="AB9" s="2">
        <f t="shared" si="4"/>
        <v>8.2436276183021217E-5</v>
      </c>
      <c r="AC9" s="2">
        <f t="shared" si="5"/>
        <v>-4.9857272212363145E-5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-68.67422239497273</v>
      </c>
      <c r="AI9" s="2">
        <f t="shared" si="26"/>
        <v>2468.75</v>
      </c>
      <c r="AJ9" s="2">
        <v>77.54842811816593</v>
      </c>
      <c r="AK9" s="2">
        <f t="shared" si="17"/>
        <v>2328.125</v>
      </c>
      <c r="AL9" s="2">
        <v>5.0417889023406133</v>
      </c>
      <c r="AM9" s="2">
        <f t="shared" si="18"/>
        <v>-346.2409323478447</v>
      </c>
      <c r="AN9" s="2">
        <f t="shared" si="19"/>
        <v>390.98280428012777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0" t="s">
        <v>173</v>
      </c>
      <c r="AV9" s="60"/>
      <c r="AW9" s="60"/>
      <c r="AY9" s="2" t="s">
        <v>174</v>
      </c>
      <c r="AZ9" s="2">
        <f xml:space="preserve"> $BH$8 * PI() * $AR$45 * AZ7^2 *$BH$14 * $AR$19 * AZ4</f>
        <v>32.980163871544043</v>
      </c>
      <c r="BA9" s="26" t="s">
        <v>22</v>
      </c>
      <c r="BC9" s="2" t="s">
        <v>174</v>
      </c>
      <c r="BD9" s="2">
        <f xml:space="preserve"> $BL$8 * PI() * $AR$45 * BD7^2 * $BL$14 * $AR$20 * BD4</f>
        <v>105.35548836065392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0.99783468565176636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0.99003387224990547</v>
      </c>
      <c r="BM9" s="2"/>
      <c r="BO9" s="2">
        <v>5</v>
      </c>
      <c r="BP9" s="2">
        <f t="shared" si="21"/>
        <v>0.38091810924776243</v>
      </c>
      <c r="BQ9" s="2">
        <v>-0.81945502333495723</v>
      </c>
      <c r="BR9" s="2">
        <f t="shared" si="22"/>
        <v>0.55566920060369462</v>
      </c>
      <c r="BS9" s="2">
        <v>0.15992567304209526</v>
      </c>
      <c r="BT9" s="2">
        <f t="shared" si="7"/>
        <v>0.4682936549257285</v>
      </c>
      <c r="BU9" s="2">
        <v>-0.33178682265942494</v>
      </c>
      <c r="BV9" s="2">
        <f t="shared" si="8"/>
        <v>0.27188437850461039</v>
      </c>
      <c r="BW9" s="2">
        <f t="shared" si="9"/>
        <v>-5.3061230920306839E-2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-0.23611008431133229</v>
      </c>
      <c r="CC9" s="2">
        <f t="shared" si="24"/>
        <v>0.55566920060369462</v>
      </c>
      <c r="CD9" s="2">
        <v>0.37430504272065723</v>
      </c>
      <c r="CE9" s="2">
        <f t="shared" si="11"/>
        <v>0.4682936549257285</v>
      </c>
      <c r="CF9" s="2">
        <v>8.0834754675688875E-2</v>
      </c>
      <c r="CG9" s="2">
        <f t="shared" si="12"/>
        <v>-1.9085900741762762E-2</v>
      </c>
      <c r="CH9" s="2">
        <f t="shared" si="13"/>
        <v>3.0256856302197571E-2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2840.1289750568699</v>
      </c>
      <c r="H10" s="6" t="s">
        <v>22</v>
      </c>
      <c r="J10" s="6" t="s">
        <v>99</v>
      </c>
      <c r="K10" s="6">
        <f xml:space="preserve"> $C$19 * (G13*G6 + G20*G16 + G27*G25)/3600</f>
        <v>89.886285043436288</v>
      </c>
      <c r="L10" s="6" t="s">
        <v>105</v>
      </c>
      <c r="N10" s="6" t="s">
        <v>41</v>
      </c>
      <c r="O10" s="6">
        <f xml:space="preserve"> O5 * $C$13 * O9</f>
        <v>887.6996026572458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4.0298310665121129E-3</v>
      </c>
      <c r="X10" s="2">
        <f t="shared" si="16"/>
        <v>1</v>
      </c>
      <c r="Y10" s="2">
        <f t="shared" si="1"/>
        <v>-1.2372050190063044E-2</v>
      </c>
      <c r="Z10" s="2">
        <f t="shared" si="3"/>
        <v>0.9921875</v>
      </c>
      <c r="AA10" s="2">
        <f t="shared" si="2"/>
        <v>-4.1741369526352434E-3</v>
      </c>
      <c r="AB10" s="2">
        <f t="shared" si="4"/>
        <v>-1.6821066767605703E-5</v>
      </c>
      <c r="AC10" s="2">
        <f t="shared" si="5"/>
        <v>5.1642631878200037E-5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-68.67422239497273</v>
      </c>
      <c r="AI10" s="2">
        <f t="shared" si="26"/>
        <v>2328.125</v>
      </c>
      <c r="AJ10" s="2">
        <v>5.0417889023406133</v>
      </c>
      <c r="AK10" s="2">
        <f t="shared" si="17"/>
        <v>2257.8125</v>
      </c>
      <c r="AL10" s="2">
        <v>-31.668631870535137</v>
      </c>
      <c r="AM10" s="2">
        <f t="shared" si="18"/>
        <v>2174.8186680216513</v>
      </c>
      <c r="AN10" s="2">
        <f t="shared" si="19"/>
        <v>-159.6665567171743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2840.1289750568699</v>
      </c>
      <c r="AW10" s="26" t="s">
        <v>22</v>
      </c>
      <c r="AY10" s="2" t="s">
        <v>178</v>
      </c>
      <c r="AZ10" s="2">
        <f xml:space="preserve"> $BH$8 * PI() * $AR$45 * AZ7^2 * $BH$15 * $AR$19^2 * AZ4</f>
        <v>9.2395184252236184</v>
      </c>
      <c r="BA10" s="26" t="s">
        <v>179</v>
      </c>
      <c r="BC10" s="2" t="s">
        <v>178</v>
      </c>
      <c r="BD10" s="2">
        <f xml:space="preserve"> $BL$8 * PI() * $AR$45 * BD7^2 * $BL$15 * $AR$20^2 * BD4</f>
        <v>30.926460599014376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0.5199458593246753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0.74967421230139919</v>
      </c>
      <c r="BM10" s="2"/>
      <c r="BO10" s="2">
        <v>6</v>
      </c>
      <c r="BP10" s="2">
        <f t="shared" si="21"/>
        <v>0.4682936549257285</v>
      </c>
      <c r="BQ10" s="2">
        <v>-0.33178682265942494</v>
      </c>
      <c r="BR10" s="2">
        <f t="shared" si="22"/>
        <v>0.55566920060369462</v>
      </c>
      <c r="BS10" s="2">
        <v>0.15992567304209526</v>
      </c>
      <c r="BT10" s="2">
        <f t="shared" si="7"/>
        <v>0.51198142776471156</v>
      </c>
      <c r="BU10" s="2">
        <v>-8.0727258825577852E-2</v>
      </c>
      <c r="BV10" s="2">
        <f t="shared" si="8"/>
        <v>2.6784240707743497E-2</v>
      </c>
      <c r="BW10" s="2">
        <f t="shared" si="9"/>
        <v>-1.2910361200523962E-2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-0.23611008431133229</v>
      </c>
      <c r="CC10" s="2">
        <f t="shared" si="24"/>
        <v>0.4682936549257285</v>
      </c>
      <c r="CD10" s="2">
        <v>8.0834754675688875E-2</v>
      </c>
      <c r="CE10" s="2">
        <f t="shared" si="11"/>
        <v>0.42460588208674543</v>
      </c>
      <c r="CF10" s="2">
        <v>-7.7040662456450137E-2</v>
      </c>
      <c r="CG10" s="2">
        <f t="shared" si="12"/>
        <v>1.8190077307993335E-2</v>
      </c>
      <c r="CH10" s="2">
        <f t="shared" si="13"/>
        <v>-6.2275630497197008E-3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0.3156904795760056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4.0298310665121129E-3</v>
      </c>
      <c r="X11" s="2">
        <f t="shared" si="16"/>
        <v>0.9921875</v>
      </c>
      <c r="Y11" s="2">
        <f t="shared" si="1"/>
        <v>-4.1741369526352434E-3</v>
      </c>
      <c r="Z11" s="2">
        <f t="shared" si="3"/>
        <v>0.98828125</v>
      </c>
      <c r="AA11" s="2">
        <f t="shared" si="2"/>
        <v>-7.2918642398889233E-5</v>
      </c>
      <c r="AB11" s="2">
        <f t="shared" si="4"/>
        <v>-2.9384981046693115E-7</v>
      </c>
      <c r="AC11" s="2">
        <f t="shared" si="5"/>
        <v>3.0437239977319855E-7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-31.668631870535137</v>
      </c>
      <c r="AI11" s="2">
        <f t="shared" si="26"/>
        <v>2328.125</v>
      </c>
      <c r="AJ11" s="2">
        <v>5.0417889023406133</v>
      </c>
      <c r="AK11" s="2">
        <f t="shared" si="17"/>
        <v>2292.96875</v>
      </c>
      <c r="AL11" s="2">
        <v>-13.276062844666512</v>
      </c>
      <c r="AM11" s="2">
        <f t="shared" si="18"/>
        <v>420.43474691783331</v>
      </c>
      <c r="AN11" s="2">
        <f t="shared" si="19"/>
        <v>-66.935106317016178</v>
      </c>
      <c r="AO11" s="2">
        <f t="shared" si="20"/>
        <v>70.3125</v>
      </c>
      <c r="AQ11" s="66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1222.1849709126516</v>
      </c>
      <c r="AW11" s="26" t="s">
        <v>179</v>
      </c>
      <c r="AZ11" s="2"/>
      <c r="BG11" s="2" t="s">
        <v>183</v>
      </c>
      <c r="BH11" s="2">
        <f>IF(BH4=0,1,BH9*BH10)</f>
        <v>0.51882001309517489</v>
      </c>
      <c r="BI11" s="2"/>
      <c r="BJ11" s="2"/>
      <c r="BK11" s="2" t="s">
        <v>183</v>
      </c>
      <c r="BL11" s="2">
        <f>IF(BL4=0,1,BL9*BL10)</f>
        <v>0.742202863330652</v>
      </c>
      <c r="BM11" s="2"/>
      <c r="BO11" s="2">
        <v>7</v>
      </c>
      <c r="BP11" s="2">
        <f t="shared" si="21"/>
        <v>0.51198142776471156</v>
      </c>
      <c r="BQ11" s="2">
        <v>-8.0727258825577852E-2</v>
      </c>
      <c r="BR11" s="2">
        <f t="shared" si="22"/>
        <v>0.55566920060369462</v>
      </c>
      <c r="BS11" s="2">
        <v>0.15992567304209526</v>
      </c>
      <c r="BT11" s="2">
        <f t="shared" si="7"/>
        <v>0.53382531418420309</v>
      </c>
      <c r="BU11" s="2">
        <v>4.1313643481500559E-2</v>
      </c>
      <c r="BV11" s="2">
        <f t="shared" si="8"/>
        <v>-3.3351371903587428E-3</v>
      </c>
      <c r="BW11" s="2">
        <f t="shared" si="9"/>
        <v>6.6071122396001488E-3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-7.7040662456450137E-2</v>
      </c>
      <c r="CC11" s="2">
        <f t="shared" si="24"/>
        <v>0.4682936549257285</v>
      </c>
      <c r="CD11" s="2">
        <v>8.0834754675688875E-2</v>
      </c>
      <c r="CE11" s="2">
        <f t="shared" si="11"/>
        <v>0.44644976850623697</v>
      </c>
      <c r="CF11" s="2">
        <v>2.4508396411888622E-3</v>
      </c>
      <c r="CG11" s="2">
        <f t="shared" si="12"/>
        <v>-1.8881430953171849E-4</v>
      </c>
      <c r="CH11" s="2">
        <f t="shared" si="13"/>
        <v>1.9811302114495501E-4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0.90124162787641637</v>
      </c>
      <c r="U12" s="2">
        <v>8</v>
      </c>
      <c r="V12" s="2">
        <f t="shared" si="15"/>
        <v>0.984375</v>
      </c>
      <c r="W12" s="2">
        <f t="shared" si="0"/>
        <v>4.0298310665121129E-3</v>
      </c>
      <c r="X12" s="2">
        <f t="shared" si="16"/>
        <v>0.98828125</v>
      </c>
      <c r="Y12" s="2">
        <f t="shared" si="1"/>
        <v>-7.2918642398889233E-5</v>
      </c>
      <c r="Z12" s="2">
        <f t="shared" si="3"/>
        <v>0.986328125</v>
      </c>
      <c r="AA12" s="2">
        <f t="shared" si="2"/>
        <v>1.9782636656966446E-3</v>
      </c>
      <c r="AB12" s="2">
        <f t="shared" si="4"/>
        <v>7.9720683777764711E-6</v>
      </c>
      <c r="AC12" s="2">
        <f t="shared" si="5"/>
        <v>-1.4425230080964938E-7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-13.276062844666512</v>
      </c>
      <c r="AI12" s="2">
        <f t="shared" si="26"/>
        <v>2328.125</v>
      </c>
      <c r="AJ12" s="2">
        <v>5.0417889023406133</v>
      </c>
      <c r="AK12" s="2">
        <f t="shared" si="17"/>
        <v>2310.546875</v>
      </c>
      <c r="AL12" s="2">
        <v>-4.1077408011694843</v>
      </c>
      <c r="AM12" s="2">
        <f t="shared" si="18"/>
        <v>54.534625025926843</v>
      </c>
      <c r="AN12" s="2">
        <f t="shared" si="19"/>
        <v>-20.710361985028044</v>
      </c>
      <c r="AO12" s="2">
        <f t="shared" si="20"/>
        <v>35.15625</v>
      </c>
      <c r="AQ12" s="66"/>
      <c r="AR12" s="3" t="s">
        <v>219</v>
      </c>
      <c r="AS12" s="26"/>
      <c r="AU12" s="4" t="s">
        <v>184</v>
      </c>
      <c r="AV12" s="38">
        <f>AV11*AV5/1000</f>
        <v>72.58039037309085</v>
      </c>
      <c r="AW12" s="26" t="s">
        <v>104</v>
      </c>
      <c r="AY12" s="62" t="s">
        <v>185</v>
      </c>
      <c r="AZ12" s="62"/>
      <c r="BA12" s="62"/>
      <c r="BC12" s="62" t="s">
        <v>186</v>
      </c>
      <c r="BD12" s="62"/>
      <c r="BE12" s="6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0.71823340596061447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1.0641620222996866</v>
      </c>
      <c r="BM12" s="2"/>
      <c r="BO12" s="2">
        <v>8</v>
      </c>
      <c r="BP12" s="2">
        <f t="shared" si="21"/>
        <v>0.51198142776471156</v>
      </c>
      <c r="BQ12" s="2">
        <v>-8.0727258825577852E-2</v>
      </c>
      <c r="BR12" s="2">
        <f t="shared" si="22"/>
        <v>0.53382531418420309</v>
      </c>
      <c r="BS12" s="2">
        <v>4.1313643481500559E-2</v>
      </c>
      <c r="BT12" s="2">
        <f t="shared" si="7"/>
        <v>0.52290337097445727</v>
      </c>
      <c r="BU12" s="2">
        <v>-1.9319434733892804E-2</v>
      </c>
      <c r="BV12" s="2">
        <f t="shared" si="8"/>
        <v>1.5596050081268231E-3</v>
      </c>
      <c r="BW12" s="2">
        <f t="shared" si="9"/>
        <v>-7.9815623886016597E-4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-7.7040662456450137E-2</v>
      </c>
      <c r="CC12" s="2">
        <f t="shared" si="24"/>
        <v>0.44644976850623697</v>
      </c>
      <c r="CD12" s="2">
        <v>2.4508396411888622E-3</v>
      </c>
      <c r="CE12" s="2">
        <f t="shared" si="11"/>
        <v>0.4355278252964912</v>
      </c>
      <c r="CF12" s="2">
        <v>-3.7198443922739188E-2</v>
      </c>
      <c r="CG12" s="2">
        <f t="shared" si="12"/>
        <v>2.8657927621569389E-3</v>
      </c>
      <c r="CH12" s="2">
        <f t="shared" si="13"/>
        <v>-9.1167420956390124E-5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580.6431229847268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6.5723892401571865E-2</v>
      </c>
      <c r="U13" s="2">
        <v>9</v>
      </c>
      <c r="V13" s="2">
        <f t="shared" si="15"/>
        <v>0.986328125</v>
      </c>
      <c r="W13" s="2">
        <f t="shared" si="0"/>
        <v>1.9782636656966446E-3</v>
      </c>
      <c r="X13" s="2">
        <f t="shared" si="16"/>
        <v>0.98828125</v>
      </c>
      <c r="Y13" s="2">
        <f t="shared" si="1"/>
        <v>-7.2918642398889233E-5</v>
      </c>
      <c r="Z13" s="2">
        <f t="shared" si="3"/>
        <v>0.9873046875</v>
      </c>
      <c r="AA13" s="2">
        <f t="shared" si="2"/>
        <v>9.5262451593092212E-4</v>
      </c>
      <c r="AB13" s="2">
        <f t="shared" si="4"/>
        <v>1.8845424669179976E-6</v>
      </c>
      <c r="AC13" s="2">
        <f t="shared" si="5"/>
        <v>-6.946408641758187E-8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-4.1077408011694843</v>
      </c>
      <c r="AI13" s="2">
        <f t="shared" si="26"/>
        <v>2328.125</v>
      </c>
      <c r="AJ13" s="2">
        <v>5.0417889023406133</v>
      </c>
      <c r="AK13" s="2">
        <f t="shared" si="17"/>
        <v>2319.3359375</v>
      </c>
      <c r="AL13" s="2">
        <v>0.46938002895399222</v>
      </c>
      <c r="AM13" s="2">
        <f t="shared" si="18"/>
        <v>-1.9280914961884277</v>
      </c>
      <c r="AN13" s="2">
        <f t="shared" si="19"/>
        <v>2.3665150209605539</v>
      </c>
      <c r="AO13" s="2">
        <f t="shared" si="20"/>
        <v>17.578125</v>
      </c>
      <c r="AQ13" s="66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6.4958298050311836E-2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5.0785310270662555E-2</v>
      </c>
      <c r="BM13" s="2"/>
      <c r="BO13" s="2">
        <v>9</v>
      </c>
      <c r="BP13" s="2">
        <f t="shared" si="21"/>
        <v>0.52290337097445727</v>
      </c>
      <c r="BQ13" s="2">
        <v>-1.9319434733892804E-2</v>
      </c>
      <c r="BR13" s="2">
        <f t="shared" si="22"/>
        <v>0.53382531418420309</v>
      </c>
      <c r="BS13" s="2">
        <v>4.1313643481500559E-2</v>
      </c>
      <c r="BT13" s="2">
        <f t="shared" si="7"/>
        <v>0.52836434257933018</v>
      </c>
      <c r="BU13" s="2">
        <v>1.1099685454051433E-2</v>
      </c>
      <c r="BV13" s="2">
        <f t="shared" si="8"/>
        <v>-2.1443964869628598E-4</v>
      </c>
      <c r="BW13" s="2">
        <f t="shared" si="9"/>
        <v>4.5856844760547858E-4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-3.7198443922739188E-2</v>
      </c>
      <c r="CC13" s="2">
        <f t="shared" si="24"/>
        <v>0.44644976850623697</v>
      </c>
      <c r="CD13" s="2">
        <v>2.4508396411888622E-3</v>
      </c>
      <c r="CE13" s="2">
        <f t="shared" si="11"/>
        <v>0.44098879690136406</v>
      </c>
      <c r="CF13" s="2">
        <v>-1.7343957271003019E-2</v>
      </c>
      <c r="CG13" s="2">
        <f t="shared" si="12"/>
        <v>6.4516822194379039E-4</v>
      </c>
      <c r="CH13" s="2">
        <f t="shared" si="13"/>
        <v>-4.2507258014859998E-5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2318.37756911</v>
      </c>
      <c r="L14" s="6" t="s">
        <v>7</v>
      </c>
      <c r="N14" s="6" t="s">
        <v>42</v>
      </c>
      <c r="O14" s="6">
        <f xml:space="preserve"> O5 * O13 * $C$13</f>
        <v>1657.1367659544949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9.5262451593092212E-4</v>
      </c>
      <c r="X14" s="2">
        <f t="shared" si="16"/>
        <v>0.98828125</v>
      </c>
      <c r="Y14" s="2">
        <f t="shared" si="1"/>
        <v>-7.2918642398889233E-5</v>
      </c>
      <c r="Z14" s="2">
        <f t="shared" si="3"/>
        <v>0.98779296875</v>
      </c>
      <c r="AA14" s="2">
        <f t="shared" si="2"/>
        <v>4.3984095538562862E-4</v>
      </c>
      <c r="AB14" s="2">
        <f t="shared" si="4"/>
        <v>4.1900327721082879E-7</v>
      </c>
      <c r="AC14" s="2">
        <f t="shared" si="5"/>
        <v>-3.2072605338150444E-8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-4.1077408011694843</v>
      </c>
      <c r="AI14" s="2">
        <f t="shared" si="26"/>
        <v>2319.3359375</v>
      </c>
      <c r="AJ14" s="2">
        <v>0.46938002895399222</v>
      </c>
      <c r="AK14" s="2">
        <f t="shared" si="17"/>
        <v>2314.94140625</v>
      </c>
      <c r="AL14" s="2">
        <v>-1.8185924063463972</v>
      </c>
      <c r="AM14" s="2">
        <f t="shared" si="18"/>
        <v>7.4703062282460895</v>
      </c>
      <c r="AN14" s="2">
        <f t="shared" si="19"/>
        <v>-0.85361095634638229</v>
      </c>
      <c r="AO14" s="2">
        <f t="shared" si="20"/>
        <v>8.7890625</v>
      </c>
      <c r="AQ14" s="66"/>
      <c r="AR14" s="3" t="s">
        <v>219</v>
      </c>
      <c r="AS14" s="26"/>
      <c r="AU14" s="60" t="s">
        <v>189</v>
      </c>
      <c r="AV14" s="60"/>
      <c r="AW14" s="60"/>
      <c r="AY14" s="2" t="s">
        <v>158</v>
      </c>
      <c r="AZ14" s="2">
        <f>(1+$BH$37)*$AR$3</f>
        <v>14.771931142015186</v>
      </c>
      <c r="BA14" s="26" t="s">
        <v>10</v>
      </c>
      <c r="BC14" s="2" t="s">
        <v>158</v>
      </c>
      <c r="BD14" s="2">
        <f>(1+$BL$37)*$AR$3</f>
        <v>16.422885996130933</v>
      </c>
      <c r="BE14" s="26" t="s">
        <v>10</v>
      </c>
      <c r="BG14" s="2" t="s">
        <v>190</v>
      </c>
      <c r="BH14" s="2">
        <f xml:space="preserve"> BH12*COS(BH4) - BH13*SIN(BH4)</f>
        <v>0.58837691335410047</v>
      </c>
      <c r="BI14" s="2"/>
      <c r="BJ14" s="2"/>
      <c r="BK14" s="2" t="s">
        <v>190</v>
      </c>
      <c r="BL14" s="2">
        <f xml:space="preserve"> BL12*COS(BL4) - BL13*SIN(BL4)</f>
        <v>0.93827342857074369</v>
      </c>
      <c r="BM14" s="2"/>
      <c r="BO14" s="2">
        <v>10</v>
      </c>
      <c r="BP14" s="2">
        <f t="shared" si="21"/>
        <v>0.52290337097445727</v>
      </c>
      <c r="BQ14" s="2">
        <v>-1.9319434733892804E-2</v>
      </c>
      <c r="BR14" s="2">
        <f t="shared" si="22"/>
        <v>0.52836434257933018</v>
      </c>
      <c r="BS14" s="2">
        <v>1.1099685454051433E-2</v>
      </c>
      <c r="BT14" s="2">
        <f t="shared" si="7"/>
        <v>0.52563385677689367</v>
      </c>
      <c r="BU14" s="2">
        <v>-4.0849079895635965E-3</v>
      </c>
      <c r="BV14" s="2">
        <f t="shared" si="8"/>
        <v>7.8918113298331172E-5</v>
      </c>
      <c r="BW14" s="2">
        <f t="shared" si="9"/>
        <v>-4.5341193792897533E-5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-1.7343957271003019E-2</v>
      </c>
      <c r="CC14" s="2">
        <f t="shared" si="24"/>
        <v>0.44644976850623697</v>
      </c>
      <c r="CD14" s="2">
        <v>2.4508396411888622E-3</v>
      </c>
      <c r="CE14" s="2">
        <f t="shared" si="11"/>
        <v>0.44371928270380051</v>
      </c>
      <c r="CF14" s="2">
        <v>-7.4384254580820292E-3</v>
      </c>
      <c r="CG14" s="2">
        <f t="shared" si="12"/>
        <v>1.2901173330851577E-4</v>
      </c>
      <c r="CH14" s="2">
        <f t="shared" si="13"/>
        <v>-1.823038798069586E-5</v>
      </c>
      <c r="CI14" s="2">
        <f t="shared" si="14"/>
        <v>5.4609716048729107E-3</v>
      </c>
    </row>
    <row r="15" spans="2:87" x14ac:dyDescent="0.2">
      <c r="F15" s="56" t="s">
        <v>89</v>
      </c>
      <c r="G15" s="57"/>
      <c r="H15" s="57"/>
      <c r="J15" s="11" t="s">
        <v>55</v>
      </c>
      <c r="K15" s="6">
        <f xml:space="preserve"> 1000 * K10 / ($C$59 * $C$60 * $C$61)</f>
        <v>528.74285319668411</v>
      </c>
      <c r="L15" s="6" t="s">
        <v>7</v>
      </c>
      <c r="N15" s="6" t="s">
        <v>237</v>
      </c>
      <c r="O15" s="6">
        <f>O4/O14</f>
        <v>13.712541892221561</v>
      </c>
      <c r="U15" s="2">
        <v>11</v>
      </c>
      <c r="V15" s="2">
        <f t="shared" si="15"/>
        <v>0.98779296875</v>
      </c>
      <c r="W15" s="2">
        <f t="shared" si="0"/>
        <v>4.3984095538562862E-4</v>
      </c>
      <c r="X15" s="2">
        <f t="shared" si="16"/>
        <v>0.98828125</v>
      </c>
      <c r="Y15" s="2">
        <f t="shared" si="1"/>
        <v>-7.2918642398889233E-5</v>
      </c>
      <c r="Z15" s="2">
        <f t="shared" si="3"/>
        <v>0.988037109375</v>
      </c>
      <c r="AA15" s="2">
        <f t="shared" si="2"/>
        <v>1.8345816333820153E-4</v>
      </c>
      <c r="AB15" s="2">
        <f t="shared" si="4"/>
        <v>8.0692413835967264E-8</v>
      </c>
      <c r="AC15" s="2">
        <f t="shared" si="5"/>
        <v>-1.3377520207615329E-8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-1.8185924063463972</v>
      </c>
      <c r="AI15" s="2">
        <f t="shared" si="26"/>
        <v>2319.3359375</v>
      </c>
      <c r="AJ15" s="2">
        <v>0.46938002895399222</v>
      </c>
      <c r="AK15" s="2">
        <f t="shared" si="17"/>
        <v>2317.138671875</v>
      </c>
      <c r="AL15" s="2">
        <v>-0.67445890412022891</v>
      </c>
      <c r="AM15" s="2">
        <f t="shared" si="18"/>
        <v>1.226565841425761</v>
      </c>
      <c r="AN15" s="2">
        <f t="shared" si="19"/>
        <v>-0.31657753994423093</v>
      </c>
      <c r="AO15" s="2">
        <f t="shared" si="20"/>
        <v>4.39453125</v>
      </c>
      <c r="AQ15" s="66"/>
      <c r="AR15" s="3" t="s">
        <v>219</v>
      </c>
      <c r="AS15" s="26"/>
      <c r="AU15" s="2" t="s">
        <v>191</v>
      </c>
      <c r="AV15" s="2">
        <f>AV10*(AR3/2 + SQRT( (AR3/2)^2 + AV10/(2*AR45*PI()*AV3^2) ) )/1000</f>
        <v>42.630762770451184</v>
      </c>
      <c r="AW15" s="26" t="s">
        <v>104</v>
      </c>
      <c r="AY15" s="2" t="s">
        <v>163</v>
      </c>
      <c r="AZ15" s="2">
        <f>(1-$BH$38)*$AV$5*$AR$21</f>
        <v>35.715092815996009</v>
      </c>
      <c r="BA15" s="26" t="s">
        <v>10</v>
      </c>
      <c r="BC15" s="2" t="s">
        <v>163</v>
      </c>
      <c r="BD15" s="2">
        <f>(1-$BL$38)*$AV$5*$AR$22</f>
        <v>44.576672929606822</v>
      </c>
      <c r="BE15" s="26" t="s">
        <v>10</v>
      </c>
      <c r="BG15" s="2" t="s">
        <v>192</v>
      </c>
      <c r="BH15" s="2">
        <f xml:space="preserve"> BH12*SIN(BH4) + BH13*COS(BH4)</f>
        <v>0.417002894180939</v>
      </c>
      <c r="BI15" s="2"/>
      <c r="BJ15" s="2"/>
      <c r="BK15" s="2" t="s">
        <v>192</v>
      </c>
      <c r="BL15" s="2">
        <f xml:space="preserve"> BL12*SIN(BL4) + BL13*COS(BL4)</f>
        <v>0.50464138819794357</v>
      </c>
      <c r="BM15" s="2"/>
      <c r="BO15" s="2">
        <v>11</v>
      </c>
      <c r="BP15" s="2">
        <f t="shared" si="21"/>
        <v>0.52563385677689367</v>
      </c>
      <c r="BQ15" s="2">
        <v>-4.0849079895635965E-3</v>
      </c>
      <c r="BR15" s="2">
        <f t="shared" si="22"/>
        <v>0.52836434257933018</v>
      </c>
      <c r="BS15" s="2">
        <v>1.1099685454051433E-2</v>
      </c>
      <c r="BT15" s="2">
        <f t="shared" si="7"/>
        <v>0.52699909967811198</v>
      </c>
      <c r="BU15" s="2">
        <v>3.5137175674112009E-3</v>
      </c>
      <c r="BV15" s="2">
        <f t="shared" si="8"/>
        <v>-1.435321296418798E-5</v>
      </c>
      <c r="BW15" s="2">
        <f t="shared" si="9"/>
        <v>3.900115977263909E-5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-7.4384254580820292E-3</v>
      </c>
      <c r="CC15" s="2">
        <f t="shared" si="24"/>
        <v>0.44644976850623697</v>
      </c>
      <c r="CD15" s="2">
        <v>2.4508396411888622E-3</v>
      </c>
      <c r="CE15" s="2">
        <f t="shared" si="11"/>
        <v>0.44508452560501877</v>
      </c>
      <c r="CF15" s="2">
        <v>-2.4916781949211597E-3</v>
      </c>
      <c r="CG15" s="2">
        <f t="shared" si="12"/>
        <v>1.8534162518449432E-5</v>
      </c>
      <c r="CH15" s="2">
        <f t="shared" si="13"/>
        <v>-6.1067036931986869E-6</v>
      </c>
      <c r="CI15" s="2">
        <f t="shared" si="14"/>
        <v>2.7304858024364553E-3</v>
      </c>
    </row>
    <row r="16" spans="2:87" x14ac:dyDescent="0.2">
      <c r="B16" s="53" t="s">
        <v>12</v>
      </c>
      <c r="C16" s="53"/>
      <c r="D16" s="53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171.41527508587006</v>
      </c>
      <c r="L16" s="6" t="s">
        <v>7</v>
      </c>
      <c r="N16" s="6" t="s">
        <v>118</v>
      </c>
      <c r="O16" s="6">
        <f>(O13*$C$13)/(0.3048^2)/($C$5*2.20462/1000)^(2/3)</f>
        <v>4.7684592268972361</v>
      </c>
      <c r="U16" s="2">
        <v>12</v>
      </c>
      <c r="V16" s="2">
        <f t="shared" si="15"/>
        <v>0.988037109375</v>
      </c>
      <c r="W16" s="2">
        <f t="shared" si="0"/>
        <v>1.8345816333820153E-4</v>
      </c>
      <c r="X16" s="2">
        <f t="shared" si="16"/>
        <v>0.98828125</v>
      </c>
      <c r="Y16" s="2">
        <f t="shared" si="1"/>
        <v>-7.2918642398889233E-5</v>
      </c>
      <c r="Z16" s="2">
        <f t="shared" si="3"/>
        <v>0.9881591796875</v>
      </c>
      <c r="AA16" s="2">
        <f t="shared" si="2"/>
        <v>5.5269012454339794E-5</v>
      </c>
      <c r="AB16" s="2">
        <f t="shared" si="4"/>
        <v>1.0139551514389365E-8</v>
      </c>
      <c r="AC16" s="2">
        <f t="shared" si="5"/>
        <v>-4.0301413548977587E-9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-0.67445890412022891</v>
      </c>
      <c r="AI16" s="2">
        <f t="shared" si="26"/>
        <v>2319.3359375</v>
      </c>
      <c r="AJ16" s="2">
        <v>0.46938002895399222</v>
      </c>
      <c r="AK16" s="2">
        <f t="shared" si="17"/>
        <v>2318.2373046875</v>
      </c>
      <c r="AL16" s="2">
        <v>-0.10250282710421743</v>
      </c>
      <c r="AM16" s="2">
        <f t="shared" si="18"/>
        <v>6.9133944437935788E-2</v>
      </c>
      <c r="AN16" s="2">
        <f t="shared" si="19"/>
        <v>-4.8112779954043637E-2</v>
      </c>
      <c r="AO16" s="2">
        <f t="shared" si="20"/>
        <v>2.197265625</v>
      </c>
      <c r="AQ16" s="66"/>
      <c r="AR16" s="3" t="s">
        <v>219</v>
      </c>
      <c r="AS16" s="26"/>
      <c r="AU16" s="2" t="s">
        <v>193</v>
      </c>
      <c r="AV16" s="2">
        <f>AV15/AV12</f>
        <v>0.58735923782323063</v>
      </c>
      <c r="AW16" s="26"/>
      <c r="AY16" s="2" t="s">
        <v>167</v>
      </c>
      <c r="AZ16" s="2">
        <f>SQRT(AZ14^2 + AZ15^2)</f>
        <v>38.649421787649658</v>
      </c>
      <c r="BA16" s="26" t="s">
        <v>10</v>
      </c>
      <c r="BC16" s="2" t="s">
        <v>167</v>
      </c>
      <c r="BD16" s="2">
        <f>SQRT(BD14^2 + BD15^2)</f>
        <v>47.505693910467777</v>
      </c>
      <c r="BE16" s="26" t="s">
        <v>10</v>
      </c>
      <c r="BG16" s="2" t="s">
        <v>38</v>
      </c>
      <c r="BH16" s="2">
        <f xml:space="preserve"> 4*BH11*SIN(BH4)*SIN(BH4) / (BH8*BH14)</f>
        <v>1.3230689010946743</v>
      </c>
      <c r="BI16" s="2"/>
      <c r="BJ16" s="2"/>
      <c r="BK16" s="2" t="s">
        <v>38</v>
      </c>
      <c r="BL16" s="2">
        <f xml:space="preserve"> 4*BL11*SIN(BL4)*SIN(BL4) / (BL8*BL14)</f>
        <v>1.2465864381637131</v>
      </c>
      <c r="BM16" s="2"/>
      <c r="BO16" s="2">
        <v>12</v>
      </c>
      <c r="BP16" s="2">
        <f t="shared" si="21"/>
        <v>0.52563385677689367</v>
      </c>
      <c r="BQ16" s="2">
        <v>-4.0849079895635965E-3</v>
      </c>
      <c r="BR16" s="2">
        <f t="shared" si="22"/>
        <v>0.52699909967811198</v>
      </c>
      <c r="BS16" s="2">
        <v>3.5137175674112009E-3</v>
      </c>
      <c r="BT16" s="2">
        <f t="shared" si="7"/>
        <v>0.52631647822750283</v>
      </c>
      <c r="BU16" s="2">
        <v>-2.8402375017259895E-4</v>
      </c>
      <c r="BV16" s="2">
        <f t="shared" si="8"/>
        <v>1.1602108863058645E-6</v>
      </c>
      <c r="BW16" s="2">
        <f t="shared" si="9"/>
        <v>-9.9797924054347105E-7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-2.4916781949211597E-3</v>
      </c>
      <c r="CC16" s="2">
        <f t="shared" si="24"/>
        <v>0.44644976850623697</v>
      </c>
      <c r="CD16" s="2">
        <v>2.4508396411888622E-3</v>
      </c>
      <c r="CE16" s="2">
        <f t="shared" si="11"/>
        <v>0.44576714705562787</v>
      </c>
      <c r="CF16" s="2">
        <v>-1.988058891259914E-5</v>
      </c>
      <c r="CG16" s="2">
        <f t="shared" si="12"/>
        <v>4.9536029895714644E-8</v>
      </c>
      <c r="CH16" s="2">
        <f t="shared" si="13"/>
        <v>-4.8724135397177746E-8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5.5269012454339794E-5</v>
      </c>
      <c r="X17" s="2">
        <f t="shared" si="16"/>
        <v>0.98828125</v>
      </c>
      <c r="Y17" s="2">
        <f t="shared" si="1"/>
        <v>-7.2918642398889233E-5</v>
      </c>
      <c r="Z17" s="2">
        <f t="shared" si="3"/>
        <v>0.98822021484375</v>
      </c>
      <c r="AA17" s="2">
        <f t="shared" si="2"/>
        <v>-8.8250019419922054E-6</v>
      </c>
      <c r="AB17" s="2">
        <f t="shared" si="4"/>
        <v>-4.8774914224154003E-10</v>
      </c>
      <c r="AC17" s="2">
        <f t="shared" si="5"/>
        <v>6.4350716077763265E-10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-0.10250282710421743</v>
      </c>
      <c r="AI17" s="2">
        <f t="shared" si="26"/>
        <v>2319.3359375</v>
      </c>
      <c r="AJ17" s="2">
        <v>0.46938002895399222</v>
      </c>
      <c r="AK17" s="2">
        <f t="shared" si="17"/>
        <v>2318.78662109375</v>
      </c>
      <c r="AL17" s="2">
        <v>0.18344793486176059</v>
      </c>
      <c r="AM17" s="2">
        <f t="shared" si="18"/>
        <v>-1.8803931949760787E-2</v>
      </c>
      <c r="AN17" s="2">
        <f t="shared" si="19"/>
        <v>8.610679697696326E-2</v>
      </c>
      <c r="AO17" s="2">
        <f t="shared" si="20"/>
        <v>1.0986328125</v>
      </c>
      <c r="AQ17" s="66"/>
      <c r="AR17" s="3" t="s">
        <v>219</v>
      </c>
      <c r="AS17" s="26"/>
      <c r="AU17" s="2" t="s">
        <v>190</v>
      </c>
      <c r="AV17" s="2">
        <f>AV10/($AR$45*AV6^2*AR9^4)</f>
        <v>0.35427596967494085</v>
      </c>
      <c r="AW17" s="2"/>
      <c r="AY17" s="2" t="s">
        <v>170</v>
      </c>
      <c r="AZ17" s="37">
        <f>$AR$45*AZ16*$AR$27/$AR$46</f>
        <v>1933922.1740803372</v>
      </c>
      <c r="BA17" s="26"/>
      <c r="BC17" s="2" t="s">
        <v>170</v>
      </c>
      <c r="BD17" s="37">
        <f>$AR$45*BD16*$AR$27/$AR$46</f>
        <v>2377068.2871608827</v>
      </c>
      <c r="BE17" s="26"/>
      <c r="BG17" s="2" t="s">
        <v>194</v>
      </c>
      <c r="BH17" s="2">
        <f xml:space="preserve"> 4*BH11*SIN(BH4)*COS(BH4) / (BH8*BH15)</f>
        <v>3.2128254375990659</v>
      </c>
      <c r="BI17" s="2"/>
      <c r="BJ17" s="2"/>
      <c r="BK17" s="2" t="s">
        <v>194</v>
      </c>
      <c r="BL17" s="2">
        <f xml:space="preserve"> 4*BL11*SIN(BL4)*COS(BL4) / (BL8*BL15)</f>
        <v>4.8503787527033584</v>
      </c>
      <c r="BM17" s="2"/>
      <c r="BO17" s="2">
        <v>13</v>
      </c>
      <c r="BP17" s="2">
        <f t="shared" si="21"/>
        <v>0.52631647822750283</v>
      </c>
      <c r="BQ17" s="2">
        <v>-2.8402375017259895E-4</v>
      </c>
      <c r="BR17" s="2">
        <f t="shared" si="22"/>
        <v>0.52699909967811198</v>
      </c>
      <c r="BS17" s="2">
        <v>3.5137175674112009E-3</v>
      </c>
      <c r="BT17" s="2">
        <f t="shared" si="7"/>
        <v>0.52665778895280746</v>
      </c>
      <c r="BU17" s="2">
        <v>1.6152411265580452E-3</v>
      </c>
      <c r="BV17" s="2">
        <f t="shared" si="8"/>
        <v>-4.5876684219802953E-7</v>
      </c>
      <c r="BW17" s="2">
        <f t="shared" si="9"/>
        <v>5.6755011219920622E-6</v>
      </c>
      <c r="BX17" s="2">
        <f t="shared" si="10"/>
        <v>6.8262145060915547E-4</v>
      </c>
      <c r="BZ17" s="2">
        <v>13</v>
      </c>
      <c r="CA17" s="2">
        <f t="shared" si="23"/>
        <v>0.44576714705562787</v>
      </c>
      <c r="CB17" s="2">
        <v>-1.988058891259914E-5</v>
      </c>
      <c r="CC17" s="2">
        <f t="shared" si="24"/>
        <v>0.44644976850623697</v>
      </c>
      <c r="CD17" s="2">
        <v>2.4508396411888622E-3</v>
      </c>
      <c r="CE17" s="2">
        <f t="shared" si="11"/>
        <v>0.44610845778093244</v>
      </c>
      <c r="CF17" s="2">
        <v>1.2156154392762714E-3</v>
      </c>
      <c r="CG17" s="2">
        <f t="shared" si="12"/>
        <v>-2.4167150824060172E-8</v>
      </c>
      <c r="CH17" s="2">
        <f t="shared" si="13"/>
        <v>2.9792785070194979E-6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114.54691644927325</v>
      </c>
      <c r="L18" s="6" t="s">
        <v>7</v>
      </c>
      <c r="N18" s="56" t="s">
        <v>238</v>
      </c>
      <c r="O18" s="58"/>
      <c r="P18" s="58"/>
      <c r="U18" s="2">
        <v>14</v>
      </c>
      <c r="V18" s="2">
        <f t="shared" si="15"/>
        <v>0.9881591796875</v>
      </c>
      <c r="W18" s="2">
        <f t="shared" si="0"/>
        <v>5.5269012454339794E-5</v>
      </c>
      <c r="X18" s="2">
        <f t="shared" si="16"/>
        <v>0.98822021484375</v>
      </c>
      <c r="Y18" s="2">
        <f t="shared" si="1"/>
        <v>-8.8250019419922054E-6</v>
      </c>
      <c r="Z18" s="2">
        <f t="shared" si="3"/>
        <v>0.988189697265625</v>
      </c>
      <c r="AA18" s="2">
        <f t="shared" si="2"/>
        <v>2.3221958509456186E-5</v>
      </c>
      <c r="AB18" s="2">
        <f t="shared" si="4"/>
        <v>1.2834547140732959E-9</v>
      </c>
      <c r="AC18" s="2">
        <f t="shared" si="5"/>
        <v>-2.0493382894281327E-10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-0.10250282710421743</v>
      </c>
      <c r="AI18" s="2">
        <f t="shared" si="26"/>
        <v>2318.78662109375</v>
      </c>
      <c r="AJ18" s="2">
        <v>0.18344793486176059</v>
      </c>
      <c r="AK18" s="2">
        <f t="shared" si="17"/>
        <v>2318.511962890625</v>
      </c>
      <c r="AL18" s="2">
        <v>4.047475242668952E-2</v>
      </c>
      <c r="AM18" s="2">
        <f t="shared" si="18"/>
        <v>-4.1487765500789605E-3</v>
      </c>
      <c r="AN18" s="2">
        <f t="shared" si="19"/>
        <v>7.4250097467172252E-3</v>
      </c>
      <c r="AO18" s="2">
        <f t="shared" si="20"/>
        <v>0.54931640625</v>
      </c>
      <c r="AQ18" s="66"/>
      <c r="AR18" s="3" t="s">
        <v>219</v>
      </c>
      <c r="AU18" s="2" t="s">
        <v>192</v>
      </c>
      <c r="AV18" s="2">
        <f>AV11/($AR$45*AV6^2*AR9^5)</f>
        <v>5.0017917873848204E-2</v>
      </c>
      <c r="AW18" s="26"/>
      <c r="AY18" s="2" t="s">
        <v>174</v>
      </c>
      <c r="AZ18" s="2">
        <f xml:space="preserve"> $BH$27 * PI() * $AR$45 * AZ16^2 *$BH$33 * $AR$21 * AZ13</f>
        <v>202.76898220300606</v>
      </c>
      <c r="BA18" s="26" t="s">
        <v>22</v>
      </c>
      <c r="BC18" s="2" t="s">
        <v>174</v>
      </c>
      <c r="BD18" s="2">
        <f xml:space="preserve"> $BL$27 * PI() * $AR$45 * BD16^2 * $BL$33 * $AR$22 * BD13</f>
        <v>318.05745618238507</v>
      </c>
      <c r="BE18" s="26" t="s">
        <v>22</v>
      </c>
      <c r="BG18" s="2" t="s">
        <v>45</v>
      </c>
      <c r="BH18" s="2">
        <f>1/(BH16-1)</f>
        <v>3.0953149517382768</v>
      </c>
      <c r="BI18" s="2"/>
      <c r="BJ18" s="2"/>
      <c r="BK18" s="2" t="s">
        <v>45</v>
      </c>
      <c r="BL18" s="2">
        <f>1/(BL16-1)</f>
        <v>4.0553730669327503</v>
      </c>
      <c r="BM18" s="2"/>
      <c r="BO18" s="2">
        <v>14</v>
      </c>
      <c r="BP18" s="2">
        <f t="shared" si="21"/>
        <v>0.52631647822750283</v>
      </c>
      <c r="BQ18" s="2">
        <v>-2.8402375017259895E-4</v>
      </c>
      <c r="BR18" s="2">
        <f t="shared" si="22"/>
        <v>0.52665778895280746</v>
      </c>
      <c r="BS18" s="2">
        <v>1.6152411265580452E-3</v>
      </c>
      <c r="BT18" s="2">
        <f t="shared" si="7"/>
        <v>0.52648713359015509</v>
      </c>
      <c r="BU18" s="2">
        <v>6.6570707416663266E-4</v>
      </c>
      <c r="BV18" s="2">
        <f t="shared" si="8"/>
        <v>-1.8907661972123547E-7</v>
      </c>
      <c r="BW18" s="2">
        <f t="shared" si="9"/>
        <v>1.075277444434572E-6</v>
      </c>
      <c r="BX18" s="2">
        <f t="shared" si="10"/>
        <v>3.4131072530463324E-4</v>
      </c>
      <c r="BZ18" s="2">
        <v>14</v>
      </c>
      <c r="CA18" s="2">
        <f t="shared" si="23"/>
        <v>0.44576714705562787</v>
      </c>
      <c r="CB18" s="2">
        <v>-1.988058891259914E-5</v>
      </c>
      <c r="CC18" s="2">
        <f t="shared" si="24"/>
        <v>0.44610845778093244</v>
      </c>
      <c r="CD18" s="2">
        <v>1.2156154392762714E-3</v>
      </c>
      <c r="CE18" s="2">
        <f t="shared" si="11"/>
        <v>0.44593780241828018</v>
      </c>
      <c r="CF18" s="2">
        <v>5.9790124876954454E-4</v>
      </c>
      <c r="CG18" s="2">
        <f t="shared" si="12"/>
        <v>-1.1886628937116987E-8</v>
      </c>
      <c r="CH18" s="2">
        <f t="shared" si="13"/>
        <v>7.2681798916682113E-7</v>
      </c>
      <c r="CI18" s="2">
        <f t="shared" si="14"/>
        <v>3.4131072530457773E-4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89.065228566215978</v>
      </c>
      <c r="H19" s="6" t="s">
        <v>104</v>
      </c>
      <c r="J19" s="13" t="s">
        <v>80</v>
      </c>
      <c r="K19" s="6">
        <f xml:space="preserve"> $C$77 * (0.1149 * K4 + 0.1149 * K6)</f>
        <v>61.559591674562675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2.3221958509456186E-5</v>
      </c>
      <c r="X19" s="2">
        <f t="shared" si="16"/>
        <v>0.98822021484375</v>
      </c>
      <c r="Y19" s="2">
        <f t="shared" si="1"/>
        <v>-8.8250019419922054E-6</v>
      </c>
      <c r="Z19" s="2">
        <f t="shared" si="3"/>
        <v>0.9882049560546875</v>
      </c>
      <c r="AA19" s="2">
        <f t="shared" si="2"/>
        <v>7.1984665976909668E-6</v>
      </c>
      <c r="AB19" s="2">
        <f t="shared" si="4"/>
        <v>1.6716249266328587E-10</v>
      </c>
      <c r="AC19" s="2">
        <f t="shared" si="5"/>
        <v>-6.3526481703988801E-11</v>
      </c>
      <c r="AD19" s="2">
        <f t="shared" si="6"/>
        <v>3.0517578125E-5</v>
      </c>
      <c r="AF19" s="2">
        <v>15</v>
      </c>
      <c r="AG19" s="2">
        <f t="shared" si="25"/>
        <v>2318.2373046875</v>
      </c>
      <c r="AH19" s="2">
        <v>-0.10250282710421743</v>
      </c>
      <c r="AI19" s="2">
        <f t="shared" si="26"/>
        <v>2318.511962890625</v>
      </c>
      <c r="AJ19" s="2">
        <v>4.047475242668952E-2</v>
      </c>
      <c r="AK19" s="2">
        <f t="shared" si="17"/>
        <v>2318.3746337890625</v>
      </c>
      <c r="AL19" s="2">
        <v>-3.1013128523909472E-2</v>
      </c>
      <c r="AM19" s="2">
        <f t="shared" si="18"/>
        <v>3.1789333510471667E-3</v>
      </c>
      <c r="AN19" s="2">
        <f t="shared" si="19"/>
        <v>-1.2552486989823388E-3</v>
      </c>
      <c r="AO19" s="2">
        <f t="shared" si="20"/>
        <v>0.274658203125</v>
      </c>
      <c r="AQ19" s="66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0.31427184668067826</v>
      </c>
      <c r="AW19" s="26"/>
      <c r="AY19" s="2" t="s">
        <v>178</v>
      </c>
      <c r="AZ19" s="2">
        <f xml:space="preserve"> $BH$27 * PI() * $AR$45 * AZ16^2 * $BH$34 * $AR$21^2 * AZ13</f>
        <v>65.027404349456333</v>
      </c>
      <c r="BA19" s="26" t="s">
        <v>179</v>
      </c>
      <c r="BC19" s="2" t="s">
        <v>178</v>
      </c>
      <c r="BD19" s="2">
        <f xml:space="preserve"> $BL$27 * PI() * $AR$45 * BD16^2 * $BL$34 * $AR$22^2 * BD13</f>
        <v>110.76314265450068</v>
      </c>
      <c r="BE19" s="26" t="s">
        <v>179</v>
      </c>
      <c r="BG19" s="2" t="s">
        <v>197</v>
      </c>
      <c r="BH19" s="2">
        <f>1/(BH17+1)</f>
        <v>0.23737038593507701</v>
      </c>
      <c r="BI19" s="2"/>
      <c r="BJ19" s="2"/>
      <c r="BK19" s="2" t="s">
        <v>197</v>
      </c>
      <c r="BL19" s="2">
        <f>1/(BL17+1)</f>
        <v>0.17092910429737859</v>
      </c>
      <c r="BM19" s="2"/>
      <c r="BO19" s="2">
        <v>15</v>
      </c>
      <c r="BP19" s="2">
        <f t="shared" si="21"/>
        <v>0.52631647822750283</v>
      </c>
      <c r="BQ19" s="2">
        <v>-2.8402375017259895E-4</v>
      </c>
      <c r="BR19" s="2">
        <f t="shared" si="22"/>
        <v>0.52648713359015509</v>
      </c>
      <c r="BS19" s="2">
        <v>6.6570707416663266E-4</v>
      </c>
      <c r="BT19" s="2">
        <f t="shared" si="7"/>
        <v>0.5264018059088289</v>
      </c>
      <c r="BU19" s="2">
        <v>1.9086623737575581E-4</v>
      </c>
      <c r="BV19" s="2">
        <f t="shared" si="8"/>
        <v>-5.4210544520795635E-8</v>
      </c>
      <c r="BW19" s="2">
        <f t="shared" si="9"/>
        <v>1.270610044406084E-7</v>
      </c>
      <c r="BX19" s="2">
        <f t="shared" si="10"/>
        <v>1.7065536265226111E-4</v>
      </c>
      <c r="BZ19" s="2">
        <v>15</v>
      </c>
      <c r="CA19" s="2">
        <f t="shared" si="23"/>
        <v>0.44576714705562787</v>
      </c>
      <c r="CB19" s="2">
        <v>-1.988058891259914E-5</v>
      </c>
      <c r="CC19" s="2">
        <f t="shared" si="24"/>
        <v>0.44593780241828018</v>
      </c>
      <c r="CD19" s="2">
        <v>5.9790124876954454E-4</v>
      </c>
      <c r="CE19" s="2">
        <f t="shared" si="11"/>
        <v>0.445852474736954</v>
      </c>
      <c r="CF19" s="2">
        <v>2.8901876644917002E-4</v>
      </c>
      <c r="CG19" s="2">
        <f t="shared" si="12"/>
        <v>-5.7458632838024496E-9</v>
      </c>
      <c r="CH19" s="2">
        <f t="shared" si="13"/>
        <v>1.728046813777921E-7</v>
      </c>
      <c r="CI19" s="2">
        <f t="shared" si="14"/>
        <v>1.7065536265231662E-4</v>
      </c>
    </row>
    <row r="20" spans="2:87" x14ac:dyDescent="0.2">
      <c r="F20" s="44" t="s">
        <v>225</v>
      </c>
      <c r="G20" s="43">
        <f xml:space="preserve"> $C$28 * G19</f>
        <v>89.065228566215978</v>
      </c>
      <c r="H20" s="43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216.5369675782195</v>
      </c>
      <c r="L20" s="6" t="s">
        <v>7</v>
      </c>
      <c r="N20" s="6" t="s">
        <v>21</v>
      </c>
      <c r="O20" s="6">
        <f xml:space="preserve"> O14 / $C$28</f>
        <v>1657.1367659544949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7.1984665976909668E-6</v>
      </c>
      <c r="X20" s="2">
        <f t="shared" si="16"/>
        <v>0.98822021484375</v>
      </c>
      <c r="Y20" s="2">
        <f t="shared" si="1"/>
        <v>-8.8250019419922054E-6</v>
      </c>
      <c r="Z20" s="2">
        <f t="shared" si="3"/>
        <v>0.98821258544921875</v>
      </c>
      <c r="AA20" s="2">
        <f t="shared" si="2"/>
        <v>-8.132705936469975E-7</v>
      </c>
      <c r="AB20" s="2">
        <f t="shared" si="4"/>
        <v>-5.854301203252215E-12</v>
      </c>
      <c r="AC20" s="2">
        <f t="shared" si="5"/>
        <v>7.177114568299907E-12</v>
      </c>
      <c r="AD20" s="2">
        <f t="shared" si="6"/>
        <v>1.52587890625E-5</v>
      </c>
      <c r="AF20" s="2">
        <v>16</v>
      </c>
      <c r="AG20" s="2">
        <f t="shared" si="25"/>
        <v>2318.3746337890625</v>
      </c>
      <c r="AH20" s="2">
        <v>-3.1013128523909472E-2</v>
      </c>
      <c r="AI20" s="2">
        <f t="shared" si="26"/>
        <v>2318.511962890625</v>
      </c>
      <c r="AJ20" s="2">
        <v>4.047475242668952E-2</v>
      </c>
      <c r="AK20" s="2">
        <f t="shared" si="17"/>
        <v>2318.4432983398438</v>
      </c>
      <c r="AL20" s="2">
        <v>4.731128968842313E-3</v>
      </c>
      <c r="AM20" s="2">
        <f t="shared" si="18"/>
        <v>-1.4672711077389795E-4</v>
      </c>
      <c r="AN20" s="2">
        <f t="shared" si="19"/>
        <v>1.9149127371263149E-4</v>
      </c>
      <c r="AO20" s="2">
        <f t="shared" si="20"/>
        <v>0.1373291015625</v>
      </c>
      <c r="AQ20" s="66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9.9392240239575907E-2</v>
      </c>
      <c r="AW20" s="26"/>
      <c r="BG20" s="7" t="s">
        <v>199</v>
      </c>
      <c r="BH20" s="40">
        <f>SIN(BH4)/(1+BH18) - $AR$3*COS(BH4)/($AV$5*$AR$19*(1-BH19))</f>
        <v>-8.4734595867663742E-9</v>
      </c>
      <c r="BI20" s="40"/>
      <c r="BJ20" s="2"/>
      <c r="BK20" s="7" t="s">
        <v>199</v>
      </c>
      <c r="BL20" s="40">
        <f>SIN(BL4)/(1+BL18) - $AR$3*COS(BL4)/($AV$5*$AR$20*(1-BL19))</f>
        <v>1.1665570176511153E-9</v>
      </c>
      <c r="BM20" s="40"/>
      <c r="BO20" s="2">
        <v>16</v>
      </c>
      <c r="BP20" s="2">
        <f t="shared" si="21"/>
        <v>0.52631647822750283</v>
      </c>
      <c r="BQ20" s="2">
        <v>-2.8402375017259895E-4</v>
      </c>
      <c r="BR20" s="2">
        <f t="shared" si="22"/>
        <v>0.5264018059088289</v>
      </c>
      <c r="BS20" s="2">
        <v>1.9086623737575581E-4</v>
      </c>
      <c r="BT20" s="2">
        <f t="shared" si="7"/>
        <v>0.52635914206816592</v>
      </c>
      <c r="BU20" s="2">
        <v>-4.6572615195791811E-5</v>
      </c>
      <c r="BV20" s="2">
        <f t="shared" si="8"/>
        <v>1.3227728823254159E-8</v>
      </c>
      <c r="BW20" s="2">
        <f t="shared" si="9"/>
        <v>-8.8891398271697325E-9</v>
      </c>
      <c r="BX20" s="2">
        <f t="shared" si="10"/>
        <v>8.5327681326075044E-5</v>
      </c>
      <c r="BZ20" s="2">
        <v>16</v>
      </c>
      <c r="CA20" s="2">
        <f t="shared" si="23"/>
        <v>0.44576714705562787</v>
      </c>
      <c r="CB20" s="2">
        <v>-1.988058891259914E-5</v>
      </c>
      <c r="CC20" s="2">
        <f t="shared" si="24"/>
        <v>0.445852474736954</v>
      </c>
      <c r="CD20" s="2">
        <v>2.8901876644917002E-4</v>
      </c>
      <c r="CE20" s="2">
        <f t="shared" si="11"/>
        <v>0.4458098108962909</v>
      </c>
      <c r="CF20" s="2">
        <v>1.3457119547395646E-4</v>
      </c>
      <c r="CG20" s="2">
        <f t="shared" si="12"/>
        <v>-2.6753546166947502E-9</v>
      </c>
      <c r="CH20" s="2">
        <f t="shared" si="13"/>
        <v>3.8893600915473026E-8</v>
      </c>
      <c r="CI20" s="2">
        <f t="shared" si="14"/>
        <v>8.5327681326130556E-5</v>
      </c>
    </row>
    <row r="21" spans="2:87" x14ac:dyDescent="0.2">
      <c r="B21" s="53" t="s">
        <v>115</v>
      </c>
      <c r="C21" s="53"/>
      <c r="D21" s="53"/>
      <c r="J21" s="14" t="s">
        <v>64</v>
      </c>
      <c r="K21" s="6">
        <f xml:space="preserve"> $C$78 * C40 * $C$5</f>
        <v>60.277816796860002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0.9882049560546875</v>
      </c>
      <c r="W21" s="2">
        <f t="shared" si="0"/>
        <v>7.1984665976909668E-6</v>
      </c>
      <c r="X21" s="2">
        <f t="shared" si="16"/>
        <v>0.98821258544921875</v>
      </c>
      <c r="Y21" s="2">
        <f t="shared" si="1"/>
        <v>-8.132705936469975E-7</v>
      </c>
      <c r="Z21" s="2">
        <f t="shared" si="3"/>
        <v>0.98820877075195312</v>
      </c>
      <c r="AA21" s="2">
        <f t="shared" si="2"/>
        <v>3.1925972716617679E-6</v>
      </c>
      <c r="AB21" s="2">
        <f t="shared" si="4"/>
        <v>2.2981804819936548E-11</v>
      </c>
      <c r="AC21" s="2">
        <f t="shared" si="5"/>
        <v>-2.5964454784001507E-12</v>
      </c>
      <c r="AD21" s="2">
        <f t="shared" si="6"/>
        <v>7.62939453125E-6</v>
      </c>
      <c r="AF21" s="2">
        <v>17</v>
      </c>
      <c r="AG21" s="2">
        <f t="shared" si="25"/>
        <v>2318.3746337890625</v>
      </c>
      <c r="AH21" s="2">
        <v>-3.1013128523909472E-2</v>
      </c>
      <c r="AI21" s="2">
        <f t="shared" si="26"/>
        <v>2318.4432983398438</v>
      </c>
      <c r="AJ21" s="2">
        <v>4.731128968842313E-3</v>
      </c>
      <c r="AK21" s="2">
        <f t="shared" si="17"/>
        <v>2318.4089660644531</v>
      </c>
      <c r="AL21" s="2">
        <v>-1.3140965426828188E-2</v>
      </c>
      <c r="AM21" s="2">
        <f t="shared" si="18"/>
        <v>4.075424497104735E-4</v>
      </c>
      <c r="AN21" s="2">
        <f t="shared" si="19"/>
        <v>-6.2171602209422139E-5</v>
      </c>
      <c r="AO21" s="2">
        <f t="shared" si="20"/>
        <v>6.866455078125E-2</v>
      </c>
      <c r="AQ21" s="66"/>
      <c r="AR21" s="3">
        <f>0.456875*($AR$9/2)</f>
        <v>0.69627749999999999</v>
      </c>
      <c r="AS21" s="26" t="s">
        <v>8</v>
      </c>
      <c r="AW21" s="26"/>
      <c r="AY21" s="62" t="s">
        <v>200</v>
      </c>
      <c r="AZ21" s="62"/>
      <c r="BA21" s="62"/>
      <c r="BC21" s="62" t="s">
        <v>201</v>
      </c>
      <c r="BD21" s="62"/>
      <c r="BE21" s="62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0.52635914206816592</v>
      </c>
      <c r="BQ21" s="2">
        <v>-4.6572615195791811E-5</v>
      </c>
      <c r="BR21" s="2">
        <f t="shared" si="22"/>
        <v>0.5264018059088289</v>
      </c>
      <c r="BS21" s="2">
        <v>1.9086623737575581E-4</v>
      </c>
      <c r="BT21" s="2">
        <f t="shared" si="7"/>
        <v>0.52638047398849741</v>
      </c>
      <c r="BU21" s="2">
        <v>7.2148346721090384E-5</v>
      </c>
      <c r="BV21" s="2">
        <f t="shared" si="8"/>
        <v>-3.3601371888539103E-9</v>
      </c>
      <c r="BW21" s="2">
        <f t="shared" si="9"/>
        <v>1.377068347153597E-8</v>
      </c>
      <c r="BX21" s="2">
        <f t="shared" si="10"/>
        <v>4.2663840662982011E-5</v>
      </c>
      <c r="BZ21" s="2">
        <v>17</v>
      </c>
      <c r="CA21" s="2">
        <f t="shared" si="23"/>
        <v>0.44576714705562787</v>
      </c>
      <c r="CB21" s="2">
        <v>-1.988058891259914E-5</v>
      </c>
      <c r="CC21" s="2">
        <f t="shared" si="24"/>
        <v>0.4458098108962909</v>
      </c>
      <c r="CD21" s="2">
        <v>1.3457119547395646E-4</v>
      </c>
      <c r="CE21" s="2">
        <f t="shared" si="11"/>
        <v>0.44578847897595941</v>
      </c>
      <c r="CF21" s="2">
        <v>5.7345829654026348E-5</v>
      </c>
      <c r="CG21" s="2">
        <f t="shared" si="12"/>
        <v>-1.1400688652036351E-9</v>
      </c>
      <c r="CH21" s="2">
        <f t="shared" si="13"/>
        <v>7.717096851988189E-9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3" t="s">
        <v>84</v>
      </c>
      <c r="G22" s="53"/>
      <c r="H22" s="53"/>
      <c r="J22" s="14" t="s">
        <v>241</v>
      </c>
      <c r="K22" s="6">
        <f xml:space="preserve"> $C$78 * (0.04674 * ($C$5*2.20462)^0.397 * ($C$13*3.28084^2)^0.36 * $C$45^0.397 * $C$14^1.712 * 0.453592)</f>
        <v>378.94934259277977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0.98820877075195312</v>
      </c>
      <c r="W22" s="2">
        <f t="shared" si="0"/>
        <v>3.1925972716617679E-6</v>
      </c>
      <c r="X22" s="2">
        <f t="shared" si="16"/>
        <v>0.98821258544921875</v>
      </c>
      <c r="Y22" s="2">
        <f t="shared" si="1"/>
        <v>-8.132705936469975E-7</v>
      </c>
      <c r="Z22" s="2">
        <f t="shared" si="3"/>
        <v>0.98821067810058594</v>
      </c>
      <c r="AA22" s="2">
        <f t="shared" si="2"/>
        <v>1.1896631564312088E-6</v>
      </c>
      <c r="AB22" s="2">
        <f t="shared" si="4"/>
        <v>3.798115347418804E-12</v>
      </c>
      <c r="AC22" s="2">
        <f t="shared" si="5"/>
        <v>-9.6751806147077001E-13</v>
      </c>
      <c r="AD22" s="2">
        <f t="shared" si="6"/>
        <v>3.814697265625E-6</v>
      </c>
      <c r="AF22" s="2">
        <v>18</v>
      </c>
      <c r="AG22" s="2">
        <f t="shared" si="25"/>
        <v>2318.4089660644531</v>
      </c>
      <c r="AH22" s="2">
        <v>-1.3140965426828188E-2</v>
      </c>
      <c r="AI22" s="2">
        <f t="shared" si="26"/>
        <v>2318.4432983398438</v>
      </c>
      <c r="AJ22" s="2">
        <v>4.731128968842313E-3</v>
      </c>
      <c r="AK22" s="2">
        <f t="shared" si="17"/>
        <v>2318.4261322021484</v>
      </c>
      <c r="AL22" s="2">
        <v>-4.205089244806004E-3</v>
      </c>
      <c r="AM22" s="2">
        <f t="shared" si="18"/>
        <v>5.5258932382722752E-5</v>
      </c>
      <c r="AN22" s="2">
        <f t="shared" si="19"/>
        <v>-1.989481954266893E-5</v>
      </c>
      <c r="AO22" s="2">
        <f t="shared" si="20"/>
        <v>3.4332275390625E-2</v>
      </c>
      <c r="AQ22" s="66"/>
      <c r="AR22" s="3">
        <f>0.555625*($AR$9/2)</f>
        <v>0.84677250000000004</v>
      </c>
      <c r="AS22" s="26" t="s">
        <v>8</v>
      </c>
      <c r="AU22" s="60" t="s">
        <v>202</v>
      </c>
      <c r="AV22" s="60"/>
      <c r="AW22" s="60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2" t="s">
        <v>185</v>
      </c>
      <c r="BH22" s="62"/>
      <c r="BI22" s="62"/>
      <c r="BJ22" s="2"/>
      <c r="BK22" s="62" t="s">
        <v>186</v>
      </c>
      <c r="BL22" s="62"/>
      <c r="BM22" s="62"/>
      <c r="BO22" s="2">
        <v>18</v>
      </c>
      <c r="BP22" s="2">
        <f t="shared" si="21"/>
        <v>0.52635914206816592</v>
      </c>
      <c r="BQ22" s="2">
        <v>-4.6572615195791811E-5</v>
      </c>
      <c r="BR22" s="2">
        <f t="shared" si="22"/>
        <v>0.52638047398849741</v>
      </c>
      <c r="BS22" s="2">
        <v>7.2148346721090384E-5</v>
      </c>
      <c r="BT22" s="2">
        <f t="shared" si="7"/>
        <v>0.52636980802833166</v>
      </c>
      <c r="BU22" s="2">
        <v>1.2788249629108739E-5</v>
      </c>
      <c r="BV22" s="2">
        <f t="shared" si="8"/>
        <v>-5.9558222900420868E-10</v>
      </c>
      <c r="BW22" s="2">
        <f t="shared" si="9"/>
        <v>9.2265106819679282E-10</v>
      </c>
      <c r="BX22" s="2">
        <f t="shared" si="10"/>
        <v>2.1331920331491006E-5</v>
      </c>
      <c r="BZ22" s="2">
        <v>18</v>
      </c>
      <c r="CA22" s="2">
        <f t="shared" si="23"/>
        <v>0.44576714705562787</v>
      </c>
      <c r="CB22" s="2">
        <v>-1.988058891259914E-5</v>
      </c>
      <c r="CC22" s="2">
        <f t="shared" si="24"/>
        <v>0.44578847897595941</v>
      </c>
      <c r="CD22" s="2">
        <v>5.7345829654026348E-5</v>
      </c>
      <c r="CE22" s="2">
        <f t="shared" si="11"/>
        <v>0.44577781301579367</v>
      </c>
      <c r="CF22" s="2">
        <v>1.8732751926209268E-5</v>
      </c>
      <c r="CG22" s="2">
        <f t="shared" si="12"/>
        <v>-3.7241814024666617E-10</v>
      </c>
      <c r="CH22" s="2">
        <f t="shared" si="13"/>
        <v>1.0742452009115307E-9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26.003494512613557</v>
      </c>
      <c r="L23" s="6" t="s">
        <v>7</v>
      </c>
      <c r="N23" s="6" t="s">
        <v>32</v>
      </c>
      <c r="O23" s="6">
        <f xml:space="preserve"> O20 / ( $C$70 * PI() * $C$11^2 * O21^2 * $C$11^2)</f>
        <v>9.8894117486642438E-2</v>
      </c>
      <c r="U23" s="2">
        <v>19</v>
      </c>
      <c r="V23" s="2">
        <f t="shared" si="15"/>
        <v>0.98821067810058594</v>
      </c>
      <c r="W23" s="2">
        <f t="shared" si="0"/>
        <v>1.1896631564312088E-6</v>
      </c>
      <c r="X23" s="2">
        <f t="shared" si="16"/>
        <v>0.98821258544921875</v>
      </c>
      <c r="Y23" s="2">
        <f t="shared" si="1"/>
        <v>-8.132705936469975E-7</v>
      </c>
      <c r="Z23" s="2">
        <f t="shared" si="3"/>
        <v>0.98821163177490234</v>
      </c>
      <c r="AA23" s="2">
        <f t="shared" si="2"/>
        <v>1.8819623570642818E-7</v>
      </c>
      <c r="AB23" s="2">
        <f t="shared" si="4"/>
        <v>2.2389012779898112E-13</v>
      </c>
      <c r="AC23" s="2">
        <f t="shared" si="5"/>
        <v>-1.5305446433509712E-13</v>
      </c>
      <c r="AD23" s="2">
        <f t="shared" si="6"/>
        <v>1.9073486328125E-6</v>
      </c>
      <c r="AF23" s="2">
        <v>19</v>
      </c>
      <c r="AG23" s="2">
        <f t="shared" si="25"/>
        <v>2318.4261322021484</v>
      </c>
      <c r="AH23" s="2">
        <v>-4.205089244806004E-3</v>
      </c>
      <c r="AI23" s="2">
        <f t="shared" si="26"/>
        <v>2318.4432983398438</v>
      </c>
      <c r="AJ23" s="2">
        <v>4.731128968842313E-3</v>
      </c>
      <c r="AK23" s="2">
        <f t="shared" si="17"/>
        <v>2318.4347152709961</v>
      </c>
      <c r="AL23" s="2">
        <v>2.6302200853933755E-4</v>
      </c>
      <c r="AM23" s="2">
        <f t="shared" si="18"/>
        <v>-1.1060310192560412E-6</v>
      </c>
      <c r="AN23" s="2">
        <f t="shared" si="19"/>
        <v>1.2443910440435502E-6</v>
      </c>
      <c r="AO23" s="2">
        <f t="shared" si="20"/>
        <v>1.71661376953125E-2</v>
      </c>
      <c r="AQ23" s="66"/>
      <c r="AR23" s="3">
        <f>0.654375*($AR$9/2)</f>
        <v>0.99726750000000008</v>
      </c>
      <c r="AS23" s="26" t="s">
        <v>8</v>
      </c>
      <c r="AU23" s="69" t="s">
        <v>203</v>
      </c>
      <c r="AV23" s="66">
        <f>BH20</f>
        <v>-8.4734595867663742E-9</v>
      </c>
      <c r="AW23" s="66"/>
      <c r="AY23" s="2" t="s">
        <v>158</v>
      </c>
      <c r="AZ23" s="2">
        <f>(1+$BH$56)*$AR$3</f>
        <v>17.963610838694745</v>
      </c>
      <c r="BA23" s="26" t="s">
        <v>10</v>
      </c>
      <c r="BC23" s="2" t="s">
        <v>158</v>
      </c>
      <c r="BD23" s="2">
        <f>(1+$BL$56)*$AR$3</f>
        <v>19.593799160289045</v>
      </c>
      <c r="BE23" s="26" t="s">
        <v>10</v>
      </c>
      <c r="BG23" s="28" t="s">
        <v>154</v>
      </c>
      <c r="BH23" s="29">
        <f>BT68</f>
        <v>0.39217929821542707</v>
      </c>
      <c r="BI23" s="5" t="s">
        <v>155</v>
      </c>
      <c r="BJ23" s="2"/>
      <c r="BK23" s="28" t="s">
        <v>154</v>
      </c>
      <c r="BL23" s="29">
        <f>CE68</f>
        <v>0.35298841500766159</v>
      </c>
      <c r="BM23" s="5" t="s">
        <v>155</v>
      </c>
      <c r="BO23" s="2">
        <v>19</v>
      </c>
      <c r="BP23" s="2">
        <f t="shared" si="21"/>
        <v>0.52635914206816592</v>
      </c>
      <c r="BQ23" s="2">
        <v>-4.6572615195791811E-5</v>
      </c>
      <c r="BR23" s="2">
        <f t="shared" si="22"/>
        <v>0.52636980802833166</v>
      </c>
      <c r="BS23" s="2">
        <v>1.2788249629108739E-5</v>
      </c>
      <c r="BT23" s="2">
        <f t="shared" si="7"/>
        <v>0.52636447504824879</v>
      </c>
      <c r="BU23" s="2">
        <v>-1.6892086821748697E-5</v>
      </c>
      <c r="BV23" s="2">
        <f t="shared" si="8"/>
        <v>7.86708659403208E-10</v>
      </c>
      <c r="BW23" s="2">
        <f t="shared" si="9"/>
        <v>-2.1602022303310041E-10</v>
      </c>
      <c r="BX23" s="2">
        <f t="shared" si="10"/>
        <v>1.0665960165745503E-5</v>
      </c>
      <c r="BZ23" s="2">
        <v>19</v>
      </c>
      <c r="CA23" s="2">
        <f t="shared" si="23"/>
        <v>0.44576714705562787</v>
      </c>
      <c r="CB23" s="2">
        <v>-1.988058891259914E-5</v>
      </c>
      <c r="CC23" s="2">
        <f t="shared" si="24"/>
        <v>0.44577781301579367</v>
      </c>
      <c r="CD23" s="2">
        <v>1.8732751926209268E-5</v>
      </c>
      <c r="CE23" s="2">
        <f t="shared" si="11"/>
        <v>0.44577248003571079</v>
      </c>
      <c r="CF23" s="2">
        <v>-5.7388560886773021E-7</v>
      </c>
      <c r="CG23" s="2">
        <f t="shared" si="12"/>
        <v>1.1409183872756003E-11</v>
      </c>
      <c r="CH23" s="2">
        <f t="shared" si="13"/>
        <v>-1.0750456744940752E-11</v>
      </c>
      <c r="CI23" s="2">
        <f t="shared" si="14"/>
        <v>1.0665960165801014E-5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8.9251344799667756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0.98821163177490234</v>
      </c>
      <c r="W24" s="2">
        <f t="shared" si="0"/>
        <v>1.8819623570642818E-7</v>
      </c>
      <c r="X24" s="2">
        <f t="shared" si="16"/>
        <v>0.98821258544921875</v>
      </c>
      <c r="Y24" s="2">
        <f t="shared" si="1"/>
        <v>-8.132705936469975E-7</v>
      </c>
      <c r="Z24" s="2">
        <f t="shared" si="3"/>
        <v>0.98821210861206055</v>
      </c>
      <c r="AA24" s="2">
        <f t="shared" si="2"/>
        <v>-3.1253719035007066E-7</v>
      </c>
      <c r="AB24" s="2">
        <f t="shared" si="4"/>
        <v>-5.8818322742146716E-14</v>
      </c>
      <c r="AC24" s="2">
        <f t="shared" si="5"/>
        <v>2.5417730633276662E-13</v>
      </c>
      <c r="AD24" s="2">
        <f t="shared" si="6"/>
        <v>9.5367431640625E-7</v>
      </c>
      <c r="AF24" s="2">
        <v>20</v>
      </c>
      <c r="AG24" s="2">
        <f t="shared" si="25"/>
        <v>2318.4261322021484</v>
      </c>
      <c r="AH24" s="2">
        <v>-4.205089244806004E-3</v>
      </c>
      <c r="AI24" s="2">
        <f t="shared" si="26"/>
        <v>2318.4347152709961</v>
      </c>
      <c r="AJ24" s="2">
        <v>2.6302200853933755E-4</v>
      </c>
      <c r="AK24" s="2">
        <f t="shared" si="17"/>
        <v>2318.4304237365723</v>
      </c>
      <c r="AL24" s="2">
        <v>-1.971212685930368E-3</v>
      </c>
      <c r="AM24" s="2">
        <f t="shared" si="18"/>
        <v>8.2891252648309462E-6</v>
      </c>
      <c r="AN24" s="2">
        <f t="shared" si="19"/>
        <v>-5.1847231991162774E-7</v>
      </c>
      <c r="AO24" s="2">
        <f t="shared" si="20"/>
        <v>8.58306884765625E-3</v>
      </c>
      <c r="AQ24" s="66"/>
      <c r="AR24" s="3">
        <f>0.753125*($AR$9/2)</f>
        <v>1.1477625</v>
      </c>
      <c r="AS24" s="26" t="s">
        <v>8</v>
      </c>
      <c r="AU24" s="69"/>
      <c r="AV24" s="66">
        <f>BL20</f>
        <v>1.1665570176511153E-9</v>
      </c>
      <c r="AW24" s="66"/>
      <c r="AY24" s="2" t="s">
        <v>163</v>
      </c>
      <c r="AZ24" s="2">
        <f>(1-$BH$57)*$AV$5*$AR$23</f>
        <v>53.393303322783161</v>
      </c>
      <c r="BA24" s="26" t="s">
        <v>10</v>
      </c>
      <c r="BC24" s="2" t="s">
        <v>163</v>
      </c>
      <c r="BD24" s="2">
        <f>(1-$BL$57)*$AV$5*$AR$24</f>
        <v>62.057350108128524</v>
      </c>
      <c r="BE24" s="26" t="s">
        <v>10</v>
      </c>
      <c r="BG24" s="2" t="s">
        <v>159</v>
      </c>
      <c r="BH24" s="2">
        <f>($AR$37+$AR$5)/180*PI()</f>
        <v>0.55834018601085467</v>
      </c>
      <c r="BI24" s="2" t="s">
        <v>155</v>
      </c>
      <c r="BJ24" s="2"/>
      <c r="BK24" s="2" t="s">
        <v>159</v>
      </c>
      <c r="BL24" s="2">
        <f>($AR$38+$AR$5)/180*PI()</f>
        <v>0.5324874964656886</v>
      </c>
      <c r="BM24" s="2" t="s">
        <v>155</v>
      </c>
      <c r="BO24" s="2">
        <v>20</v>
      </c>
      <c r="BP24" s="2">
        <f t="shared" si="21"/>
        <v>0.52636447504824879</v>
      </c>
      <c r="BQ24" s="2">
        <v>-1.6892086821748697E-5</v>
      </c>
      <c r="BR24" s="2">
        <f t="shared" si="22"/>
        <v>0.52636980802833166</v>
      </c>
      <c r="BS24" s="2">
        <v>1.2788249629108739E-5</v>
      </c>
      <c r="BT24" s="2">
        <f t="shared" si="7"/>
        <v>0.52636714153829023</v>
      </c>
      <c r="BU24" s="2">
        <v>-2.0518946054343123E-6</v>
      </c>
      <c r="BV24" s="2">
        <f t="shared" si="8"/>
        <v>3.4660781824074192E-11</v>
      </c>
      <c r="BW24" s="2">
        <f t="shared" si="9"/>
        <v>-2.6240140426915567E-11</v>
      </c>
      <c r="BX24" s="2">
        <f t="shared" si="10"/>
        <v>5.3329800828727514E-6</v>
      </c>
      <c r="BZ24" s="2">
        <v>20</v>
      </c>
      <c r="CA24" s="2">
        <f t="shared" si="23"/>
        <v>0.44577248003571079</v>
      </c>
      <c r="CB24" s="2">
        <v>-5.7388560886773021E-7</v>
      </c>
      <c r="CC24" s="2">
        <f t="shared" si="24"/>
        <v>0.44577781301579367</v>
      </c>
      <c r="CD24" s="2">
        <v>1.8732751926209268E-5</v>
      </c>
      <c r="CE24" s="2">
        <f t="shared" si="11"/>
        <v>0.44577514652575223</v>
      </c>
      <c r="CF24" s="2">
        <v>9.0794413803857443E-6</v>
      </c>
      <c r="CG24" s="2">
        <f t="shared" si="12"/>
        <v>-5.2105607447615375E-12</v>
      </c>
      <c r="CH24" s="2">
        <f t="shared" si="13"/>
        <v>1.7008292300732518E-10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39.557474117445999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0.98821163177490234</v>
      </c>
      <c r="W25" s="2">
        <f t="shared" si="0"/>
        <v>1.8819623570642818E-7</v>
      </c>
      <c r="X25" s="2">
        <f t="shared" si="16"/>
        <v>0.98821210861206055</v>
      </c>
      <c r="Y25" s="2">
        <f t="shared" si="1"/>
        <v>-3.1253719035007066E-7</v>
      </c>
      <c r="Z25" s="2">
        <f t="shared" si="3"/>
        <v>0.98821187019348145</v>
      </c>
      <c r="AA25" s="2">
        <f t="shared" si="2"/>
        <v>-6.21704800973788E-8</v>
      </c>
      <c r="AB25" s="2">
        <f t="shared" si="4"/>
        <v>-1.1700250326388103E-14</v>
      </c>
      <c r="AC25" s="2">
        <f t="shared" si="5"/>
        <v>1.9430587172349757E-14</v>
      </c>
      <c r="AD25" s="2">
        <f t="shared" si="6"/>
        <v>4.76837158203125E-7</v>
      </c>
      <c r="AF25" s="2">
        <v>21</v>
      </c>
      <c r="AG25" s="2">
        <f t="shared" si="25"/>
        <v>2318.4304237365723</v>
      </c>
      <c r="AH25" s="2">
        <v>-1.971212685930368E-3</v>
      </c>
      <c r="AI25" s="2">
        <f t="shared" si="26"/>
        <v>2318.4347152709961</v>
      </c>
      <c r="AJ25" s="2">
        <v>2.6302200853933755E-4</v>
      </c>
      <c r="AK25" s="2">
        <f t="shared" si="17"/>
        <v>2318.4325695037842</v>
      </c>
      <c r="AL25" s="2">
        <v>-8.5409520465873356E-4</v>
      </c>
      <c r="AM25" s="2">
        <f t="shared" si="18"/>
        <v>1.6836033024155895E-6</v>
      </c>
      <c r="AN25" s="2">
        <f t="shared" si="19"/>
        <v>-2.2464583621315666E-7</v>
      </c>
      <c r="AO25" s="2">
        <f t="shared" si="20"/>
        <v>4.291534423828125E-3</v>
      </c>
      <c r="AQ25" s="66"/>
      <c r="AR25" s="3">
        <f>0.851875*($AR$9/2)</f>
        <v>1.2982575000000001</v>
      </c>
      <c r="AS25" s="26" t="s">
        <v>8</v>
      </c>
      <c r="AU25" s="69"/>
      <c r="AV25" s="66">
        <f>BH39</f>
        <v>6.6491878669694415E-10</v>
      </c>
      <c r="AW25" s="66"/>
      <c r="AY25" s="2" t="s">
        <v>167</v>
      </c>
      <c r="AZ25" s="2">
        <f>SQRT(AZ23^2 + AZ24^2)</f>
        <v>56.334147318325492</v>
      </c>
      <c r="BA25" s="26" t="s">
        <v>10</v>
      </c>
      <c r="BC25" s="2" t="s">
        <v>167</v>
      </c>
      <c r="BD25" s="2">
        <f>SQRT(BD23^2 + BD24^2)</f>
        <v>65.077120925687723</v>
      </c>
      <c r="BE25" s="26" t="s">
        <v>10</v>
      </c>
      <c r="BG25" s="2" t="s">
        <v>28</v>
      </c>
      <c r="BH25" s="2">
        <f>BH24-BH23</f>
        <v>0.16616088779542759</v>
      </c>
      <c r="BI25" s="2" t="s">
        <v>155</v>
      </c>
      <c r="BJ25" s="2"/>
      <c r="BK25" s="2" t="s">
        <v>28</v>
      </c>
      <c r="BL25" s="2">
        <f>BL24-BL23</f>
        <v>0.17949908145802701</v>
      </c>
      <c r="BM25" s="2" t="s">
        <v>155</v>
      </c>
      <c r="BO25" s="2">
        <v>21</v>
      </c>
      <c r="BP25" s="2">
        <f t="shared" si="21"/>
        <v>0.52636714153829023</v>
      </c>
      <c r="BQ25" s="2">
        <v>-2.0518946054343123E-6</v>
      </c>
      <c r="BR25" s="2">
        <f t="shared" si="22"/>
        <v>0.52636980802833166</v>
      </c>
      <c r="BS25" s="2">
        <v>1.2788249629108739E-5</v>
      </c>
      <c r="BT25" s="2">
        <f t="shared" si="7"/>
        <v>0.52636847478331095</v>
      </c>
      <c r="BU25" s="2">
        <v>5.3681835098101649E-6</v>
      </c>
      <c r="BV25" s="2">
        <f t="shared" si="8"/>
        <v>-1.101494678476091E-11</v>
      </c>
      <c r="BW25" s="2">
        <f t="shared" si="9"/>
        <v>6.8649670778317484E-11</v>
      </c>
      <c r="BX25" s="2">
        <f t="shared" si="10"/>
        <v>2.6664900414363757E-6</v>
      </c>
      <c r="BZ25" s="2">
        <v>21</v>
      </c>
      <c r="CA25" s="2">
        <f t="shared" si="23"/>
        <v>0.44577248003571079</v>
      </c>
      <c r="CB25" s="2">
        <v>-5.7388560886773021E-7</v>
      </c>
      <c r="CC25" s="2">
        <f t="shared" si="24"/>
        <v>0.44577514652575223</v>
      </c>
      <c r="CD25" s="2">
        <v>9.0794413803857443E-6</v>
      </c>
      <c r="CE25" s="2">
        <f t="shared" si="11"/>
        <v>0.44577381328073151</v>
      </c>
      <c r="CF25" s="2">
        <v>4.2527799410940759E-6</v>
      </c>
      <c r="CG25" s="2">
        <f t="shared" si="12"/>
        <v>-2.4406092058752437E-12</v>
      </c>
      <c r="CH25" s="2">
        <f t="shared" si="13"/>
        <v>3.8612866178843999E-11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2840.4446655364459</v>
      </c>
      <c r="H26" s="6" t="s">
        <v>22</v>
      </c>
      <c r="J26" s="15" t="s">
        <v>67</v>
      </c>
      <c r="K26" s="6">
        <f xml:space="preserve"> $C$79 * (0.0268 * $C$5)</f>
        <v>49.706015081718405</v>
      </c>
      <c r="L26" s="6" t="s">
        <v>7</v>
      </c>
      <c r="N26" s="6" t="s">
        <v>34</v>
      </c>
      <c r="O26" s="18">
        <f>Z34</f>
        <v>0.98821181105449796</v>
      </c>
      <c r="U26" s="2">
        <v>22</v>
      </c>
      <c r="V26" s="2">
        <f t="shared" si="15"/>
        <v>0.98821163177490234</v>
      </c>
      <c r="W26" s="2">
        <f t="shared" si="0"/>
        <v>1.8819623570642818E-7</v>
      </c>
      <c r="X26" s="2">
        <f t="shared" si="16"/>
        <v>0.98821187019348145</v>
      </c>
      <c r="Y26" s="2">
        <f t="shared" si="1"/>
        <v>-6.21704800973788E-8</v>
      </c>
      <c r="Z26" s="2">
        <f t="shared" si="3"/>
        <v>0.98821175098419189</v>
      </c>
      <c r="AA26" s="2">
        <f t="shared" si="2"/>
        <v>6.3012877138390877E-8</v>
      </c>
      <c r="AB26" s="2">
        <f t="shared" si="4"/>
        <v>1.1858786278476809E-14</v>
      </c>
      <c r="AC26" s="2">
        <f t="shared" si="5"/>
        <v>-3.9175408240109057E-15</v>
      </c>
      <c r="AD26" s="2">
        <f t="shared" si="6"/>
        <v>2.384185791015625E-7</v>
      </c>
      <c r="AF26" s="2">
        <v>22</v>
      </c>
      <c r="AG26" s="2">
        <f t="shared" si="25"/>
        <v>2318.4325695037842</v>
      </c>
      <c r="AH26" s="2">
        <v>-8.5409520465873356E-4</v>
      </c>
      <c r="AI26" s="2">
        <f t="shared" si="26"/>
        <v>2318.4347152709961</v>
      </c>
      <c r="AJ26" s="2">
        <v>2.6302200853933755E-4</v>
      </c>
      <c r="AK26" s="2">
        <f t="shared" si="17"/>
        <v>2318.4336423873901</v>
      </c>
      <c r="AL26" s="2">
        <v>-2.9571616892098973E-4</v>
      </c>
      <c r="AM26" s="2">
        <f t="shared" si="18"/>
        <v>2.5256976181546935E-7</v>
      </c>
      <c r="AN26" s="2">
        <f t="shared" si="19"/>
        <v>-7.7779860707156739E-8</v>
      </c>
      <c r="AO26" s="2">
        <f t="shared" si="20"/>
        <v>2.1457672119140625E-3</v>
      </c>
      <c r="AQ26" s="66"/>
      <c r="AR26" s="3">
        <f>0.950625*($AR$9/2)</f>
        <v>1.4487525000000001</v>
      </c>
      <c r="AS26" s="6" t="s">
        <v>8</v>
      </c>
      <c r="AU26" s="69"/>
      <c r="AV26" s="66">
        <f>BL39</f>
        <v>-3.6167899578054552E-9</v>
      </c>
      <c r="AW26" s="66"/>
      <c r="AY26" s="2" t="s">
        <v>170</v>
      </c>
      <c r="AZ26" s="37">
        <f>$AR$45*AZ25*$AR$27/$AR$46</f>
        <v>2818822.4200454005</v>
      </c>
      <c r="BA26" s="26"/>
      <c r="BC26" s="2" t="s">
        <v>170</v>
      </c>
      <c r="BD26" s="37">
        <f>$AR$45*BD25*$AR$27/$AR$46</f>
        <v>3256299.3535833806</v>
      </c>
      <c r="BE26" s="26"/>
      <c r="BG26" s="2" t="s">
        <v>168</v>
      </c>
      <c r="BH26" s="2">
        <f>BH25/PI()*180</f>
        <v>9.5203175908248312</v>
      </c>
      <c r="BI26" s="2" t="s">
        <v>43</v>
      </c>
      <c r="BJ26" s="2"/>
      <c r="BK26" s="2" t="s">
        <v>168</v>
      </c>
      <c r="BL26" s="2">
        <f>BL25/PI()*180</f>
        <v>10.284539794019919</v>
      </c>
      <c r="BM26" s="2" t="s">
        <v>43</v>
      </c>
      <c r="BO26" s="2">
        <v>22</v>
      </c>
      <c r="BP26" s="2">
        <f t="shared" si="21"/>
        <v>0.52636714153829023</v>
      </c>
      <c r="BQ26" s="2">
        <v>-2.0518946054343123E-6</v>
      </c>
      <c r="BR26" s="2">
        <f t="shared" si="22"/>
        <v>0.52636847478331095</v>
      </c>
      <c r="BS26" s="2">
        <v>5.3681835098101649E-6</v>
      </c>
      <c r="BT26" s="2">
        <f t="shared" si="7"/>
        <v>0.52636780816080053</v>
      </c>
      <c r="BU26" s="2">
        <v>1.6581459512249319E-6</v>
      </c>
      <c r="BV26" s="2">
        <f t="shared" si="8"/>
        <v>-3.4023407323411841E-12</v>
      </c>
      <c r="BW26" s="2">
        <f t="shared" si="9"/>
        <v>8.9012317522241689E-12</v>
      </c>
      <c r="BX26" s="2">
        <f t="shared" si="10"/>
        <v>1.3332450207181878E-6</v>
      </c>
      <c r="BZ26" s="2">
        <v>22</v>
      </c>
      <c r="CA26" s="2">
        <f t="shared" si="23"/>
        <v>0.44577248003571079</v>
      </c>
      <c r="CB26" s="2">
        <v>-5.7388560886773021E-7</v>
      </c>
      <c r="CC26" s="2">
        <f t="shared" si="24"/>
        <v>0.44577381328073151</v>
      </c>
      <c r="CD26" s="2">
        <v>4.2527799410940759E-6</v>
      </c>
      <c r="CE26" s="2">
        <f t="shared" si="11"/>
        <v>0.44577314665822115</v>
      </c>
      <c r="CF26" s="2">
        <v>1.8394476800492887E-6</v>
      </c>
      <c r="CG26" s="2">
        <f t="shared" si="12"/>
        <v>-1.0556325518454198E-12</v>
      </c>
      <c r="CH26" s="2">
        <f t="shared" si="13"/>
        <v>7.822766196405649E-12</v>
      </c>
      <c r="CI26" s="2">
        <f t="shared" si="14"/>
        <v>1.3332450207181878E-6</v>
      </c>
    </row>
    <row r="27" spans="2:87" x14ac:dyDescent="0.2">
      <c r="B27" s="53" t="s">
        <v>243</v>
      </c>
      <c r="C27" s="53"/>
      <c r="D27" s="53"/>
      <c r="F27" s="43" t="s">
        <v>86</v>
      </c>
      <c r="G27" s="43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414.54106275534377</v>
      </c>
      <c r="H27" s="43" t="s">
        <v>104</v>
      </c>
      <c r="J27" s="15" t="s">
        <v>68</v>
      </c>
      <c r="K27" s="6">
        <f xml:space="preserve"> $C$79 * (11.5 * ($C$5*2.20462/1000)^0.4 * 0.453592)</f>
        <v>8.0142037085503564</v>
      </c>
      <c r="L27" s="6" t="s">
        <v>7</v>
      </c>
      <c r="N27" s="6" t="s">
        <v>35</v>
      </c>
      <c r="O27" s="6">
        <f xml:space="preserve"> O21 * $C$11 * O26 - $C$8 * SIN(O19/180*PI())</f>
        <v>2.6469630875378627</v>
      </c>
      <c r="P27" s="6" t="s">
        <v>10</v>
      </c>
      <c r="U27" s="2">
        <v>23</v>
      </c>
      <c r="V27" s="2">
        <f t="shared" si="15"/>
        <v>0.98821175098419189</v>
      </c>
      <c r="W27" s="2">
        <f t="shared" si="0"/>
        <v>6.3012877138390877E-8</v>
      </c>
      <c r="X27" s="2">
        <f t="shared" si="16"/>
        <v>0.98821187019348145</v>
      </c>
      <c r="Y27" s="2">
        <f t="shared" si="1"/>
        <v>-6.21704800973788E-8</v>
      </c>
      <c r="Z27" s="2">
        <f t="shared" si="3"/>
        <v>0.98821181058883667</v>
      </c>
      <c r="AA27" s="2">
        <f t="shared" si="2"/>
        <v>4.2119829846143375E-10</v>
      </c>
      <c r="AB27" s="2">
        <f t="shared" si="4"/>
        <v>2.6540916631849616E-17</v>
      </c>
      <c r="AC27" s="2">
        <f t="shared" si="5"/>
        <v>-2.6186100431546383E-17</v>
      </c>
      <c r="AD27" s="2">
        <f t="shared" si="6"/>
        <v>1.1920928955078125E-7</v>
      </c>
      <c r="AF27" s="2">
        <v>23</v>
      </c>
      <c r="AG27" s="2">
        <f t="shared" si="25"/>
        <v>2318.4336423873901</v>
      </c>
      <c r="AH27" s="2">
        <v>-2.9571616892098973E-4</v>
      </c>
      <c r="AI27" s="2">
        <f t="shared" si="26"/>
        <v>2318.4347152709961</v>
      </c>
      <c r="AJ27" s="2">
        <v>2.6302200853933755E-4</v>
      </c>
      <c r="AK27" s="2">
        <f t="shared" si="17"/>
        <v>2318.4341788291931</v>
      </c>
      <c r="AL27" s="2">
        <v>-1.63470717780001E-5</v>
      </c>
      <c r="AM27" s="2">
        <f t="shared" si="18"/>
        <v>4.8340934392666215E-9</v>
      </c>
      <c r="AN27" s="2">
        <f t="shared" si="19"/>
        <v>-4.2996396527863063E-9</v>
      </c>
      <c r="AO27" s="2">
        <f t="shared" si="20"/>
        <v>1.0728836059570312E-3</v>
      </c>
      <c r="AQ27" s="66" t="s">
        <v>204</v>
      </c>
      <c r="AR27" s="3">
        <f>0.548288*($AR$9/2)</f>
        <v>0.83559091200000002</v>
      </c>
      <c r="AS27" s="26" t="s">
        <v>8</v>
      </c>
      <c r="AU27" s="69"/>
      <c r="AV27" s="66">
        <f>BH58</f>
        <v>-2.2940410057681326E-9</v>
      </c>
      <c r="AW27" s="66"/>
      <c r="AY27" s="2" t="s">
        <v>174</v>
      </c>
      <c r="AZ27" s="2">
        <f xml:space="preserve"> $BH$46 * PI() * $AR$45 * AZ25^2 * $BH$52 * $AR$23 * AZ22</f>
        <v>440.72611145395354</v>
      </c>
      <c r="BA27" s="26" t="s">
        <v>22</v>
      </c>
      <c r="BC27" s="2" t="s">
        <v>174</v>
      </c>
      <c r="BD27" s="2">
        <f xml:space="preserve"> $BL$46 * PI() * $AR$45 * BD25^2 * $BL$52 * $AR$24 * BD22</f>
        <v>555.05657203693124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0.52636714153829023</v>
      </c>
      <c r="BQ27" s="2">
        <v>-2.0518946054343123E-6</v>
      </c>
      <c r="BR27" s="2">
        <f t="shared" si="22"/>
        <v>0.52636780816080053</v>
      </c>
      <c r="BS27" s="2">
        <v>1.6581459512249319E-6</v>
      </c>
      <c r="BT27" s="2">
        <f t="shared" si="7"/>
        <v>0.52636747484954538</v>
      </c>
      <c r="BU27" s="2">
        <v>-1.9687395223788595E-7</v>
      </c>
      <c r="BV27" s="2">
        <f t="shared" si="8"/>
        <v>4.0396460054745064E-13</v>
      </c>
      <c r="BW27" s="2">
        <f t="shared" si="9"/>
        <v>-3.2644574680490119E-13</v>
      </c>
      <c r="BX27" s="2">
        <f t="shared" si="10"/>
        <v>6.6662251030358277E-7</v>
      </c>
      <c r="BZ27" s="2">
        <v>23</v>
      </c>
      <c r="CA27" s="2">
        <f t="shared" si="23"/>
        <v>0.44577248003571079</v>
      </c>
      <c r="CB27" s="2">
        <v>-5.7388560886773021E-7</v>
      </c>
      <c r="CC27" s="2">
        <f t="shared" si="24"/>
        <v>0.44577314665822115</v>
      </c>
      <c r="CD27" s="2">
        <v>1.8394476800492887E-6</v>
      </c>
      <c r="CE27" s="2">
        <f t="shared" si="11"/>
        <v>0.44577281334696595</v>
      </c>
      <c r="CF27" s="2">
        <v>6.3278116368969961E-7</v>
      </c>
      <c r="CG27" s="2">
        <f t="shared" si="12"/>
        <v>-3.6314400340409414E-13</v>
      </c>
      <c r="CH27" s="2">
        <f t="shared" si="13"/>
        <v>1.1639678435279072E-12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14.837616442304</v>
      </c>
      <c r="L28" s="6" t="s">
        <v>7</v>
      </c>
      <c r="N28" s="6" t="s">
        <v>36</v>
      </c>
      <c r="O28" s="6">
        <f xml:space="preserve"> 1/$C$31 - O25 * SQRT( (2*$C$70*PI()*$C$11^2) / O20^3 )</f>
        <v>1.288985654618328</v>
      </c>
      <c r="U28" s="2">
        <v>24</v>
      </c>
      <c r="V28" s="2">
        <f t="shared" si="15"/>
        <v>0.98821181058883667</v>
      </c>
      <c r="W28" s="2">
        <f t="shared" si="0"/>
        <v>4.2119829846143375E-10</v>
      </c>
      <c r="X28" s="2">
        <f t="shared" si="16"/>
        <v>0.98821187019348145</v>
      </c>
      <c r="Y28" s="2">
        <f t="shared" si="1"/>
        <v>-6.21704800973788E-8</v>
      </c>
      <c r="Z28" s="2">
        <f t="shared" si="3"/>
        <v>0.98821184039115906</v>
      </c>
      <c r="AA28" s="2">
        <f t="shared" si="2"/>
        <v>-3.0874640954969834E-8</v>
      </c>
      <c r="AB28" s="2">
        <f t="shared" si="4"/>
        <v>-1.300434623584099E-17</v>
      </c>
      <c r="AC28" s="2">
        <f t="shared" si="5"/>
        <v>1.9194912510046685E-15</v>
      </c>
      <c r="AD28" s="2">
        <f t="shared" si="6"/>
        <v>5.9604644775390625E-8</v>
      </c>
      <c r="AF28" s="2">
        <v>24</v>
      </c>
      <c r="AG28" s="2">
        <f t="shared" si="25"/>
        <v>2318.4341788291931</v>
      </c>
      <c r="AH28" s="2">
        <v>-1.63470717780001E-5</v>
      </c>
      <c r="AI28" s="2">
        <f t="shared" si="26"/>
        <v>2318.4347152709961</v>
      </c>
      <c r="AJ28" s="2">
        <v>2.6302200853933755E-4</v>
      </c>
      <c r="AK28" s="2">
        <f t="shared" si="17"/>
        <v>2318.4344470500946</v>
      </c>
      <c r="AL28" s="2">
        <v>1.2333746985859761E-4</v>
      </c>
      <c r="AM28" s="2">
        <f t="shared" si="18"/>
        <v>-2.0162064726954191E-9</v>
      </c>
      <c r="AN28" s="2">
        <f t="shared" si="19"/>
        <v>3.244046905036835E-8</v>
      </c>
      <c r="AO28" s="2">
        <f t="shared" si="20"/>
        <v>5.3644180297851562E-4</v>
      </c>
      <c r="AQ28" s="66"/>
      <c r="AR28" s="3">
        <f>0.530863*($AR$9/2)</f>
        <v>0.80903521199999995</v>
      </c>
      <c r="AS28" s="26" t="s">
        <v>8</v>
      </c>
      <c r="AU28" s="69"/>
      <c r="AV28" s="66">
        <f>BL58</f>
        <v>-3.3090320275541707E-9</v>
      </c>
      <c r="AW28" s="66"/>
      <c r="AY28" s="2" t="s">
        <v>178</v>
      </c>
      <c r="AZ28" s="2">
        <f xml:space="preserve"> $BH$46 * PI() * $AR$45 * AZ25^2 * $BH$53 * $AR$23^2 * AZ22</f>
        <v>166.141137549897</v>
      </c>
      <c r="BA28" s="26" t="s">
        <v>179</v>
      </c>
      <c r="BC28" s="2" t="s">
        <v>178</v>
      </c>
      <c r="BD28" s="2">
        <f xml:space="preserve"> $BL$46 * PI() * $AR$45 * BD25^2 * $BL$53 * $AR$24^2 * BD22</f>
        <v>228.00288959678892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0.97160644191404577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0.9369241316252922</v>
      </c>
      <c r="BM28" s="2"/>
      <c r="BO28" s="2">
        <v>24</v>
      </c>
      <c r="BP28" s="2">
        <f t="shared" si="21"/>
        <v>0.52636747484954538</v>
      </c>
      <c r="BQ28" s="2">
        <v>-1.9687395223788595E-7</v>
      </c>
      <c r="BR28" s="2">
        <f t="shared" si="22"/>
        <v>0.52636780816080053</v>
      </c>
      <c r="BS28" s="2">
        <v>1.6581459512249319E-6</v>
      </c>
      <c r="BT28" s="2">
        <f t="shared" si="7"/>
        <v>0.52636764150517301</v>
      </c>
      <c r="BU28" s="2">
        <v>7.3063609340451308E-7</v>
      </c>
      <c r="BV28" s="2">
        <f t="shared" si="8"/>
        <v>-1.4384321535619569E-13</v>
      </c>
      <c r="BW28" s="2">
        <f t="shared" si="9"/>
        <v>1.2115012800974946E-12</v>
      </c>
      <c r="BX28" s="2">
        <f t="shared" si="10"/>
        <v>3.3331125515179139E-7</v>
      </c>
      <c r="BZ28" s="2">
        <v>24</v>
      </c>
      <c r="CA28" s="2">
        <f t="shared" si="23"/>
        <v>0.44577248003571079</v>
      </c>
      <c r="CB28" s="2">
        <v>-5.7388560886773021E-7</v>
      </c>
      <c r="CC28" s="2">
        <f t="shared" si="24"/>
        <v>0.44577281334696595</v>
      </c>
      <c r="CD28" s="2">
        <v>6.3278116368969961E-7</v>
      </c>
      <c r="CE28" s="2">
        <f t="shared" si="11"/>
        <v>0.44577264669133837</v>
      </c>
      <c r="CF28" s="2">
        <v>2.9447809676841352E-8</v>
      </c>
      <c r="CG28" s="2">
        <f t="shared" si="12"/>
        <v>-1.6899674186215136E-14</v>
      </c>
      <c r="CH28" s="2">
        <f t="shared" si="13"/>
        <v>1.8634019275424469E-14</v>
      </c>
      <c r="CI28" s="2">
        <f t="shared" si="14"/>
        <v>3.3331125515179139E-7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39.33435269005065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0.98821181058883667</v>
      </c>
      <c r="W29" s="2">
        <f t="shared" si="0"/>
        <v>4.2119829846143375E-10</v>
      </c>
      <c r="X29" s="2">
        <f t="shared" si="16"/>
        <v>0.98821184039115906</v>
      </c>
      <c r="Y29" s="2">
        <f t="shared" si="1"/>
        <v>-3.0874640954969834E-8</v>
      </c>
      <c r="Z29" s="2">
        <f t="shared" si="3"/>
        <v>0.98821182548999786</v>
      </c>
      <c r="AA29" s="2">
        <f t="shared" si="2"/>
        <v>-1.52267213282542E-8</v>
      </c>
      <c r="AB29" s="2">
        <f t="shared" si="4"/>
        <v>-6.4134691146070916E-18</v>
      </c>
      <c r="AC29" s="2">
        <f t="shared" si="5"/>
        <v>4.7011955393122977E-16</v>
      </c>
      <c r="AD29" s="2">
        <f t="shared" si="6"/>
        <v>2.9802322387695312E-8</v>
      </c>
      <c r="AF29" s="2">
        <v>25</v>
      </c>
      <c r="AG29" s="2">
        <f t="shared" si="25"/>
        <v>2318.4341788291931</v>
      </c>
      <c r="AH29" s="2">
        <v>-1.63470717780001E-5</v>
      </c>
      <c r="AI29" s="2">
        <f t="shared" si="26"/>
        <v>2318.4344470500946</v>
      </c>
      <c r="AJ29" s="2">
        <v>1.2333746985859761E-4</v>
      </c>
      <c r="AK29" s="2">
        <f t="shared" si="17"/>
        <v>2318.4343129396439</v>
      </c>
      <c r="AL29" s="2">
        <v>5.3495199381359271E-5</v>
      </c>
      <c r="AM29" s="2">
        <f t="shared" si="18"/>
        <v>-8.7448986406550652E-10</v>
      </c>
      <c r="AN29" s="2">
        <f t="shared" si="19"/>
        <v>6.5979625412780689E-9</v>
      </c>
      <c r="AO29" s="2">
        <f t="shared" si="20"/>
        <v>2.6822090148925781E-4</v>
      </c>
      <c r="AQ29" s="66"/>
      <c r="AR29" s="3">
        <f>0.513438*($AR$9/2)</f>
        <v>0.78247951199999999</v>
      </c>
      <c r="AS29" s="26" t="s">
        <v>8</v>
      </c>
      <c r="AU29" s="69"/>
      <c r="AV29" s="66">
        <f>BH77</f>
        <v>6.3166378308499027E-9</v>
      </c>
      <c r="AW29" s="66"/>
      <c r="BG29" s="2" t="s">
        <v>180</v>
      </c>
      <c r="BH29" s="2">
        <f>IF(-$AR$8*($AR$21-$AR$10)/(2*$AR$21*SIN(BH23))&gt;500, 1, 2*ACOS(MIN(1, EXP(-$AR$8*($AR$21-$AR$10)/(2*$AR$21*SIN(BH23)))))/PI() )</f>
        <v>0.84359305892577208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0.8942146080151846</v>
      </c>
      <c r="BM29" s="2"/>
      <c r="BO29" s="2">
        <v>25</v>
      </c>
      <c r="BP29" s="2">
        <f t="shared" si="21"/>
        <v>0.52636747484954538</v>
      </c>
      <c r="BQ29" s="2">
        <v>-1.9687395223788595E-7</v>
      </c>
      <c r="BR29" s="2">
        <f t="shared" si="22"/>
        <v>0.52636764150517301</v>
      </c>
      <c r="BS29" s="2">
        <v>7.3063609340451308E-7</v>
      </c>
      <c r="BT29" s="2">
        <f t="shared" si="7"/>
        <v>0.52636755817735925</v>
      </c>
      <c r="BU29" s="2">
        <v>2.6688109441841412E-7</v>
      </c>
      <c r="BV29" s="2">
        <f t="shared" si="8"/>
        <v>-5.2541935835725593E-14</v>
      </c>
      <c r="BW29" s="2">
        <f t="shared" si="9"/>
        <v>1.9499296022939109E-13</v>
      </c>
      <c r="BX29" s="2">
        <f t="shared" si="10"/>
        <v>1.6665562763140684E-7</v>
      </c>
      <c r="BZ29" s="2">
        <v>25</v>
      </c>
      <c r="CA29" s="2">
        <f t="shared" si="23"/>
        <v>0.44577248003571079</v>
      </c>
      <c r="CB29" s="2">
        <v>-5.7388560886773021E-7</v>
      </c>
      <c r="CC29" s="2">
        <f t="shared" si="24"/>
        <v>0.44577264669133837</v>
      </c>
      <c r="CD29" s="2">
        <v>2.9447809676841352E-8</v>
      </c>
      <c r="CE29" s="2">
        <f t="shared" si="11"/>
        <v>0.44577256336352455</v>
      </c>
      <c r="CF29" s="2">
        <v>-2.7221889170592206E-7</v>
      </c>
      <c r="CG29" s="2">
        <f t="shared" si="12"/>
        <v>1.5622250441195179E-13</v>
      </c>
      <c r="CH29" s="2">
        <f t="shared" si="13"/>
        <v>-8.0162501133966805E-15</v>
      </c>
      <c r="CI29" s="2">
        <f t="shared" si="14"/>
        <v>1.6665562757589569E-7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-2.9485296898656088E-2</v>
      </c>
      <c r="L30" s="10" t="s">
        <v>7</v>
      </c>
      <c r="N30" s="6" t="s">
        <v>38</v>
      </c>
      <c r="O30" s="6">
        <f xml:space="preserve"> 1/$C$76 * LN( EXP($C$76 * O28) + EXP($C$76 * O29) )</f>
        <v>1.2894970092843638</v>
      </c>
      <c r="U30" s="2">
        <v>26</v>
      </c>
      <c r="V30" s="2">
        <f>IF(AB29&gt;0, Z29, V29)</f>
        <v>0.98821181058883667</v>
      </c>
      <c r="W30" s="2">
        <f t="shared" si="0"/>
        <v>4.2119829846143375E-10</v>
      </c>
      <c r="X30" s="2">
        <f t="shared" si="16"/>
        <v>0.98821182548999786</v>
      </c>
      <c r="Y30" s="2">
        <f t="shared" si="1"/>
        <v>-1.52267213282542E-8</v>
      </c>
      <c r="Z30" s="2">
        <f t="shared" si="3"/>
        <v>0.98821181803941727</v>
      </c>
      <c r="AA30" s="2">
        <f t="shared" si="2"/>
        <v>-7.4027615148963832E-9</v>
      </c>
      <c r="AB30" s="2">
        <f t="shared" si="4"/>
        <v>-3.1180305539901423E-18</v>
      </c>
      <c r="AC30" s="2">
        <f t="shared" si="5"/>
        <v>1.1271978664685213E-16</v>
      </c>
      <c r="AD30" s="2">
        <f t="shared" si="6"/>
        <v>1.4901161193847656E-8</v>
      </c>
      <c r="AF30" s="2">
        <v>26</v>
      </c>
      <c r="AG30" s="2">
        <f t="shared" si="25"/>
        <v>2318.4341788291931</v>
      </c>
      <c r="AH30" s="2">
        <v>-1.63470717780001E-5</v>
      </c>
      <c r="AI30" s="2">
        <f t="shared" si="26"/>
        <v>2318.4343129396439</v>
      </c>
      <c r="AJ30" s="2">
        <v>5.3495199381359271E-5</v>
      </c>
      <c r="AK30" s="2">
        <f t="shared" si="17"/>
        <v>2318.4342458844185</v>
      </c>
      <c r="AL30" s="2">
        <v>1.8753668882709462E-5</v>
      </c>
      <c r="AM30" s="2">
        <f t="shared" si="18"/>
        <v>-3.0656757132649851E-10</v>
      </c>
      <c r="AN30" s="2">
        <f t="shared" si="19"/>
        <v>1.0032312560125358E-9</v>
      </c>
      <c r="AO30" s="2">
        <f t="shared" si="20"/>
        <v>1.3411045074462891E-4</v>
      </c>
      <c r="AQ30" s="66"/>
      <c r="AR30" s="3">
        <f>0.496013*($AR$9/2)</f>
        <v>0.75592381200000003</v>
      </c>
      <c r="AS30" s="26" t="s">
        <v>8</v>
      </c>
      <c r="AU30" s="38" t="s">
        <v>205</v>
      </c>
      <c r="AV30" s="66" t="b">
        <f>IF(AV23&lt;0.00001,IF(AV24&lt;0.00001,IF(AV25&lt;0.00001,IF(AV26&lt;0.00001,IF(AV27&lt;0.00001,IF(AV28&lt;0.00001,IF(AV29&lt;0.00001,TRUE,FALSE),FALSE),FALSE),FALSE),FALSE),FALSE),FALSE)</f>
        <v>1</v>
      </c>
      <c r="AW30" s="66"/>
      <c r="AY30" s="62" t="s">
        <v>206</v>
      </c>
      <c r="AZ30" s="62"/>
      <c r="BA30" s="62"/>
      <c r="BC30" s="62" t="s">
        <v>220</v>
      </c>
      <c r="BD30" s="62"/>
      <c r="BE30" s="62"/>
      <c r="BG30" s="2" t="s">
        <v>183</v>
      </c>
      <c r="BH30" s="2">
        <f>IF(BH23=0,1,BH28*BH29)</f>
        <v>0.81964045040625533</v>
      </c>
      <c r="BI30" s="2"/>
      <c r="BJ30" s="2"/>
      <c r="BK30" s="2" t="s">
        <v>183</v>
      </c>
      <c r="BL30" s="2">
        <f>IF(BL23=0,1,BL28*BL29)</f>
        <v>0.83781124510127791</v>
      </c>
      <c r="BM30" s="2"/>
      <c r="BO30" s="2">
        <v>26</v>
      </c>
      <c r="BP30" s="2">
        <f t="shared" si="21"/>
        <v>0.52636747484954538</v>
      </c>
      <c r="BQ30" s="2">
        <v>-1.9687395223788595E-7</v>
      </c>
      <c r="BR30" s="2">
        <f t="shared" si="22"/>
        <v>0.52636755817735925</v>
      </c>
      <c r="BS30" s="2">
        <v>2.6688109441841412E-7</v>
      </c>
      <c r="BT30" s="2">
        <f t="shared" si="7"/>
        <v>0.52636751651345226</v>
      </c>
      <c r="BU30" s="2">
        <v>3.5003576731584829E-8</v>
      </c>
      <c r="BV30" s="2">
        <f t="shared" si="8"/>
        <v>-6.8912924936092078E-15</v>
      </c>
      <c r="BW30" s="2">
        <f t="shared" si="9"/>
        <v>9.3417928666842947E-15</v>
      </c>
      <c r="BX30" s="2">
        <f t="shared" si="10"/>
        <v>8.3327813871214573E-8</v>
      </c>
      <c r="BZ30" s="2">
        <v>26</v>
      </c>
      <c r="CA30" s="2">
        <f t="shared" si="23"/>
        <v>0.44577256336352455</v>
      </c>
      <c r="CB30" s="2">
        <v>-2.7221889170592206E-7</v>
      </c>
      <c r="CC30" s="2">
        <f t="shared" si="24"/>
        <v>0.44577264669133837</v>
      </c>
      <c r="CD30" s="2">
        <v>2.9447809676841352E-8</v>
      </c>
      <c r="CE30" s="2">
        <f t="shared" si="11"/>
        <v>0.44577260502743143</v>
      </c>
      <c r="CF30" s="2">
        <v>-1.2138553905083338E-7</v>
      </c>
      <c r="CG30" s="2">
        <f t="shared" si="12"/>
        <v>3.3043436909543785E-14</v>
      </c>
      <c r="CH30" s="2">
        <f t="shared" si="13"/>
        <v>-3.5745382514897348E-15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0.98821181058883667</v>
      </c>
      <c r="W31" s="2">
        <f t="shared" si="0"/>
        <v>4.2119829846143375E-10</v>
      </c>
      <c r="X31" s="2">
        <f t="shared" si="16"/>
        <v>0.98821181803941727</v>
      </c>
      <c r="Y31" s="2">
        <f t="shared" si="1"/>
        <v>-7.4027615148963832E-9</v>
      </c>
      <c r="Z31" s="2">
        <f t="shared" si="3"/>
        <v>0.98821181431412697</v>
      </c>
      <c r="AA31" s="2">
        <f t="shared" si="2"/>
        <v>-3.490781663728626E-9</v>
      </c>
      <c r="AB31" s="2">
        <f t="shared" si="4"/>
        <v>-1.4703112970628701E-18</v>
      </c>
      <c r="AC31" s="2">
        <f t="shared" si="5"/>
        <v>2.584142415715624E-17</v>
      </c>
      <c r="AD31" s="2">
        <f t="shared" si="6"/>
        <v>7.4505805969238281E-9</v>
      </c>
      <c r="AF31" s="2">
        <v>27</v>
      </c>
      <c r="AG31" s="2">
        <f t="shared" si="25"/>
        <v>2318.4341788291931</v>
      </c>
      <c r="AH31" s="2">
        <v>-1.63470717780001E-5</v>
      </c>
      <c r="AI31" s="2">
        <f t="shared" si="26"/>
        <v>2318.4342458844185</v>
      </c>
      <c r="AJ31" s="2">
        <v>1.8753668882709462E-5</v>
      </c>
      <c r="AK31" s="2">
        <f t="shared" si="17"/>
        <v>2318.4342123568058</v>
      </c>
      <c r="AL31" s="2">
        <v>1.0236940397589933E-6</v>
      </c>
      <c r="AM31" s="2">
        <f t="shared" si="18"/>
        <v>-1.6734399946651151E-11</v>
      </c>
      <c r="AN31" s="2">
        <f t="shared" si="19"/>
        <v>1.9198019058843376E-11</v>
      </c>
      <c r="AO31" s="2">
        <f t="shared" si="20"/>
        <v>6.7055225372314453E-5</v>
      </c>
      <c r="AQ31" s="66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1.2196286302007602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1.287405637145842</v>
      </c>
      <c r="BM31" s="2"/>
      <c r="BO31" s="2">
        <v>27</v>
      </c>
      <c r="BP31" s="2">
        <f t="shared" si="21"/>
        <v>0.52636747484954538</v>
      </c>
      <c r="BQ31" s="2">
        <v>-1.9687395223788595E-7</v>
      </c>
      <c r="BR31" s="2">
        <f t="shared" si="22"/>
        <v>0.52636751651345226</v>
      </c>
      <c r="BS31" s="2">
        <v>3.5003576731584829E-8</v>
      </c>
      <c r="BT31" s="2">
        <f t="shared" si="7"/>
        <v>0.52636749568149876</v>
      </c>
      <c r="BU31" s="2">
        <v>-8.093518652496634E-8</v>
      </c>
      <c r="BV31" s="2">
        <f t="shared" si="8"/>
        <v>1.5934030046280615E-14</v>
      </c>
      <c r="BW31" s="2">
        <f t="shared" si="9"/>
        <v>-2.8330210118117897E-15</v>
      </c>
      <c r="BX31" s="2">
        <f t="shared" si="10"/>
        <v>4.1663906880096135E-8</v>
      </c>
      <c r="BZ31" s="2">
        <v>27</v>
      </c>
      <c r="CA31" s="2">
        <f t="shared" si="23"/>
        <v>0.44577260502743143</v>
      </c>
      <c r="CB31" s="2">
        <v>-1.2138553905083338E-7</v>
      </c>
      <c r="CC31" s="2">
        <f t="shared" si="24"/>
        <v>0.44577264669133837</v>
      </c>
      <c r="CD31" s="2">
        <v>2.9447809676841352E-8</v>
      </c>
      <c r="CE31" s="2">
        <f t="shared" si="11"/>
        <v>0.44577262585938493</v>
      </c>
      <c r="CF31" s="2">
        <v>-4.5968864284540167E-8</v>
      </c>
      <c r="CG31" s="2">
        <f t="shared" si="12"/>
        <v>5.5799553707335106E-15</v>
      </c>
      <c r="CH31" s="2">
        <f t="shared" si="13"/>
        <v>-1.3536823665116887E-15</v>
      </c>
      <c r="CI31" s="2">
        <f t="shared" si="14"/>
        <v>4.1663906935607287E-8</v>
      </c>
    </row>
    <row r="32" spans="2:87" x14ac:dyDescent="0.2">
      <c r="U32" s="2">
        <v>28</v>
      </c>
      <c r="V32" s="2">
        <f t="shared" si="15"/>
        <v>0.98821181058883667</v>
      </c>
      <c r="W32" s="2">
        <f t="shared" si="0"/>
        <v>4.2119829846143375E-10</v>
      </c>
      <c r="X32" s="2">
        <f t="shared" si="16"/>
        <v>0.98821181431412697</v>
      </c>
      <c r="Y32" s="2">
        <f t="shared" si="1"/>
        <v>-3.490781663728626E-9</v>
      </c>
      <c r="Z32" s="2">
        <f t="shared" si="3"/>
        <v>0.98821181245148182</v>
      </c>
      <c r="AA32" s="2">
        <f t="shared" si="2"/>
        <v>-1.5347916271224449E-9</v>
      </c>
      <c r="AB32" s="2">
        <f t="shared" si="4"/>
        <v>-6.4645162183682908E-19</v>
      </c>
      <c r="AC32" s="2">
        <f t="shared" si="5"/>
        <v>5.3576224696032531E-18</v>
      </c>
      <c r="AD32" s="2">
        <f t="shared" si="6"/>
        <v>3.7252902984619141E-9</v>
      </c>
      <c r="AF32" s="2">
        <v>28</v>
      </c>
      <c r="AG32" s="2">
        <f t="shared" si="25"/>
        <v>2318.4341788291931</v>
      </c>
      <c r="AH32" s="2">
        <v>-1.63470717780001E-5</v>
      </c>
      <c r="AI32" s="2">
        <f t="shared" si="26"/>
        <v>2318.4342123568058</v>
      </c>
      <c r="AJ32" s="2">
        <v>1.0236940397589933E-6</v>
      </c>
      <c r="AK32" s="2">
        <f t="shared" si="17"/>
        <v>2318.4341955929995</v>
      </c>
      <c r="AL32" s="2">
        <v>-7.4820843565248651E-6</v>
      </c>
      <c r="AM32" s="2">
        <f t="shared" si="18"/>
        <v>1.2231017002516366E-10</v>
      </c>
      <c r="AN32" s="2">
        <f t="shared" si="19"/>
        <v>-7.6593651607485072E-12</v>
      </c>
      <c r="AO32" s="2">
        <f t="shared" si="20"/>
        <v>3.3527612686157227E-5</v>
      </c>
      <c r="AQ32" s="66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21.664773470130402</v>
      </c>
      <c r="BA32" s="26" t="s">
        <v>10</v>
      </c>
      <c r="BC32" s="2" t="s">
        <v>158</v>
      </c>
      <c r="BD32" s="2">
        <f>(1+$BL$75)*$AR$3</f>
        <v>25.322221300809467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4.8132693158609227E-2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4.7903609177307613E-2</v>
      </c>
      <c r="BM32" s="2"/>
      <c r="BO32" s="2">
        <v>28</v>
      </c>
      <c r="BP32" s="2">
        <f t="shared" si="21"/>
        <v>0.52636749568149876</v>
      </c>
      <c r="BQ32" s="2">
        <v>-8.093518652496634E-8</v>
      </c>
      <c r="BR32" s="2">
        <f t="shared" si="22"/>
        <v>0.52636751651345226</v>
      </c>
      <c r="BS32" s="2">
        <v>3.5003576731584829E-8</v>
      </c>
      <c r="BT32" s="2">
        <f t="shared" si="7"/>
        <v>0.52636750609747551</v>
      </c>
      <c r="BU32" s="2">
        <v>-2.2965804646890575E-8</v>
      </c>
      <c r="BV32" s="2">
        <f t="shared" si="8"/>
        <v>1.8587416827920276E-15</v>
      </c>
      <c r="BW32" s="2">
        <f t="shared" si="9"/>
        <v>-8.0388530516002171E-16</v>
      </c>
      <c r="BX32" s="2">
        <f t="shared" si="10"/>
        <v>2.0831953495559219E-8</v>
      </c>
      <c r="BZ32" s="2">
        <v>28</v>
      </c>
      <c r="CA32" s="2">
        <f t="shared" si="23"/>
        <v>0.44577262585938493</v>
      </c>
      <c r="CB32" s="2">
        <v>-4.5968864284540167E-8</v>
      </c>
      <c r="CC32" s="2">
        <f t="shared" si="24"/>
        <v>0.44577264669133837</v>
      </c>
      <c r="CD32" s="2">
        <v>2.9447809676841352E-8</v>
      </c>
      <c r="CE32" s="2">
        <f t="shared" si="11"/>
        <v>0.44577263627536168</v>
      </c>
      <c r="CF32" s="2">
        <v>-8.2605271789493173E-9</v>
      </c>
      <c r="CG32" s="2">
        <f t="shared" si="12"/>
        <v>3.7972705280787663E-16</v>
      </c>
      <c r="CH32" s="2">
        <f t="shared" si="13"/>
        <v>-2.4325443219607472E-16</v>
      </c>
      <c r="CI32" s="2">
        <f t="shared" si="14"/>
        <v>2.0831953440048068E-8</v>
      </c>
    </row>
    <row r="33" spans="2:87" x14ac:dyDescent="0.2">
      <c r="B33" s="53" t="s">
        <v>107</v>
      </c>
      <c r="C33" s="53"/>
      <c r="D33" s="53"/>
      <c r="J33" s="46" t="s">
        <v>59</v>
      </c>
      <c r="K33" s="46"/>
      <c r="L33" s="46"/>
      <c r="U33" s="2">
        <v>29</v>
      </c>
      <c r="V33" s="2">
        <f t="shared" si="15"/>
        <v>0.98821181058883667</v>
      </c>
      <c r="W33" s="2">
        <f t="shared" si="0"/>
        <v>4.2119829846143375E-10</v>
      </c>
      <c r="X33" s="2">
        <f t="shared" si="16"/>
        <v>0.98821181245148182</v>
      </c>
      <c r="Y33" s="2">
        <f t="shared" si="1"/>
        <v>-1.5347916271224449E-9</v>
      </c>
      <c r="Z33" s="2">
        <f t="shared" si="3"/>
        <v>0.98821181152015924</v>
      </c>
      <c r="AA33" s="2">
        <f t="shared" si="2"/>
        <v>-5.567967198416568E-10</v>
      </c>
      <c r="AB33" s="2">
        <f t="shared" si="4"/>
        <v>-2.3452183098621347E-19</v>
      </c>
      <c r="AC33" s="2">
        <f t="shared" si="5"/>
        <v>8.5456694362221652E-19</v>
      </c>
      <c r="AD33" s="2">
        <f t="shared" si="6"/>
        <v>1.862645149230957E-9</v>
      </c>
      <c r="AF33" s="2">
        <v>29</v>
      </c>
      <c r="AG33" s="2">
        <f t="shared" si="25"/>
        <v>2318.4341955929995</v>
      </c>
      <c r="AH33" s="2">
        <v>-7.4820843565248651E-6</v>
      </c>
      <c r="AI33" s="2">
        <f t="shared" si="26"/>
        <v>2318.4342123568058</v>
      </c>
      <c r="AJ33" s="2">
        <v>1.0236940397589933E-6</v>
      </c>
      <c r="AK33" s="2">
        <f t="shared" si="17"/>
        <v>2318.4342039749026</v>
      </c>
      <c r="AL33" s="2">
        <v>-3.0495905321004102E-6</v>
      </c>
      <c r="AM33" s="2">
        <f t="shared" si="18"/>
        <v>2.2817293614034819E-11</v>
      </c>
      <c r="AN33" s="2">
        <f t="shared" si="19"/>
        <v>-3.1218476514166469E-12</v>
      </c>
      <c r="AO33" s="2">
        <f t="shared" si="20"/>
        <v>1.6763806343078613E-5</v>
      </c>
      <c r="AQ33" s="66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70.318010484270047</v>
      </c>
      <c r="BA33" s="26" t="s">
        <v>10</v>
      </c>
      <c r="BC33" s="2" t="s">
        <v>163</v>
      </c>
      <c r="BD33" s="2">
        <f>(1-$BL$76)*$AV$5*$AR$26</f>
        <v>76.91226015585444</v>
      </c>
      <c r="BE33" s="26" t="s">
        <v>10</v>
      </c>
      <c r="BG33" s="2" t="s">
        <v>190</v>
      </c>
      <c r="BH33" s="2">
        <f xml:space="preserve"> BH31*COS(BH23) - BH32*SIN(BH23)</f>
        <v>1.1086359083078809</v>
      </c>
      <c r="BI33" s="2"/>
      <c r="BK33" s="2" t="s">
        <v>190</v>
      </c>
      <c r="BL33" s="2">
        <f xml:space="preserve"> BL31*COS(BL23) - BL32*SIN(BL23)</f>
        <v>1.1914686504724383</v>
      </c>
      <c r="BM33" s="2"/>
      <c r="BO33" s="2">
        <v>29</v>
      </c>
      <c r="BP33" s="2">
        <f t="shared" si="21"/>
        <v>0.52636750609747551</v>
      </c>
      <c r="BQ33" s="2">
        <v>-2.2965804646890575E-8</v>
      </c>
      <c r="BR33" s="2">
        <f t="shared" si="22"/>
        <v>0.52636751651345226</v>
      </c>
      <c r="BS33" s="2">
        <v>3.5003576731584829E-8</v>
      </c>
      <c r="BT33" s="2">
        <f t="shared" si="7"/>
        <v>0.52636751130546389</v>
      </c>
      <c r="BU33" s="2">
        <v>6.0188862227583684E-9</v>
      </c>
      <c r="BV33" s="2">
        <f t="shared" si="8"/>
        <v>-1.3822856518372979E-16</v>
      </c>
      <c r="BW33" s="2">
        <f t="shared" si="9"/>
        <v>2.1068254573700133E-16</v>
      </c>
      <c r="BX33" s="2">
        <f t="shared" si="10"/>
        <v>1.0415976747779609E-8</v>
      </c>
      <c r="BZ33" s="2">
        <v>29</v>
      </c>
      <c r="CA33" s="2">
        <f t="shared" si="23"/>
        <v>0.44577263627536168</v>
      </c>
      <c r="CB33" s="2">
        <v>-8.2605271789493173E-9</v>
      </c>
      <c r="CC33" s="2">
        <f t="shared" si="24"/>
        <v>0.44577264669133837</v>
      </c>
      <c r="CD33" s="2">
        <v>2.9447809676841352E-8</v>
      </c>
      <c r="CE33" s="2">
        <f t="shared" si="11"/>
        <v>0.44577264148335005</v>
      </c>
      <c r="CF33" s="2">
        <v>1.0593641339151638E-8</v>
      </c>
      <c r="CG33" s="2">
        <f t="shared" si="12"/>
        <v>-8.7509062206103152E-17</v>
      </c>
      <c r="CH33" s="2">
        <f t="shared" si="13"/>
        <v>3.119595339400562E-16</v>
      </c>
      <c r="CI33" s="2">
        <f t="shared" si="14"/>
        <v>1.0415976692268458E-8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0.98821181058883667</v>
      </c>
      <c r="W34" s="2">
        <f t="shared" si="0"/>
        <v>4.2119829846143375E-10</v>
      </c>
      <c r="X34" s="2">
        <f t="shared" si="16"/>
        <v>0.98821181152015924</v>
      </c>
      <c r="Y34" s="2">
        <f t="shared" si="1"/>
        <v>-5.567967198416568E-10</v>
      </c>
      <c r="Z34" s="2">
        <f t="shared" si="3"/>
        <v>0.98821181105449796</v>
      </c>
      <c r="AA34" s="2">
        <f t="shared" si="2"/>
        <v>-6.7799210690111522E-11</v>
      </c>
      <c r="AB34" s="2">
        <f t="shared" si="4"/>
        <v>-2.8556912179703223E-20</v>
      </c>
      <c r="AC34" s="2">
        <f t="shared" si="5"/>
        <v>3.7750378120107488E-20</v>
      </c>
      <c r="AD34" s="2">
        <f t="shared" si="6"/>
        <v>9.3132257461547852E-10</v>
      </c>
      <c r="AF34" s="2">
        <v>30</v>
      </c>
      <c r="AG34" s="2">
        <f t="shared" si="25"/>
        <v>2318.4342039749026</v>
      </c>
      <c r="AH34" s="2">
        <v>-3.0495905321004102E-6</v>
      </c>
      <c r="AI34" s="2">
        <f t="shared" si="26"/>
        <v>2318.4342123568058</v>
      </c>
      <c r="AJ34" s="2">
        <v>1.0236940397589933E-6</v>
      </c>
      <c r="AK34" s="2">
        <f t="shared" si="17"/>
        <v>2318.4342081658542</v>
      </c>
      <c r="AL34" s="2">
        <v>-1.1925530998269096E-6</v>
      </c>
      <c r="AM34" s="2">
        <f t="shared" si="18"/>
        <v>3.6367986422591389E-12</v>
      </c>
      <c r="AN34" s="2">
        <f t="shared" si="19"/>
        <v>-1.2208095003889191E-12</v>
      </c>
      <c r="AO34" s="2">
        <f t="shared" si="20"/>
        <v>8.3819031715393066E-6</v>
      </c>
      <c r="AQ34" s="66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73.579786680704487</v>
      </c>
      <c r="BA34" s="26" t="s">
        <v>10</v>
      </c>
      <c r="BC34" s="2" t="s">
        <v>167</v>
      </c>
      <c r="BD34" s="2">
        <f>SQRT(BD32^2 + BD33^2)</f>
        <v>80.973518225954606</v>
      </c>
      <c r="BE34" s="26" t="s">
        <v>10</v>
      </c>
      <c r="BG34" s="2" t="s">
        <v>192</v>
      </c>
      <c r="BH34" s="2">
        <f xml:space="preserve"> BH31*SIN(BH23) + BH32*COS(BH23)</f>
        <v>0.51062429884058946</v>
      </c>
      <c r="BI34" s="2"/>
      <c r="BK34" s="2" t="s">
        <v>192</v>
      </c>
      <c r="BL34" s="2">
        <f xml:space="preserve"> BL31*SIN(BL23) + BL32*COS(BL23)</f>
        <v>0.49001069913675366</v>
      </c>
      <c r="BM34" s="2"/>
      <c r="BO34" s="2">
        <v>30</v>
      </c>
      <c r="BP34" s="2">
        <f t="shared" si="21"/>
        <v>0.52636750609747551</v>
      </c>
      <c r="BQ34" s="2">
        <v>-2.2965804646890575E-8</v>
      </c>
      <c r="BR34" s="2">
        <f t="shared" si="22"/>
        <v>0.52636751130546389</v>
      </c>
      <c r="BS34" s="2">
        <v>6.0188862227583684E-9</v>
      </c>
      <c r="BT34" s="5">
        <f t="shared" si="7"/>
        <v>0.52636750870146964</v>
      </c>
      <c r="BU34" s="2">
        <v>-8.4734595867663742E-9</v>
      </c>
      <c r="BV34" s="2">
        <f t="shared" si="8"/>
        <v>1.9459981755299869E-16</v>
      </c>
      <c r="BW34" s="2">
        <f t="shared" si="9"/>
        <v>-5.1000789165887946E-17</v>
      </c>
      <c r="BX34" s="2">
        <f t="shared" si="10"/>
        <v>5.2079883738898047E-9</v>
      </c>
      <c r="BZ34" s="2">
        <v>30</v>
      </c>
      <c r="CA34" s="2">
        <f t="shared" si="23"/>
        <v>0.44577263627536168</v>
      </c>
      <c r="CB34" s="2">
        <v>-8.2605271789493173E-9</v>
      </c>
      <c r="CC34" s="2">
        <f t="shared" si="24"/>
        <v>0.44577264148335005</v>
      </c>
      <c r="CD34" s="2">
        <v>1.0593641339151638E-8</v>
      </c>
      <c r="CE34" s="5">
        <f t="shared" si="11"/>
        <v>0.44577263887935586</v>
      </c>
      <c r="CF34" s="2">
        <v>1.1665570176511153E-9</v>
      </c>
      <c r="CG34" s="2">
        <f t="shared" si="12"/>
        <v>-9.6363759501010965E-18</v>
      </c>
      <c r="CH34" s="2">
        <f t="shared" si="13"/>
        <v>1.2358086646666302E-17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2318.4342081658542</v>
      </c>
      <c r="AH35" s="2">
        <v>-1.1925530998269096E-6</v>
      </c>
      <c r="AI35" s="2">
        <f t="shared" si="26"/>
        <v>2318.4342123568058</v>
      </c>
      <c r="AJ35" s="2">
        <v>1.0236940397589933E-6</v>
      </c>
      <c r="AK35" s="2">
        <f t="shared" si="17"/>
        <v>2318.43421026133</v>
      </c>
      <c r="AL35" s="2">
        <v>-8.4429984781309031E-8</v>
      </c>
      <c r="AM35" s="2">
        <f t="shared" si="18"/>
        <v>1.0068724006928889E-13</v>
      </c>
      <c r="AN35" s="2">
        <f t="shared" si="19"/>
        <v>-8.6430472197568567E-14</v>
      </c>
      <c r="AO35" s="2">
        <f t="shared" si="20"/>
        <v>4.1909515857696533E-6</v>
      </c>
      <c r="AQ35" s="66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3681751.872194537</v>
      </c>
      <c r="BA35" s="26"/>
      <c r="BC35" s="2" t="s">
        <v>170</v>
      </c>
      <c r="BD35" s="37">
        <f>$AR$45*BD34*$AR$27/$AR$46</f>
        <v>4051716.0456074919</v>
      </c>
      <c r="BE35" s="26"/>
      <c r="BG35" s="2" t="s">
        <v>38</v>
      </c>
      <c r="BH35" s="2">
        <f xml:space="preserve"> 4*BH30*SIN(BH23)*SIN(BH23) / (BH27*BH33)</f>
        <v>1.2076532291189419</v>
      </c>
      <c r="BI35" s="2"/>
      <c r="BK35" s="2" t="s">
        <v>38</v>
      </c>
      <c r="BL35" s="2">
        <f xml:space="preserve"> 4*BL30*SIN(BL23)*SIN(BL23) / (BL27*BL33)</f>
        <v>1.182959076427472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2318.43421026133</v>
      </c>
      <c r="AH36" s="2">
        <v>-8.4429984781309031E-8</v>
      </c>
      <c r="AI36" s="2">
        <f t="shared" si="26"/>
        <v>2318.4342123568058</v>
      </c>
      <c r="AJ36" s="2">
        <v>1.0236940397589933E-6</v>
      </c>
      <c r="AK36" s="2">
        <f t="shared" si="17"/>
        <v>2318.4342113090679</v>
      </c>
      <c r="AL36" s="2">
        <v>4.6963214117567986E-7</v>
      </c>
      <c r="AM36" s="2">
        <f t="shared" si="18"/>
        <v>-3.9651034532276225E-14</v>
      </c>
      <c r="AN36" s="2">
        <f t="shared" si="19"/>
        <v>4.8075962380079758E-13</v>
      </c>
      <c r="AO36" s="2">
        <f t="shared" si="20"/>
        <v>2.0954757928848267E-6</v>
      </c>
      <c r="AQ36" s="66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629.67458530166243</v>
      </c>
      <c r="BA36" s="26" t="s">
        <v>22</v>
      </c>
      <c r="BC36" s="2" t="s">
        <v>174</v>
      </c>
      <c r="BD36" s="2">
        <f xml:space="preserve"> $BL$65 * PI() * $AR$45 * BD34^2 * $BL$71 * $AR$26 * BD31</f>
        <v>555.50961564673355</v>
      </c>
      <c r="BE36" s="26" t="s">
        <v>22</v>
      </c>
      <c r="BG36" s="2" t="s">
        <v>194</v>
      </c>
      <c r="BH36" s="2">
        <f xml:space="preserve"> 4*BH30*SIN(BH23)*COS(BH23) / (BH27*BH34)</f>
        <v>6.3393424760589898</v>
      </c>
      <c r="BI36" s="2"/>
      <c r="BK36" s="2" t="s">
        <v>194</v>
      </c>
      <c r="BL36" s="2">
        <f xml:space="preserve"> 4*BL30*SIN(BL23)*COS(BL23) / (BL27*BL34)</f>
        <v>7.807373927878916</v>
      </c>
      <c r="BM36" s="2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2318.43421026133</v>
      </c>
      <c r="AH37" s="2">
        <v>-8.4429984781309031E-8</v>
      </c>
      <c r="AI37" s="2">
        <f t="shared" si="26"/>
        <v>2318.4342113090679</v>
      </c>
      <c r="AJ37" s="2">
        <v>4.6963214117567986E-7</v>
      </c>
      <c r="AK37" s="2">
        <f t="shared" si="17"/>
        <v>2318.434210785199</v>
      </c>
      <c r="AL37" s="2">
        <v>1.9260119188402314E-7</v>
      </c>
      <c r="AM37" s="2">
        <f t="shared" si="18"/>
        <v>-1.6261315699630054E-14</v>
      </c>
      <c r="AN37" s="2">
        <f t="shared" si="19"/>
        <v>9.0451710137481761E-14</v>
      </c>
      <c r="AO37" s="2">
        <f t="shared" si="20"/>
        <v>1.0477378964424133E-6</v>
      </c>
      <c r="AQ37" s="66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289.80819228812862</v>
      </c>
      <c r="BA37" s="26" t="s">
        <v>179</v>
      </c>
      <c r="BC37" s="2" t="s">
        <v>178</v>
      </c>
      <c r="BD37" s="2">
        <f xml:space="preserve"> $BL$65 * PI() * $AR$45 * BD34^2 * $BL$72 * $AR$26^2 * BD31</f>
        <v>322.27622544964191</v>
      </c>
      <c r="BE37" s="26" t="s">
        <v>179</v>
      </c>
      <c r="BG37" s="2" t="s">
        <v>45</v>
      </c>
      <c r="BH37" s="2">
        <f>1/(BH35-1)</f>
        <v>4.8157209220532229</v>
      </c>
      <c r="BI37" s="2"/>
      <c r="BK37" s="2" t="s">
        <v>45</v>
      </c>
      <c r="BL37" s="2">
        <f>1/(BL35-1)</f>
        <v>5.465703148083044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3" t="s">
        <v>111</v>
      </c>
      <c r="C38" s="53"/>
      <c r="D38" s="53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2318.43421026133</v>
      </c>
      <c r="AH38" s="2">
        <v>-8.4429984781309031E-8</v>
      </c>
      <c r="AI38" s="2">
        <f t="shared" si="26"/>
        <v>2318.434210785199</v>
      </c>
      <c r="AJ38" s="2">
        <v>1.9260119188402314E-7</v>
      </c>
      <c r="AK38" s="2">
        <f t="shared" si="17"/>
        <v>2318.4342105232645</v>
      </c>
      <c r="AL38" s="2">
        <v>5.4085603551357053E-8</v>
      </c>
      <c r="AM38" s="2">
        <f t="shared" si="18"/>
        <v>-4.5664466847289897E-15</v>
      </c>
      <c r="AN38" s="2">
        <f t="shared" si="19"/>
        <v>1.0416951707758123E-14</v>
      </c>
      <c r="AO38" s="2">
        <f t="shared" si="20"/>
        <v>5.2386894822120667E-7</v>
      </c>
      <c r="AQ38" s="66"/>
      <c r="AR38" s="3">
        <v>2.9156249999999999</v>
      </c>
      <c r="AS38" s="26" t="s">
        <v>43</v>
      </c>
      <c r="BG38" s="2" t="s">
        <v>197</v>
      </c>
      <c r="BH38" s="2">
        <f>1/(BH36+1)</f>
        <v>0.13625198759453047</v>
      </c>
      <c r="BI38" s="2"/>
      <c r="BK38" s="2" t="s">
        <v>197</v>
      </c>
      <c r="BL38" s="2">
        <f>1/(BL36+1)</f>
        <v>0.11354122218367427</v>
      </c>
      <c r="BM38" s="2"/>
      <c r="BO38" s="30">
        <v>0</v>
      </c>
      <c r="BP38" s="30"/>
      <c r="BQ38" s="30">
        <f>$BH$39</f>
        <v>6.6491878669694415E-10</v>
      </c>
      <c r="BR38" s="30"/>
      <c r="BS38" s="30">
        <f>$BH$39</f>
        <v>6.6491878669694415E-10</v>
      </c>
      <c r="BT38" s="30"/>
      <c r="BU38" s="30">
        <f>$BH$39</f>
        <v>6.6491878669694415E-10</v>
      </c>
      <c r="BV38" s="30"/>
      <c r="BW38" s="30"/>
      <c r="BX38" s="30"/>
      <c r="BZ38" s="30">
        <v>0</v>
      </c>
      <c r="CA38" s="30"/>
      <c r="CB38" s="30">
        <f>$BL$39</f>
        <v>-3.6167899578054552E-9</v>
      </c>
      <c r="CC38" s="30"/>
      <c r="CD38" s="30">
        <f>$BL$39</f>
        <v>-3.6167899578054552E-9</v>
      </c>
      <c r="CE38" s="30"/>
      <c r="CF38" s="30">
        <f>$BL$39</f>
        <v>-3.6167899578054552E-9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2318.43421026133</v>
      </c>
      <c r="AH39" s="2">
        <v>-8.4429984781309031E-8</v>
      </c>
      <c r="AI39" s="2">
        <f t="shared" si="26"/>
        <v>2318.4342105232645</v>
      </c>
      <c r="AJ39" s="2">
        <v>5.4085603551357053E-8</v>
      </c>
      <c r="AK39" s="2">
        <f t="shared" si="17"/>
        <v>2318.4342103922972</v>
      </c>
      <c r="AL39" s="2">
        <v>-1.5171963241300546E-8</v>
      </c>
      <c r="AM39" s="2">
        <f t="shared" si="18"/>
        <v>1.2809686255655851E-15</v>
      </c>
      <c r="AN39" s="2">
        <f t="shared" si="19"/>
        <v>-8.2058478896474346E-16</v>
      </c>
      <c r="AO39" s="2">
        <f t="shared" si="20"/>
        <v>2.6193447411060333E-7</v>
      </c>
      <c r="AQ39" s="66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6.6491878669694415E-10</v>
      </c>
      <c r="BI39" s="40"/>
      <c r="BK39" s="7" t="s">
        <v>199</v>
      </c>
      <c r="BL39" s="40">
        <f>SIN(BL23)/(1+BL37) - $AR$3*COS(BL23)/($AV$5*$AR$22*(1-BL38))</f>
        <v>-3.6167899578054552E-9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-3.2979629773064287</v>
      </c>
      <c r="BR39" s="3">
        <f>0.9*PI()</f>
        <v>2.8274333882308138</v>
      </c>
      <c r="BS39" s="2">
        <f t="dataTable" ref="BS39:BS68" dt2D="0" dtr="0" r1="BH23" ca="1"/>
        <v>0.58407262246585656</v>
      </c>
      <c r="BT39" s="2">
        <f t="shared" ref="BT39:BT68" si="27">(BP39+BR39)/2</f>
        <v>1.4294246573833558</v>
      </c>
      <c r="BU39" s="2">
        <f t="dataTable" ref="BU39:BU68" dt2D="0" dtr="0" r1="BH23" ca="1"/>
        <v>1.126596340308984</v>
      </c>
      <c r="BV39" s="2">
        <f t="shared" ref="BV39:BV68" si="28">BQ39*BU39</f>
        <v>-3.7154730207079436</v>
      </c>
      <c r="BW39" s="2">
        <f t="shared" ref="BW39:BW68" si="29">BS39*BU39</f>
        <v>0.65801407894470487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-2.5930113655146974</v>
      </c>
      <c r="CC39" s="3">
        <f>0.9*PI()</f>
        <v>2.8274333882308138</v>
      </c>
      <c r="CD39" s="2">
        <f t="dataTable" ref="CD39:CD68" dt2D="0" dtr="0" r1="BL23" ca="1"/>
        <v>0.52903392103717761</v>
      </c>
      <c r="CE39" s="2">
        <f t="shared" ref="CE39:CE68" si="31">(CA39+CC39)/2</f>
        <v>1.4294246573833558</v>
      </c>
      <c r="CF39" s="2">
        <f t="dataTable" ref="CF39:CF68" dt2D="0" dtr="0" r1="BL23" ca="1"/>
        <v>1.1104939602152408</v>
      </c>
      <c r="CG39" s="2">
        <f t="shared" ref="CG39:CG68" si="32">CB39*CF39</f>
        <v>-2.8795234601735458</v>
      </c>
      <c r="CH39" s="2">
        <f t="shared" ref="CH39:CH68" si="33">CD39*CF39</f>
        <v>0.58748897406077238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2318.4342103922972</v>
      </c>
      <c r="AH40" s="2">
        <v>-8.4429984781309031E-8</v>
      </c>
      <c r="AI40" s="2">
        <f t="shared" si="26"/>
        <v>2318.4342105232645</v>
      </c>
      <c r="AJ40" s="2">
        <v>5.4085603551357053E-8</v>
      </c>
      <c r="AK40" s="2">
        <f t="shared" si="17"/>
        <v>2318.4342104577809</v>
      </c>
      <c r="AL40" s="2">
        <v>1.9457047528703697E-8</v>
      </c>
      <c r="AM40" s="2">
        <f t="shared" si="18"/>
        <v>-1.6427582267376596E-15</v>
      </c>
      <c r="AN40" s="2">
        <f t="shared" si="19"/>
        <v>1.0523461589173797E-15</v>
      </c>
      <c r="AO40" s="2">
        <f t="shared" si="20"/>
        <v>1.3096723705530167E-7</v>
      </c>
      <c r="AQ40" s="66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-3.2979629773064287</v>
      </c>
      <c r="BR40" s="2">
        <f t="shared" ref="BR40:BR68" si="36">IF(BW39&gt;0,BT39,BR39)</f>
        <v>1.4294246573833558</v>
      </c>
      <c r="BS40" s="2">
        <v>1.126596340308984</v>
      </c>
      <c r="BT40" s="2">
        <f t="shared" si="27"/>
        <v>0.73042029195962688</v>
      </c>
      <c r="BU40" s="2">
        <v>0.81502070611808786</v>
      </c>
      <c r="BV40" s="2">
        <f t="shared" si="28"/>
        <v>-2.6879081145155967</v>
      </c>
      <c r="BW40" s="2">
        <f t="shared" si="29"/>
        <v>0.91819934478868181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-2.5930113655146974</v>
      </c>
      <c r="CC40" s="2">
        <f t="shared" ref="CC40:CC68" si="38">IF(CH39&gt;0,CE39,CC39)</f>
        <v>1.4294246573833558</v>
      </c>
      <c r="CD40" s="2">
        <v>1.1104939602152408</v>
      </c>
      <c r="CE40" s="2">
        <f t="shared" si="31"/>
        <v>0.73042029195962688</v>
      </c>
      <c r="CF40" s="2">
        <v>0.81217228962384713</v>
      </c>
      <c r="CG40" s="2">
        <f t="shared" si="32"/>
        <v>-2.10597197775073</v>
      </c>
      <c r="CH40" s="2">
        <f t="shared" si="33"/>
        <v>0.90191242228146551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3" t="s">
        <v>116</v>
      </c>
      <c r="K41" s="53"/>
      <c r="L41" s="53"/>
      <c r="AF41" s="2">
        <v>37</v>
      </c>
      <c r="AG41" s="2">
        <f t="shared" si="25"/>
        <v>2318.4342103922972</v>
      </c>
      <c r="AH41" s="2">
        <v>-8.4429984781309031E-8</v>
      </c>
      <c r="AI41" s="2">
        <f t="shared" si="26"/>
        <v>2318.4342104577809</v>
      </c>
      <c r="AJ41" s="2">
        <v>5.4085603551357053E-8</v>
      </c>
      <c r="AK41" s="2">
        <f t="shared" si="17"/>
        <v>2318.4342104250391</v>
      </c>
      <c r="AL41" s="2">
        <v>3.6771780287381262E-8</v>
      </c>
      <c r="AM41" s="2">
        <f t="shared" si="18"/>
        <v>-3.1046408500452393E-15</v>
      </c>
      <c r="AN41" s="2">
        <f t="shared" si="19"/>
        <v>1.9888239305009092E-15</v>
      </c>
      <c r="AO41" s="2">
        <f t="shared" si="20"/>
        <v>6.5483618527650833E-8</v>
      </c>
      <c r="AQ41" s="66"/>
      <c r="AR41" s="3">
        <v>-1.528125</v>
      </c>
      <c r="AS41" s="26" t="s">
        <v>43</v>
      </c>
      <c r="AU41" s="23" t="s">
        <v>143</v>
      </c>
      <c r="AV41" s="68" t="s">
        <v>218</v>
      </c>
      <c r="AW41" s="68"/>
      <c r="AX41" s="24"/>
      <c r="AY41" s="24"/>
      <c r="AZ41" s="24"/>
      <c r="BA41" s="24"/>
      <c r="BB41" s="24"/>
      <c r="BC41" s="24"/>
      <c r="BD41" s="24"/>
      <c r="BE41" s="25"/>
      <c r="BG41" s="62" t="s">
        <v>200</v>
      </c>
      <c r="BH41" s="62"/>
      <c r="BI41" s="62"/>
      <c r="BJ41" s="2"/>
      <c r="BK41" s="62" t="s">
        <v>201</v>
      </c>
      <c r="BL41" s="62"/>
      <c r="BM41" s="62"/>
      <c r="BO41" s="2">
        <v>3</v>
      </c>
      <c r="BP41" s="2">
        <f t="shared" si="35"/>
        <v>3.1415926535897934E-2</v>
      </c>
      <c r="BQ41" s="2">
        <v>-3.2979629773064287</v>
      </c>
      <c r="BR41" s="2">
        <f t="shared" si="36"/>
        <v>0.73042029195962688</v>
      </c>
      <c r="BS41" s="2">
        <v>0.81502070611808786</v>
      </c>
      <c r="BT41" s="2">
        <f t="shared" si="27"/>
        <v>0.38091810924776243</v>
      </c>
      <c r="BU41" s="2">
        <v>-3.393260478955288E-2</v>
      </c>
      <c r="BV41" s="2">
        <f t="shared" si="28"/>
        <v>0.1119084743195162</v>
      </c>
      <c r="BW41" s="2">
        <f t="shared" si="29"/>
        <v>-2.7655775516007397E-2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-2.5930113655146974</v>
      </c>
      <c r="CC41" s="2">
        <f t="shared" si="38"/>
        <v>0.73042029195962688</v>
      </c>
      <c r="CD41" s="2">
        <v>0.81217228962384713</v>
      </c>
      <c r="CE41" s="2">
        <f t="shared" si="31"/>
        <v>0.38091810924776243</v>
      </c>
      <c r="CF41" s="2">
        <v>7.5324764083184836E-2</v>
      </c>
      <c r="CG41" s="2">
        <f t="shared" si="32"/>
        <v>-0.19531796937241155</v>
      </c>
      <c r="CH41" s="2">
        <f t="shared" si="33"/>
        <v>6.117668611081635E-2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2318.4342103922972</v>
      </c>
      <c r="AH42" s="2">
        <v>-8.4429984781309031E-8</v>
      </c>
      <c r="AI42" s="2">
        <f t="shared" si="26"/>
        <v>2318.4342104250391</v>
      </c>
      <c r="AJ42" s="2">
        <v>3.6771780287381262E-8</v>
      </c>
      <c r="AK42" s="2">
        <f t="shared" si="17"/>
        <v>2318.4342104086682</v>
      </c>
      <c r="AL42" s="2">
        <v>4.5428123485180549E-8</v>
      </c>
      <c r="AM42" s="2">
        <f t="shared" si="18"/>
        <v>-3.8354957744972212E-15</v>
      </c>
      <c r="AN42" s="2">
        <f t="shared" si="19"/>
        <v>1.6704729756650839E-15</v>
      </c>
      <c r="AO42" s="2">
        <f t="shared" si="20"/>
        <v>3.2741809263825417E-8</v>
      </c>
      <c r="AQ42" s="66"/>
      <c r="AR42" s="3">
        <v>-3.0093749999999999</v>
      </c>
      <c r="AS42" s="26" t="s">
        <v>43</v>
      </c>
      <c r="AU42" s="27"/>
      <c r="AV42" s="69" t="s">
        <v>148</v>
      </c>
      <c r="AW42" s="69"/>
      <c r="AX42" s="69"/>
      <c r="AY42" s="69" t="s">
        <v>149</v>
      </c>
      <c r="AZ42" s="69"/>
      <c r="BA42" s="69"/>
      <c r="BB42" s="69"/>
      <c r="BC42" s="69" t="s">
        <v>150</v>
      </c>
      <c r="BD42" s="69"/>
      <c r="BE42" s="70"/>
      <c r="BG42" s="28" t="s">
        <v>154</v>
      </c>
      <c r="BH42" s="29">
        <f>BT102</f>
        <v>0.32454338771512786</v>
      </c>
      <c r="BI42" s="5" t="s">
        <v>155</v>
      </c>
      <c r="BJ42" s="2"/>
      <c r="BK42" s="28" t="s">
        <v>154</v>
      </c>
      <c r="BL42" s="29">
        <f>CE102</f>
        <v>0.30583109594575192</v>
      </c>
      <c r="BM42" s="5" t="s">
        <v>155</v>
      </c>
      <c r="BO42" s="2">
        <v>4</v>
      </c>
      <c r="BP42" s="2">
        <f t="shared" si="35"/>
        <v>0.38091810924776243</v>
      </c>
      <c r="BQ42" s="2">
        <v>-3.393260478955288E-2</v>
      </c>
      <c r="BR42" s="2">
        <f t="shared" si="36"/>
        <v>0.73042029195962688</v>
      </c>
      <c r="BS42" s="2">
        <v>0.81502070611808786</v>
      </c>
      <c r="BT42" s="2">
        <f t="shared" si="27"/>
        <v>0.55566920060369462</v>
      </c>
      <c r="BU42" s="2">
        <v>0.452537280286468</v>
      </c>
      <c r="BV42" s="2">
        <f t="shared" si="28"/>
        <v>-1.5355768684499838E-2</v>
      </c>
      <c r="BW42" s="2">
        <f t="shared" si="29"/>
        <v>0.36882725372383618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-2.5930113655146974</v>
      </c>
      <c r="CC42" s="2">
        <f t="shared" si="38"/>
        <v>0.38091810924776243</v>
      </c>
      <c r="CD42" s="2">
        <v>7.5324764083184836E-2</v>
      </c>
      <c r="CE42" s="2">
        <f t="shared" si="31"/>
        <v>0.20616701789183017</v>
      </c>
      <c r="CF42" s="2">
        <v>-0.3707860672375482</v>
      </c>
      <c r="CG42" s="2">
        <f t="shared" si="32"/>
        <v>0.9614524865214592</v>
      </c>
      <c r="CH42" s="2">
        <f t="shared" si="33"/>
        <v>-2.7929373040000229E-2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528.74</v>
      </c>
      <c r="L43" s="6" t="s">
        <v>7</v>
      </c>
      <c r="AF43" s="2">
        <v>39</v>
      </c>
      <c r="AG43" s="2">
        <f t="shared" si="25"/>
        <v>2318.4342103922972</v>
      </c>
      <c r="AH43" s="2">
        <v>-8.4429984781309031E-8</v>
      </c>
      <c r="AI43" s="2">
        <f t="shared" si="26"/>
        <v>2318.4342104086682</v>
      </c>
      <c r="AJ43" s="2">
        <v>3.6771780287381262E-8</v>
      </c>
      <c r="AK43" s="2">
        <f t="shared" si="17"/>
        <v>2318.4342104004827</v>
      </c>
      <c r="AL43" s="2">
        <v>4.9756863518268801E-8</v>
      </c>
      <c r="AM43" s="2">
        <f t="shared" si="18"/>
        <v>-4.2009712296131054E-15</v>
      </c>
      <c r="AN43" s="2">
        <f t="shared" si="19"/>
        <v>1.8296484530829966E-15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9" t="s">
        <v>156</v>
      </c>
      <c r="AZ43" s="69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0.50663480692052265</v>
      </c>
      <c r="BI43" s="2" t="s">
        <v>155</v>
      </c>
      <c r="BJ43" s="2"/>
      <c r="BK43" s="2" t="s">
        <v>159</v>
      </c>
      <c r="BL43" s="2">
        <f>($AR$40+$AR$5)/180*PI()</f>
        <v>0.48078211737535664</v>
      </c>
      <c r="BM43" s="2" t="s">
        <v>155</v>
      </c>
      <c r="BO43" s="2">
        <v>5</v>
      </c>
      <c r="BP43" s="2">
        <f t="shared" si="35"/>
        <v>0.38091810924776243</v>
      </c>
      <c r="BQ43" s="2">
        <v>-3.393260478955288E-2</v>
      </c>
      <c r="BR43" s="2">
        <f t="shared" si="36"/>
        <v>0.55566920060369462</v>
      </c>
      <c r="BS43" s="2">
        <v>0.452537280286468</v>
      </c>
      <c r="BT43" s="2">
        <f t="shared" si="27"/>
        <v>0.4682936549257285</v>
      </c>
      <c r="BU43" s="2">
        <v>0.22246226223560825</v>
      </c>
      <c r="BV43" s="2">
        <f t="shared" si="28"/>
        <v>-7.5487240250307688E-3</v>
      </c>
      <c r="BW43" s="2">
        <f t="shared" si="29"/>
        <v>0.1006724671184772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-0.3707860672375482</v>
      </c>
      <c r="CC43" s="2">
        <f t="shared" si="38"/>
        <v>0.38091810924776243</v>
      </c>
      <c r="CD43" s="2">
        <v>7.5324764083184836E-2</v>
      </c>
      <c r="CE43" s="2">
        <f t="shared" si="31"/>
        <v>0.2935425635697963</v>
      </c>
      <c r="CF43" s="2">
        <v>-0.16129795479292569</v>
      </c>
      <c r="CG43" s="2">
        <f t="shared" si="32"/>
        <v>5.9807034311128757E-2</v>
      </c>
      <c r="CH43" s="2">
        <f t="shared" si="33"/>
        <v>-1.2149730391877341E-2</v>
      </c>
      <c r="CI43" s="2">
        <f t="shared" si="34"/>
        <v>0.17475109135593225</v>
      </c>
    </row>
    <row r="44" spans="2:87" x14ac:dyDescent="0.2">
      <c r="B44" s="53" t="s">
        <v>248</v>
      </c>
      <c r="C44" s="53"/>
      <c r="D44" s="53"/>
      <c r="J44" s="19" t="s">
        <v>81</v>
      </c>
      <c r="K44" s="6">
        <f>ROUND(SUM(K16:K19), 2)</f>
        <v>347.52</v>
      </c>
      <c r="L44" s="6" t="s">
        <v>7</v>
      </c>
      <c r="AF44" s="2">
        <v>40</v>
      </c>
      <c r="AG44" s="2">
        <f t="shared" si="25"/>
        <v>2318.4342103922972</v>
      </c>
      <c r="AH44" s="2">
        <v>-8.4429984781309031E-8</v>
      </c>
      <c r="AI44" s="2">
        <f t="shared" si="26"/>
        <v>2318.4342104004827</v>
      </c>
      <c r="AJ44" s="2">
        <v>3.6771780287381262E-8</v>
      </c>
      <c r="AK44" s="5">
        <f t="shared" si="17"/>
        <v>2318.43421039639</v>
      </c>
      <c r="AL44" s="2">
        <v>5.192146090848837E-8</v>
      </c>
      <c r="AM44" s="2">
        <f t="shared" si="18"/>
        <v>-4.3837281543270049E-15</v>
      </c>
      <c r="AN44" s="2">
        <f t="shared" si="19"/>
        <v>1.9092445527267894E-15</v>
      </c>
      <c r="AO44" s="2">
        <f t="shared" si="20"/>
        <v>8.1854523159563541E-9</v>
      </c>
      <c r="AQ44" s="60" t="s">
        <v>209</v>
      </c>
      <c r="AR44" s="60"/>
      <c r="AS44" s="60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0.18209141920539479</v>
      </c>
      <c r="BI44" s="2" t="s">
        <v>155</v>
      </c>
      <c r="BJ44" s="2"/>
      <c r="BK44" s="2" t="s">
        <v>28</v>
      </c>
      <c r="BL44" s="2">
        <f>BL43-BL42</f>
        <v>0.17495102142960473</v>
      </c>
      <c r="BM44" s="2" t="s">
        <v>155</v>
      </c>
      <c r="BO44" s="2">
        <v>6</v>
      </c>
      <c r="BP44" s="2">
        <f t="shared" si="35"/>
        <v>0.38091810924776243</v>
      </c>
      <c r="BQ44" s="2">
        <v>-3.393260478955288E-2</v>
      </c>
      <c r="BR44" s="2">
        <f t="shared" si="36"/>
        <v>0.4682936549257285</v>
      </c>
      <c r="BS44" s="2">
        <v>0.22246226223560825</v>
      </c>
      <c r="BT44" s="2">
        <f t="shared" si="27"/>
        <v>0.42460588208674543</v>
      </c>
      <c r="BU44" s="2">
        <v>9.6645065985719966E-2</v>
      </c>
      <c r="BV44" s="2">
        <f t="shared" si="28"/>
        <v>-3.2794188289536953E-3</v>
      </c>
      <c r="BW44" s="2">
        <f t="shared" si="29"/>
        <v>2.1499880013092897E-2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-0.16129795479292569</v>
      </c>
      <c r="CC44" s="2">
        <f t="shared" si="38"/>
        <v>0.38091810924776243</v>
      </c>
      <c r="CD44" s="2">
        <v>7.5324764083184836E-2</v>
      </c>
      <c r="CE44" s="2">
        <f t="shared" si="31"/>
        <v>0.33723033640877936</v>
      </c>
      <c r="CF44" s="2">
        <v>-4.2872879061721103E-2</v>
      </c>
      <c r="CG44" s="2">
        <f t="shared" si="32"/>
        <v>6.9153077087400613E-3</v>
      </c>
      <c r="CH44" s="2">
        <f t="shared" si="33"/>
        <v>-3.229389500891057E-3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730.25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10.433069806016544</v>
      </c>
      <c r="BI45" s="2" t="s">
        <v>43</v>
      </c>
      <c r="BJ45" s="2"/>
      <c r="BK45" s="2" t="s">
        <v>168</v>
      </c>
      <c r="BL45" s="2">
        <f>BL44/PI()*180</f>
        <v>10.023955149419173</v>
      </c>
      <c r="BM45" s="2" t="s">
        <v>43</v>
      </c>
      <c r="BO45" s="2">
        <v>7</v>
      </c>
      <c r="BP45" s="2">
        <f t="shared" si="35"/>
        <v>0.38091810924776243</v>
      </c>
      <c r="BQ45" s="2">
        <v>-3.393260478955288E-2</v>
      </c>
      <c r="BR45" s="2">
        <f t="shared" si="36"/>
        <v>0.42460588208674543</v>
      </c>
      <c r="BS45" s="2">
        <v>9.6645065985719966E-2</v>
      </c>
      <c r="BT45" s="2">
        <f t="shared" si="27"/>
        <v>0.4027619956672539</v>
      </c>
      <c r="BU45" s="2">
        <v>3.1755163537457165E-2</v>
      </c>
      <c r="BV45" s="2">
        <f t="shared" si="28"/>
        <v>-1.0775354143441539E-3</v>
      </c>
      <c r="BW45" s="2">
        <f t="shared" si="29"/>
        <v>3.0689798754648763E-3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-4.2872879061721103E-2</v>
      </c>
      <c r="CC45" s="2">
        <f t="shared" si="38"/>
        <v>0.38091810924776243</v>
      </c>
      <c r="CD45" s="2">
        <v>7.5324764083184836E-2</v>
      </c>
      <c r="CE45" s="2">
        <f t="shared" si="31"/>
        <v>0.35907422282827089</v>
      </c>
      <c r="CF45" s="2">
        <v>1.6504473684201708E-2</v>
      </c>
      <c r="CG45" s="2">
        <f t="shared" si="32"/>
        <v>-7.0759430424013837E-4</v>
      </c>
      <c r="CH45" s="2">
        <f t="shared" si="33"/>
        <v>1.2431955865796261E-3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111.89</v>
      </c>
      <c r="L46" s="6" t="s">
        <v>7</v>
      </c>
      <c r="AQ46" s="2" t="s">
        <v>31</v>
      </c>
      <c r="AR46" s="37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-3.393260478955288E-2</v>
      </c>
      <c r="BR46" s="2">
        <f t="shared" si="36"/>
        <v>0.4027619956672539</v>
      </c>
      <c r="BS46" s="2">
        <v>3.1755163537457165E-2</v>
      </c>
      <c r="BT46" s="2">
        <f t="shared" si="27"/>
        <v>0.39184005245750819</v>
      </c>
      <c r="BU46" s="2">
        <v>-1.020455880315782E-3</v>
      </c>
      <c r="BV46" s="2">
        <f t="shared" si="28"/>
        <v>3.4626726091930704E-5</v>
      </c>
      <c r="BW46" s="2">
        <f t="shared" si="29"/>
        <v>-3.2404743362187476E-5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-4.2872879061721103E-2</v>
      </c>
      <c r="CC46" s="2">
        <f t="shared" si="38"/>
        <v>0.35907422282827089</v>
      </c>
      <c r="CD46" s="2">
        <v>1.6504473684201708E-2</v>
      </c>
      <c r="CE46" s="2">
        <f t="shared" si="31"/>
        <v>0.34815227961852513</v>
      </c>
      <c r="CF46" s="2">
        <v>-1.3140718900321827E-2</v>
      </c>
      <c r="CG46" s="2">
        <f t="shared" si="32"/>
        <v>5.6338045219757045E-4</v>
      </c>
      <c r="CH46" s="2">
        <f t="shared" si="33"/>
        <v>-2.1688064928185359E-4</v>
      </c>
      <c r="CI46" s="2">
        <f t="shared" si="34"/>
        <v>2.1843886419491532E-2</v>
      </c>
    </row>
    <row r="47" spans="2:87" x14ac:dyDescent="0.2">
      <c r="B47" s="53" t="s">
        <v>249</v>
      </c>
      <c r="C47" s="53"/>
      <c r="D47" s="53"/>
      <c r="J47" s="10" t="s">
        <v>62</v>
      </c>
      <c r="K47" s="10">
        <f>SUM(K42:K46)</f>
        <v>2318.4</v>
      </c>
      <c r="L47" s="6" t="s">
        <v>7</v>
      </c>
      <c r="AF47" s="69" t="s">
        <v>222</v>
      </c>
      <c r="AG47" s="69"/>
      <c r="AH47" s="69"/>
      <c r="AI47" s="69"/>
      <c r="AU47" s="23" t="s">
        <v>143</v>
      </c>
      <c r="AV47" s="68" t="s">
        <v>218</v>
      </c>
      <c r="AW47" s="68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0.87776349359679984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0.78141614221434563</v>
      </c>
      <c r="BM47" s="2"/>
      <c r="BO47" s="2">
        <v>9</v>
      </c>
      <c r="BP47" s="2">
        <f t="shared" si="35"/>
        <v>0.39184005245750819</v>
      </c>
      <c r="BQ47" s="2">
        <v>-1.020455880315782E-3</v>
      </c>
      <c r="BR47" s="2">
        <f t="shared" si="36"/>
        <v>0.4027619956672539</v>
      </c>
      <c r="BS47" s="2">
        <v>3.1755163537457165E-2</v>
      </c>
      <c r="BT47" s="2">
        <f t="shared" si="27"/>
        <v>0.39730102406238105</v>
      </c>
      <c r="BU47" s="2">
        <v>1.5388707955947725E-2</v>
      </c>
      <c r="BV47" s="2">
        <f t="shared" si="28"/>
        <v>-1.5703497524109115E-5</v>
      </c>
      <c r="BW47" s="2">
        <f t="shared" si="29"/>
        <v>4.8867093777128822E-4</v>
      </c>
      <c r="BX47" s="2">
        <f t="shared" si="30"/>
        <v>1.092194320974571E-2</v>
      </c>
      <c r="BZ47" s="2">
        <v>9</v>
      </c>
      <c r="CA47" s="2">
        <f t="shared" si="37"/>
        <v>0.34815227961852513</v>
      </c>
      <c r="CB47" s="2">
        <v>-1.3140718900321827E-2</v>
      </c>
      <c r="CC47" s="2">
        <f t="shared" si="38"/>
        <v>0.35907422282827089</v>
      </c>
      <c r="CD47" s="2">
        <v>1.6504473684201708E-2</v>
      </c>
      <c r="CE47" s="2">
        <f t="shared" si="31"/>
        <v>0.35361325122339804</v>
      </c>
      <c r="CF47" s="2">
        <v>1.6962914502727244E-3</v>
      </c>
      <c r="CG47" s="2">
        <f t="shared" si="32"/>
        <v>-2.2290489121053113E-5</v>
      </c>
      <c r="CH47" s="2">
        <f t="shared" si="33"/>
        <v>2.799639760176253E-5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9" t="s">
        <v>148</v>
      </c>
      <c r="AW48" s="69"/>
      <c r="AX48" s="69"/>
      <c r="AY48" s="69" t="s">
        <v>149</v>
      </c>
      <c r="AZ48" s="69"/>
      <c r="BA48" s="69"/>
      <c r="BB48" s="69" t="s">
        <v>150</v>
      </c>
      <c r="BC48" s="69"/>
      <c r="BD48" s="70"/>
      <c r="BG48" s="2" t="s">
        <v>180</v>
      </c>
      <c r="BH48" s="2">
        <f>IF(-$AR$8*($AR$23-$AR$10)/(2*$AR$23*SIN(BH42))&gt;500, 1, 2*ACOS(MIN(1, EXP(-$AR$8*($AR$23-$AR$10)/(2*$AR$23*SIN(BH42)))))/PI() )</f>
        <v>0.92413725227792365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0.94188882283278352</v>
      </c>
      <c r="BM48" s="2"/>
      <c r="BO48" s="2">
        <v>10</v>
      </c>
      <c r="BP48" s="2">
        <f t="shared" si="35"/>
        <v>0.39184005245750819</v>
      </c>
      <c r="BQ48" s="2">
        <v>-1.020455880315782E-3</v>
      </c>
      <c r="BR48" s="2">
        <f t="shared" si="36"/>
        <v>0.39730102406238105</v>
      </c>
      <c r="BS48" s="2">
        <v>1.5388707955947725E-2</v>
      </c>
      <c r="BT48" s="2">
        <f t="shared" si="27"/>
        <v>0.39457053825994459</v>
      </c>
      <c r="BU48" s="2">
        <v>7.1889520644864008E-3</v>
      </c>
      <c r="BV48" s="2">
        <f t="shared" si="28"/>
        <v>-7.3360084075134293E-6</v>
      </c>
      <c r="BW48" s="2">
        <f t="shared" si="29"/>
        <v>1.106286838296887E-4</v>
      </c>
      <c r="BX48" s="2">
        <f t="shared" si="30"/>
        <v>5.4609716048728552E-3</v>
      </c>
      <c r="BZ48" s="2">
        <v>10</v>
      </c>
      <c r="CA48" s="2">
        <f t="shared" si="37"/>
        <v>0.34815227961852513</v>
      </c>
      <c r="CB48" s="2">
        <v>-1.3140718900321827E-2</v>
      </c>
      <c r="CC48" s="2">
        <f t="shared" si="38"/>
        <v>0.35361325122339804</v>
      </c>
      <c r="CD48" s="2">
        <v>1.6962914502727244E-3</v>
      </c>
      <c r="CE48" s="2">
        <f t="shared" si="31"/>
        <v>0.35088276542096158</v>
      </c>
      <c r="CF48" s="2">
        <v>-5.7190347954137397E-3</v>
      </c>
      <c r="CG48" s="2">
        <f t="shared" si="32"/>
        <v>7.5152228627691501E-5</v>
      </c>
      <c r="CH48" s="2">
        <f t="shared" si="33"/>
        <v>-9.7011498272725462E-6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0.3156904795760056</v>
      </c>
      <c r="AJ49" s="2">
        <f>$G$11</f>
        <v>0.3156904795760056</v>
      </c>
      <c r="AL49" s="2">
        <f>$G$11</f>
        <v>0.3156904795760056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0.81117394312241742</v>
      </c>
      <c r="BI49" s="2"/>
      <c r="BJ49" s="2"/>
      <c r="BK49" s="2" t="s">
        <v>183</v>
      </c>
      <c r="BL49" s="2">
        <f>IF(BL42=0,1,BL47*BL48)</f>
        <v>0.73600713033280496</v>
      </c>
      <c r="BM49" s="2"/>
      <c r="BO49" s="2">
        <v>11</v>
      </c>
      <c r="BP49" s="2">
        <f t="shared" si="35"/>
        <v>0.39184005245750819</v>
      </c>
      <c r="BQ49" s="2">
        <v>-1.020455880315782E-3</v>
      </c>
      <c r="BR49" s="2">
        <f t="shared" si="36"/>
        <v>0.39457053825994459</v>
      </c>
      <c r="BS49" s="2">
        <v>7.1889520644864008E-3</v>
      </c>
      <c r="BT49" s="2">
        <f t="shared" si="27"/>
        <v>0.39320529535872639</v>
      </c>
      <c r="BU49" s="2">
        <v>3.0853885317025098E-3</v>
      </c>
      <c r="BV49" s="2">
        <f t="shared" si="28"/>
        <v>-3.1485028702347027E-6</v>
      </c>
      <c r="BW49" s="2">
        <f t="shared" si="29"/>
        <v>2.2180710254725423E-5</v>
      </c>
      <c r="BX49" s="2">
        <f t="shared" si="30"/>
        <v>2.7304858024363998E-3</v>
      </c>
      <c r="BZ49" s="2">
        <v>11</v>
      </c>
      <c r="CA49" s="2">
        <f t="shared" si="37"/>
        <v>0.35088276542096158</v>
      </c>
      <c r="CB49" s="2">
        <v>-5.7190347954137397E-3</v>
      </c>
      <c r="CC49" s="2">
        <f t="shared" si="38"/>
        <v>0.35361325122339804</v>
      </c>
      <c r="CD49" s="2">
        <v>1.6962914502727244E-3</v>
      </c>
      <c r="CE49" s="2">
        <f t="shared" si="31"/>
        <v>0.35224800832217984</v>
      </c>
      <c r="CF49" s="2">
        <v>-2.0105227621593155E-3</v>
      </c>
      <c r="CG49" s="2">
        <f t="shared" si="32"/>
        <v>1.1498249633760468E-5</v>
      </c>
      <c r="CH49" s="2">
        <f t="shared" si="33"/>
        <v>-3.4104325720295492E-6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2521.1073621982687</v>
      </c>
      <c r="AI50" s="3">
        <v>1500</v>
      </c>
      <c r="AJ50" s="2">
        <f t="dataTable" ref="AJ50:AJ79" dt2D="0" dtr="0" r1="C6" ca="1"/>
        <v>-15233.802549216047</v>
      </c>
      <c r="AK50" s="2">
        <f t="shared" ref="AK50:AK79" si="39">(AG50+AI50)/2</f>
        <v>775</v>
      </c>
      <c r="AL50" s="2">
        <f t="dataTable" ref="AL50:AL79" dt2D="0" dtr="0" r1="C6" ca="1"/>
        <v>-2203.9896303555402</v>
      </c>
      <c r="AM50" s="2">
        <f t="shared" ref="AM50:AM79" si="40">AH50*AL50</f>
        <v>-5556494.4832979934</v>
      </c>
      <c r="AN50" s="2">
        <f t="shared" ref="AN50:AN79" si="41">AJ50*AL50</f>
        <v>33575142.849355958</v>
      </c>
      <c r="AO50" s="2">
        <f t="shared" ref="AO50:AO79" si="42">AI50-AG50</f>
        <v>1450</v>
      </c>
      <c r="AU50" s="71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1.2999647502754623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1.2648744597865225</v>
      </c>
      <c r="BM50" s="2"/>
      <c r="BO50" s="2">
        <v>12</v>
      </c>
      <c r="BP50" s="2">
        <f t="shared" si="35"/>
        <v>0.39184005245750819</v>
      </c>
      <c r="BQ50" s="2">
        <v>-1.020455880315782E-3</v>
      </c>
      <c r="BR50" s="2">
        <f t="shared" si="36"/>
        <v>0.39320529535872639</v>
      </c>
      <c r="BS50" s="2">
        <v>3.0853885317025098E-3</v>
      </c>
      <c r="BT50" s="2">
        <f t="shared" si="27"/>
        <v>0.39252267390811729</v>
      </c>
      <c r="BU50" s="2">
        <v>1.0327430493737438E-3</v>
      </c>
      <c r="BV50" s="2">
        <f t="shared" si="28"/>
        <v>-1.0538687175886889E-6</v>
      </c>
      <c r="BW50" s="2">
        <f t="shared" si="29"/>
        <v>3.1864135607332283E-6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-2.0105227621593155E-3</v>
      </c>
      <c r="CC50" s="2">
        <f t="shared" si="38"/>
        <v>0.35361325122339804</v>
      </c>
      <c r="CD50" s="2">
        <v>1.6962914502727244E-3</v>
      </c>
      <c r="CE50" s="2">
        <f t="shared" si="31"/>
        <v>0.35293062977278894</v>
      </c>
      <c r="CF50" s="2">
        <v>-1.5689675409723269E-4</v>
      </c>
      <c r="CG50" s="2">
        <f t="shared" si="32"/>
        <v>3.1544449542139918E-7</v>
      </c>
      <c r="CH50" s="2">
        <f t="shared" si="33"/>
        <v>-2.6614262255067789E-7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2521.1073621982687</v>
      </c>
      <c r="AI51" s="2">
        <f t="shared" ref="AI51:AI79" si="44">IF(AN50&gt;0, AK50, AI50)</f>
        <v>775</v>
      </c>
      <c r="AJ51" s="2">
        <v>-2203.9896303555402</v>
      </c>
      <c r="AK51" s="2">
        <f t="shared" si="39"/>
        <v>412.5</v>
      </c>
      <c r="AL51" s="2">
        <v>1196.6483567097007</v>
      </c>
      <c r="AM51" s="2">
        <f t="shared" si="40"/>
        <v>3016878.9820632865</v>
      </c>
      <c r="AN51" s="2">
        <f t="shared" si="41"/>
        <v>-2637400.5693701776</v>
      </c>
      <c r="AO51" s="2">
        <f t="shared" si="42"/>
        <v>725</v>
      </c>
      <c r="AU51" s="71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4.7936562404135033E-2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4.7906496999735468E-2</v>
      </c>
      <c r="BM51" s="2"/>
      <c r="BO51" s="2">
        <v>13</v>
      </c>
      <c r="BP51" s="2">
        <f t="shared" si="35"/>
        <v>0.39184005245750819</v>
      </c>
      <c r="BQ51" s="2">
        <v>-1.020455880315782E-3</v>
      </c>
      <c r="BR51" s="2">
        <f t="shared" si="36"/>
        <v>0.39252267390811729</v>
      </c>
      <c r="BS51" s="2">
        <v>1.0327430493737438E-3</v>
      </c>
      <c r="BT51" s="2">
        <f t="shared" si="27"/>
        <v>0.39218136318281271</v>
      </c>
      <c r="BU51" s="2">
        <v>6.2117090976337996E-6</v>
      </c>
      <c r="BV51" s="2">
        <f t="shared" si="28"/>
        <v>-6.3387750754914516E-9</v>
      </c>
      <c r="BW51" s="2">
        <f t="shared" si="29"/>
        <v>6.4150993953129565E-9</v>
      </c>
      <c r="BX51" s="2">
        <f t="shared" si="30"/>
        <v>6.8262145060909996E-4</v>
      </c>
      <c r="BZ51" s="2">
        <v>13</v>
      </c>
      <c r="CA51" s="2">
        <f t="shared" si="37"/>
        <v>0.35293062977278894</v>
      </c>
      <c r="CB51" s="2">
        <v>-1.5689675409723269E-4</v>
      </c>
      <c r="CC51" s="2">
        <f t="shared" si="38"/>
        <v>0.35361325122339804</v>
      </c>
      <c r="CD51" s="2">
        <v>1.6962914502727244E-3</v>
      </c>
      <c r="CE51" s="2">
        <f t="shared" si="31"/>
        <v>0.35327194049809352</v>
      </c>
      <c r="CF51" s="2">
        <v>7.6975290177470901E-4</v>
      </c>
      <c r="CG51" s="2">
        <f t="shared" si="32"/>
        <v>-1.2077173174537782E-7</v>
      </c>
      <c r="CH51" s="2">
        <f t="shared" si="33"/>
        <v>1.3057252661030591E-6</v>
      </c>
      <c r="CI51" s="2">
        <f t="shared" si="34"/>
        <v>6.8262145060909996E-4</v>
      </c>
    </row>
    <row r="52" spans="2:87" x14ac:dyDescent="0.2">
      <c r="B52" s="53" t="s">
        <v>253</v>
      </c>
      <c r="C52" s="53"/>
      <c r="D52" s="53"/>
      <c r="AF52" s="2">
        <v>3</v>
      </c>
      <c r="AG52" s="2">
        <f t="shared" si="43"/>
        <v>412.5</v>
      </c>
      <c r="AH52" s="2">
        <v>1196.6483567097007</v>
      </c>
      <c r="AI52" s="2">
        <f t="shared" si="44"/>
        <v>775</v>
      </c>
      <c r="AJ52" s="2">
        <v>-2203.9896303555402</v>
      </c>
      <c r="AK52" s="2">
        <f t="shared" si="39"/>
        <v>593.75</v>
      </c>
      <c r="AL52" s="2">
        <v>-244.14826412583625</v>
      </c>
      <c r="AM52" s="2">
        <f t="shared" si="40"/>
        <v>-292159.61905970791</v>
      </c>
      <c r="AN52" s="2">
        <f t="shared" si="41"/>
        <v>538100.24240264867</v>
      </c>
      <c r="AO52" s="2">
        <f t="shared" si="42"/>
        <v>362.5</v>
      </c>
      <c r="AU52" s="71"/>
      <c r="AV52" s="63">
        <v>-2.4012358386552801</v>
      </c>
      <c r="AW52" s="64"/>
      <c r="AX52" s="65"/>
      <c r="AY52" s="63">
        <v>0.149391545914075</v>
      </c>
      <c r="AZ52" s="64"/>
      <c r="BA52" s="65"/>
      <c r="BB52" s="63">
        <v>3.65120250353774</v>
      </c>
      <c r="BC52" s="64"/>
      <c r="BD52" s="65"/>
      <c r="BG52" s="2" t="s">
        <v>190</v>
      </c>
      <c r="BH52" s="2">
        <f xml:space="preserve"> BH50*COS(BH42) - BH51*SIN(BH42)</f>
        <v>1.2168161253868575</v>
      </c>
      <c r="BI52" s="2"/>
      <c r="BJ52" s="2"/>
      <c r="BK52" s="2" t="s">
        <v>190</v>
      </c>
      <c r="BL52" s="2">
        <f xml:space="preserve"> BL50*COS(BL42) - BL51*SIN(BL42)</f>
        <v>1.1917565879615706</v>
      </c>
      <c r="BM52" s="2"/>
      <c r="BO52" s="2">
        <v>14</v>
      </c>
      <c r="BP52" s="2">
        <f t="shared" si="35"/>
        <v>0.39184005245750819</v>
      </c>
      <c r="BQ52" s="2">
        <v>-1.020455880315782E-3</v>
      </c>
      <c r="BR52" s="2">
        <f t="shared" si="36"/>
        <v>0.39218136318281271</v>
      </c>
      <c r="BS52" s="2">
        <v>6.2117090976337996E-6</v>
      </c>
      <c r="BT52" s="2">
        <f t="shared" si="27"/>
        <v>0.39201070782016045</v>
      </c>
      <c r="BU52" s="2">
        <v>-5.0710518701793661E-4</v>
      </c>
      <c r="BV52" s="2">
        <f t="shared" si="28"/>
        <v>5.1747847003108776E-7</v>
      </c>
      <c r="BW52" s="2">
        <f t="shared" si="29"/>
        <v>-3.1499899036566062E-9</v>
      </c>
      <c r="BX52" s="2">
        <f t="shared" si="30"/>
        <v>3.4131072530452222E-4</v>
      </c>
      <c r="BZ52" s="2">
        <v>14</v>
      </c>
      <c r="CA52" s="2">
        <f t="shared" si="37"/>
        <v>0.35293062977278894</v>
      </c>
      <c r="CB52" s="2">
        <v>-1.5689675409723269E-4</v>
      </c>
      <c r="CC52" s="2">
        <f t="shared" si="38"/>
        <v>0.35327194049809352</v>
      </c>
      <c r="CD52" s="2">
        <v>7.6975290177470901E-4</v>
      </c>
      <c r="CE52" s="2">
        <f t="shared" si="31"/>
        <v>0.35310128513544126</v>
      </c>
      <c r="CF52" s="2">
        <v>3.0644185900130516E-4</v>
      </c>
      <c r="CG52" s="2">
        <f t="shared" si="32"/>
        <v>-4.8079732996826626E-8</v>
      </c>
      <c r="CH52" s="2">
        <f t="shared" si="33"/>
        <v>2.3588451019149088E-7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1196.6483567097007</v>
      </c>
      <c r="AI53" s="2">
        <f t="shared" si="44"/>
        <v>593.75</v>
      </c>
      <c r="AJ53" s="2">
        <v>-244.14826412583625</v>
      </c>
      <c r="AK53" s="2">
        <f t="shared" si="39"/>
        <v>503.125</v>
      </c>
      <c r="AL53" s="2">
        <v>541.13063946620377</v>
      </c>
      <c r="AM53" s="2">
        <f t="shared" si="40"/>
        <v>647543.09048250224</v>
      </c>
      <c r="AN53" s="2">
        <f t="shared" si="41"/>
        <v>-132116.10629097739</v>
      </c>
      <c r="AO53" s="2">
        <f t="shared" si="42"/>
        <v>181.25</v>
      </c>
      <c r="AU53" s="71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0.45996171902929756</v>
      </c>
      <c r="BI53" s="2"/>
      <c r="BJ53" s="2"/>
      <c r="BK53" s="2" t="s">
        <v>192</v>
      </c>
      <c r="BL53" s="2">
        <f xml:space="preserve"> BL50*SIN(BL42) + BL51*COS(BL42)</f>
        <v>0.42651924519912104</v>
      </c>
      <c r="BM53" s="2"/>
      <c r="BO53" s="2">
        <v>15</v>
      </c>
      <c r="BP53" s="2">
        <f t="shared" si="35"/>
        <v>0.39201070782016045</v>
      </c>
      <c r="BQ53" s="2">
        <v>-5.0710518701793661E-4</v>
      </c>
      <c r="BR53" s="2">
        <f t="shared" si="36"/>
        <v>0.39218136318281271</v>
      </c>
      <c r="BS53" s="2">
        <v>6.2117090976337996E-6</v>
      </c>
      <c r="BT53" s="2">
        <f t="shared" si="27"/>
        <v>0.39209603550148658</v>
      </c>
      <c r="BU53" s="2">
        <v>-2.5044249772084026E-4</v>
      </c>
      <c r="BV53" s="2">
        <f t="shared" si="28"/>
        <v>1.2700068964396587E-7</v>
      </c>
      <c r="BW53" s="2">
        <f t="shared" si="29"/>
        <v>-1.5556759415266756E-9</v>
      </c>
      <c r="BX53" s="2">
        <f t="shared" si="30"/>
        <v>1.7065536265226111E-4</v>
      </c>
      <c r="BZ53" s="2">
        <v>15</v>
      </c>
      <c r="CA53" s="2">
        <f t="shared" si="37"/>
        <v>0.35293062977278894</v>
      </c>
      <c r="CB53" s="2">
        <v>-1.5689675409723269E-4</v>
      </c>
      <c r="CC53" s="2">
        <f t="shared" si="38"/>
        <v>0.35310128513544126</v>
      </c>
      <c r="CD53" s="2">
        <v>3.0644185900130516E-4</v>
      </c>
      <c r="CE53" s="2">
        <f t="shared" si="31"/>
        <v>0.35301595745411507</v>
      </c>
      <c r="CF53" s="2">
        <v>7.4775985811660617E-5</v>
      </c>
      <c r="CG53" s="2">
        <f t="shared" si="32"/>
        <v>-1.1732109458270277E-8</v>
      </c>
      <c r="CH53" s="2">
        <f t="shared" si="33"/>
        <v>2.2914492100780497E-8</v>
      </c>
      <c r="CI53" s="2">
        <f t="shared" si="34"/>
        <v>1.7065536265231662E-4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541.13063946620377</v>
      </c>
      <c r="AI54" s="2">
        <f t="shared" si="44"/>
        <v>593.75</v>
      </c>
      <c r="AJ54" s="2">
        <v>-244.14826412583625</v>
      </c>
      <c r="AK54" s="2">
        <f t="shared" si="39"/>
        <v>548.4375</v>
      </c>
      <c r="AL54" s="2">
        <v>164.71133596375194</v>
      </c>
      <c r="AM54" s="2">
        <f t="shared" si="40"/>
        <v>89130.350557397818</v>
      </c>
      <c r="AN54" s="2">
        <f t="shared" si="41"/>
        <v>-40213.986757397455</v>
      </c>
      <c r="AO54" s="2">
        <f t="shared" si="42"/>
        <v>90.625</v>
      </c>
      <c r="AU54" s="71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1.1646825783251513</v>
      </c>
      <c r="BI54" s="2"/>
      <c r="BJ54" s="2"/>
      <c r="BK54" s="2" t="s">
        <v>38</v>
      </c>
      <c r="BL54" s="2">
        <f xml:space="preserve"> 4*BL49*SIN(BL42)*SIN(BL42) / (BL46*BL52)</f>
        <v>1.1489404194412332</v>
      </c>
      <c r="BM54" s="2"/>
      <c r="BO54" s="2">
        <v>16</v>
      </c>
      <c r="BP54" s="2">
        <f t="shared" si="35"/>
        <v>0.39209603550148658</v>
      </c>
      <c r="BQ54" s="2">
        <v>-2.5044249772084026E-4</v>
      </c>
      <c r="BR54" s="2">
        <f t="shared" si="36"/>
        <v>0.39218136318281271</v>
      </c>
      <c r="BS54" s="2">
        <v>6.2117090976337996E-6</v>
      </c>
      <c r="BT54" s="2">
        <f t="shared" si="27"/>
        <v>0.39213869934214962</v>
      </c>
      <c r="BU54" s="2">
        <v>-1.2211433192985122E-4</v>
      </c>
      <c r="BV54" s="2">
        <f t="shared" si="28"/>
        <v>3.0582618296023696E-8</v>
      </c>
      <c r="BW54" s="2">
        <f t="shared" si="29"/>
        <v>-7.5853870660013041E-10</v>
      </c>
      <c r="BX54" s="2">
        <f t="shared" si="30"/>
        <v>8.5327681326130556E-5</v>
      </c>
      <c r="BZ54" s="2">
        <v>16</v>
      </c>
      <c r="CA54" s="2">
        <f t="shared" si="37"/>
        <v>0.35293062977278894</v>
      </c>
      <c r="CB54" s="2">
        <v>-1.5689675409723269E-4</v>
      </c>
      <c r="CC54" s="2">
        <f t="shared" si="38"/>
        <v>0.35301595745411507</v>
      </c>
      <c r="CD54" s="2">
        <v>7.4775985811660617E-5</v>
      </c>
      <c r="CE54" s="2">
        <f t="shared" si="31"/>
        <v>0.35297329361345198</v>
      </c>
      <c r="CF54" s="2">
        <v>-4.1059527420644892E-5</v>
      </c>
      <c r="CG54" s="2">
        <f t="shared" si="32"/>
        <v>6.4421065770655043E-9</v>
      </c>
      <c r="CH54" s="2">
        <f t="shared" si="33"/>
        <v>-3.0702666398396323E-9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164.71133596375194</v>
      </c>
      <c r="AI55" s="2">
        <f t="shared" si="44"/>
        <v>593.75</v>
      </c>
      <c r="AJ55" s="2">
        <v>-244.14826412583625</v>
      </c>
      <c r="AK55" s="2">
        <f t="shared" si="39"/>
        <v>571.09375</v>
      </c>
      <c r="AL55" s="2">
        <v>-35.663427007649716</v>
      </c>
      <c r="AM55" s="2">
        <f t="shared" si="40"/>
        <v>-5874.1707074757369</v>
      </c>
      <c r="AN55" s="2">
        <f t="shared" si="41"/>
        <v>8707.1637966961443</v>
      </c>
      <c r="AO55" s="2">
        <f t="shared" si="42"/>
        <v>45.3125</v>
      </c>
      <c r="AU55" s="72"/>
      <c r="AV55" s="63">
        <v>-1.5880058514071E-2</v>
      </c>
      <c r="AW55" s="64"/>
      <c r="AX55" s="65"/>
      <c r="AY55" s="64">
        <v>0.110802661807325</v>
      </c>
      <c r="AZ55" s="64"/>
      <c r="BA55" s="64"/>
      <c r="BB55" s="63">
        <v>7.4721088420790002E-3</v>
      </c>
      <c r="BC55" s="64"/>
      <c r="BD55" s="65"/>
      <c r="BG55" s="2" t="s">
        <v>194</v>
      </c>
      <c r="BH55" s="2">
        <f xml:space="preserve"> 4*BH49*SIN(BH42)*COS(BH42) / (BH46*BH53)</f>
        <v>9.1580713299133443</v>
      </c>
      <c r="BI55" s="2"/>
      <c r="BJ55" s="2"/>
      <c r="BK55" s="2" t="s">
        <v>194</v>
      </c>
      <c r="BL55" s="2">
        <f xml:space="preserve"> 4*BL49*SIN(BL42)*COS(BL42) / (BL46*BL53)</f>
        <v>10.167660792440079</v>
      </c>
      <c r="BM55" s="2"/>
      <c r="BO55" s="2">
        <v>17</v>
      </c>
      <c r="BP55" s="2">
        <f t="shared" si="35"/>
        <v>0.39213869934214962</v>
      </c>
      <c r="BQ55" s="2">
        <v>-1.2211433192985122E-4</v>
      </c>
      <c r="BR55" s="2">
        <f t="shared" si="36"/>
        <v>0.39218136318281271</v>
      </c>
      <c r="BS55" s="2">
        <v>6.2117090976337996E-6</v>
      </c>
      <c r="BT55" s="2">
        <f t="shared" si="27"/>
        <v>0.39216003126248117</v>
      </c>
      <c r="BU55" s="2">
        <v>-5.795104556186037E-5</v>
      </c>
      <c r="BV55" s="2">
        <f t="shared" si="28"/>
        <v>7.0766532134229482E-9</v>
      </c>
      <c r="BW55" s="2">
        <f t="shared" si="29"/>
        <v>-3.5997503693399888E-10</v>
      </c>
      <c r="BX55" s="2">
        <f t="shared" si="30"/>
        <v>4.2663840663093033E-5</v>
      </c>
      <c r="BZ55" s="2">
        <v>17</v>
      </c>
      <c r="CA55" s="2">
        <f t="shared" si="37"/>
        <v>0.35297329361345198</v>
      </c>
      <c r="CB55" s="2">
        <v>-4.1059527420644892E-5</v>
      </c>
      <c r="CC55" s="2">
        <f t="shared" si="38"/>
        <v>0.35301595745411507</v>
      </c>
      <c r="CD55" s="2">
        <v>7.4775985811660617E-5</v>
      </c>
      <c r="CE55" s="2">
        <f t="shared" si="31"/>
        <v>0.35299462553378352</v>
      </c>
      <c r="CF55" s="2">
        <v>1.6858443578196547E-5</v>
      </c>
      <c r="CG55" s="2">
        <f t="shared" si="32"/>
        <v>-6.9219972636835594E-10</v>
      </c>
      <c r="CH55" s="2">
        <f t="shared" si="33"/>
        <v>1.260606737809906E-9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164.71133596375194</v>
      </c>
      <c r="AI56" s="2">
        <f t="shared" si="44"/>
        <v>571.09375</v>
      </c>
      <c r="AJ56" s="2">
        <v>-35.663427007649716</v>
      </c>
      <c r="AK56" s="2">
        <f t="shared" si="39"/>
        <v>559.765625</v>
      </c>
      <c r="AL56" s="2">
        <v>65.537713746398822</v>
      </c>
      <c r="AM56" s="2">
        <f t="shared" si="40"/>
        <v>10794.8043871793</v>
      </c>
      <c r="AN56" s="2">
        <f t="shared" si="41"/>
        <v>-2337.2994704429357</v>
      </c>
      <c r="AO56" s="2">
        <f t="shared" si="42"/>
        <v>22.65625</v>
      </c>
      <c r="BG56" s="2" t="s">
        <v>45</v>
      </c>
      <c r="BH56" s="2">
        <f>1/(BH54-1)</f>
        <v>6.0722877317695847</v>
      </c>
      <c r="BI56" s="2"/>
      <c r="BJ56" s="2"/>
      <c r="BK56" s="2" t="s">
        <v>45</v>
      </c>
      <c r="BL56" s="2">
        <f>1/(BL54-1)</f>
        <v>6.7140941575941122</v>
      </c>
      <c r="BM56" s="2"/>
      <c r="BO56" s="2">
        <v>18</v>
      </c>
      <c r="BP56" s="2">
        <f t="shared" si="35"/>
        <v>0.39216003126248117</v>
      </c>
      <c r="BQ56" s="2">
        <v>-5.795104556186037E-5</v>
      </c>
      <c r="BR56" s="2">
        <f t="shared" si="36"/>
        <v>0.39218136318281271</v>
      </c>
      <c r="BS56" s="2">
        <v>6.2117090976337996E-6</v>
      </c>
      <c r="BT56" s="2">
        <f t="shared" si="27"/>
        <v>0.39217069722264697</v>
      </c>
      <c r="BU56" s="2">
        <v>-2.5869601736075443E-5</v>
      </c>
      <c r="BV56" s="2">
        <f t="shared" si="28"/>
        <v>1.4991704688744902E-9</v>
      </c>
      <c r="BW56" s="2">
        <f t="shared" si="29"/>
        <v>-1.6069444045614295E-10</v>
      </c>
      <c r="BX56" s="2">
        <f t="shared" si="30"/>
        <v>2.1331920331546517E-5</v>
      </c>
      <c r="BZ56" s="2">
        <v>18</v>
      </c>
      <c r="CA56" s="2">
        <f t="shared" si="37"/>
        <v>0.35297329361345198</v>
      </c>
      <c r="CB56" s="2">
        <v>-4.1059527420644892E-5</v>
      </c>
      <c r="CC56" s="2">
        <f t="shared" si="38"/>
        <v>0.35299462553378352</v>
      </c>
      <c r="CD56" s="2">
        <v>1.6858443578196547E-5</v>
      </c>
      <c r="CE56" s="2">
        <f t="shared" si="31"/>
        <v>0.35298395957361772</v>
      </c>
      <c r="CF56" s="2">
        <v>-1.2100488350895444E-5</v>
      </c>
      <c r="CG56" s="2">
        <f t="shared" si="32"/>
        <v>4.9684033324678558E-10</v>
      </c>
      <c r="CH56" s="2">
        <f t="shared" si="33"/>
        <v>-2.0399540013219543E-10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65.537713746398822</v>
      </c>
      <c r="AI57" s="2">
        <f t="shared" si="44"/>
        <v>571.09375</v>
      </c>
      <c r="AJ57" s="2">
        <v>-35.663427007649716</v>
      </c>
      <c r="AK57" s="2">
        <f t="shared" si="39"/>
        <v>565.4296875</v>
      </c>
      <c r="AL57" s="2">
        <v>15.190583186461026</v>
      </c>
      <c r="AM57" s="2">
        <f t="shared" si="40"/>
        <v>995.55609251514159</v>
      </c>
      <c r="AN57" s="2">
        <f t="shared" si="41"/>
        <v>-541.74825467398387</v>
      </c>
      <c r="AO57" s="2">
        <f t="shared" si="42"/>
        <v>11.328125</v>
      </c>
      <c r="BG57" s="2" t="s">
        <v>197</v>
      </c>
      <c r="BH57" s="2">
        <f>1/(BH55+1)</f>
        <v>9.844388442668385E-2</v>
      </c>
      <c r="BI57" s="2"/>
      <c r="BJ57" s="2"/>
      <c r="BK57" s="2" t="s">
        <v>197</v>
      </c>
      <c r="BL57" s="2">
        <f>1/(BL55+1)</f>
        <v>8.9544267021160556E-2</v>
      </c>
      <c r="BM57" s="2"/>
      <c r="BO57" s="2">
        <v>19</v>
      </c>
      <c r="BP57" s="2">
        <f t="shared" si="35"/>
        <v>0.39217069722264697</v>
      </c>
      <c r="BQ57" s="2">
        <v>-2.5869601736075443E-5</v>
      </c>
      <c r="BR57" s="2">
        <f t="shared" si="36"/>
        <v>0.39218136318281271</v>
      </c>
      <c r="BS57" s="2">
        <v>6.2117090976337996E-6</v>
      </c>
      <c r="BT57" s="2">
        <f t="shared" si="27"/>
        <v>0.39217603020272984</v>
      </c>
      <c r="BU57" s="2">
        <v>-9.8289296912301705E-6</v>
      </c>
      <c r="BV57" s="2">
        <f t="shared" si="28"/>
        <v>2.5427049660401149E-10</v>
      </c>
      <c r="BW57" s="2">
        <f t="shared" si="29"/>
        <v>-6.1054451983017423E-11</v>
      </c>
      <c r="BX57" s="2">
        <f t="shared" si="30"/>
        <v>1.0665960165745503E-5</v>
      </c>
      <c r="BZ57" s="2">
        <v>19</v>
      </c>
      <c r="CA57" s="2">
        <f t="shared" si="37"/>
        <v>0.35298395957361772</v>
      </c>
      <c r="CB57" s="2">
        <v>-1.2100488350895444E-5</v>
      </c>
      <c r="CC57" s="2">
        <f t="shared" si="38"/>
        <v>0.35299462553378352</v>
      </c>
      <c r="CD57" s="2">
        <v>1.6858443578196547E-5</v>
      </c>
      <c r="CE57" s="2">
        <f t="shared" si="31"/>
        <v>0.3529892925537006</v>
      </c>
      <c r="CF57" s="2">
        <v>2.3789910093968691E-6</v>
      </c>
      <c r="CG57" s="2">
        <f t="shared" si="32"/>
        <v>-2.8786952996091808E-11</v>
      </c>
      <c r="CH57" s="2">
        <f t="shared" si="33"/>
        <v>4.0106085704953968E-11</v>
      </c>
      <c r="CI57" s="2">
        <f t="shared" si="34"/>
        <v>1.0665960165801014E-5</v>
      </c>
    </row>
    <row r="58" spans="2:87" x14ac:dyDescent="0.2">
      <c r="B58" s="56" t="s">
        <v>2</v>
      </c>
      <c r="C58" s="57"/>
      <c r="D58" s="57"/>
      <c r="AF58" s="2">
        <v>9</v>
      </c>
      <c r="AG58" s="2">
        <f t="shared" si="43"/>
        <v>565.4296875</v>
      </c>
      <c r="AH58" s="2">
        <v>15.190583186461026</v>
      </c>
      <c r="AI58" s="2">
        <f t="shared" si="44"/>
        <v>571.09375</v>
      </c>
      <c r="AJ58" s="2">
        <v>-35.663427007649716</v>
      </c>
      <c r="AK58" s="2">
        <f t="shared" si="39"/>
        <v>568.26171875</v>
      </c>
      <c r="AL58" s="2">
        <v>-10.173061956323181</v>
      </c>
      <c r="AM58" s="2">
        <f t="shared" si="40"/>
        <v>-154.53474390854925</v>
      </c>
      <c r="AN58" s="2">
        <f t="shared" si="41"/>
        <v>362.80625252363001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-2.2940410057681326E-9</v>
      </c>
      <c r="BI58" s="40"/>
      <c r="BJ58" s="2"/>
      <c r="BK58" s="7" t="s">
        <v>199</v>
      </c>
      <c r="BL58" s="40">
        <f>SIN(BL42)/(1+BL56) - $AR$3*COS(BL42)/($AV$5*$AR$24*(1-BL57))</f>
        <v>-3.3090320275541707E-9</v>
      </c>
      <c r="BM58" s="40"/>
      <c r="BO58" s="2">
        <v>20</v>
      </c>
      <c r="BP58" s="2">
        <f t="shared" si="35"/>
        <v>0.39217603020272984</v>
      </c>
      <c r="BQ58" s="2">
        <v>-9.8289296912301705E-6</v>
      </c>
      <c r="BR58" s="2">
        <f t="shared" si="36"/>
        <v>0.39218136318281271</v>
      </c>
      <c r="BS58" s="2">
        <v>6.2117090976337996E-6</v>
      </c>
      <c r="BT58" s="2">
        <f t="shared" si="27"/>
        <v>0.39217869669277128</v>
      </c>
      <c r="BU58" s="2">
        <v>-1.808606139089286E-6</v>
      </c>
      <c r="BV58" s="2">
        <f t="shared" si="28"/>
        <v>1.7776662580235845E-11</v>
      </c>
      <c r="BW58" s="2">
        <f t="shared" si="29"/>
        <v>-1.1234535208217259E-11</v>
      </c>
      <c r="BX58" s="2">
        <f t="shared" si="30"/>
        <v>5.3329800828727514E-6</v>
      </c>
      <c r="BZ58" s="2">
        <v>20</v>
      </c>
      <c r="CA58" s="2">
        <f t="shared" si="37"/>
        <v>0.35298395957361772</v>
      </c>
      <c r="CB58" s="2">
        <v>-1.2100488350895444E-5</v>
      </c>
      <c r="CC58" s="2">
        <f t="shared" si="38"/>
        <v>0.3529892925537006</v>
      </c>
      <c r="CD58" s="2">
        <v>2.3789910093968691E-6</v>
      </c>
      <c r="CE58" s="2">
        <f t="shared" si="31"/>
        <v>0.35298662606365916</v>
      </c>
      <c r="CF58" s="2">
        <v>-4.8607453222299091E-6</v>
      </c>
      <c r="CG58" s="2">
        <f t="shared" si="32"/>
        <v>5.8817392148312531E-11</v>
      </c>
      <c r="CH58" s="2">
        <f t="shared" si="33"/>
        <v>-1.1563669420552841E-11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15.190583186461026</v>
      </c>
      <c r="AI59" s="2">
        <f t="shared" si="44"/>
        <v>568.26171875</v>
      </c>
      <c r="AJ59" s="2">
        <v>-10.173061956323181</v>
      </c>
      <c r="AK59" s="2">
        <f t="shared" si="39"/>
        <v>566.845703125</v>
      </c>
      <c r="AL59" s="2">
        <v>2.5246006036372819</v>
      </c>
      <c r="AM59" s="2">
        <f t="shared" si="40"/>
        <v>38.350155482141851</v>
      </c>
      <c r="AN59" s="2">
        <f t="shared" si="41"/>
        <v>-25.682918355772973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0.39217869669277128</v>
      </c>
      <c r="BQ59" s="2">
        <v>-1.808606139089286E-6</v>
      </c>
      <c r="BR59" s="2">
        <f t="shared" si="36"/>
        <v>0.39218136318281271</v>
      </c>
      <c r="BS59" s="2">
        <v>6.2117090976337996E-6</v>
      </c>
      <c r="BT59" s="2">
        <f t="shared" si="27"/>
        <v>0.392180029937792</v>
      </c>
      <c r="BU59" s="2">
        <v>2.201552518690808E-6</v>
      </c>
      <c r="BV59" s="2">
        <f t="shared" si="28"/>
        <v>-3.9817414008316751E-12</v>
      </c>
      <c r="BW59" s="2">
        <f t="shared" si="29"/>
        <v>1.3675403809270298E-11</v>
      </c>
      <c r="BX59" s="2">
        <f t="shared" si="30"/>
        <v>2.6664900414363757E-6</v>
      </c>
      <c r="BZ59" s="2">
        <v>21</v>
      </c>
      <c r="CA59" s="2">
        <f t="shared" si="37"/>
        <v>0.35298662606365916</v>
      </c>
      <c r="CB59" s="2">
        <v>-4.8607453222299091E-6</v>
      </c>
      <c r="CC59" s="2">
        <f t="shared" si="38"/>
        <v>0.3529892925537006</v>
      </c>
      <c r="CD59" s="2">
        <v>2.3789910093968691E-6</v>
      </c>
      <c r="CE59" s="2">
        <f t="shared" si="31"/>
        <v>0.35298795930867988</v>
      </c>
      <c r="CF59" s="2">
        <v>-1.2408763193152983E-6</v>
      </c>
      <c r="CG59" s="2">
        <f t="shared" si="32"/>
        <v>6.0315837645777034E-12</v>
      </c>
      <c r="CH59" s="2">
        <f t="shared" si="33"/>
        <v>-2.9520336074245732E-12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2.5246006036372819</v>
      </c>
      <c r="AI60" s="2">
        <f t="shared" si="44"/>
        <v>568.26171875</v>
      </c>
      <c r="AJ60" s="2">
        <v>-10.173061956323181</v>
      </c>
      <c r="AK60" s="2">
        <f t="shared" si="39"/>
        <v>567.5537109375</v>
      </c>
      <c r="AL60" s="2">
        <v>-3.8202706792003482</v>
      </c>
      <c r="AM60" s="2">
        <f t="shared" si="40"/>
        <v>-9.644657662767008</v>
      </c>
      <c r="AN60" s="2">
        <f t="shared" si="41"/>
        <v>38.863850309429985</v>
      </c>
      <c r="AO60" s="2">
        <f t="shared" si="42"/>
        <v>1.416015625</v>
      </c>
      <c r="BG60" s="62" t="s">
        <v>206</v>
      </c>
      <c r="BH60" s="62"/>
      <c r="BI60" s="62"/>
      <c r="BJ60" s="2"/>
      <c r="BK60" s="62" t="s">
        <v>220</v>
      </c>
      <c r="BL60" s="62"/>
      <c r="BM60" s="62"/>
      <c r="BO60" s="2">
        <v>22</v>
      </c>
      <c r="BP60" s="2">
        <f t="shared" si="35"/>
        <v>0.39217869669277128</v>
      </c>
      <c r="BQ60" s="2">
        <v>-1.808606139089286E-6</v>
      </c>
      <c r="BR60" s="2">
        <f t="shared" si="36"/>
        <v>0.392180029937792</v>
      </c>
      <c r="BS60" s="2">
        <v>2.201552518690808E-6</v>
      </c>
      <c r="BT60" s="2">
        <f t="shared" si="27"/>
        <v>0.39217936331528164</v>
      </c>
      <c r="BU60" s="2">
        <v>1.9647344966233771E-7</v>
      </c>
      <c r="BV60" s="2">
        <f t="shared" si="28"/>
        <v>-3.5534308722735381E-13</v>
      </c>
      <c r="BW60" s="2">
        <f t="shared" si="29"/>
        <v>4.3254661795999125E-13</v>
      </c>
      <c r="BX60" s="2">
        <f t="shared" si="30"/>
        <v>1.3332450207181878E-6</v>
      </c>
      <c r="BZ60" s="2">
        <v>22</v>
      </c>
      <c r="CA60" s="2">
        <f t="shared" si="37"/>
        <v>0.35298795930867988</v>
      </c>
      <c r="CB60" s="2">
        <v>-1.2408763193152983E-6</v>
      </c>
      <c r="CC60" s="2">
        <f t="shared" si="38"/>
        <v>0.3529892925537006</v>
      </c>
      <c r="CD60" s="2">
        <v>2.3789910093968691E-6</v>
      </c>
      <c r="CE60" s="2">
        <f t="shared" si="31"/>
        <v>0.35298862593119024</v>
      </c>
      <c r="CF60" s="2">
        <v>5.6905755424496718E-7</v>
      </c>
      <c r="CG60" s="2">
        <f t="shared" si="32"/>
        <v>-7.0613004339006058E-13</v>
      </c>
      <c r="CH60" s="2">
        <f t="shared" si="33"/>
        <v>1.3537828053781481E-12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566.845703125</v>
      </c>
      <c r="AH61" s="2">
        <v>2.5246006036372819</v>
      </c>
      <c r="AI61" s="2">
        <f t="shared" si="44"/>
        <v>567.5537109375</v>
      </c>
      <c r="AJ61" s="2">
        <v>-3.8202706792003482</v>
      </c>
      <c r="AK61" s="2">
        <f t="shared" si="39"/>
        <v>567.19970703125</v>
      </c>
      <c r="AL61" s="2">
        <v>-0.64684503849684916</v>
      </c>
      <c r="AM61" s="2">
        <f t="shared" si="40"/>
        <v>-1.6330253746489263</v>
      </c>
      <c r="AN61" s="2">
        <f t="shared" si="41"/>
        <v>2.4711231345557332</v>
      </c>
      <c r="AO61" s="2">
        <f t="shared" si="42"/>
        <v>0.7080078125</v>
      </c>
      <c r="BG61" s="28" t="s">
        <v>154</v>
      </c>
      <c r="BH61" s="29">
        <f>BT136</f>
        <v>0.29886870295996631</v>
      </c>
      <c r="BI61" s="5" t="s">
        <v>155</v>
      </c>
      <c r="BJ61" s="2"/>
      <c r="BK61" s="28" t="s">
        <v>154</v>
      </c>
      <c r="BL61" s="29">
        <f>CE136</f>
        <v>0.3180576194082731</v>
      </c>
      <c r="BM61" s="5" t="s">
        <v>155</v>
      </c>
      <c r="BO61" s="2">
        <v>23</v>
      </c>
      <c r="BP61" s="2">
        <f t="shared" si="35"/>
        <v>0.39217869669277128</v>
      </c>
      <c r="BQ61" s="2">
        <v>-1.808606139089286E-6</v>
      </c>
      <c r="BR61" s="2">
        <f t="shared" si="36"/>
        <v>0.39217936331528164</v>
      </c>
      <c r="BS61" s="2">
        <v>1.9647344966233771E-7</v>
      </c>
      <c r="BT61" s="2">
        <f t="shared" si="27"/>
        <v>0.39217903000402643</v>
      </c>
      <c r="BU61" s="2">
        <v>-8.0606627984869395E-7</v>
      </c>
      <c r="BV61" s="2">
        <f t="shared" si="28"/>
        <v>1.4578564222472103E-12</v>
      </c>
      <c r="BW61" s="2">
        <f t="shared" si="29"/>
        <v>-1.583706226583602E-13</v>
      </c>
      <c r="BX61" s="2">
        <f t="shared" si="30"/>
        <v>6.6662251035909392E-7</v>
      </c>
      <c r="BZ61" s="2">
        <v>23</v>
      </c>
      <c r="CA61" s="2">
        <f t="shared" si="37"/>
        <v>0.35298795930867988</v>
      </c>
      <c r="CB61" s="2">
        <v>-1.2408763193152983E-6</v>
      </c>
      <c r="CC61" s="2">
        <f t="shared" si="38"/>
        <v>0.35298862593119024</v>
      </c>
      <c r="CD61" s="2">
        <v>5.6905755424496718E-7</v>
      </c>
      <c r="CE61" s="2">
        <f t="shared" si="31"/>
        <v>0.35298829261993503</v>
      </c>
      <c r="CF61" s="2">
        <v>-3.3590933022631386E-7</v>
      </c>
      <c r="CG61" s="2">
        <f t="shared" si="32"/>
        <v>4.1682193331489544E-13</v>
      </c>
      <c r="CH61" s="2">
        <f t="shared" si="33"/>
        <v>-1.911517419066512E-13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566.845703125</v>
      </c>
      <c r="AH62" s="2">
        <v>2.5246006036372819</v>
      </c>
      <c r="AI62" s="2">
        <f t="shared" si="44"/>
        <v>567.19970703125</v>
      </c>
      <c r="AJ62" s="2">
        <v>-0.64684503849684916</v>
      </c>
      <c r="AK62" s="2">
        <f t="shared" si="39"/>
        <v>567.022705078125</v>
      </c>
      <c r="AL62" s="2">
        <v>0.93912528239206949</v>
      </c>
      <c r="AM62" s="2">
        <f t="shared" si="40"/>
        <v>2.3709162548180513</v>
      </c>
      <c r="AN62" s="2">
        <f t="shared" si="41"/>
        <v>-0.60746852944226248</v>
      </c>
      <c r="AO62" s="2">
        <f t="shared" si="42"/>
        <v>0.35400390625</v>
      </c>
      <c r="BG62" s="2" t="s">
        <v>159</v>
      </c>
      <c r="BH62" s="2">
        <f>($AR$41+$AR$5)/180*PI()</f>
        <v>0.45492942783019069</v>
      </c>
      <c r="BI62" s="2" t="s">
        <v>155</v>
      </c>
      <c r="BJ62" s="2"/>
      <c r="BK62" s="2" t="s">
        <v>159</v>
      </c>
      <c r="BL62" s="2">
        <f>($AR$42+$AR$5)/180*PI()</f>
        <v>0.42907673828502463</v>
      </c>
      <c r="BM62" s="2" t="s">
        <v>155</v>
      </c>
      <c r="BO62" s="2">
        <v>24</v>
      </c>
      <c r="BP62" s="2">
        <f t="shared" si="35"/>
        <v>0.39217903000402643</v>
      </c>
      <c r="BQ62" s="2">
        <v>-8.0606627984869395E-7</v>
      </c>
      <c r="BR62" s="2">
        <f t="shared" si="36"/>
        <v>0.39217936331528164</v>
      </c>
      <c r="BS62" s="2">
        <v>1.9647344966233771E-7</v>
      </c>
      <c r="BT62" s="2">
        <f t="shared" si="27"/>
        <v>0.39217919665965406</v>
      </c>
      <c r="BU62" s="2">
        <v>-3.0479639887004417E-7</v>
      </c>
      <c r="BV62" s="2">
        <f t="shared" si="28"/>
        <v>2.4568609934845517E-13</v>
      </c>
      <c r="BW62" s="2">
        <f t="shared" si="29"/>
        <v>-5.9884399930655424E-14</v>
      </c>
      <c r="BX62" s="2">
        <f t="shared" si="30"/>
        <v>3.3331125520730254E-7</v>
      </c>
      <c r="BZ62" s="2">
        <v>24</v>
      </c>
      <c r="CA62" s="2">
        <f t="shared" si="37"/>
        <v>0.35298829261993503</v>
      </c>
      <c r="CB62" s="2">
        <v>-3.3590933022631386E-7</v>
      </c>
      <c r="CC62" s="2">
        <f t="shared" si="38"/>
        <v>0.35298862593119024</v>
      </c>
      <c r="CD62" s="2">
        <v>5.6905755424496718E-7</v>
      </c>
      <c r="CE62" s="2">
        <f t="shared" si="31"/>
        <v>0.35298845927556266</v>
      </c>
      <c r="CF62" s="2">
        <v>1.1657412514465282E-7</v>
      </c>
      <c r="CG62" s="2">
        <f t="shared" si="32"/>
        <v>-3.915833629905882E-14</v>
      </c>
      <c r="CH62" s="2">
        <f t="shared" si="33"/>
        <v>6.6337386543062868E-14</v>
      </c>
      <c r="CI62" s="2">
        <f t="shared" si="34"/>
        <v>3.3331125520730254E-7</v>
      </c>
    </row>
    <row r="63" spans="2:87" x14ac:dyDescent="0.2">
      <c r="B63" s="53" t="s">
        <v>272</v>
      </c>
      <c r="C63" s="54"/>
      <c r="D63" s="54"/>
      <c r="AF63" s="2">
        <v>14</v>
      </c>
      <c r="AG63" s="2">
        <f t="shared" si="43"/>
        <v>567.022705078125</v>
      </c>
      <c r="AH63" s="2">
        <v>0.93912528239206949</v>
      </c>
      <c r="AI63" s="2">
        <f t="shared" si="44"/>
        <v>567.19970703125</v>
      </c>
      <c r="AJ63" s="2">
        <v>-0.64684503849684916</v>
      </c>
      <c r="AK63" s="2">
        <f t="shared" si="39"/>
        <v>567.1112060546875</v>
      </c>
      <c r="AL63" s="2">
        <v>0.1462019969026187</v>
      </c>
      <c r="AM63" s="2">
        <f t="shared" si="40"/>
        <v>0.13730199162745627</v>
      </c>
      <c r="AN63" s="2">
        <f t="shared" si="41"/>
        <v>-9.457003631479062E-2</v>
      </c>
      <c r="AO63" s="2">
        <f t="shared" si="42"/>
        <v>0.177001953125</v>
      </c>
      <c r="BG63" s="2" t="s">
        <v>28</v>
      </c>
      <c r="BH63" s="2">
        <f>BH62-BH61</f>
        <v>0.15606072487022438</v>
      </c>
      <c r="BI63" s="2" t="s">
        <v>155</v>
      </c>
      <c r="BJ63" s="2"/>
      <c r="BK63" s="2" t="s">
        <v>28</v>
      </c>
      <c r="BL63" s="2">
        <f>BL62-BL61</f>
        <v>0.11101911887675153</v>
      </c>
      <c r="BM63" s="2" t="s">
        <v>155</v>
      </c>
      <c r="BO63" s="2">
        <v>25</v>
      </c>
      <c r="BP63" s="2">
        <f t="shared" si="35"/>
        <v>0.39217919665965406</v>
      </c>
      <c r="BQ63" s="2">
        <v>-3.0479639887004417E-7</v>
      </c>
      <c r="BR63" s="2">
        <f t="shared" si="36"/>
        <v>0.39217936331528164</v>
      </c>
      <c r="BS63" s="2">
        <v>1.9647344966233771E-7</v>
      </c>
      <c r="BT63" s="2">
        <f t="shared" si="27"/>
        <v>0.39217927998746782</v>
      </c>
      <c r="BU63" s="2">
        <v>-5.4161470655622601E-8</v>
      </c>
      <c r="BV63" s="2">
        <f t="shared" si="28"/>
        <v>1.650822121333934E-14</v>
      </c>
      <c r="BW63" s="2">
        <f t="shared" si="29"/>
        <v>-1.0641290978495647E-14</v>
      </c>
      <c r="BX63" s="2">
        <f t="shared" si="30"/>
        <v>1.6665562757589569E-7</v>
      </c>
      <c r="BZ63" s="2">
        <v>25</v>
      </c>
      <c r="CA63" s="2">
        <f t="shared" si="37"/>
        <v>0.35298829261993503</v>
      </c>
      <c r="CB63" s="2">
        <v>-3.3590933022631386E-7</v>
      </c>
      <c r="CC63" s="2">
        <f t="shared" si="38"/>
        <v>0.35298845927556266</v>
      </c>
      <c r="CD63" s="2">
        <v>1.1657412514465282E-7</v>
      </c>
      <c r="CE63" s="2">
        <f t="shared" si="31"/>
        <v>0.35298837594774884</v>
      </c>
      <c r="CF63" s="2">
        <v>-1.0966759932812264E-7</v>
      </c>
      <c r="CG63" s="2">
        <f t="shared" si="32"/>
        <v>3.6838369837837424E-14</v>
      </c>
      <c r="CH63" s="2">
        <f t="shared" si="33"/>
        <v>-1.2784404448390212E-14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567.1112060546875</v>
      </c>
      <c r="AH64" s="2">
        <v>0.1462019969026187</v>
      </c>
      <c r="AI64" s="2">
        <f t="shared" si="44"/>
        <v>567.19970703125</v>
      </c>
      <c r="AJ64" s="2">
        <v>-0.64684503849684916</v>
      </c>
      <c r="AK64" s="2">
        <f t="shared" si="39"/>
        <v>567.15545654296875</v>
      </c>
      <c r="AL64" s="2">
        <v>-0.25030605205802203</v>
      </c>
      <c r="AM64" s="2">
        <f t="shared" si="40"/>
        <v>-3.6595244647693655E-2</v>
      </c>
      <c r="AN64" s="2">
        <f t="shared" si="41"/>
        <v>0.1619092278794656</v>
      </c>
      <c r="AO64" s="2">
        <f t="shared" si="42"/>
        <v>8.85009765625E-2</v>
      </c>
      <c r="BG64" s="2" t="s">
        <v>168</v>
      </c>
      <c r="BH64" s="2">
        <f>BH63/PI()*180</f>
        <v>8.9416208828161796</v>
      </c>
      <c r="BI64" s="2" t="s">
        <v>43</v>
      </c>
      <c r="BJ64" s="2"/>
      <c r="BK64" s="2" t="s">
        <v>168</v>
      </c>
      <c r="BL64" s="2">
        <f>BL63/PI()*180</f>
        <v>6.3609269568990312</v>
      </c>
      <c r="BM64" s="2" t="s">
        <v>43</v>
      </c>
      <c r="BO64" s="2">
        <v>26</v>
      </c>
      <c r="BP64" s="2">
        <f t="shared" si="35"/>
        <v>0.39217927998746782</v>
      </c>
      <c r="BQ64" s="2">
        <v>-5.4161470655622601E-8</v>
      </c>
      <c r="BR64" s="2">
        <f t="shared" si="36"/>
        <v>0.39217936331528164</v>
      </c>
      <c r="BS64" s="2">
        <v>1.9647344966233771E-7</v>
      </c>
      <c r="BT64" s="2">
        <f t="shared" si="27"/>
        <v>0.3921793216513747</v>
      </c>
      <c r="BU64" s="2">
        <v>7.1155990419291548E-8</v>
      </c>
      <c r="BV64" s="2">
        <f t="shared" si="28"/>
        <v>-3.8539130870662221E-15</v>
      </c>
      <c r="BW64" s="2">
        <f t="shared" si="29"/>
        <v>1.3980262901818462E-14</v>
      </c>
      <c r="BX64" s="2">
        <f t="shared" si="30"/>
        <v>8.3327813815703422E-8</v>
      </c>
      <c r="BZ64" s="2">
        <v>26</v>
      </c>
      <c r="CA64" s="2">
        <f t="shared" si="37"/>
        <v>0.35298837594774884</v>
      </c>
      <c r="CB64" s="2">
        <v>-1.0966759932812264E-7</v>
      </c>
      <c r="CC64" s="2">
        <f t="shared" si="38"/>
        <v>0.35298845927556266</v>
      </c>
      <c r="CD64" s="2">
        <v>1.1657412514465282E-7</v>
      </c>
      <c r="CE64" s="2">
        <f t="shared" si="31"/>
        <v>0.35298841761165578</v>
      </c>
      <c r="CF64" s="2">
        <v>3.453263827668529E-9</v>
      </c>
      <c r="CG64" s="2">
        <f t="shared" si="32"/>
        <v>-3.7871115382705138E-16</v>
      </c>
      <c r="CH64" s="2">
        <f t="shared" si="33"/>
        <v>4.0256120960413393E-16</v>
      </c>
      <c r="CI64" s="2">
        <f t="shared" si="34"/>
        <v>8.3327813815703422E-8</v>
      </c>
    </row>
    <row r="65" spans="2:87" x14ac:dyDescent="0.2">
      <c r="B65" s="6" t="s">
        <v>214</v>
      </c>
      <c r="C65" s="41">
        <v>1.7363179204150701E-5</v>
      </c>
      <c r="D65" s="6" t="s">
        <v>210</v>
      </c>
      <c r="AF65" s="2">
        <v>16</v>
      </c>
      <c r="AG65" s="2">
        <f t="shared" si="43"/>
        <v>567.1112060546875</v>
      </c>
      <c r="AH65" s="2">
        <v>0.1462019969026187</v>
      </c>
      <c r="AI65" s="2">
        <f t="shared" si="44"/>
        <v>567.15545654296875</v>
      </c>
      <c r="AJ65" s="2">
        <v>-0.25030605205802203</v>
      </c>
      <c r="AK65" s="2">
        <f t="shared" si="39"/>
        <v>567.13333129882812</v>
      </c>
      <c r="AL65" s="2">
        <v>-5.2048160392587306E-2</v>
      </c>
      <c r="AM65" s="2">
        <f t="shared" si="40"/>
        <v>-7.6095449845040505E-3</v>
      </c>
      <c r="AN65" s="2">
        <f t="shared" si="41"/>
        <v>1.3027969544751239E-2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0.39217927998746782</v>
      </c>
      <c r="BQ65" s="2">
        <v>-5.4161470655622601E-8</v>
      </c>
      <c r="BR65" s="2">
        <f t="shared" si="36"/>
        <v>0.3921793216513747</v>
      </c>
      <c r="BS65" s="2">
        <v>7.1155990419291548E-8</v>
      </c>
      <c r="BT65" s="2">
        <f t="shared" si="27"/>
        <v>0.39217930081942126</v>
      </c>
      <c r="BU65" s="2">
        <v>8.4972602287791688E-9</v>
      </c>
      <c r="BV65" s="2">
        <f t="shared" si="28"/>
        <v>-4.6022411053421193E-16</v>
      </c>
      <c r="BW65" s="2">
        <f t="shared" si="29"/>
        <v>6.0463096742923765E-16</v>
      </c>
      <c r="BX65" s="2">
        <f t="shared" si="30"/>
        <v>4.1663906880096135E-8</v>
      </c>
      <c r="BZ65" s="2">
        <v>27</v>
      </c>
      <c r="CA65" s="2">
        <f t="shared" si="37"/>
        <v>0.35298837594774884</v>
      </c>
      <c r="CB65" s="2">
        <v>-1.0966759932812264E-7</v>
      </c>
      <c r="CC65" s="2">
        <f t="shared" si="38"/>
        <v>0.35298841761165578</v>
      </c>
      <c r="CD65" s="2">
        <v>3.453263827668529E-9</v>
      </c>
      <c r="CE65" s="2">
        <f t="shared" si="31"/>
        <v>0.35298839677970228</v>
      </c>
      <c r="CF65" s="2">
        <v>-5.3107167538590794E-8</v>
      </c>
      <c r="CG65" s="2">
        <f t="shared" si="32"/>
        <v>5.8241355710736563E-15</v>
      </c>
      <c r="CH65" s="2">
        <f t="shared" si="33"/>
        <v>-1.833930606509479E-16</v>
      </c>
      <c r="CI65" s="2">
        <f t="shared" si="34"/>
        <v>4.1663906935607287E-8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567.1112060546875</v>
      </c>
      <c r="AH66" s="2">
        <v>0.1462019969026187</v>
      </c>
      <c r="AI66" s="2">
        <f t="shared" si="44"/>
        <v>567.13333129882812</v>
      </c>
      <c r="AJ66" s="2">
        <v>-5.2048160392587306E-2</v>
      </c>
      <c r="AK66" s="2">
        <f t="shared" si="39"/>
        <v>567.12226867675781</v>
      </c>
      <c r="AL66" s="2">
        <v>4.7077885051294288E-2</v>
      </c>
      <c r="AM66" s="2">
        <f t="shared" si="40"/>
        <v>6.8828808044511672E-3</v>
      </c>
      <c r="AN66" s="2">
        <f t="shared" si="41"/>
        <v>-2.4503173120935533E-3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0.62618437132254212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0.35684695264233457</v>
      </c>
      <c r="BM66" s="2"/>
      <c r="BO66" s="2">
        <v>28</v>
      </c>
      <c r="BP66" s="2">
        <f t="shared" si="35"/>
        <v>0.39217927998746782</v>
      </c>
      <c r="BQ66" s="2">
        <v>-5.4161470655622601E-8</v>
      </c>
      <c r="BR66" s="2">
        <f t="shared" si="36"/>
        <v>0.39217930081942126</v>
      </c>
      <c r="BS66" s="2">
        <v>8.4972602287791688E-9</v>
      </c>
      <c r="BT66" s="2">
        <f t="shared" si="27"/>
        <v>0.39217929040344457</v>
      </c>
      <c r="BU66" s="2">
        <v>-2.2832105109338308E-8</v>
      </c>
      <c r="BV66" s="2">
        <f t="shared" si="28"/>
        <v>1.2366203908855176E-15</v>
      </c>
      <c r="BW66" s="2">
        <f t="shared" si="29"/>
        <v>-1.9401033868488605E-16</v>
      </c>
      <c r="BX66" s="2">
        <f t="shared" si="30"/>
        <v>2.0831953440048068E-8</v>
      </c>
      <c r="BZ66" s="2">
        <v>28</v>
      </c>
      <c r="CA66" s="2">
        <f t="shared" si="37"/>
        <v>0.35298839677970228</v>
      </c>
      <c r="CB66" s="2">
        <v>-5.3107167538590794E-8</v>
      </c>
      <c r="CC66" s="2">
        <f t="shared" si="38"/>
        <v>0.35298841761165578</v>
      </c>
      <c r="CD66" s="2">
        <v>3.453263827668529E-9</v>
      </c>
      <c r="CE66" s="2">
        <f t="shared" si="31"/>
        <v>0.35298840719567903</v>
      </c>
      <c r="CF66" s="2">
        <v>-2.4826951751377724E-8</v>
      </c>
      <c r="CG66" s="2">
        <f t="shared" si="32"/>
        <v>1.3184890861329269E-15</v>
      </c>
      <c r="CH66" s="2">
        <f t="shared" si="33"/>
        <v>-8.5734014434304523E-17</v>
      </c>
      <c r="CI66" s="2">
        <f t="shared" si="34"/>
        <v>2.0831953495559219E-8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567.12226867675781</v>
      </c>
      <c r="AH67" s="2">
        <v>4.7077885051294288E-2</v>
      </c>
      <c r="AI67" s="2">
        <f t="shared" si="44"/>
        <v>567.13333129882812</v>
      </c>
      <c r="AJ67" s="2">
        <v>-5.2048160392587306E-2</v>
      </c>
      <c r="AK67" s="2">
        <f t="shared" si="39"/>
        <v>567.12779998779297</v>
      </c>
      <c r="AL67" s="2">
        <v>-2.4848959715200181E-3</v>
      </c>
      <c r="AM67" s="2">
        <f t="shared" si="40"/>
        <v>-1.1698364691164365E-4</v>
      </c>
      <c r="AN67" s="2">
        <f t="shared" si="41"/>
        <v>1.2933426408456795E-4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0.95069024232184618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0.9472273627767166</v>
      </c>
      <c r="BM67" s="2"/>
      <c r="BO67" s="2">
        <v>29</v>
      </c>
      <c r="BP67" s="2">
        <f t="shared" si="35"/>
        <v>0.39217929040344457</v>
      </c>
      <c r="BQ67" s="2">
        <v>-2.2832105109338308E-8</v>
      </c>
      <c r="BR67" s="2">
        <f t="shared" si="36"/>
        <v>0.39217930081942126</v>
      </c>
      <c r="BS67" s="2">
        <v>8.4972602287791688E-9</v>
      </c>
      <c r="BT67" s="2">
        <f t="shared" si="27"/>
        <v>0.39217929561143294</v>
      </c>
      <c r="BU67" s="2">
        <v>-7.1674223223183731E-9</v>
      </c>
      <c r="BV67" s="2">
        <f t="shared" si="28"/>
        <v>1.6364733982619076E-16</v>
      </c>
      <c r="BW67" s="2">
        <f t="shared" si="29"/>
        <v>-6.090345264229994E-17</v>
      </c>
      <c r="BX67" s="2">
        <f t="shared" si="30"/>
        <v>1.0415976692268458E-8</v>
      </c>
      <c r="BZ67" s="2">
        <v>29</v>
      </c>
      <c r="CA67" s="2">
        <f t="shared" si="37"/>
        <v>0.35298840719567903</v>
      </c>
      <c r="CB67" s="2">
        <v>-2.4826951751377724E-8</v>
      </c>
      <c r="CC67" s="2">
        <f t="shared" si="38"/>
        <v>0.35298841761165578</v>
      </c>
      <c r="CD67" s="2">
        <v>3.453263827668529E-9</v>
      </c>
      <c r="CE67" s="2">
        <f t="shared" si="31"/>
        <v>0.35298841240366741</v>
      </c>
      <c r="CF67" s="2">
        <v>-1.0686843951446257E-8</v>
      </c>
      <c r="CG67" s="2">
        <f t="shared" si="32"/>
        <v>2.6532175915705905E-16</v>
      </c>
      <c r="CH67" s="2">
        <f t="shared" si="33"/>
        <v>-3.6904491649467568E-17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567.12226867675781</v>
      </c>
      <c r="AH68" s="2">
        <v>4.7077885051294288E-2</v>
      </c>
      <c r="AI68" s="2">
        <f t="shared" si="44"/>
        <v>567.12779998779297</v>
      </c>
      <c r="AJ68" s="2">
        <v>-2.4848959715200181E-3</v>
      </c>
      <c r="AK68" s="2">
        <f t="shared" si="39"/>
        <v>567.12503433227539</v>
      </c>
      <c r="AL68" s="2">
        <v>2.229655496421401E-2</v>
      </c>
      <c r="AM68" s="2">
        <f t="shared" si="40"/>
        <v>1.0496746516451322E-3</v>
      </c>
      <c r="AN68" s="2">
        <f t="shared" si="41"/>
        <v>-5.5404619609350054E-5</v>
      </c>
      <c r="AO68" s="2">
        <f t="shared" si="42"/>
        <v>5.53131103515625E-3</v>
      </c>
      <c r="BG68" s="2" t="s">
        <v>183</v>
      </c>
      <c r="BH68" s="2">
        <f>IF(BH61=0,1,BH66*BH67)</f>
        <v>0.59530737171078052</v>
      </c>
      <c r="BI68" s="2"/>
      <c r="BJ68" s="2"/>
      <c r="BK68" s="2" t="s">
        <v>183</v>
      </c>
      <c r="BL68" s="2">
        <f>IF(BL61=0,1,BL66*BL67)</f>
        <v>0.33801519786630646</v>
      </c>
      <c r="BM68" s="2"/>
      <c r="BO68" s="2">
        <v>30</v>
      </c>
      <c r="BP68" s="2">
        <f t="shared" si="35"/>
        <v>0.39217929561143294</v>
      </c>
      <c r="BQ68" s="2">
        <v>-7.1674223223183731E-9</v>
      </c>
      <c r="BR68" s="2">
        <f t="shared" si="36"/>
        <v>0.39217930081942126</v>
      </c>
      <c r="BS68" s="2">
        <v>8.4972602287791688E-9</v>
      </c>
      <c r="BT68" s="5">
        <f t="shared" si="27"/>
        <v>0.39217929821542707</v>
      </c>
      <c r="BU68" s="2">
        <v>6.6491878669694415E-10</v>
      </c>
      <c r="BV68" s="2">
        <f t="shared" si="28"/>
        <v>-4.7657537543005264E-18</v>
      </c>
      <c r="BW68" s="2">
        <f t="shared" si="29"/>
        <v>5.649987961568043E-18</v>
      </c>
      <c r="BX68" s="2">
        <f t="shared" si="30"/>
        <v>5.2079883183786535E-9</v>
      </c>
      <c r="BZ68" s="2">
        <v>30</v>
      </c>
      <c r="CA68" s="2">
        <f t="shared" si="37"/>
        <v>0.35298841240366741</v>
      </c>
      <c r="CB68" s="2">
        <v>-1.0686843951446257E-8</v>
      </c>
      <c r="CC68" s="2">
        <f t="shared" si="38"/>
        <v>0.35298841761165578</v>
      </c>
      <c r="CD68" s="2">
        <v>3.453263827668529E-9</v>
      </c>
      <c r="CE68" s="5">
        <f t="shared" si="31"/>
        <v>0.35298841500766159</v>
      </c>
      <c r="CF68" s="2">
        <v>-3.6167899578054552E-9</v>
      </c>
      <c r="CG68" s="2">
        <f t="shared" si="32"/>
        <v>3.8652069884224789E-17</v>
      </c>
      <c r="CH68" s="2">
        <f t="shared" si="33"/>
        <v>-1.2489729933564364E-17</v>
      </c>
      <c r="CI68" s="2">
        <f t="shared" si="34"/>
        <v>5.2079883738898047E-9</v>
      </c>
    </row>
    <row r="69" spans="2:87" x14ac:dyDescent="0.2">
      <c r="B69" s="53" t="s">
        <v>273</v>
      </c>
      <c r="C69" s="54"/>
      <c r="D69" s="54"/>
      <c r="AF69" s="2">
        <v>20</v>
      </c>
      <c r="AG69" s="2">
        <f t="shared" si="43"/>
        <v>567.12503433227539</v>
      </c>
      <c r="AH69" s="2">
        <v>2.229655496421401E-2</v>
      </c>
      <c r="AI69" s="2">
        <f t="shared" si="44"/>
        <v>567.12779998779297</v>
      </c>
      <c r="AJ69" s="2">
        <v>-2.4848959715200181E-3</v>
      </c>
      <c r="AK69" s="2">
        <f t="shared" si="39"/>
        <v>567.12641716003418</v>
      </c>
      <c r="AL69" s="2">
        <v>9.90584460350874E-3</v>
      </c>
      <c r="AM69" s="2">
        <f t="shared" si="40"/>
        <v>2.2086620866909536E-4</v>
      </c>
      <c r="AN69" s="2">
        <f t="shared" si="41"/>
        <v>-2.4614993349762179E-5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1.1650955511199572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0.89593436243410396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567.12641716003418</v>
      </c>
      <c r="AH70" s="2">
        <v>9.90584460350874E-3</v>
      </c>
      <c r="AI70" s="2">
        <f t="shared" si="44"/>
        <v>567.12779998779297</v>
      </c>
      <c r="AJ70" s="2">
        <v>-2.4848959715200181E-3</v>
      </c>
      <c r="AK70" s="2">
        <f t="shared" si="39"/>
        <v>567.12710857391357</v>
      </c>
      <c r="AL70" s="2">
        <v>3.7104780926711101E-3</v>
      </c>
      <c r="AM70" s="2">
        <f t="shared" si="40"/>
        <v>3.6755419390723521E-5</v>
      </c>
      <c r="AN70" s="2">
        <f t="shared" si="41"/>
        <v>-9.2201520648917216E-6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4.8755071239917847E-2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5.6367555875605851E-2</v>
      </c>
      <c r="BM70" s="2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2:87" x14ac:dyDescent="0.2">
      <c r="B71" s="6" t="s">
        <v>214</v>
      </c>
      <c r="C71" s="41">
        <v>1.7265641515845801E-5</v>
      </c>
      <c r="D71" s="6" t="s">
        <v>210</v>
      </c>
      <c r="AF71" s="2">
        <v>22</v>
      </c>
      <c r="AG71" s="2">
        <f t="shared" si="43"/>
        <v>567.12710857391357</v>
      </c>
      <c r="AH71" s="2">
        <v>3.7104780926711101E-3</v>
      </c>
      <c r="AI71" s="2">
        <f t="shared" si="44"/>
        <v>567.12779998779297</v>
      </c>
      <c r="AJ71" s="2">
        <v>-2.4848959715200181E-3</v>
      </c>
      <c r="AK71" s="2">
        <f t="shared" si="39"/>
        <v>567.12745428085327</v>
      </c>
      <c r="AL71" s="2">
        <v>6.1279200508579379E-4</v>
      </c>
      <c r="AM71" s="2">
        <f t="shared" si="40"/>
        <v>2.2737513102348415E-6</v>
      </c>
      <c r="AN71" s="2">
        <f t="shared" si="41"/>
        <v>-1.5227243848173635E-6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1.0990916904889596</v>
      </c>
      <c r="BI71" s="2"/>
      <c r="BJ71" s="2"/>
      <c r="BK71" s="2" t="s">
        <v>190</v>
      </c>
      <c r="BL71" s="2">
        <f xml:space="preserve"> BL69*COS(BL61) - BL70*SIN(BL61)</f>
        <v>0.83337106186445919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567.12745428085327</v>
      </c>
      <c r="AH72" s="2">
        <v>6.1279200508579379E-4</v>
      </c>
      <c r="AI72" s="2">
        <f t="shared" si="44"/>
        <v>567.12779998779297</v>
      </c>
      <c r="AJ72" s="2">
        <v>-2.4848959715200181E-3</v>
      </c>
      <c r="AK72" s="2">
        <f t="shared" si="39"/>
        <v>567.12762713432312</v>
      </c>
      <c r="AL72" s="2">
        <v>-9.360517474306107E-4</v>
      </c>
      <c r="AM72" s="2">
        <f t="shared" si="40"/>
        <v>-5.7360502717206492E-7</v>
      </c>
      <c r="AN72" s="2">
        <f t="shared" si="41"/>
        <v>2.325991216324598E-6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0.38964362706099515</v>
      </c>
      <c r="BI72" s="2"/>
      <c r="BJ72" s="2"/>
      <c r="BK72" s="2" t="s">
        <v>192</v>
      </c>
      <c r="BL72" s="2">
        <f xml:space="preserve"> BL69*SIN(BL61) + BL70*COS(BL61)</f>
        <v>0.33371897817250001</v>
      </c>
      <c r="BM72" s="2"/>
      <c r="BO72" s="30">
        <v>0</v>
      </c>
      <c r="BP72" s="30"/>
      <c r="BQ72" s="30">
        <f>$BH$58</f>
        <v>-2.2940410057681326E-9</v>
      </c>
      <c r="BR72" s="30"/>
      <c r="BS72" s="30">
        <f>$BH$58</f>
        <v>-2.2940410057681326E-9</v>
      </c>
      <c r="BT72" s="30"/>
      <c r="BU72" s="30">
        <f>$BH$58</f>
        <v>-2.2940410057681326E-9</v>
      </c>
      <c r="BV72" s="30"/>
      <c r="BW72" s="30"/>
      <c r="BX72" s="30"/>
      <c r="BZ72" s="30">
        <v>0</v>
      </c>
      <c r="CA72" s="30"/>
      <c r="CB72" s="30">
        <f>$BL$58</f>
        <v>-3.3090320275541707E-9</v>
      </c>
      <c r="CC72" s="30"/>
      <c r="CD72" s="30">
        <f>$BL$58</f>
        <v>-3.3090320275541707E-9</v>
      </c>
      <c r="CE72" s="30"/>
      <c r="CF72" s="30">
        <f>$BL$58</f>
        <v>-3.3090320275541707E-9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567.12745428085327</v>
      </c>
      <c r="AH73" s="2">
        <v>6.1279200508579379E-4</v>
      </c>
      <c r="AI73" s="2">
        <f t="shared" si="44"/>
        <v>567.12762713432312</v>
      </c>
      <c r="AJ73" s="2">
        <v>-9.360517474306107E-4</v>
      </c>
      <c r="AK73" s="2">
        <f t="shared" si="39"/>
        <v>567.1275407075882</v>
      </c>
      <c r="AL73" s="2">
        <v>-1.6162981273737387E-4</v>
      </c>
      <c r="AM73" s="2">
        <f t="shared" si="40"/>
        <v>-9.9045457028976707E-8</v>
      </c>
      <c r="AN73" s="2">
        <f t="shared" si="41"/>
        <v>1.5129386864970119E-7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1.1328120306348748</v>
      </c>
      <c r="BI73" s="2"/>
      <c r="BJ73" s="2"/>
      <c r="BK73" s="2" t="s">
        <v>38</v>
      </c>
      <c r="BL73" s="2">
        <f xml:space="preserve"> 4*BL68*SIN(BL61)*SIN(BL61) / (BL65*BL71)</f>
        <v>1.111490445398744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-2.1469030502311806</v>
      </c>
      <c r="BR73" s="3">
        <f>0.9*PI()</f>
        <v>2.8274333882308138</v>
      </c>
      <c r="BS73" s="2">
        <f t="dataTable" ref="BS73:BS102" dt2D="0" dtr="0" r1="BH42"/>
        <v>0.49862817611758425</v>
      </c>
      <c r="BT73" s="2">
        <f t="shared" ref="BT73:BT102" si="45">(BP73+BR73)/2</f>
        <v>1.4294246573833558</v>
      </c>
      <c r="BU73" s="2">
        <f t="dataTable" ref="BU73:BU102" dt2D="0" dtr="0" r1="BH42" ca="1"/>
        <v>1.1058178289944207</v>
      </c>
      <c r="BV73" s="2">
        <f t="shared" ref="BV73:BV102" si="46">BQ73*BU73</f>
        <v>-2.3740836700681438</v>
      </c>
      <c r="BW73" s="2">
        <f t="shared" ref="BW73:BW102" si="47">BS73*BU73</f>
        <v>0.55139192718979468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-1.8382845877155505</v>
      </c>
      <c r="CC73" s="3">
        <f>0.9*PI()</f>
        <v>2.8274333882308138</v>
      </c>
      <c r="CD73" s="2">
        <f t="dataTable" ref="CD73:CD102" dt2D="0" dtr="0" r1="BL42" ca="1"/>
        <v>0.48504693840331187</v>
      </c>
      <c r="CE73" s="2">
        <f t="shared" ref="CE73:CE102" si="49">(CA73+CC73)/2</f>
        <v>1.4294246573833558</v>
      </c>
      <c r="CF73" s="2">
        <f t="dataTable" ref="CF73:CF102" dt2D="0" dtr="0" r1="BL42"/>
        <v>1.1103587785650133</v>
      </c>
      <c r="CG73" s="2">
        <f t="shared" ref="CG73:CG102" si="50">CB73*CF73</f>
        <v>-2.0411554294707277</v>
      </c>
      <c r="CH73" s="2">
        <f t="shared" ref="CH73:CH102" si="51">CD73*CF73</f>
        <v>0.53857612607220062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567.12745428085327</v>
      </c>
      <c r="AH74" s="2">
        <v>6.1279200508579379E-4</v>
      </c>
      <c r="AI74" s="2">
        <f t="shared" si="44"/>
        <v>567.1275407075882</v>
      </c>
      <c r="AJ74" s="2">
        <v>-1.6162981273737387E-4</v>
      </c>
      <c r="AK74" s="2">
        <f t="shared" si="39"/>
        <v>567.12749749422073</v>
      </c>
      <c r="AL74" s="2">
        <v>2.2558111049875151E-4</v>
      </c>
      <c r="AM74" s="2">
        <f t="shared" si="40"/>
        <v>1.3823430101200995E-7</v>
      </c>
      <c r="AN74" s="2">
        <f t="shared" si="41"/>
        <v>-3.6460632647002047E-8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10.371379899559008</v>
      </c>
      <c r="BI74" s="2"/>
      <c r="BJ74" s="2"/>
      <c r="BK74" s="2" t="s">
        <v>194</v>
      </c>
      <c r="BL74" s="2">
        <f xml:space="preserve"> 4*BL68*SIN(BL61)*COS(BL61) / (BL65*BL72)</f>
        <v>8.4305734619789217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-2.1469030502311806</v>
      </c>
      <c r="BR74" s="2">
        <f t="shared" ref="BR74:BR102" si="54">IF(BW73&gt;0,BT73,BR73)</f>
        <v>1.4294246573833558</v>
      </c>
      <c r="BS74" s="2">
        <v>1.1058178289944207</v>
      </c>
      <c r="BT74" s="2">
        <f t="shared" si="45"/>
        <v>0.73042029195962688</v>
      </c>
      <c r="BU74" s="2">
        <v>0.81832197368862014</v>
      </c>
      <c r="BV74" s="2">
        <f t="shared" si="46"/>
        <v>-1.7568579413832985</v>
      </c>
      <c r="BW74" s="2">
        <f t="shared" si="47"/>
        <v>0.90491502836277937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-1.8382845877155505</v>
      </c>
      <c r="CC74" s="2">
        <f t="shared" ref="CC74:CC102" si="56">IF(CH73&gt;0,CE73,CC73)</f>
        <v>1.4294246573833558</v>
      </c>
      <c r="CD74" s="2">
        <v>1.1103587785650133</v>
      </c>
      <c r="CE74" s="2">
        <f t="shared" si="49"/>
        <v>0.73042029195962688</v>
      </c>
      <c r="CF74" s="2">
        <v>0.7791555259008679</v>
      </c>
      <c r="CG74" s="2">
        <f t="shared" si="50"/>
        <v>-1.4323095946969699</v>
      </c>
      <c r="CH74" s="2">
        <f t="shared" si="51"/>
        <v>0.86514217805146831</v>
      </c>
      <c r="CI74" s="2">
        <f t="shared" si="52"/>
        <v>1.3980087308474578</v>
      </c>
    </row>
    <row r="75" spans="2:87" x14ac:dyDescent="0.2">
      <c r="B75" s="53" t="s">
        <v>74</v>
      </c>
      <c r="C75" s="53"/>
      <c r="D75" s="53"/>
      <c r="AF75" s="2">
        <v>26</v>
      </c>
      <c r="AG75" s="2">
        <f t="shared" si="43"/>
        <v>567.12749749422073</v>
      </c>
      <c r="AH75" s="2">
        <v>2.2558111049875151E-4</v>
      </c>
      <c r="AI75" s="2">
        <f t="shared" si="44"/>
        <v>567.1275407075882</v>
      </c>
      <c r="AJ75" s="2">
        <v>-1.6162981273737387E-4</v>
      </c>
      <c r="AK75" s="2">
        <f t="shared" si="39"/>
        <v>567.12751910090446</v>
      </c>
      <c r="AL75" s="2">
        <v>3.1975652746041305E-5</v>
      </c>
      <c r="AM75" s="2">
        <f t="shared" si="40"/>
        <v>7.213103255374451E-9</v>
      </c>
      <c r="AN75" s="2">
        <f t="shared" si="41"/>
        <v>-5.1682187654979507E-9</v>
      </c>
      <c r="AO75" s="2">
        <f t="shared" si="42"/>
        <v>4.3213367462158203E-5</v>
      </c>
      <c r="BG75" s="2" t="s">
        <v>45</v>
      </c>
      <c r="BH75" s="2">
        <f>1/(BH73-1)</f>
        <v>7.5294383740670883</v>
      </c>
      <c r="BI75" s="2"/>
      <c r="BJ75" s="2"/>
      <c r="BK75" s="2" t="s">
        <v>45</v>
      </c>
      <c r="BL75" s="2">
        <f>1/(BL73-1)</f>
        <v>8.969378464885617</v>
      </c>
      <c r="BM75" s="2"/>
      <c r="BO75" s="2">
        <v>3</v>
      </c>
      <c r="BP75" s="2">
        <f t="shared" si="53"/>
        <v>3.1415926535897934E-2</v>
      </c>
      <c r="BQ75" s="2">
        <v>-2.1469030502311806</v>
      </c>
      <c r="BR75" s="2">
        <f t="shared" si="54"/>
        <v>0.73042029195962688</v>
      </c>
      <c r="BS75" s="2">
        <v>0.81832197368862014</v>
      </c>
      <c r="BT75" s="2">
        <f t="shared" si="45"/>
        <v>0.38091810924776243</v>
      </c>
      <c r="BU75" s="2">
        <v>0.14291802900457046</v>
      </c>
      <c r="BV75" s="2">
        <f t="shared" si="46"/>
        <v>-0.30683115240294062</v>
      </c>
      <c r="BW75" s="2">
        <f t="shared" si="47"/>
        <v>0.11695296357070756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-1.8382845877155505</v>
      </c>
      <c r="CC75" s="2">
        <f t="shared" si="56"/>
        <v>0.73042029195962688</v>
      </c>
      <c r="CD75" s="2">
        <v>0.7791555259008679</v>
      </c>
      <c r="CE75" s="2">
        <f t="shared" si="49"/>
        <v>0.38091810924776243</v>
      </c>
      <c r="CF75" s="2">
        <v>0.18722211049011403</v>
      </c>
      <c r="CG75" s="2">
        <f t="shared" si="50"/>
        <v>-0.34416752019355451</v>
      </c>
      <c r="CH75" s="2">
        <f t="shared" si="51"/>
        <v>0.14587514195919518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567.12751910090446</v>
      </c>
      <c r="AH76" s="2">
        <v>3.1975652746041305E-5</v>
      </c>
      <c r="AI76" s="2">
        <f t="shared" si="44"/>
        <v>567.1275407075882</v>
      </c>
      <c r="AJ76" s="2">
        <v>-1.6162981273737387E-4</v>
      </c>
      <c r="AK76" s="2">
        <f t="shared" si="39"/>
        <v>567.12752990424633</v>
      </c>
      <c r="AL76" s="2">
        <v>-6.4827078404050553E-5</v>
      </c>
      <c r="AM76" s="2">
        <f t="shared" si="40"/>
        <v>-2.0728881475883141E-9</v>
      </c>
      <c r="AN76" s="2">
        <f t="shared" si="41"/>
        <v>1.0477988542757744E-8</v>
      </c>
      <c r="AO76" s="2">
        <f t="shared" si="42"/>
        <v>2.1606683731079102E-5</v>
      </c>
      <c r="BG76" s="2" t="s">
        <v>197</v>
      </c>
      <c r="BH76" s="2">
        <f>1/(BH74+1)</f>
        <v>8.794007489265053E-2</v>
      </c>
      <c r="BI76" s="2"/>
      <c r="BK76" s="2" t="s">
        <v>197</v>
      </c>
      <c r="BL76" s="2">
        <f>1/(BL74+1)</f>
        <v>0.10603809026372389</v>
      </c>
      <c r="BM76" s="2"/>
      <c r="BO76" s="2">
        <v>4</v>
      </c>
      <c r="BP76" s="2">
        <f t="shared" si="53"/>
        <v>3.1415926535897934E-2</v>
      </c>
      <c r="BQ76" s="2">
        <v>-2.1469030502311806</v>
      </c>
      <c r="BR76" s="2">
        <f t="shared" si="54"/>
        <v>0.38091810924776243</v>
      </c>
      <c r="BS76" s="2">
        <v>0.14291802900457046</v>
      </c>
      <c r="BT76" s="2">
        <f t="shared" si="45"/>
        <v>0.20616701789183017</v>
      </c>
      <c r="BU76" s="2">
        <v>-0.30096365106010131</v>
      </c>
      <c r="BV76" s="2">
        <f t="shared" si="46"/>
        <v>0.64613978046964415</v>
      </c>
      <c r="BW76" s="2">
        <f t="shared" si="47"/>
        <v>-4.3013131811528979E-2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-1.8382845877155505</v>
      </c>
      <c r="CC76" s="2">
        <f t="shared" si="56"/>
        <v>0.38091810924776243</v>
      </c>
      <c r="CD76" s="2">
        <v>0.18722211049011403</v>
      </c>
      <c r="CE76" s="2">
        <f t="shared" si="49"/>
        <v>0.20616701789183017</v>
      </c>
      <c r="CF76" s="2">
        <v>-0.25821741225276806</v>
      </c>
      <c r="CG76" s="2">
        <f t="shared" si="50"/>
        <v>0.47467708922405605</v>
      </c>
      <c r="CH76" s="2">
        <f t="shared" si="51"/>
        <v>-4.8344008887259066E-2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567.12751910090446</v>
      </c>
      <c r="AH77" s="2">
        <v>3.1975652746041305E-5</v>
      </c>
      <c r="AI77" s="2">
        <f t="shared" si="44"/>
        <v>567.12752990424633</v>
      </c>
      <c r="AJ77" s="2">
        <v>-6.4827078404050553E-5</v>
      </c>
      <c r="AK77" s="2">
        <f t="shared" si="39"/>
        <v>567.1275245025754</v>
      </c>
      <c r="AL77" s="2">
        <v>-1.6425712146883598E-5</v>
      </c>
      <c r="AM77" s="2">
        <f t="shared" si="40"/>
        <v>-5.2522286771518253E-10</v>
      </c>
      <c r="AN77" s="2">
        <f t="shared" si="41"/>
        <v>1.0648309291883885E-9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6.3166378308499027E-9</v>
      </c>
      <c r="BI77" s="40"/>
      <c r="BK77" s="7" t="s">
        <v>199</v>
      </c>
      <c r="BL77" s="40">
        <f>SIN(BL61)/(1+BL75) - $AR$3*COS(BL61)/($AV$5*$AR$26*(1-BL76))</f>
        <v>-7.1314549404677408E-9</v>
      </c>
      <c r="BM77" s="40"/>
      <c r="BO77" s="2">
        <v>5</v>
      </c>
      <c r="BP77" s="2">
        <f t="shared" si="53"/>
        <v>0.20616701789183017</v>
      </c>
      <c r="BQ77" s="2">
        <v>-0.30096365106010131</v>
      </c>
      <c r="BR77" s="2">
        <f t="shared" si="54"/>
        <v>0.38091810924776243</v>
      </c>
      <c r="BS77" s="2">
        <v>0.14291802900457046</v>
      </c>
      <c r="BT77" s="2">
        <f t="shared" si="45"/>
        <v>0.2935425635697963</v>
      </c>
      <c r="BU77" s="2">
        <v>-8.0345953330623249E-2</v>
      </c>
      <c r="BV77" s="2">
        <f t="shared" si="46"/>
        <v>2.4181211462288882E-2</v>
      </c>
      <c r="BW77" s="2">
        <f t="shared" si="47"/>
        <v>-1.1482885288505877E-2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-0.25821741225276806</v>
      </c>
      <c r="CC77" s="2">
        <f t="shared" si="56"/>
        <v>0.38091810924776243</v>
      </c>
      <c r="CD77" s="2">
        <v>0.18722211049011403</v>
      </c>
      <c r="CE77" s="2">
        <f t="shared" si="49"/>
        <v>0.2935425635697963</v>
      </c>
      <c r="CF77" s="2">
        <v>-3.1614620267096605E-2</v>
      </c>
      <c r="CG77" s="2">
        <f t="shared" si="50"/>
        <v>8.1634454347236009E-3</v>
      </c>
      <c r="CH77" s="2">
        <f t="shared" si="51"/>
        <v>-5.9189559287493587E-3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567.12751910090446</v>
      </c>
      <c r="AH78" s="2">
        <v>3.1975652746041305E-5</v>
      </c>
      <c r="AI78" s="2">
        <f t="shared" si="44"/>
        <v>567.1275245025754</v>
      </c>
      <c r="AJ78" s="2">
        <v>-1.6425712146883598E-5</v>
      </c>
      <c r="AK78" s="2">
        <f t="shared" si="39"/>
        <v>567.12752180173993</v>
      </c>
      <c r="AL78" s="2">
        <v>7.7749705269525293E-6</v>
      </c>
      <c r="AM78" s="2">
        <f t="shared" si="40"/>
        <v>2.4860975768053986E-10</v>
      </c>
      <c r="AN78" s="2">
        <f t="shared" si="41"/>
        <v>-1.2770942782622613E-10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-8.0345953330623249E-2</v>
      </c>
      <c r="BR78" s="2">
        <f t="shared" si="54"/>
        <v>0.38091810924776243</v>
      </c>
      <c r="BS78" s="2">
        <v>0.14291802900457046</v>
      </c>
      <c r="BT78" s="2">
        <f t="shared" si="45"/>
        <v>0.33723033640877936</v>
      </c>
      <c r="BU78" s="2">
        <v>3.2633812827361657E-2</v>
      </c>
      <c r="BV78" s="2">
        <f t="shared" si="46"/>
        <v>-2.6219948024274941E-3</v>
      </c>
      <c r="BW78" s="2">
        <f t="shared" si="47"/>
        <v>4.6639602081905967E-3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-3.1614620267096605E-2</v>
      </c>
      <c r="CC78" s="2">
        <f t="shared" si="56"/>
        <v>0.38091810924776243</v>
      </c>
      <c r="CD78" s="2">
        <v>0.18722211049011403</v>
      </c>
      <c r="CE78" s="2">
        <f t="shared" si="49"/>
        <v>0.33723033640877936</v>
      </c>
      <c r="CF78" s="2">
        <v>7.9715414415771124E-2</v>
      </c>
      <c r="CG78" s="2">
        <f t="shared" si="50"/>
        <v>-2.5201725561888426E-3</v>
      </c>
      <c r="CH78" s="2">
        <f t="shared" si="51"/>
        <v>1.492448812551473E-2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567.12752180173993</v>
      </c>
      <c r="AH79" s="2">
        <v>7.7749705269525293E-6</v>
      </c>
      <c r="AI79" s="2">
        <f t="shared" si="44"/>
        <v>567.1275245025754</v>
      </c>
      <c r="AJ79" s="2">
        <v>-1.6425712146883598E-5</v>
      </c>
      <c r="AK79" s="5">
        <f t="shared" si="39"/>
        <v>567.12752315215766</v>
      </c>
      <c r="AL79" s="2">
        <v>-4.325371264712885E-6</v>
      </c>
      <c r="AM79" s="2">
        <f t="shared" si="40"/>
        <v>-3.3629634101270068E-11</v>
      </c>
      <c r="AN79" s="2">
        <f t="shared" si="41"/>
        <v>7.1047303322575704E-11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-8.0345953330623249E-2</v>
      </c>
      <c r="BR79" s="2">
        <f t="shared" si="54"/>
        <v>0.33723033640877936</v>
      </c>
      <c r="BS79" s="2">
        <v>3.2633812827361657E-2</v>
      </c>
      <c r="BT79" s="2">
        <f t="shared" si="45"/>
        <v>0.31538644998928783</v>
      </c>
      <c r="BU79" s="2">
        <v>-2.3666880291437674E-2</v>
      </c>
      <c r="BV79" s="2">
        <f t="shared" si="46"/>
        <v>1.9015380593772986E-3</v>
      </c>
      <c r="BW79" s="2">
        <f t="shared" si="47"/>
        <v>-7.7234054163835152E-4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-3.1614620267096605E-2</v>
      </c>
      <c r="CC79" s="2">
        <f t="shared" si="56"/>
        <v>0.33723033640877936</v>
      </c>
      <c r="CD79" s="2">
        <v>7.9715414415771124E-2</v>
      </c>
      <c r="CE79" s="2">
        <f t="shared" si="49"/>
        <v>0.31538644998928783</v>
      </c>
      <c r="CF79" s="2">
        <v>2.4436701694178484E-2</v>
      </c>
      <c r="CG79" s="2">
        <f t="shared" si="50"/>
        <v>-7.7255704464176901E-4</v>
      </c>
      <c r="CH79" s="2">
        <f t="shared" si="51"/>
        <v>1.9479818025060142E-3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-2.3666880291437674E-2</v>
      </c>
      <c r="BR80" s="2">
        <f t="shared" si="54"/>
        <v>0.33723033640877936</v>
      </c>
      <c r="BS80" s="2">
        <v>3.2633812827361657E-2</v>
      </c>
      <c r="BT80" s="2">
        <f t="shared" si="45"/>
        <v>0.3263083931990336</v>
      </c>
      <c r="BU80" s="2">
        <v>4.5519545402110326E-3</v>
      </c>
      <c r="BV80" s="2">
        <f t="shared" si="46"/>
        <v>-1.0773056319524073E-4</v>
      </c>
      <c r="BW80" s="2">
        <f t="shared" si="47"/>
        <v>1.4854763246390591E-4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-3.1614620267096605E-2</v>
      </c>
      <c r="CC80" s="2">
        <f t="shared" si="56"/>
        <v>0.31538644998928783</v>
      </c>
      <c r="CD80" s="2">
        <v>2.4436701694178484E-2</v>
      </c>
      <c r="CE80" s="2">
        <f t="shared" si="49"/>
        <v>0.30446450677954207</v>
      </c>
      <c r="CF80" s="2">
        <v>-3.5059602428060485E-3</v>
      </c>
      <c r="CG80" s="2">
        <f t="shared" si="50"/>
        <v>1.1083960174785104E-4</v>
      </c>
      <c r="CH80" s="2">
        <f t="shared" si="51"/>
        <v>-8.5674104605100969E-5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-2.3666880291437674E-2</v>
      </c>
      <c r="BR81" s="2">
        <f t="shared" si="54"/>
        <v>0.3263083931990336</v>
      </c>
      <c r="BS81" s="2">
        <v>4.5519545402110326E-3</v>
      </c>
      <c r="BT81" s="2">
        <f t="shared" si="45"/>
        <v>0.32084742159416069</v>
      </c>
      <c r="BU81" s="2">
        <v>-9.5428001875148341E-3</v>
      </c>
      <c r="BV81" s="2">
        <f t="shared" si="46"/>
        <v>2.2584830968302256E-4</v>
      </c>
      <c r="BW81" s="2">
        <f t="shared" si="47"/>
        <v>-4.3438392639884845E-5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-3.5059602428060485E-3</v>
      </c>
      <c r="CC81" s="2">
        <f t="shared" si="56"/>
        <v>0.31538644998928783</v>
      </c>
      <c r="CD81" s="2">
        <v>2.4436701694178484E-2</v>
      </c>
      <c r="CE81" s="2">
        <f t="shared" si="49"/>
        <v>0.30992547838441498</v>
      </c>
      <c r="CF81" s="2">
        <v>1.0487914944183392E-2</v>
      </c>
      <c r="CG81" s="2">
        <f t="shared" si="50"/>
        <v>-3.6770212824238391E-5</v>
      </c>
      <c r="CH81" s="2">
        <f t="shared" si="51"/>
        <v>2.5629004888492611E-4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-9.5428001875148341E-3</v>
      </c>
      <c r="BR82" s="2">
        <f t="shared" si="54"/>
        <v>0.3263083931990336</v>
      </c>
      <c r="BS82" s="2">
        <v>4.5519545402110326E-3</v>
      </c>
      <c r="BT82" s="2">
        <f t="shared" si="45"/>
        <v>0.32357790739659714</v>
      </c>
      <c r="BU82" s="2">
        <v>-2.4914386266657526E-3</v>
      </c>
      <c r="BV82" s="2">
        <f t="shared" si="46"/>
        <v>2.3775300993727645E-5</v>
      </c>
      <c r="BW82" s="2">
        <f t="shared" si="47"/>
        <v>-1.1340915368308312E-5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-3.5059602428060485E-3</v>
      </c>
      <c r="CC82" s="2">
        <f t="shared" si="56"/>
        <v>0.30992547838441498</v>
      </c>
      <c r="CD82" s="2">
        <v>1.0487914944183392E-2</v>
      </c>
      <c r="CE82" s="2">
        <f t="shared" si="49"/>
        <v>0.30719499258197852</v>
      </c>
      <c r="CF82" s="2">
        <v>3.4963952509147328E-3</v>
      </c>
      <c r="CG82" s="2">
        <f t="shared" si="50"/>
        <v>-1.2258222742842932E-5</v>
      </c>
      <c r="CH82" s="2">
        <f t="shared" si="51"/>
        <v>3.6669896002840469E-5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-2.4914386266657526E-3</v>
      </c>
      <c r="BR83" s="2">
        <f t="shared" si="54"/>
        <v>0.3263083931990336</v>
      </c>
      <c r="BS83" s="2">
        <v>4.5519545402110326E-3</v>
      </c>
      <c r="BT83" s="2">
        <f t="shared" si="45"/>
        <v>0.3249431502978154</v>
      </c>
      <c r="BU83" s="2">
        <v>1.0312928270391139E-3</v>
      </c>
      <c r="BV83" s="2">
        <f t="shared" si="46"/>
        <v>-2.5694027846885716E-6</v>
      </c>
      <c r="BW83" s="2">
        <f t="shared" si="47"/>
        <v>4.694398066327766E-6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-3.5059602428060485E-3</v>
      </c>
      <c r="CC83" s="2">
        <f t="shared" si="56"/>
        <v>0.30719499258197852</v>
      </c>
      <c r="CD83" s="2">
        <v>3.4963952509147328E-3</v>
      </c>
      <c r="CE83" s="2">
        <f t="shared" si="49"/>
        <v>0.30582974968076027</v>
      </c>
      <c r="CF83" s="2">
        <v>-3.4558256835279244E-6</v>
      </c>
      <c r="CG83" s="2">
        <f t="shared" si="50"/>
        <v>1.2115987452516941E-8</v>
      </c>
      <c r="CH83" s="2">
        <f t="shared" si="51"/>
        <v>-1.2082932507876195E-8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-2.4914386266657526E-3</v>
      </c>
      <c r="BR84" s="2">
        <f t="shared" si="54"/>
        <v>0.3249431502978154</v>
      </c>
      <c r="BS84" s="2">
        <v>1.0312928270391139E-3</v>
      </c>
      <c r="BT84" s="2">
        <f t="shared" si="45"/>
        <v>0.32426052884720624</v>
      </c>
      <c r="BU84" s="2">
        <v>-7.2981899125657695E-4</v>
      </c>
      <c r="BV84" s="2">
        <f t="shared" si="46"/>
        <v>1.818299225290871E-6</v>
      </c>
      <c r="BW84" s="2">
        <f t="shared" si="47"/>
        <v>-7.5265709071982956E-7</v>
      </c>
      <c r="BX84" s="2">
        <f t="shared" si="48"/>
        <v>1.3652429012182554E-3</v>
      </c>
      <c r="BZ84" s="2">
        <v>12</v>
      </c>
      <c r="CA84" s="2">
        <f t="shared" si="55"/>
        <v>0.30582974968076027</v>
      </c>
      <c r="CB84" s="2">
        <v>-3.4558256835279244E-6</v>
      </c>
      <c r="CC84" s="2">
        <f t="shared" si="56"/>
        <v>0.30719499258197852</v>
      </c>
      <c r="CD84" s="2">
        <v>3.4963952509147328E-3</v>
      </c>
      <c r="CE84" s="2">
        <f t="shared" si="49"/>
        <v>0.30651237113136942</v>
      </c>
      <c r="CF84" s="2">
        <v>1.746804879772669E-3</v>
      </c>
      <c r="CG84" s="2">
        <f t="shared" si="50"/>
        <v>-6.0366531676302976E-9</v>
      </c>
      <c r="CH84" s="2">
        <f t="shared" si="51"/>
        <v>6.1075202859118405E-6</v>
      </c>
      <c r="CI84" s="2">
        <f t="shared" si="52"/>
        <v>1.3652429012182554E-3</v>
      </c>
    </row>
    <row r="85" spans="67:87" x14ac:dyDescent="0.2">
      <c r="BO85" s="2">
        <v>13</v>
      </c>
      <c r="BP85" s="2">
        <f t="shared" si="53"/>
        <v>0.32426052884720624</v>
      </c>
      <c r="BQ85" s="2">
        <v>-7.2981899125657695E-4</v>
      </c>
      <c r="BR85" s="2">
        <f t="shared" si="54"/>
        <v>0.3249431502978154</v>
      </c>
      <c r="BS85" s="2">
        <v>1.0312928270391139E-3</v>
      </c>
      <c r="BT85" s="2">
        <f t="shared" si="45"/>
        <v>0.32460183957251082</v>
      </c>
      <c r="BU85" s="2">
        <v>1.5080099886276288E-4</v>
      </c>
      <c r="BV85" s="2">
        <f t="shared" si="46"/>
        <v>-1.1005743287050581E-7</v>
      </c>
      <c r="BW85" s="2">
        <f t="shared" si="47"/>
        <v>1.5551998843750092E-7</v>
      </c>
      <c r="BX85" s="2">
        <f t="shared" si="48"/>
        <v>6.8262145060915547E-4</v>
      </c>
      <c r="BZ85" s="2">
        <v>13</v>
      </c>
      <c r="CA85" s="2">
        <f t="shared" si="55"/>
        <v>0.30582974968076027</v>
      </c>
      <c r="CB85" s="2">
        <v>-3.4558256835279244E-6</v>
      </c>
      <c r="CC85" s="2">
        <f t="shared" si="56"/>
        <v>0.30651237113136942</v>
      </c>
      <c r="CD85" s="2">
        <v>1.746804879772669E-3</v>
      </c>
      <c r="CE85" s="2">
        <f t="shared" si="49"/>
        <v>0.30617106040606484</v>
      </c>
      <c r="CF85" s="2">
        <v>8.7175788288676448E-4</v>
      </c>
      <c r="CG85" s="2">
        <f t="shared" si="50"/>
        <v>-3.012643281498009E-9</v>
      </c>
      <c r="CH85" s="2">
        <f t="shared" si="51"/>
        <v>1.5227909238068911E-6</v>
      </c>
      <c r="CI85" s="2">
        <f t="shared" si="52"/>
        <v>6.8262145060915547E-4</v>
      </c>
    </row>
    <row r="86" spans="67:87" x14ac:dyDescent="0.2">
      <c r="BO86" s="2">
        <v>14</v>
      </c>
      <c r="BP86" s="2">
        <f t="shared" si="53"/>
        <v>0.32426052884720624</v>
      </c>
      <c r="BQ86" s="2">
        <v>-7.2981899125657695E-4</v>
      </c>
      <c r="BR86" s="2">
        <f t="shared" si="54"/>
        <v>0.32460183957251082</v>
      </c>
      <c r="BS86" s="2">
        <v>1.5080099886276288E-4</v>
      </c>
      <c r="BT86" s="2">
        <f t="shared" si="45"/>
        <v>0.3244311842098585</v>
      </c>
      <c r="BU86" s="2">
        <v>-2.8949305126325237E-4</v>
      </c>
      <c r="BV86" s="2">
        <f t="shared" si="46"/>
        <v>2.1127752664873536E-7</v>
      </c>
      <c r="BW86" s="2">
        <f t="shared" si="47"/>
        <v>-4.3655841294327475E-8</v>
      </c>
      <c r="BX86" s="2">
        <f t="shared" si="48"/>
        <v>3.4131072530457773E-4</v>
      </c>
      <c r="BZ86" s="2">
        <v>14</v>
      </c>
      <c r="CA86" s="2">
        <f t="shared" si="55"/>
        <v>0.30582974968076027</v>
      </c>
      <c r="CB86" s="2">
        <v>-3.4558256835279244E-6</v>
      </c>
      <c r="CC86" s="2">
        <f t="shared" si="56"/>
        <v>0.30617106040606484</v>
      </c>
      <c r="CD86" s="2">
        <v>8.7175788288676448E-4</v>
      </c>
      <c r="CE86" s="2">
        <f t="shared" si="49"/>
        <v>0.30600040504341253</v>
      </c>
      <c r="CF86" s="2">
        <v>4.3417181293736729E-4</v>
      </c>
      <c r="CG86" s="2">
        <f t="shared" si="50"/>
        <v>-1.5004221022128354E-9</v>
      </c>
      <c r="CH86" s="2">
        <f t="shared" si="51"/>
        <v>3.7849270045538762E-7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0.3244311842098585</v>
      </c>
      <c r="BQ87" s="2">
        <v>-2.8949305126325237E-4</v>
      </c>
      <c r="BR87" s="2">
        <f t="shared" si="54"/>
        <v>0.32460183957251082</v>
      </c>
      <c r="BS87" s="2">
        <v>1.5080099886276288E-4</v>
      </c>
      <c r="BT87" s="2">
        <f t="shared" si="45"/>
        <v>0.32451651189118469</v>
      </c>
      <c r="BU87" s="2">
        <v>-6.9342030542422772E-5</v>
      </c>
      <c r="BV87" s="2">
        <f t="shared" si="46"/>
        <v>2.0074036002515608E-8</v>
      </c>
      <c r="BW87" s="2">
        <f t="shared" si="47"/>
        <v>-1.0456847468969565E-8</v>
      </c>
      <c r="BX87" s="2">
        <f t="shared" si="48"/>
        <v>1.7065536265231662E-4</v>
      </c>
      <c r="BZ87" s="2">
        <v>15</v>
      </c>
      <c r="CA87" s="2">
        <f t="shared" si="55"/>
        <v>0.30582974968076027</v>
      </c>
      <c r="CB87" s="2">
        <v>-3.4558256835279244E-6</v>
      </c>
      <c r="CC87" s="2">
        <f t="shared" si="56"/>
        <v>0.30600040504341253</v>
      </c>
      <c r="CD87" s="2">
        <v>4.3417181293736729E-4</v>
      </c>
      <c r="CE87" s="2">
        <f t="shared" si="49"/>
        <v>0.3059150773620864</v>
      </c>
      <c r="CF87" s="2">
        <v>2.1536318287453116E-4</v>
      </c>
      <c r="CG87" s="2">
        <f t="shared" si="50"/>
        <v>-7.4425761866412597E-10</v>
      </c>
      <c r="CH87" s="2">
        <f t="shared" si="51"/>
        <v>9.3504623548596967E-8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0.32451651189118469</v>
      </c>
      <c r="BQ88" s="2">
        <v>-6.9342030542422772E-5</v>
      </c>
      <c r="BR88" s="2">
        <f t="shared" si="54"/>
        <v>0.32460183957251082</v>
      </c>
      <c r="BS88" s="2">
        <v>1.5080099886276288E-4</v>
      </c>
      <c r="BT88" s="2">
        <f t="shared" si="45"/>
        <v>0.32455917573184778</v>
      </c>
      <c r="BU88" s="2">
        <v>4.0730484251731702E-5</v>
      </c>
      <c r="BV88" s="2">
        <f t="shared" si="46"/>
        <v>-2.8243344829912493E-9</v>
      </c>
      <c r="BW88" s="2">
        <f t="shared" si="47"/>
        <v>6.1421977093251741E-9</v>
      </c>
      <c r="BX88" s="2">
        <f t="shared" si="48"/>
        <v>8.5327681326130556E-5</v>
      </c>
      <c r="BZ88" s="2">
        <v>16</v>
      </c>
      <c r="CA88" s="2">
        <f t="shared" si="55"/>
        <v>0.30582974968076027</v>
      </c>
      <c r="CB88" s="2">
        <v>-3.4558256835279244E-6</v>
      </c>
      <c r="CC88" s="2">
        <f t="shared" si="56"/>
        <v>0.3059150773620864</v>
      </c>
      <c r="CD88" s="2">
        <v>2.1536318287453116E-4</v>
      </c>
      <c r="CE88" s="2">
        <f t="shared" si="49"/>
        <v>0.30587241352142336</v>
      </c>
      <c r="CF88" s="2">
        <v>1.059549750524677E-4</v>
      </c>
      <c r="CG88" s="2">
        <f t="shared" si="50"/>
        <v>-3.6616192408387839E-10</v>
      </c>
      <c r="CH88" s="2">
        <f t="shared" si="51"/>
        <v>2.2818800668690987E-8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0.32451651189118469</v>
      </c>
      <c r="BQ89" s="2">
        <v>-6.9342030542422772E-5</v>
      </c>
      <c r="BR89" s="2">
        <f t="shared" si="54"/>
        <v>0.32455917573184778</v>
      </c>
      <c r="BS89" s="2">
        <v>4.0730484251731702E-5</v>
      </c>
      <c r="BT89" s="2">
        <f t="shared" si="45"/>
        <v>0.32453784381151624</v>
      </c>
      <c r="BU89" s="2">
        <v>-1.4305523269565745E-5</v>
      </c>
      <c r="BV89" s="2">
        <f t="shared" si="46"/>
        <v>9.9197403148356766E-10</v>
      </c>
      <c r="BW89" s="2">
        <f t="shared" si="47"/>
        <v>-5.8267089024382901E-10</v>
      </c>
      <c r="BX89" s="2">
        <f t="shared" si="48"/>
        <v>4.2663840663093033E-5</v>
      </c>
      <c r="BZ89" s="2">
        <v>17</v>
      </c>
      <c r="CA89" s="2">
        <f t="shared" si="55"/>
        <v>0.30582974968076027</v>
      </c>
      <c r="CB89" s="2">
        <v>-3.4558256835279244E-6</v>
      </c>
      <c r="CC89" s="2">
        <f t="shared" si="56"/>
        <v>0.30587241352142336</v>
      </c>
      <c r="CD89" s="2">
        <v>1.059549750524677E-4</v>
      </c>
      <c r="CE89" s="2">
        <f t="shared" si="49"/>
        <v>0.30585108160109181</v>
      </c>
      <c r="CF89" s="2">
        <v>5.1249898691728413E-5</v>
      </c>
      <c r="CG89" s="2">
        <f t="shared" si="50"/>
        <v>-1.7711071617707923E-10</v>
      </c>
      <c r="CH89" s="2">
        <f t="shared" si="51"/>
        <v>5.4301817373235809E-9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0.32453784381151624</v>
      </c>
      <c r="BQ90" s="2">
        <v>-1.4305523269565745E-5</v>
      </c>
      <c r="BR90" s="2">
        <f t="shared" si="54"/>
        <v>0.32455917573184778</v>
      </c>
      <c r="BS90" s="2">
        <v>4.0730484251731702E-5</v>
      </c>
      <c r="BT90" s="2">
        <f t="shared" si="45"/>
        <v>0.32454850977168204</v>
      </c>
      <c r="BU90" s="2">
        <v>1.321254297848018E-5</v>
      </c>
      <c r="BV90" s="2">
        <f t="shared" si="46"/>
        <v>-1.8901234102878571E-10</v>
      </c>
      <c r="BW90" s="2">
        <f t="shared" si="47"/>
        <v>5.3815327371031526E-10</v>
      </c>
      <c r="BX90" s="2">
        <f t="shared" si="48"/>
        <v>2.1331920331546517E-5</v>
      </c>
      <c r="BZ90" s="2">
        <v>18</v>
      </c>
      <c r="CA90" s="2">
        <f t="shared" si="55"/>
        <v>0.30582974968076027</v>
      </c>
      <c r="CB90" s="2">
        <v>-3.4558256835279244E-6</v>
      </c>
      <c r="CC90" s="2">
        <f t="shared" si="56"/>
        <v>0.30585108160109181</v>
      </c>
      <c r="CD90" s="2">
        <v>5.1249898691728413E-5</v>
      </c>
      <c r="CE90" s="2">
        <f t="shared" si="49"/>
        <v>0.30584041564092601</v>
      </c>
      <c r="CF90" s="2">
        <v>2.3897117492482911E-5</v>
      </c>
      <c r="CG90" s="2">
        <f t="shared" si="50"/>
        <v>-8.2584272392806875E-11</v>
      </c>
      <c r="CH90" s="2">
        <f t="shared" si="51"/>
        <v>1.2247248505140801E-9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0.32453784381151624</v>
      </c>
      <c r="BQ91" s="2">
        <v>-1.4305523269565745E-5</v>
      </c>
      <c r="BR91" s="2">
        <f t="shared" si="54"/>
        <v>0.32454850977168204</v>
      </c>
      <c r="BS91" s="2">
        <v>1.321254297848018E-5</v>
      </c>
      <c r="BT91" s="2">
        <f t="shared" si="45"/>
        <v>0.32454317679159916</v>
      </c>
      <c r="BU91" s="2">
        <v>-5.4647452586709111E-7</v>
      </c>
      <c r="BV91" s="2">
        <f t="shared" si="46"/>
        <v>7.8176040460165793E-12</v>
      </c>
      <c r="BW91" s="2">
        <f t="shared" si="47"/>
        <v>-7.2203181596635196E-12</v>
      </c>
      <c r="BX91" s="2">
        <f t="shared" si="48"/>
        <v>1.0665960165801014E-5</v>
      </c>
      <c r="BZ91" s="2">
        <v>19</v>
      </c>
      <c r="CA91" s="2">
        <f t="shared" si="55"/>
        <v>0.30582974968076027</v>
      </c>
      <c r="CB91" s="2">
        <v>-3.4558256835279244E-6</v>
      </c>
      <c r="CC91" s="2">
        <f t="shared" si="56"/>
        <v>0.30584041564092601</v>
      </c>
      <c r="CD91" s="2">
        <v>2.3897117492482911E-5</v>
      </c>
      <c r="CE91" s="2">
        <f t="shared" si="49"/>
        <v>0.30583508266084314</v>
      </c>
      <c r="CF91" s="2">
        <v>1.0220666150015378E-5</v>
      </c>
      <c r="CG91" s="2">
        <f t="shared" si="50"/>
        <v>-3.5320840583987613E-11</v>
      </c>
      <c r="CH91" s="2">
        <f t="shared" si="51"/>
        <v>2.4424445983836047E-10</v>
      </c>
      <c r="CI91" s="2">
        <f t="shared" si="52"/>
        <v>1.0665960165745503E-5</v>
      </c>
    </row>
    <row r="92" spans="67:87" x14ac:dyDescent="0.2">
      <c r="BO92" s="2">
        <v>20</v>
      </c>
      <c r="BP92" s="2">
        <f t="shared" si="53"/>
        <v>0.32454317679159916</v>
      </c>
      <c r="BQ92" s="2">
        <v>-5.4647452586709111E-7</v>
      </c>
      <c r="BR92" s="2">
        <f t="shared" si="54"/>
        <v>0.32454850977168204</v>
      </c>
      <c r="BS92" s="2">
        <v>1.321254297848018E-5</v>
      </c>
      <c r="BT92" s="2">
        <f t="shared" si="45"/>
        <v>0.3245458432816406</v>
      </c>
      <c r="BU92" s="2">
        <v>6.3330381313564388E-6</v>
      </c>
      <c r="BV92" s="2">
        <f t="shared" si="46"/>
        <v>-3.4608440101312184E-12</v>
      </c>
      <c r="BW92" s="2">
        <f t="shared" si="47"/>
        <v>8.367553849490075E-11</v>
      </c>
      <c r="BX92" s="2">
        <f t="shared" si="48"/>
        <v>5.3329800828727514E-6</v>
      </c>
      <c r="BZ92" s="2">
        <v>20</v>
      </c>
      <c r="CA92" s="2">
        <f t="shared" si="55"/>
        <v>0.30582974968076027</v>
      </c>
      <c r="CB92" s="2">
        <v>-3.4558256835279244E-6</v>
      </c>
      <c r="CC92" s="2">
        <f t="shared" si="56"/>
        <v>0.30583508266084314</v>
      </c>
      <c r="CD92" s="2">
        <v>1.0220666150015378E-5</v>
      </c>
      <c r="CE92" s="2">
        <f t="shared" si="49"/>
        <v>0.3058324161708017</v>
      </c>
      <c r="CF92" s="2">
        <v>3.3824252942404875E-6</v>
      </c>
      <c r="CG92" s="2">
        <f t="shared" si="50"/>
        <v>-1.1689072204450774E-11</v>
      </c>
      <c r="CH92" s="2">
        <f t="shared" si="51"/>
        <v>3.4570639709799558E-11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0.32454317679159916</v>
      </c>
      <c r="BQ93" s="2">
        <v>-5.4647452586709111E-7</v>
      </c>
      <c r="BR93" s="2">
        <f t="shared" si="54"/>
        <v>0.3245458432816406</v>
      </c>
      <c r="BS93" s="2">
        <v>6.3330381313564388E-6</v>
      </c>
      <c r="BT93" s="2">
        <f t="shared" si="45"/>
        <v>0.32454451003661988</v>
      </c>
      <c r="BU93" s="2">
        <v>2.8932827790401072E-6</v>
      </c>
      <c r="BV93" s="2">
        <f t="shared" si="46"/>
        <v>-1.5811053348753622E-12</v>
      </c>
      <c r="BW93" s="2">
        <f t="shared" si="47"/>
        <v>1.8323270164457925E-11</v>
      </c>
      <c r="BX93" s="2">
        <f t="shared" si="48"/>
        <v>2.6664900414363757E-6</v>
      </c>
      <c r="BZ93" s="2">
        <v>21</v>
      </c>
      <c r="CA93" s="2">
        <f t="shared" si="55"/>
        <v>0.30582974968076027</v>
      </c>
      <c r="CB93" s="2">
        <v>-3.4558256835279244E-6</v>
      </c>
      <c r="CC93" s="2">
        <f t="shared" si="56"/>
        <v>0.3058324161708017</v>
      </c>
      <c r="CD93" s="2">
        <v>3.3824252942404875E-6</v>
      </c>
      <c r="CE93" s="2">
        <f t="shared" si="49"/>
        <v>0.30583108292578098</v>
      </c>
      <c r="CF93" s="2">
        <v>-3.6698929346823395E-8</v>
      </c>
      <c r="CG93" s="2">
        <f t="shared" si="50"/>
        <v>1.2682510259472896E-13</v>
      </c>
      <c r="CH93" s="2">
        <f t="shared" si="51"/>
        <v>-1.2413138689423999E-13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0.32454317679159916</v>
      </c>
      <c r="BQ94" s="2">
        <v>-5.4647452586709111E-7</v>
      </c>
      <c r="BR94" s="2">
        <f t="shared" si="54"/>
        <v>0.32454451003661988</v>
      </c>
      <c r="BS94" s="2">
        <v>2.8932827790401072E-6</v>
      </c>
      <c r="BT94" s="2">
        <f t="shared" si="45"/>
        <v>0.32454384341410952</v>
      </c>
      <c r="BU94" s="2">
        <v>1.1734043705025066E-6</v>
      </c>
      <c r="BV94" s="2">
        <f t="shared" si="46"/>
        <v>-6.4123559702072978E-13</v>
      </c>
      <c r="BW94" s="2">
        <f t="shared" si="47"/>
        <v>3.3949906580252997E-12</v>
      </c>
      <c r="BX94" s="2">
        <f t="shared" si="48"/>
        <v>1.3332450207181878E-6</v>
      </c>
      <c r="BZ94" s="2">
        <v>22</v>
      </c>
      <c r="CA94" s="2">
        <f t="shared" si="55"/>
        <v>0.30583108292578098</v>
      </c>
      <c r="CB94" s="2">
        <v>-3.6698929346823395E-8</v>
      </c>
      <c r="CC94" s="2">
        <f t="shared" si="56"/>
        <v>0.3058324161708017</v>
      </c>
      <c r="CD94" s="2">
        <v>3.3824252942404875E-6</v>
      </c>
      <c r="CE94" s="2">
        <f t="shared" si="49"/>
        <v>0.30583174954829134</v>
      </c>
      <c r="CF94" s="2">
        <v>1.6728634987181468E-6</v>
      </c>
      <c r="CG94" s="2">
        <f t="shared" si="50"/>
        <v>-6.1392299346337062E-14</v>
      </c>
      <c r="CH94" s="2">
        <f t="shared" si="51"/>
        <v>5.6583358118758994E-12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0.32454317679159916</v>
      </c>
      <c r="BQ95" s="2">
        <v>-5.4647452586709111E-7</v>
      </c>
      <c r="BR95" s="2">
        <f t="shared" si="54"/>
        <v>0.32454384341410952</v>
      </c>
      <c r="BS95" s="2">
        <v>1.1734043705025066E-6</v>
      </c>
      <c r="BT95" s="2">
        <f t="shared" si="45"/>
        <v>0.32454351010285432</v>
      </c>
      <c r="BU95" s="2">
        <v>3.1346498315792948E-7</v>
      </c>
      <c r="BV95" s="2">
        <f t="shared" si="46"/>
        <v>-1.7130062804716522E-13</v>
      </c>
      <c r="BW95" s="2">
        <f t="shared" si="47"/>
        <v>3.6782118123700908E-13</v>
      </c>
      <c r="BX95" s="2">
        <f t="shared" si="48"/>
        <v>6.6662251035909392E-7</v>
      </c>
      <c r="BZ95" s="2">
        <v>23</v>
      </c>
      <c r="CA95" s="2">
        <f t="shared" si="55"/>
        <v>0.30583108292578098</v>
      </c>
      <c r="CB95" s="2">
        <v>-3.6698929346823395E-8</v>
      </c>
      <c r="CC95" s="2">
        <f t="shared" si="56"/>
        <v>0.30583174954829134</v>
      </c>
      <c r="CD95" s="2">
        <v>1.6728634987181468E-6</v>
      </c>
      <c r="CE95" s="2">
        <f t="shared" si="49"/>
        <v>0.30583141623703614</v>
      </c>
      <c r="CF95" s="2">
        <v>8.1808236380986887E-7</v>
      </c>
      <c r="CG95" s="2">
        <f t="shared" si="50"/>
        <v>-3.0022746869340651E-14</v>
      </c>
      <c r="CH95" s="2">
        <f t="shared" si="51"/>
        <v>1.3685401253625891E-12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0.32454317679159916</v>
      </c>
      <c r="BQ96" s="2">
        <v>-5.4647452586709111E-7</v>
      </c>
      <c r="BR96" s="2">
        <f t="shared" si="54"/>
        <v>0.32454351010285432</v>
      </c>
      <c r="BS96" s="2">
        <v>3.1346498315792948E-7</v>
      </c>
      <c r="BT96" s="2">
        <f t="shared" si="45"/>
        <v>0.32454334344722674</v>
      </c>
      <c r="BU96" s="2">
        <v>-1.1650475618962819E-7</v>
      </c>
      <c r="BV96" s="2">
        <f t="shared" si="46"/>
        <v>6.3666881399988118E-14</v>
      </c>
      <c r="BW96" s="2">
        <f t="shared" si="47"/>
        <v>-3.6520161436800482E-14</v>
      </c>
      <c r="BX96" s="2">
        <f t="shared" si="48"/>
        <v>3.3331125515179139E-7</v>
      </c>
      <c r="BZ96" s="2">
        <v>24</v>
      </c>
      <c r="CA96" s="2">
        <f t="shared" si="55"/>
        <v>0.30583108292578098</v>
      </c>
      <c r="CB96" s="2">
        <v>-3.6698929346823395E-8</v>
      </c>
      <c r="CC96" s="2">
        <f t="shared" si="56"/>
        <v>0.30583141623703614</v>
      </c>
      <c r="CD96" s="2">
        <v>8.1808236380986887E-7</v>
      </c>
      <c r="CE96" s="2">
        <f t="shared" si="49"/>
        <v>0.30583124958140856</v>
      </c>
      <c r="CF96" s="2">
        <v>3.9069173703859539E-7</v>
      </c>
      <c r="CG96" s="2">
        <f t="shared" si="50"/>
        <v>-1.4337968453967118E-14</v>
      </c>
      <c r="CH96" s="2">
        <f t="shared" si="51"/>
        <v>3.1961801975751782E-13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0.32454334344722674</v>
      </c>
      <c r="BQ97" s="2">
        <v>-1.1650475618962819E-7</v>
      </c>
      <c r="BR97" s="2">
        <f t="shared" si="54"/>
        <v>0.32454351010285432</v>
      </c>
      <c r="BS97" s="2">
        <v>3.1346498315792948E-7</v>
      </c>
      <c r="BT97" s="2">
        <f t="shared" si="45"/>
        <v>0.32454342677504056</v>
      </c>
      <c r="BU97" s="2">
        <v>9.8480117408095147E-8</v>
      </c>
      <c r="BV97" s="2">
        <f t="shared" si="46"/>
        <v>-1.1473402068156084E-14</v>
      </c>
      <c r="BW97" s="2">
        <f t="shared" si="47"/>
        <v>3.087006834471946E-14</v>
      </c>
      <c r="BX97" s="2">
        <f t="shared" si="48"/>
        <v>1.6665562757589569E-7</v>
      </c>
      <c r="BZ97" s="2">
        <v>25</v>
      </c>
      <c r="CA97" s="2">
        <f t="shared" si="55"/>
        <v>0.30583108292578098</v>
      </c>
      <c r="CB97" s="2">
        <v>-3.6698929346823395E-8</v>
      </c>
      <c r="CC97" s="2">
        <f t="shared" si="56"/>
        <v>0.30583124958140856</v>
      </c>
      <c r="CD97" s="2">
        <v>3.9069173703859539E-7</v>
      </c>
      <c r="CE97" s="2">
        <f t="shared" si="49"/>
        <v>0.30583116625359474</v>
      </c>
      <c r="CF97" s="2">
        <v>1.7699640856433385E-7</v>
      </c>
      <c r="CG97" s="2">
        <f t="shared" si="50"/>
        <v>-6.4955786925439754E-15</v>
      </c>
      <c r="CH97" s="2">
        <f t="shared" si="51"/>
        <v>6.9151034311592514E-14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0.32454334344722674</v>
      </c>
      <c r="BQ98" s="2">
        <v>-1.1650475618962819E-7</v>
      </c>
      <c r="BR98" s="2">
        <f t="shared" si="54"/>
        <v>0.32454342677504056</v>
      </c>
      <c r="BS98" s="2">
        <v>9.8480117408095147E-8</v>
      </c>
      <c r="BT98" s="2">
        <f t="shared" si="45"/>
        <v>0.32454338511113368</v>
      </c>
      <c r="BU98" s="2">
        <v>-9.0123182944212843E-9</v>
      </c>
      <c r="BV98" s="2">
        <f t="shared" si="46"/>
        <v>1.0499779455948776E-15</v>
      </c>
      <c r="BW98" s="2">
        <f t="shared" si="47"/>
        <v>-8.8753416375373189E-16</v>
      </c>
      <c r="BX98" s="2">
        <f t="shared" si="48"/>
        <v>8.3327813815703422E-8</v>
      </c>
      <c r="BZ98" s="2">
        <v>26</v>
      </c>
      <c r="CA98" s="2">
        <f t="shared" si="55"/>
        <v>0.30583108292578098</v>
      </c>
      <c r="CB98" s="2">
        <v>-3.6698929346823395E-8</v>
      </c>
      <c r="CC98" s="2">
        <f t="shared" si="56"/>
        <v>0.30583116625359474</v>
      </c>
      <c r="CD98" s="2">
        <v>1.7699640856433385E-7</v>
      </c>
      <c r="CE98" s="2">
        <f t="shared" si="49"/>
        <v>0.30583112458968786</v>
      </c>
      <c r="CF98" s="2">
        <v>7.014874096183954E-8</v>
      </c>
      <c r="CG98" s="2">
        <f t="shared" si="50"/>
        <v>-2.5743836883271656E-15</v>
      </c>
      <c r="CH98" s="2">
        <f t="shared" si="51"/>
        <v>1.2416075215555374E-14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0.32454338511113368</v>
      </c>
      <c r="BQ99" s="2">
        <v>-9.0123182944212843E-9</v>
      </c>
      <c r="BR99" s="2">
        <f t="shared" si="54"/>
        <v>0.32454342677504056</v>
      </c>
      <c r="BS99" s="2">
        <v>9.8480117408095147E-8</v>
      </c>
      <c r="BT99" s="2">
        <f t="shared" si="45"/>
        <v>0.32454340594308712</v>
      </c>
      <c r="BU99" s="2">
        <v>4.4733899889903839E-8</v>
      </c>
      <c r="BV99" s="2">
        <f t="shared" si="46"/>
        <v>-4.0315614435859064E-16</v>
      </c>
      <c r="BW99" s="2">
        <f t="shared" si="47"/>
        <v>4.4053997132797044E-15</v>
      </c>
      <c r="BX99" s="2">
        <f t="shared" si="48"/>
        <v>4.1663906880096135E-8</v>
      </c>
      <c r="BZ99" s="2">
        <v>27</v>
      </c>
      <c r="CA99" s="2">
        <f t="shared" si="55"/>
        <v>0.30583108292578098</v>
      </c>
      <c r="CB99" s="2">
        <v>-3.6698929346823395E-8</v>
      </c>
      <c r="CC99" s="2">
        <f t="shared" si="56"/>
        <v>0.30583112458968786</v>
      </c>
      <c r="CD99" s="2">
        <v>7.014874096183954E-8</v>
      </c>
      <c r="CE99" s="2">
        <f t="shared" si="49"/>
        <v>0.30583110375773442</v>
      </c>
      <c r="CF99" s="2">
        <v>1.6724906057308253E-8</v>
      </c>
      <c r="CG99" s="2">
        <f t="shared" si="50"/>
        <v>-6.1378614572941419E-16</v>
      </c>
      <c r="CH99" s="2">
        <f t="shared" si="51"/>
        <v>1.1732311026252176E-15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0.32454338511113368</v>
      </c>
      <c r="BQ100" s="2">
        <v>-9.0123182944212843E-9</v>
      </c>
      <c r="BR100" s="2">
        <f t="shared" si="54"/>
        <v>0.32454340594308712</v>
      </c>
      <c r="BS100" s="2">
        <v>4.4733899889903839E-8</v>
      </c>
      <c r="BT100" s="2">
        <f t="shared" si="45"/>
        <v>0.32454339552711042</v>
      </c>
      <c r="BU100" s="2">
        <v>1.7860790763046808E-8</v>
      </c>
      <c r="BV100" s="2">
        <f t="shared" si="46"/>
        <v>-1.6096713134663744E-16</v>
      </c>
      <c r="BW100" s="2">
        <f t="shared" si="47"/>
        <v>7.9898282594865514E-16</v>
      </c>
      <c r="BX100" s="2">
        <f t="shared" si="48"/>
        <v>2.0831953440048068E-8</v>
      </c>
      <c r="BZ100" s="2">
        <v>28</v>
      </c>
      <c r="CA100" s="2">
        <f t="shared" si="55"/>
        <v>0.30583108292578098</v>
      </c>
      <c r="CB100" s="2">
        <v>-3.6698929346823395E-8</v>
      </c>
      <c r="CC100" s="2">
        <f t="shared" si="56"/>
        <v>0.30583110375773442</v>
      </c>
      <c r="CD100" s="2">
        <v>1.6724906057308253E-8</v>
      </c>
      <c r="CE100" s="2">
        <f t="shared" si="49"/>
        <v>0.30583109334175773</v>
      </c>
      <c r="CF100" s="2">
        <v>-9.9870115094491396E-9</v>
      </c>
      <c r="CG100" s="2">
        <f t="shared" si="50"/>
        <v>3.6651262977118605E-16</v>
      </c>
      <c r="CH100" s="2">
        <f t="shared" si="51"/>
        <v>-1.6703182928879315E-16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0.32454338511113368</v>
      </c>
      <c r="BQ101" s="2">
        <v>-9.0123182944212843E-9</v>
      </c>
      <c r="BR101" s="2">
        <f t="shared" si="54"/>
        <v>0.32454339552711042</v>
      </c>
      <c r="BS101" s="2">
        <v>1.7860790763046808E-8</v>
      </c>
      <c r="BT101" s="2">
        <f t="shared" si="45"/>
        <v>0.32454339031912205</v>
      </c>
      <c r="BU101" s="2">
        <v>4.4242363730906398E-9</v>
      </c>
      <c r="BV101" s="2">
        <f t="shared" si="46"/>
        <v>-3.9872626404048841E-17</v>
      </c>
      <c r="BW101" s="2">
        <f t="shared" si="47"/>
        <v>7.9020360146033003E-17</v>
      </c>
      <c r="BX101" s="2">
        <f t="shared" si="48"/>
        <v>1.0415976747779609E-8</v>
      </c>
      <c r="BZ101" s="2">
        <v>29</v>
      </c>
      <c r="CA101" s="2">
        <f t="shared" si="55"/>
        <v>0.30583109334175773</v>
      </c>
      <c r="CB101" s="2">
        <v>-9.9870115094491396E-9</v>
      </c>
      <c r="CC101" s="2">
        <f t="shared" si="56"/>
        <v>0.30583110375773442</v>
      </c>
      <c r="CD101" s="2">
        <v>1.6724906057308253E-8</v>
      </c>
      <c r="CE101" s="2">
        <f t="shared" si="49"/>
        <v>0.30583109854974611</v>
      </c>
      <c r="CF101" s="2">
        <v>3.3689473710740714E-9</v>
      </c>
      <c r="CG101" s="2">
        <f t="shared" si="50"/>
        <v>-3.364571616964517E-17</v>
      </c>
      <c r="CH101" s="2">
        <f t="shared" si="51"/>
        <v>5.6345328293229453E-17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0.32454338511113368</v>
      </c>
      <c r="BQ102" s="2">
        <v>-9.0123182944212843E-9</v>
      </c>
      <c r="BR102" s="2">
        <f t="shared" si="54"/>
        <v>0.32454339031912205</v>
      </c>
      <c r="BS102" s="2">
        <v>4.4242363730906398E-9</v>
      </c>
      <c r="BT102" s="5">
        <f t="shared" si="45"/>
        <v>0.32454338771512786</v>
      </c>
      <c r="BU102" s="2">
        <v>-2.2940410057681326E-9</v>
      </c>
      <c r="BV102" s="2">
        <f t="shared" si="46"/>
        <v>2.0674627724436746E-17</v>
      </c>
      <c r="BW102" s="2">
        <f t="shared" si="47"/>
        <v>-1.0149379659080807E-17</v>
      </c>
      <c r="BX102" s="2">
        <f t="shared" si="48"/>
        <v>5.2079883738898047E-9</v>
      </c>
      <c r="BZ102" s="2">
        <v>30</v>
      </c>
      <c r="CA102" s="2">
        <f t="shared" si="55"/>
        <v>0.30583109334175773</v>
      </c>
      <c r="CB102" s="2">
        <v>-9.9870115094491396E-9</v>
      </c>
      <c r="CC102" s="2">
        <f t="shared" si="56"/>
        <v>0.30583109854974611</v>
      </c>
      <c r="CD102" s="2">
        <v>3.3689473710740714E-9</v>
      </c>
      <c r="CE102" s="5">
        <f t="shared" si="49"/>
        <v>0.30583109594575192</v>
      </c>
      <c r="CF102" s="2">
        <v>-3.3090320275541707E-9</v>
      </c>
      <c r="CG102" s="2">
        <f t="shared" si="50"/>
        <v>3.3047340944319327E-17</v>
      </c>
      <c r="CH102" s="2">
        <f t="shared" si="51"/>
        <v>-1.1147954750028528E-17</v>
      </c>
      <c r="CI102" s="2">
        <f t="shared" si="52"/>
        <v>5.2079883738898047E-9</v>
      </c>
    </row>
    <row r="104" spans="67:87" x14ac:dyDescent="0.2"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6.3166378308499027E-9</v>
      </c>
      <c r="BR106" s="30"/>
      <c r="BS106" s="30">
        <f>$BH$77</f>
        <v>6.3166378308499027E-9</v>
      </c>
      <c r="BT106" s="30"/>
      <c r="BU106" s="30">
        <f>$BH$77</f>
        <v>6.3166378308499027E-9</v>
      </c>
      <c r="BV106" s="30"/>
      <c r="BW106" s="30"/>
      <c r="BX106" s="30"/>
      <c r="BZ106" s="30">
        <v>0</v>
      </c>
      <c r="CA106" s="30"/>
      <c r="CB106" s="30">
        <f>$BL$77</f>
        <v>-7.1314549404677408E-9</v>
      </c>
      <c r="CC106" s="30"/>
      <c r="CD106" s="30">
        <f>$BL$77</f>
        <v>-7.1314549404677408E-9</v>
      </c>
      <c r="CE106" s="30"/>
      <c r="CF106" s="30">
        <f>$BL$77</f>
        <v>-7.1314549404677408E-9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-1.6153768286475072</v>
      </c>
      <c r="BR107" s="3">
        <f>0.9*PI()</f>
        <v>2.8274333882308138</v>
      </c>
      <c r="BS107" s="2">
        <f t="dataTable" ref="BS107:BS136" dt2D="0" dtr="0" r1="BH61"/>
        <v>0.49032565941316025</v>
      </c>
      <c r="BT107" s="2">
        <f t="shared" ref="BT107:BT136" si="57">(BP107+BR107)/2</f>
        <v>1.4294246573833558</v>
      </c>
      <c r="BU107" s="2">
        <f t="dataTable" ref="BU107:BU136" dt2D="0" dtr="0" r1="BH61" ca="1"/>
        <v>1.1296640737266823</v>
      </c>
      <c r="BV107" s="2">
        <f t="shared" ref="BV107:BV136" si="58">BQ107*BU107</f>
        <v>-1.8248331688536319</v>
      </c>
      <c r="BW107" s="2">
        <f t="shared" ref="BW107:BW136" si="59">BS107*BU107</f>
        <v>0.55390328186539239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-1.6383890190246344</v>
      </c>
      <c r="CC107" s="3">
        <f>0.9*PI()</f>
        <v>2.8274333882308138</v>
      </c>
      <c r="CD107" s="2">
        <f t="dataTable" ref="CD107:CD136" dt2D="0" dtr="0" r1="BL61"/>
        <v>0.55739287553719252</v>
      </c>
      <c r="CE107" s="2">
        <f t="shared" ref="CE107:CE136" si="61">(CA107+CC107)/2</f>
        <v>1.4294246573833558</v>
      </c>
      <c r="CF107" s="2">
        <f t="dataTable" ref="CF107:CF136" dt2D="0" dtr="0" r1="BL61" ca="1"/>
        <v>1.2113952682273292</v>
      </c>
      <c r="CG107" s="2">
        <f t="shared" ref="CG107:CG136" si="62">CB107*CF107</f>
        <v>-1.9847367051620579</v>
      </c>
      <c r="CH107" s="2">
        <f t="shared" ref="CH107:CH136" si="63">CD107*CF107</f>
        <v>0.67522309196937969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-1.6153768286475072</v>
      </c>
      <c r="BR108" s="2">
        <f t="shared" ref="BR108:BR136" si="66">IF(BW107&gt;0,BT107,BR107)</f>
        <v>1.4294246573833558</v>
      </c>
      <c r="BS108" s="2">
        <v>1.1296640737266823</v>
      </c>
      <c r="BT108" s="2">
        <f t="shared" si="57"/>
        <v>0.73042029195962688</v>
      </c>
      <c r="BU108" s="2">
        <v>0.79055832990391584</v>
      </c>
      <c r="BV108" s="2">
        <f t="shared" si="58"/>
        <v>-1.2770496078210574</v>
      </c>
      <c r="BW108" s="2">
        <f t="shared" si="59"/>
        <v>0.89306534347782007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-1.6383890190246344</v>
      </c>
      <c r="CC108" s="2">
        <f t="shared" ref="CC108:CC136" si="68">IF(CH107&gt;0,CE107,CC107)</f>
        <v>1.4294246573833558</v>
      </c>
      <c r="CD108" s="2">
        <v>1.2113952682273292</v>
      </c>
      <c r="CE108" s="2">
        <f t="shared" si="61"/>
        <v>0.73042029195962688</v>
      </c>
      <c r="CF108" s="2">
        <v>0.86082762876820829</v>
      </c>
      <c r="CG108" s="2">
        <f t="shared" si="62"/>
        <v>-1.4103705342468469</v>
      </c>
      <c r="CH108" s="2">
        <f t="shared" si="63"/>
        <v>1.0428025162491594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-1.6153768286475072</v>
      </c>
      <c r="BR109" s="2">
        <f t="shared" si="66"/>
        <v>0.73042029195962688</v>
      </c>
      <c r="BS109" s="2">
        <v>0.79055832990391584</v>
      </c>
      <c r="BT109" s="2">
        <f t="shared" si="57"/>
        <v>0.38091810924776243</v>
      </c>
      <c r="BU109" s="2">
        <v>0.21464455209951236</v>
      </c>
      <c r="BV109" s="2">
        <f t="shared" si="58"/>
        <v>-0.34673183585697492</v>
      </c>
      <c r="BW109" s="2">
        <f t="shared" si="59"/>
        <v>0.16968903863076454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-1.6383890190246344</v>
      </c>
      <c r="CC109" s="2">
        <f t="shared" si="68"/>
        <v>0.73042029195962688</v>
      </c>
      <c r="CD109" s="2">
        <v>0.86082762876820829</v>
      </c>
      <c r="CE109" s="2">
        <f t="shared" si="61"/>
        <v>0.38091810924776243</v>
      </c>
      <c r="CF109" s="2">
        <v>0.21064578950350737</v>
      </c>
      <c r="CG109" s="2">
        <f t="shared" si="62"/>
        <v>-0.34511974842632109</v>
      </c>
      <c r="CH109" s="2">
        <f t="shared" si="63"/>
        <v>0.18132971548831139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-1.6153768286475072</v>
      </c>
      <c r="BR110" s="2">
        <f t="shared" si="66"/>
        <v>0.38091810924776243</v>
      </c>
      <c r="BS110" s="2">
        <v>0.21464455209951236</v>
      </c>
      <c r="BT110" s="2">
        <f t="shared" si="57"/>
        <v>0.20616701789183017</v>
      </c>
      <c r="BU110" s="2">
        <v>-0.25737629290682146</v>
      </c>
      <c r="BV110" s="2">
        <f t="shared" si="58"/>
        <v>0.41575969980487315</v>
      </c>
      <c r="BW110" s="2">
        <f t="shared" si="59"/>
        <v>-5.5244419112017593E-2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-1.6383890190246344</v>
      </c>
      <c r="CC110" s="2">
        <f t="shared" si="68"/>
        <v>0.38091810924776243</v>
      </c>
      <c r="CD110" s="2">
        <v>0.21064578950350737</v>
      </c>
      <c r="CE110" s="2">
        <f t="shared" si="61"/>
        <v>0.20616701789183017</v>
      </c>
      <c r="CF110" s="2">
        <v>-0.40795440884672324</v>
      </c>
      <c r="CG110" s="2">
        <f t="shared" si="62"/>
        <v>0.66838802371715755</v>
      </c>
      <c r="CH110" s="2">
        <f t="shared" si="63"/>
        <v>-8.5933878532954644E-2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-0.25737629290682146</v>
      </c>
      <c r="BR111" s="2">
        <f t="shared" si="66"/>
        <v>0.38091810924776243</v>
      </c>
      <c r="BS111" s="2">
        <v>0.21464455209951236</v>
      </c>
      <c r="BT111" s="2">
        <f t="shared" si="57"/>
        <v>0.2935425635697963</v>
      </c>
      <c r="BU111" s="2">
        <v>-1.4483926394617801E-2</v>
      </c>
      <c r="BV111" s="2">
        <f t="shared" si="58"/>
        <v>3.7278192821819938E-3</v>
      </c>
      <c r="BW111" s="2">
        <f t="shared" si="59"/>
        <v>-3.108895893615043E-3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-0.40795440884672324</v>
      </c>
      <c r="CC111" s="2">
        <f t="shared" si="68"/>
        <v>0.38091810924776243</v>
      </c>
      <c r="CD111" s="2">
        <v>0.21064578950350737</v>
      </c>
      <c r="CE111" s="2">
        <f t="shared" si="61"/>
        <v>0.2935425635697963</v>
      </c>
      <c r="CF111" s="2">
        <v>-8.6389396629678775E-2</v>
      </c>
      <c r="CG111" s="2">
        <f t="shared" si="62"/>
        <v>3.5242935232685707E-2</v>
      </c>
      <c r="CH111" s="2">
        <f t="shared" si="63"/>
        <v>-1.8197562657790326E-2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-1.4483926394617801E-2</v>
      </c>
      <c r="BR112" s="2">
        <f t="shared" si="66"/>
        <v>0.38091810924776243</v>
      </c>
      <c r="BS112" s="2">
        <v>0.21464455209951236</v>
      </c>
      <c r="BT112" s="2">
        <f t="shared" si="57"/>
        <v>0.33723033640877936</v>
      </c>
      <c r="BU112" s="2">
        <v>0.10250865752762595</v>
      </c>
      <c r="BV112" s="2">
        <f t="shared" si="58"/>
        <v>-1.4847278504412182E-3</v>
      </c>
      <c r="BW112" s="2">
        <f t="shared" si="59"/>
        <v>2.2002924881339578E-2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-8.6389396629678775E-2</v>
      </c>
      <c r="CC112" s="2">
        <f t="shared" si="68"/>
        <v>0.38091810924776243</v>
      </c>
      <c r="CD112" s="2">
        <v>0.21064578950350737</v>
      </c>
      <c r="CE112" s="2">
        <f t="shared" si="61"/>
        <v>0.33723033640877936</v>
      </c>
      <c r="CF112" s="2">
        <v>6.5987318580457477E-2</v>
      </c>
      <c r="CG112" s="2">
        <f t="shared" si="62"/>
        <v>-5.7006046373761126E-3</v>
      </c>
      <c r="CH112" s="2">
        <f t="shared" si="63"/>
        <v>1.3899950819599927E-2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-1.4483926394617801E-2</v>
      </c>
      <c r="BR113" s="2">
        <f t="shared" si="66"/>
        <v>0.33723033640877936</v>
      </c>
      <c r="BS113" s="2">
        <v>0.10250865752762595</v>
      </c>
      <c r="BT113" s="2">
        <f t="shared" si="57"/>
        <v>0.31538644998928783</v>
      </c>
      <c r="BU113" s="2">
        <v>4.4549754635953724E-2</v>
      </c>
      <c r="BV113" s="2">
        <f t="shared" si="58"/>
        <v>-6.4525536704543687E-4</v>
      </c>
      <c r="BW113" s="2">
        <f t="shared" si="59"/>
        <v>4.5667355409167469E-3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-8.6389396629678775E-2</v>
      </c>
      <c r="CC113" s="2">
        <f t="shared" si="68"/>
        <v>0.33723033640877936</v>
      </c>
      <c r="CD113" s="2">
        <v>6.5987318580457477E-2</v>
      </c>
      <c r="CE113" s="2">
        <f t="shared" si="61"/>
        <v>0.31538644998928783</v>
      </c>
      <c r="CF113" s="2">
        <v>-9.306779534450263E-3</v>
      </c>
      <c r="CG113" s="2">
        <f t="shared" si="62"/>
        <v>8.0400706854660093E-4</v>
      </c>
      <c r="CH113" s="2">
        <f t="shared" si="63"/>
        <v>-6.1412942609785127E-4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-1.4483926394617801E-2</v>
      </c>
      <c r="BR114" s="2">
        <f t="shared" si="66"/>
        <v>0.31538644998928783</v>
      </c>
      <c r="BS114" s="2">
        <v>4.4549754635953724E-2</v>
      </c>
      <c r="BT114" s="2">
        <f t="shared" si="57"/>
        <v>0.30446450677954207</v>
      </c>
      <c r="BU114" s="2">
        <v>1.5156755793935286E-2</v>
      </c>
      <c r="BV114" s="2">
        <f t="shared" si="58"/>
        <v>-2.195293353005556E-4</v>
      </c>
      <c r="BW114" s="2">
        <f t="shared" si="59"/>
        <v>6.7522975169688698E-4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-9.306779534450263E-3</v>
      </c>
      <c r="CC114" s="2">
        <f t="shared" si="68"/>
        <v>0.33723033640877936</v>
      </c>
      <c r="CD114" s="2">
        <v>6.5987318580457477E-2</v>
      </c>
      <c r="CE114" s="2">
        <f t="shared" si="61"/>
        <v>0.3263083931990336</v>
      </c>
      <c r="CF114" s="2">
        <v>2.8574413319074145E-2</v>
      </c>
      <c r="CG114" s="2">
        <f t="shared" si="62"/>
        <v>-2.6593576508688227E-4</v>
      </c>
      <c r="CH114" s="2">
        <f t="shared" si="63"/>
        <v>1.8855489149354129E-3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-1.4483926394617801E-2</v>
      </c>
      <c r="BR115" s="2">
        <f t="shared" si="66"/>
        <v>0.30446450677954207</v>
      </c>
      <c r="BS115" s="2">
        <v>1.5156755793935286E-2</v>
      </c>
      <c r="BT115" s="2">
        <f t="shared" si="57"/>
        <v>0.29900353517466915</v>
      </c>
      <c r="BU115" s="2">
        <v>3.6595286008372224E-4</v>
      </c>
      <c r="BV115" s="2">
        <f t="shared" si="58"/>
        <v>-5.3004342893524998E-6</v>
      </c>
      <c r="BW115" s="2">
        <f t="shared" si="59"/>
        <v>5.5466581323811461E-6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-9.306779534450263E-3</v>
      </c>
      <c r="CC115" s="2">
        <f t="shared" si="68"/>
        <v>0.3263083931990336</v>
      </c>
      <c r="CD115" s="2">
        <v>2.8574413319074145E-2</v>
      </c>
      <c r="CE115" s="2">
        <f t="shared" si="61"/>
        <v>0.32084742159416069</v>
      </c>
      <c r="CF115" s="2">
        <v>9.6911449541652872E-3</v>
      </c>
      <c r="CG115" s="2">
        <f t="shared" si="62"/>
        <v>-9.019334952481642E-5</v>
      </c>
      <c r="CH115" s="2">
        <f t="shared" si="63"/>
        <v>2.7691878145537878E-4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-1.4483926394617801E-2</v>
      </c>
      <c r="BR116" s="2">
        <f t="shared" si="66"/>
        <v>0.29900353517466915</v>
      </c>
      <c r="BS116" s="2">
        <v>3.6595286008372224E-4</v>
      </c>
      <c r="BT116" s="2">
        <f t="shared" si="57"/>
        <v>0.29627304937223276</v>
      </c>
      <c r="BU116" s="2">
        <v>-7.0517866054815234E-3</v>
      </c>
      <c r="BV116" s="2">
        <f t="shared" si="58"/>
        <v>1.021375581443461E-4</v>
      </c>
      <c r="BW116" s="2">
        <f t="shared" si="59"/>
        <v>-2.5806214769760465E-6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-9.306779534450263E-3</v>
      </c>
      <c r="CC116" s="2">
        <f t="shared" si="68"/>
        <v>0.32084742159416069</v>
      </c>
      <c r="CD116" s="2">
        <v>9.6911449541652872E-3</v>
      </c>
      <c r="CE116" s="2">
        <f t="shared" si="61"/>
        <v>0.31811693579172429</v>
      </c>
      <c r="CF116" s="2">
        <v>2.0635380715307294E-4</v>
      </c>
      <c r="CG116" s="2">
        <f t="shared" si="62"/>
        <v>-1.9204893892681156E-6</v>
      </c>
      <c r="CH116" s="2">
        <f t="shared" si="63"/>
        <v>1.9998046569642994E-6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-7.0517866054815234E-3</v>
      </c>
      <c r="BR117" s="2">
        <f t="shared" si="66"/>
        <v>0.29900353517466915</v>
      </c>
      <c r="BS117" s="2">
        <v>3.6595286008372224E-4</v>
      </c>
      <c r="BT117" s="2">
        <f t="shared" si="57"/>
        <v>0.29763829227345096</v>
      </c>
      <c r="BU117" s="2">
        <v>-3.3410934959410554E-3</v>
      </c>
      <c r="BV117" s="2">
        <f t="shared" si="58"/>
        <v>2.356067836233857E-5</v>
      </c>
      <c r="BW117" s="2">
        <f t="shared" si="59"/>
        <v>-1.2226827206467515E-6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-9.306779534450263E-3</v>
      </c>
      <c r="CC117" s="2">
        <f t="shared" si="68"/>
        <v>0.31811693579172429</v>
      </c>
      <c r="CD117" s="2">
        <v>2.0635380715307294E-4</v>
      </c>
      <c r="CE117" s="2">
        <f t="shared" si="61"/>
        <v>0.31675169289050609</v>
      </c>
      <c r="CF117" s="2">
        <v>-4.5466908305754616E-3</v>
      </c>
      <c r="CG117" s="2">
        <f t="shared" si="62"/>
        <v>4.2315049171472372E-5</v>
      </c>
      <c r="CH117" s="2">
        <f t="shared" si="63"/>
        <v>-9.3822696283721387E-7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-3.3410934959410554E-3</v>
      </c>
      <c r="BR118" s="2">
        <f t="shared" si="66"/>
        <v>0.29900353517466915</v>
      </c>
      <c r="BS118" s="2">
        <v>3.6595286008372224E-4</v>
      </c>
      <c r="BT118" s="2">
        <f t="shared" si="57"/>
        <v>0.29832091372406006</v>
      </c>
      <c r="BU118" s="2">
        <v>-1.487111581808663E-3</v>
      </c>
      <c r="BV118" s="2">
        <f t="shared" si="58"/>
        <v>4.9685788337195392E-6</v>
      </c>
      <c r="BW118" s="2">
        <f t="shared" si="59"/>
        <v>-5.442127366265085E-7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-4.5466908305754616E-3</v>
      </c>
      <c r="CC118" s="2">
        <f t="shared" si="68"/>
        <v>0.31811693579172429</v>
      </c>
      <c r="CD118" s="2">
        <v>2.0635380715307294E-4</v>
      </c>
      <c r="CE118" s="2">
        <f t="shared" si="61"/>
        <v>0.31743431434111519</v>
      </c>
      <c r="CF118" s="2">
        <v>-2.1692853827297194E-3</v>
      </c>
      <c r="CG118" s="2">
        <f t="shared" si="62"/>
        <v>9.8630699585585963E-6</v>
      </c>
      <c r="CH118" s="2">
        <f t="shared" si="63"/>
        <v>-4.4764029752778853E-7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-1.487111581808663E-3</v>
      </c>
      <c r="BR119" s="2">
        <f t="shared" si="66"/>
        <v>0.29900353517466915</v>
      </c>
      <c r="BS119" s="2">
        <v>3.6595286008372224E-4</v>
      </c>
      <c r="BT119" s="2">
        <f t="shared" si="57"/>
        <v>0.29866222444936463</v>
      </c>
      <c r="BU119" s="2">
        <v>-5.6046431692013954E-4</v>
      </c>
      <c r="BV119" s="2">
        <f t="shared" si="58"/>
        <v>8.3347297688242056E-7</v>
      </c>
      <c r="BW119" s="2">
        <f t="shared" si="59"/>
        <v>-2.051035197517948E-7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-2.1692853827297194E-3</v>
      </c>
      <c r="CC119" s="2">
        <f t="shared" si="68"/>
        <v>0.31811693579172429</v>
      </c>
      <c r="CD119" s="2">
        <v>2.0635380715307294E-4</v>
      </c>
      <c r="CE119" s="2">
        <f t="shared" si="61"/>
        <v>0.31777562506641976</v>
      </c>
      <c r="CF119" s="2">
        <v>-9.8124468041102184E-4</v>
      </c>
      <c r="CG119" s="2">
        <f t="shared" si="62"/>
        <v>2.1285997420969247E-6</v>
      </c>
      <c r="CH119" s="2">
        <f t="shared" si="63"/>
        <v>-2.0248357555151469E-7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0.29866222444936463</v>
      </c>
      <c r="BQ120" s="2">
        <v>-5.6046431692013954E-4</v>
      </c>
      <c r="BR120" s="2">
        <f t="shared" si="66"/>
        <v>0.29900353517466915</v>
      </c>
      <c r="BS120" s="2">
        <v>3.6595286008372224E-4</v>
      </c>
      <c r="BT120" s="2">
        <f t="shared" si="57"/>
        <v>0.29883287981201689</v>
      </c>
      <c r="BU120" s="2">
        <v>-9.7226922542430205E-5</v>
      </c>
      <c r="BV120" s="2">
        <f t="shared" si="58"/>
        <v>5.4492220728990462E-8</v>
      </c>
      <c r="BW120" s="2">
        <f t="shared" si="59"/>
        <v>-3.5580470381540859E-8</v>
      </c>
      <c r="BX120" s="2">
        <f t="shared" si="60"/>
        <v>3.4131072530452222E-4</v>
      </c>
      <c r="BZ120" s="2">
        <v>14</v>
      </c>
      <c r="CA120" s="2">
        <f t="shared" si="67"/>
        <v>0.31777562506641976</v>
      </c>
      <c r="CB120" s="2">
        <v>-9.8124468041102184E-4</v>
      </c>
      <c r="CC120" s="2">
        <f t="shared" si="68"/>
        <v>0.31811693579172429</v>
      </c>
      <c r="CD120" s="2">
        <v>2.0635380715307294E-4</v>
      </c>
      <c r="CE120" s="2">
        <f t="shared" si="61"/>
        <v>0.31794628042907203</v>
      </c>
      <c r="CF120" s="2">
        <v>-3.8739011929688968E-4</v>
      </c>
      <c r="CG120" s="2">
        <f t="shared" si="62"/>
        <v>3.8012449380386416E-7</v>
      </c>
      <c r="CH120" s="2">
        <f t="shared" si="63"/>
        <v>-7.99394259703963E-8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0.29883287981201689</v>
      </c>
      <c r="BQ121" s="2">
        <v>-9.7226922542430205E-5</v>
      </c>
      <c r="BR121" s="2">
        <f t="shared" si="66"/>
        <v>0.29900353517466915</v>
      </c>
      <c r="BS121" s="2">
        <v>3.6595286008372224E-4</v>
      </c>
      <c r="BT121" s="2">
        <f t="shared" si="57"/>
        <v>0.29891820749334302</v>
      </c>
      <c r="BU121" s="2">
        <v>1.3437017584451427E-4</v>
      </c>
      <c r="BV121" s="2">
        <f t="shared" si="58"/>
        <v>-1.3064398678847316E-8</v>
      </c>
      <c r="BW121" s="2">
        <f t="shared" si="59"/>
        <v>4.9173150160252686E-8</v>
      </c>
      <c r="BX121" s="2">
        <f t="shared" si="60"/>
        <v>1.7065536265226111E-4</v>
      </c>
      <c r="BZ121" s="2">
        <v>15</v>
      </c>
      <c r="CA121" s="2">
        <f t="shared" si="67"/>
        <v>0.31794628042907203</v>
      </c>
      <c r="CB121" s="2">
        <v>-3.8739011929688968E-4</v>
      </c>
      <c r="CC121" s="2">
        <f t="shared" si="68"/>
        <v>0.31811693579172429</v>
      </c>
      <c r="CD121" s="2">
        <v>2.0635380715307294E-4</v>
      </c>
      <c r="CE121" s="2">
        <f t="shared" si="61"/>
        <v>0.31803160811039816</v>
      </c>
      <c r="CF121" s="2">
        <v>-9.0504321687431832E-5</v>
      </c>
      <c r="CG121" s="2">
        <f t="shared" si="62"/>
        <v>3.5060479975378299E-8</v>
      </c>
      <c r="CH121" s="2">
        <f t="shared" si="63"/>
        <v>-1.8675911344007985E-8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0.29883287981201689</v>
      </c>
      <c r="BQ122" s="2">
        <v>-9.7226922542430205E-5</v>
      </c>
      <c r="BR122" s="2">
        <f t="shared" si="66"/>
        <v>0.29891820749334302</v>
      </c>
      <c r="BS122" s="2">
        <v>1.3437017584451427E-4</v>
      </c>
      <c r="BT122" s="2">
        <f t="shared" si="57"/>
        <v>0.29887554365267999</v>
      </c>
      <c r="BU122" s="2">
        <v>1.8573427719305313E-5</v>
      </c>
      <c r="BV122" s="2">
        <f t="shared" si="58"/>
        <v>-1.8058372182123238E-9</v>
      </c>
      <c r="BW122" s="2">
        <f t="shared" si="59"/>
        <v>2.4957147486784306E-9</v>
      </c>
      <c r="BX122" s="2">
        <f t="shared" si="60"/>
        <v>8.5327681326130556E-5</v>
      </c>
      <c r="BZ122" s="2">
        <v>16</v>
      </c>
      <c r="CA122" s="2">
        <f t="shared" si="67"/>
        <v>0.31803160811039816</v>
      </c>
      <c r="CB122" s="2">
        <v>-9.0504321687431832E-5</v>
      </c>
      <c r="CC122" s="2">
        <f t="shared" si="68"/>
        <v>0.31811693579172429</v>
      </c>
      <c r="CD122" s="2">
        <v>2.0635380715307294E-4</v>
      </c>
      <c r="CE122" s="2">
        <f t="shared" si="61"/>
        <v>0.31807427195106119</v>
      </c>
      <c r="CF122" s="2">
        <v>5.7928201959593639E-5</v>
      </c>
      <c r="CG122" s="2">
        <f t="shared" si="62"/>
        <v>-5.2427526249255814E-9</v>
      </c>
      <c r="CH122" s="2">
        <f t="shared" si="63"/>
        <v>1.1953705015894248E-8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0.29883287981201689</v>
      </c>
      <c r="BQ123" s="2">
        <v>-9.7226922542430205E-5</v>
      </c>
      <c r="BR123" s="2">
        <f t="shared" si="66"/>
        <v>0.29887554365267999</v>
      </c>
      <c r="BS123" s="2">
        <v>1.8573427719305313E-5</v>
      </c>
      <c r="BT123" s="2">
        <f t="shared" si="57"/>
        <v>0.29885421173234844</v>
      </c>
      <c r="BU123" s="2">
        <v>-3.9326297232258889E-5</v>
      </c>
      <c r="BV123" s="2">
        <f t="shared" si="58"/>
        <v>3.8235748548814221E-9</v>
      </c>
      <c r="BW123" s="2">
        <f t="shared" si="59"/>
        <v>-7.3042413911127703E-10</v>
      </c>
      <c r="BX123" s="2">
        <f t="shared" si="60"/>
        <v>4.2663840663093033E-5</v>
      </c>
      <c r="BZ123" s="2">
        <v>17</v>
      </c>
      <c r="CA123" s="2">
        <f t="shared" si="67"/>
        <v>0.31803160811039816</v>
      </c>
      <c r="CB123" s="2">
        <v>-9.0504321687431832E-5</v>
      </c>
      <c r="CC123" s="2">
        <f t="shared" si="68"/>
        <v>0.31807427195106119</v>
      </c>
      <c r="CD123" s="2">
        <v>5.7928201959593639E-5</v>
      </c>
      <c r="CE123" s="2">
        <f t="shared" si="61"/>
        <v>0.3180529400307297</v>
      </c>
      <c r="CF123" s="2">
        <v>-1.6287195135786248E-5</v>
      </c>
      <c r="CG123" s="2">
        <f t="shared" si="62"/>
        <v>1.4740615479551736E-9</v>
      </c>
      <c r="CH123" s="2">
        <f t="shared" si="63"/>
        <v>-9.43487929181137E-10</v>
      </c>
      <c r="CI123" s="2">
        <f t="shared" si="64"/>
        <v>4.2663840663037522E-5</v>
      </c>
    </row>
    <row r="124" spans="67:87" x14ac:dyDescent="0.2">
      <c r="BO124" s="2">
        <v>18</v>
      </c>
      <c r="BP124" s="2">
        <f t="shared" si="65"/>
        <v>0.29885421173234844</v>
      </c>
      <c r="BQ124" s="2">
        <v>-3.9326297232258889E-5</v>
      </c>
      <c r="BR124" s="2">
        <f t="shared" si="66"/>
        <v>0.29887554365267999</v>
      </c>
      <c r="BS124" s="2">
        <v>1.8573427719305313E-5</v>
      </c>
      <c r="BT124" s="2">
        <f t="shared" si="57"/>
        <v>0.29886487769251424</v>
      </c>
      <c r="BU124" s="2">
        <v>-1.037632220057122E-5</v>
      </c>
      <c r="BV124" s="2">
        <f t="shared" si="58"/>
        <v>4.0806233103735043E-10</v>
      </c>
      <c r="BW124" s="2">
        <f t="shared" si="59"/>
        <v>-1.9272387038453259E-10</v>
      </c>
      <c r="BX124" s="2">
        <f t="shared" si="60"/>
        <v>2.1331920331546517E-5</v>
      </c>
      <c r="BZ124" s="2">
        <v>18</v>
      </c>
      <c r="CA124" s="2">
        <f t="shared" si="67"/>
        <v>0.3180529400307297</v>
      </c>
      <c r="CB124" s="2">
        <v>-1.6287195135786248E-5</v>
      </c>
      <c r="CC124" s="2">
        <f t="shared" si="68"/>
        <v>0.31807427195106119</v>
      </c>
      <c r="CD124" s="2">
        <v>5.7928201959593639E-5</v>
      </c>
      <c r="CE124" s="2">
        <f t="shared" si="61"/>
        <v>0.31806360599089545</v>
      </c>
      <c r="CF124" s="2">
        <v>2.0820719603839577E-5</v>
      </c>
      <c r="CG124" s="2">
        <f t="shared" si="62"/>
        <v>-3.3911112305522531E-10</v>
      </c>
      <c r="CH124" s="2">
        <f t="shared" si="63"/>
        <v>1.2061068501552894E-9</v>
      </c>
      <c r="CI124" s="2">
        <f t="shared" si="64"/>
        <v>2.1331920331491006E-5</v>
      </c>
    </row>
    <row r="125" spans="67:87" x14ac:dyDescent="0.2">
      <c r="BO125" s="2">
        <v>19</v>
      </c>
      <c r="BP125" s="2">
        <f t="shared" si="65"/>
        <v>0.29886487769251424</v>
      </c>
      <c r="BQ125" s="2">
        <v>-1.037632220057122E-5</v>
      </c>
      <c r="BR125" s="2">
        <f t="shared" si="66"/>
        <v>0.29887554365267999</v>
      </c>
      <c r="BS125" s="2">
        <v>1.8573427719305313E-5</v>
      </c>
      <c r="BT125" s="2">
        <f t="shared" si="57"/>
        <v>0.29887021067259711</v>
      </c>
      <c r="BU125" s="2">
        <v>4.0985808996557571E-6</v>
      </c>
      <c r="BV125" s="2">
        <f t="shared" si="58"/>
        <v>-4.2528195979935196E-11</v>
      </c>
      <c r="BW125" s="2">
        <f t="shared" si="59"/>
        <v>7.612469609148155E-11</v>
      </c>
      <c r="BX125" s="2">
        <f t="shared" si="60"/>
        <v>1.0665960165745503E-5</v>
      </c>
      <c r="BZ125" s="2">
        <v>19</v>
      </c>
      <c r="CA125" s="2">
        <f t="shared" si="67"/>
        <v>0.3180529400307297</v>
      </c>
      <c r="CB125" s="2">
        <v>-1.6287195135786248E-5</v>
      </c>
      <c r="CC125" s="2">
        <f t="shared" si="68"/>
        <v>0.31806360599089545</v>
      </c>
      <c r="CD125" s="2">
        <v>2.0820719603839577E-5</v>
      </c>
      <c r="CE125" s="2">
        <f t="shared" si="61"/>
        <v>0.31805827301081258</v>
      </c>
      <c r="CF125" s="2">
        <v>2.2668162805716818E-6</v>
      </c>
      <c r="CG125" s="2">
        <f t="shared" si="62"/>
        <v>-3.6920079098648171E-11</v>
      </c>
      <c r="CH125" s="2">
        <f t="shared" si="63"/>
        <v>4.7196746171201531E-11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0.29886487769251424</v>
      </c>
      <c r="BQ126" s="2">
        <v>-1.037632220057122E-5</v>
      </c>
      <c r="BR126" s="2">
        <f t="shared" si="66"/>
        <v>0.29887021067259711</v>
      </c>
      <c r="BS126" s="2">
        <v>4.0985808996557571E-6</v>
      </c>
      <c r="BT126" s="2">
        <f t="shared" si="57"/>
        <v>0.29886754418255568</v>
      </c>
      <c r="BU126" s="2">
        <v>-3.1388636155746386E-6</v>
      </c>
      <c r="BV126" s="2">
        <f t="shared" si="58"/>
        <v>3.2569860218852371E-11</v>
      </c>
      <c r="BW126" s="2">
        <f t="shared" si="59"/>
        <v>-1.2864886461418625E-11</v>
      </c>
      <c r="BX126" s="2">
        <f t="shared" si="60"/>
        <v>5.3329800828727514E-6</v>
      </c>
      <c r="BZ126" s="2">
        <v>20</v>
      </c>
      <c r="CA126" s="2">
        <f t="shared" si="67"/>
        <v>0.3180529400307297</v>
      </c>
      <c r="CB126" s="2">
        <v>-1.6287195135786248E-5</v>
      </c>
      <c r="CC126" s="2">
        <f t="shared" si="68"/>
        <v>0.31805827301081258</v>
      </c>
      <c r="CD126" s="2">
        <v>2.2668162805716818E-6</v>
      </c>
      <c r="CE126" s="2">
        <f t="shared" si="61"/>
        <v>0.31805560652077114</v>
      </c>
      <c r="CF126" s="2">
        <v>-7.0101759159849064E-6</v>
      </c>
      <c r="CG126" s="2">
        <f t="shared" si="62"/>
        <v>1.1417610307983527E-10</v>
      </c>
      <c r="CH126" s="2">
        <f t="shared" si="63"/>
        <v>-1.589078089602609E-11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0.29886754418255568</v>
      </c>
      <c r="BQ127" s="2">
        <v>-3.1388636155746386E-6</v>
      </c>
      <c r="BR127" s="2">
        <f t="shared" si="66"/>
        <v>0.29887021067259711</v>
      </c>
      <c r="BS127" s="2">
        <v>4.0985808996557571E-6</v>
      </c>
      <c r="BT127" s="2">
        <f t="shared" si="57"/>
        <v>0.2988688774275764</v>
      </c>
      <c r="BU127" s="2">
        <v>4.7986040081077208E-7</v>
      </c>
      <c r="BV127" s="2">
        <f t="shared" si="58"/>
        <v>-1.5062163526599953E-12</v>
      </c>
      <c r="BW127" s="2">
        <f t="shared" si="59"/>
        <v>1.9667466732641865E-12</v>
      </c>
      <c r="BX127" s="2">
        <f t="shared" si="60"/>
        <v>2.6664900414363757E-6</v>
      </c>
      <c r="BZ127" s="2">
        <v>21</v>
      </c>
      <c r="CA127" s="2">
        <f t="shared" si="67"/>
        <v>0.31805560652077114</v>
      </c>
      <c r="CB127" s="2">
        <v>-7.0101759159849064E-6</v>
      </c>
      <c r="CC127" s="2">
        <f t="shared" si="68"/>
        <v>0.31805827301081258</v>
      </c>
      <c r="CD127" s="2">
        <v>2.2668162805716818E-6</v>
      </c>
      <c r="CE127" s="2">
        <f t="shared" si="61"/>
        <v>0.31805693976579186</v>
      </c>
      <c r="CF127" s="2">
        <v>-2.3716764398079571E-6</v>
      </c>
      <c r="CG127" s="2">
        <f t="shared" si="62"/>
        <v>1.6625869058850568E-11</v>
      </c>
      <c r="CH127" s="2">
        <f t="shared" si="63"/>
        <v>-5.3761547660049611E-12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0.29886754418255568</v>
      </c>
      <c r="BQ128" s="2">
        <v>-3.1388636155746386E-6</v>
      </c>
      <c r="BR128" s="2">
        <f t="shared" si="66"/>
        <v>0.2988688774275764</v>
      </c>
      <c r="BS128" s="2">
        <v>4.7986040081077208E-7</v>
      </c>
      <c r="BT128" s="2">
        <f t="shared" si="57"/>
        <v>0.29886821080506604</v>
      </c>
      <c r="BU128" s="2">
        <v>-1.3295011677266766E-6</v>
      </c>
      <c r="BV128" s="2">
        <f t="shared" si="58"/>
        <v>4.1731228422412598E-12</v>
      </c>
      <c r="BW128" s="2">
        <f t="shared" si="59"/>
        <v>-6.3797496322371255E-13</v>
      </c>
      <c r="BX128" s="2">
        <f t="shared" si="60"/>
        <v>1.3332450207181878E-6</v>
      </c>
      <c r="BZ128" s="2">
        <v>22</v>
      </c>
      <c r="CA128" s="2">
        <f t="shared" si="67"/>
        <v>0.31805693976579186</v>
      </c>
      <c r="CB128" s="2">
        <v>-2.3716764398079571E-6</v>
      </c>
      <c r="CC128" s="2">
        <f t="shared" si="68"/>
        <v>0.31805827301081258</v>
      </c>
      <c r="CD128" s="2">
        <v>2.2668162805716818E-6</v>
      </c>
      <c r="CE128" s="2">
        <f t="shared" si="61"/>
        <v>0.31805760638830222</v>
      </c>
      <c r="CF128" s="2">
        <v>-5.2429235168627297E-8</v>
      </c>
      <c r="CG128" s="2">
        <f t="shared" si="62"/>
        <v>1.2434518180658412E-13</v>
      </c>
      <c r="CH128" s="2">
        <f t="shared" si="63"/>
        <v>-1.1884744385816574E-13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0.29886821080506604</v>
      </c>
      <c r="BQ129" s="2">
        <v>-1.3295011677266766E-6</v>
      </c>
      <c r="BR129" s="2">
        <f t="shared" si="66"/>
        <v>0.2988688774275764</v>
      </c>
      <c r="BS129" s="2">
        <v>4.7986040081077208E-7</v>
      </c>
      <c r="BT129" s="2">
        <f t="shared" si="57"/>
        <v>0.29886854411632124</v>
      </c>
      <c r="BU129" s="2">
        <v>-4.248202735077089E-7</v>
      </c>
      <c r="BV129" s="2">
        <f t="shared" si="58"/>
        <v>5.6479904970246513E-13</v>
      </c>
      <c r="BW129" s="2">
        <f t="shared" si="59"/>
        <v>-2.03854426717951E-13</v>
      </c>
      <c r="BX129" s="2">
        <f t="shared" si="60"/>
        <v>6.6662251035909392E-7</v>
      </c>
      <c r="BZ129" s="2">
        <v>23</v>
      </c>
      <c r="CA129" s="2">
        <f t="shared" si="67"/>
        <v>0.31805760638830222</v>
      </c>
      <c r="CB129" s="2">
        <v>-5.2429235168627297E-8</v>
      </c>
      <c r="CC129" s="2">
        <f t="shared" si="68"/>
        <v>0.31805827301081258</v>
      </c>
      <c r="CD129" s="2">
        <v>2.2668162805716818E-6</v>
      </c>
      <c r="CE129" s="2">
        <f t="shared" si="61"/>
        <v>0.31805793969955742</v>
      </c>
      <c r="CF129" s="2">
        <v>1.107193734063705E-6</v>
      </c>
      <c r="CG129" s="2">
        <f t="shared" si="62"/>
        <v>-5.8049320660456588E-14</v>
      </c>
      <c r="CH129" s="2">
        <f t="shared" si="63"/>
        <v>2.5098047821225598E-12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0.29886854411632124</v>
      </c>
      <c r="BQ130" s="2">
        <v>-4.248202735077089E-7</v>
      </c>
      <c r="BR130" s="2">
        <f t="shared" si="66"/>
        <v>0.2988688774275764</v>
      </c>
      <c r="BS130" s="2">
        <v>4.7986040081077208E-7</v>
      </c>
      <c r="BT130" s="2">
        <f t="shared" si="57"/>
        <v>0.29886871077194882</v>
      </c>
      <c r="BU130" s="2">
        <v>2.7520091087918086E-8</v>
      </c>
      <c r="BV130" s="2">
        <f t="shared" si="58"/>
        <v>-1.1691092622926424E-14</v>
      </c>
      <c r="BW130" s="2">
        <f t="shared" si="59"/>
        <v>1.3205801939797329E-14</v>
      </c>
      <c r="BX130" s="2">
        <f t="shared" si="60"/>
        <v>3.3331125515179139E-7</v>
      </c>
      <c r="BZ130" s="2">
        <v>24</v>
      </c>
      <c r="CA130" s="2">
        <f t="shared" si="67"/>
        <v>0.31805760638830222</v>
      </c>
      <c r="CB130" s="2">
        <v>-5.2429235168627297E-8</v>
      </c>
      <c r="CC130" s="2">
        <f t="shared" si="68"/>
        <v>0.31805793969955742</v>
      </c>
      <c r="CD130" s="2">
        <v>1.107193734063705E-6</v>
      </c>
      <c r="CE130" s="2">
        <f t="shared" si="61"/>
        <v>0.31805777304392979</v>
      </c>
      <c r="CF130" s="2">
        <v>5.2738230227333815E-7</v>
      </c>
      <c r="CG130" s="2">
        <f t="shared" si="62"/>
        <v>-2.7650250749660933E-14</v>
      </c>
      <c r="CH130" s="2">
        <f t="shared" si="63"/>
        <v>5.8391438053313086E-13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0.29886854411632124</v>
      </c>
      <c r="BQ131" s="2">
        <v>-4.248202735077089E-7</v>
      </c>
      <c r="BR131" s="2">
        <f t="shared" si="66"/>
        <v>0.29886871077194882</v>
      </c>
      <c r="BS131" s="2">
        <v>2.7520091087918086E-8</v>
      </c>
      <c r="BT131" s="2">
        <f t="shared" si="57"/>
        <v>0.298868627444135</v>
      </c>
      <c r="BU131" s="2">
        <v>-1.9865008444447385E-7</v>
      </c>
      <c r="BV131" s="2">
        <f t="shared" si="58"/>
        <v>8.4390583206030851E-14</v>
      </c>
      <c r="BW131" s="2">
        <f t="shared" si="59"/>
        <v>-5.4668684185345401E-15</v>
      </c>
      <c r="BX131" s="2">
        <f t="shared" si="60"/>
        <v>1.6665562757589569E-7</v>
      </c>
      <c r="BZ131" s="2">
        <v>25</v>
      </c>
      <c r="CA131" s="2">
        <f t="shared" si="67"/>
        <v>0.31805760638830222</v>
      </c>
      <c r="CB131" s="2">
        <v>-5.2429235168627297E-8</v>
      </c>
      <c r="CC131" s="2">
        <f t="shared" si="68"/>
        <v>0.31805777304392979</v>
      </c>
      <c r="CD131" s="2">
        <v>5.2738230227333815E-7</v>
      </c>
      <c r="CE131" s="2">
        <f t="shared" si="61"/>
        <v>0.31805768971611603</v>
      </c>
      <c r="CF131" s="2">
        <v>2.3747654692013453E-7</v>
      </c>
      <c r="CG131" s="2">
        <f t="shared" si="62"/>
        <v>-1.2450713725509289E-14</v>
      </c>
      <c r="CH131" s="2">
        <f t="shared" si="63"/>
        <v>1.2524092805066296E-13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0.298868627444135</v>
      </c>
      <c r="BQ132" s="2">
        <v>-1.9865008444447385E-7</v>
      </c>
      <c r="BR132" s="2">
        <f t="shared" si="66"/>
        <v>0.29886871077194882</v>
      </c>
      <c r="BS132" s="2">
        <v>2.7520091087918086E-8</v>
      </c>
      <c r="BT132" s="2">
        <f t="shared" si="57"/>
        <v>0.29886866910804188</v>
      </c>
      <c r="BU132" s="2">
        <v>-8.5564995075393391E-8</v>
      </c>
      <c r="BV132" s="2">
        <f t="shared" si="58"/>
        <v>1.6997493497217887E-14</v>
      </c>
      <c r="BW132" s="2">
        <f t="shared" si="59"/>
        <v>-2.3547564584120887E-15</v>
      </c>
      <c r="BX132" s="2">
        <f t="shared" si="60"/>
        <v>8.3327813815703422E-8</v>
      </c>
      <c r="BZ132" s="2">
        <v>26</v>
      </c>
      <c r="CA132" s="2">
        <f t="shared" si="67"/>
        <v>0.31805760638830222</v>
      </c>
      <c r="CB132" s="2">
        <v>-5.2429235168627297E-8</v>
      </c>
      <c r="CC132" s="2">
        <f t="shared" si="68"/>
        <v>0.31805768971611603</v>
      </c>
      <c r="CD132" s="2">
        <v>2.3747654692013453E-7</v>
      </c>
      <c r="CE132" s="2">
        <f t="shared" si="61"/>
        <v>0.31805764805220915</v>
      </c>
      <c r="CF132" s="2">
        <v>9.2523659081522602E-8</v>
      </c>
      <c r="CG132" s="2">
        <f t="shared" si="62"/>
        <v>-4.8509446806470472E-15</v>
      </c>
      <c r="CH132" s="2">
        <f t="shared" si="63"/>
        <v>2.1972199067095733E-14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0.29886866910804188</v>
      </c>
      <c r="BQ133" s="2">
        <v>-8.5564995075393391E-8</v>
      </c>
      <c r="BR133" s="2">
        <f t="shared" si="66"/>
        <v>0.29886871077194882</v>
      </c>
      <c r="BS133" s="2">
        <v>2.7520091087918086E-8</v>
      </c>
      <c r="BT133" s="2">
        <f t="shared" si="57"/>
        <v>0.29886868993999538</v>
      </c>
      <c r="BU133" s="2">
        <v>-2.9022451421278905E-8</v>
      </c>
      <c r="BV133" s="2">
        <f t="shared" si="58"/>
        <v>2.4833059129375733E-15</v>
      </c>
      <c r="BW133" s="2">
        <f t="shared" si="59"/>
        <v>-7.9870050670827321E-16</v>
      </c>
      <c r="BX133" s="2">
        <f t="shared" si="60"/>
        <v>4.1663906935607287E-8</v>
      </c>
      <c r="BZ133" s="2">
        <v>27</v>
      </c>
      <c r="CA133" s="2">
        <f t="shared" si="67"/>
        <v>0.31805760638830222</v>
      </c>
      <c r="CB133" s="2">
        <v>-5.2429235168627297E-8</v>
      </c>
      <c r="CC133" s="2">
        <f t="shared" si="68"/>
        <v>0.31805764805220915</v>
      </c>
      <c r="CD133" s="2">
        <v>9.2523659081522602E-8</v>
      </c>
      <c r="CE133" s="2">
        <f t="shared" si="61"/>
        <v>0.31805762722025566</v>
      </c>
      <c r="CF133" s="2">
        <v>2.0047212792584368E-8</v>
      </c>
      <c r="CG133" s="2">
        <f t="shared" si="62"/>
        <v>-1.0510600339779194E-15</v>
      </c>
      <c r="CH133" s="2">
        <f t="shared" si="63"/>
        <v>1.8548414819558147E-15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0.29886868993999538</v>
      </c>
      <c r="BQ134" s="2">
        <v>-2.9022451421278905E-8</v>
      </c>
      <c r="BR134" s="2">
        <f t="shared" si="66"/>
        <v>0.29886871077194882</v>
      </c>
      <c r="BS134" s="2">
        <v>2.7520091087918086E-8</v>
      </c>
      <c r="BT134" s="2">
        <f t="shared" si="57"/>
        <v>0.29886870035597213</v>
      </c>
      <c r="BU134" s="2">
        <v>-7.5118000014695596E-10</v>
      </c>
      <c r="BV134" s="2">
        <f t="shared" si="58"/>
        <v>2.1801085062901309E-17</v>
      </c>
      <c r="BW134" s="2">
        <f t="shared" si="59"/>
        <v>-2.0672542027466549E-17</v>
      </c>
      <c r="BX134" s="2">
        <f t="shared" si="60"/>
        <v>2.0831953440048068E-8</v>
      </c>
      <c r="BZ134" s="2">
        <v>28</v>
      </c>
      <c r="CA134" s="2">
        <f t="shared" si="67"/>
        <v>0.31805760638830222</v>
      </c>
      <c r="CB134" s="2">
        <v>-5.2429235168627297E-8</v>
      </c>
      <c r="CC134" s="2">
        <f t="shared" si="68"/>
        <v>0.31805762722025566</v>
      </c>
      <c r="CD134" s="2">
        <v>2.0047212792584368E-8</v>
      </c>
      <c r="CE134" s="2">
        <f t="shared" si="61"/>
        <v>0.31805761680427891</v>
      </c>
      <c r="CF134" s="2">
        <v>-1.619101088617958E-8</v>
      </c>
      <c r="CG134" s="2">
        <f t="shared" si="62"/>
        <v>8.4888231736931383E-16</v>
      </c>
      <c r="CH134" s="2">
        <f t="shared" si="63"/>
        <v>-3.2458464056229206E-16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0.29886870035597213</v>
      </c>
      <c r="BQ135" s="2">
        <v>-7.5118000014695596E-10</v>
      </c>
      <c r="BR135" s="2">
        <f t="shared" si="66"/>
        <v>0.29886871077194882</v>
      </c>
      <c r="BS135" s="2">
        <v>2.7520091087918086E-8</v>
      </c>
      <c r="BT135" s="2">
        <f t="shared" si="57"/>
        <v>0.2988687055639605</v>
      </c>
      <c r="BU135" s="2">
        <v>1.3384455654907867E-8</v>
      </c>
      <c r="BV135" s="2">
        <f t="shared" si="58"/>
        <v>-1.0054135400820617E-17</v>
      </c>
      <c r="BW135" s="2">
        <f t="shared" si="59"/>
        <v>3.6834143878526482E-16</v>
      </c>
      <c r="BX135" s="2">
        <f t="shared" si="60"/>
        <v>1.0415976692268458E-8</v>
      </c>
      <c r="BZ135" s="2">
        <v>29</v>
      </c>
      <c r="CA135" s="2">
        <f t="shared" si="67"/>
        <v>0.31805761680427891</v>
      </c>
      <c r="CB135" s="2">
        <v>-1.619101088617958E-8</v>
      </c>
      <c r="CC135" s="2">
        <f t="shared" si="68"/>
        <v>0.31805762722025566</v>
      </c>
      <c r="CD135" s="2">
        <v>2.0047212792584368E-8</v>
      </c>
      <c r="CE135" s="2">
        <f t="shared" si="61"/>
        <v>0.31805762201226728</v>
      </c>
      <c r="CF135" s="2">
        <v>1.9281008595273263E-9</v>
      </c>
      <c r="CG135" s="2">
        <f t="shared" si="62"/>
        <v>-3.1217902006259146E-17</v>
      </c>
      <c r="CH135" s="2">
        <f t="shared" si="63"/>
        <v>3.8653048216509131E-17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0.29886870035597213</v>
      </c>
      <c r="BQ136" s="2">
        <v>-7.5118000014695596E-10</v>
      </c>
      <c r="BR136" s="2">
        <f t="shared" si="66"/>
        <v>0.2988687055639605</v>
      </c>
      <c r="BS136" s="2">
        <v>1.3384455654907867E-8</v>
      </c>
      <c r="BT136" s="5">
        <f t="shared" si="57"/>
        <v>0.29886870295996631</v>
      </c>
      <c r="BU136" s="2">
        <v>6.3166378308499027E-9</v>
      </c>
      <c r="BV136" s="2">
        <f t="shared" si="58"/>
        <v>-4.7449320067060972E-18</v>
      </c>
      <c r="BW136" s="2">
        <f t="shared" si="59"/>
        <v>8.4544758935123944E-17</v>
      </c>
      <c r="BX136" s="2">
        <f t="shared" si="60"/>
        <v>5.2079883738898047E-9</v>
      </c>
      <c r="BZ136" s="2">
        <v>30</v>
      </c>
      <c r="CA136" s="2">
        <f t="shared" si="67"/>
        <v>0.31805761680427891</v>
      </c>
      <c r="CB136" s="2">
        <v>-1.619101088617958E-8</v>
      </c>
      <c r="CC136" s="2">
        <f t="shared" si="68"/>
        <v>0.31805762201226728</v>
      </c>
      <c r="CD136" s="2">
        <v>1.9281008595273263E-9</v>
      </c>
      <c r="CE136" s="5">
        <f t="shared" si="61"/>
        <v>0.3180576194082731</v>
      </c>
      <c r="CF136" s="2">
        <v>-7.1314549404677408E-9</v>
      </c>
      <c r="CG136" s="2">
        <f t="shared" si="62"/>
        <v>1.1546546457541234E-16</v>
      </c>
      <c r="CH136" s="2">
        <f t="shared" si="63"/>
        <v>-1.3750164400396249E-17</v>
      </c>
      <c r="CI136" s="2">
        <f t="shared" si="64"/>
        <v>5.2079883738898047E-9</v>
      </c>
    </row>
  </sheetData>
  <mergeCells count="86"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7:D27"/>
    <mergeCell ref="B33:D33"/>
    <mergeCell ref="N18:P18"/>
    <mergeCell ref="J9:L9"/>
    <mergeCell ref="B16:D16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multirotor_fidelity0</vt:lpstr>
      <vt:lpstr>multirotor_fidelity1</vt:lpstr>
      <vt:lpstr>lift+cruise_fidelity0</vt:lpstr>
      <vt:lpstr>lift+cruise_fidelity1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2025-02-25T15:19:55Z</dcterms:modified>
</cp:coreProperties>
</file>